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8.xml" ContentType="application/vnd.openxmlformats-officedocument.spreadsheetml.comments+xml"/>
  <Override PartName="/xl/comments20.xml" ContentType="application/vnd.openxmlformats-officedocument.spreadsheetml.comment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15.xml" ContentType="application/vnd.openxmlformats-officedocument.spreadsheetml.comments+xml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16.vml" ContentType="application/vnd.openxmlformats-officedocument.vmlDrawing"/>
  <Override PartName="/xl/drawings/vmlDrawing2.vml" ContentType="application/vnd.openxmlformats-officedocument.vmlDrawing"/>
  <Override PartName="/xl/drawings/vmlDrawing15.vml" ContentType="application/vnd.openxmlformats-officedocument.vmlDrawing"/>
  <Override PartName="/xl/drawings/vmlDrawing1.vml" ContentType="application/vnd.openxmlformats-officedocument.vmlDrawing"/>
  <Override PartName="/xl/drawings/vmlDrawing14.vml" ContentType="application/vnd.openxmlformats-officedocument.vmlDrawing"/>
  <Override PartName="/xl/drawings/vmlDrawing13.vml" ContentType="application/vnd.openxmlformats-officedocument.vmlDrawing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7.xml" ContentType="application/vnd.openxmlformats-officedocument.spreadsheetml.comments+xml"/>
  <Override PartName="/xl/comments7.xml" ContentType="application/vnd.openxmlformats-officedocument.spreadsheetml.comments+xml"/>
  <Override PartName="/xl/comments19.xml" ContentType="application/vnd.openxmlformats-officedocument.spreadsheetml.comment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Общий список" sheetId="1" state="visible" r:id="rId3"/>
    <sheet name="Шаблон" sheetId="2" state="visible" r:id="rId4"/>
    <sheet name="Разнисты" sheetId="3" state="visible" r:id="rId5"/>
    <sheet name="06" sheetId="4" state="visible" r:id="rId6"/>
    <sheet name="07" sheetId="5" state="visible" r:id="rId7"/>
    <sheet name="08" sheetId="6" state="visible" r:id="rId8"/>
    <sheet name="09" sheetId="7" state="visible" r:id="rId9"/>
    <sheet name="10" sheetId="8" state="visible" r:id="rId10"/>
    <sheet name="11" sheetId="9" state="visible" r:id="rId11"/>
    <sheet name="12" sheetId="10" state="visible" r:id="rId12"/>
    <sheet name="13" sheetId="11" state="visible" r:id="rId13"/>
    <sheet name="14" sheetId="12" state="visible" r:id="rId14"/>
    <sheet name="15" sheetId="13" state="visible" r:id="rId15"/>
    <sheet name="16" sheetId="14" state="visible" r:id="rId16"/>
    <sheet name="17" sheetId="15" state="visible" r:id="rId17"/>
    <sheet name="18" sheetId="16" state="visible" r:id="rId18"/>
    <sheet name="19" sheetId="17" state="visible" r:id="rId19"/>
    <sheet name="30" sheetId="18" state="visible" r:id="rId20"/>
    <sheet name="31" sheetId="19" state="visible" r:id="rId21"/>
    <sheet name="32" sheetId="20" state="visible" r:id="rId22"/>
    <sheet name="МК1" sheetId="21" state="visible" r:id="rId23"/>
  </sheets>
  <definedNames>
    <definedName function="false" hidden="true" localSheetId="10" name="_xlnm._FilterDatabase" vbProcedure="false">'13'!$T$1:$X$19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U4" authorId="0">
      <text>
        <r>
          <rPr>
            <sz val="10"/>
            <rFont val="Arial"/>
            <family val="2"/>
          </rPr>
          <t xml:space="preserve">20 элементов
sum % 3</t>
        </r>
      </text>
    </comment>
    <comment ref="U8" authorId="0">
      <text>
        <r>
          <rPr>
            <sz val="10"/>
            <rFont val="Arial"/>
            <family val="2"/>
          </rPr>
          <t xml:space="preserve">18 элементов
sum % 5</t>
        </r>
      </text>
    </comment>
    <comment ref="U10" authorId="0">
      <text>
        <r>
          <rPr>
            <sz val="10"/>
            <rFont val="Arial"/>
            <family val="2"/>
          </rPr>
          <t xml:space="preserve">10 элементов
количество нечётных элементов</t>
        </r>
      </text>
    </comment>
    <comment ref="U11" authorId="0">
      <text>
        <r>
          <rPr>
            <sz val="10"/>
            <rFont val="Arial"/>
            <family val="2"/>
          </rPr>
          <t xml:space="preserve">20 элементов
% 9</t>
        </r>
      </text>
    </comment>
    <comment ref="U13" authorId="0">
      <text>
        <r>
          <rPr>
            <sz val="10"/>
            <rFont val="Arial"/>
            <family val="2"/>
          </rPr>
          <t xml:space="preserve">20 элементов
% 3</t>
        </r>
      </text>
    </comment>
    <comment ref="U18" authorId="0">
      <text>
        <r>
          <rPr>
            <sz val="10"/>
            <rFont val="Arial"/>
            <family val="2"/>
          </rPr>
          <t xml:space="preserve">ОДЗ
10 элементов
% 2
% 3</t>
        </r>
      </text>
    </comment>
    <comment ref="X4" authorId="0">
      <text>
        <r>
          <rPr>
            <sz val="10"/>
            <rFont val="Arial"/>
            <family val="2"/>
          </rPr>
          <t xml:space="preserve">20 бит</t>
        </r>
      </text>
    </comment>
    <comment ref="X6" authorId="0">
      <text>
        <r>
          <rPr>
            <sz val="10"/>
            <rFont val="Arial"/>
            <family val="2"/>
          </rPr>
          <t xml:space="preserve">BGE, BLT
26 бит значение</t>
        </r>
      </text>
    </comment>
    <comment ref="X9" authorId="0">
      <text>
        <r>
          <rPr>
            <sz val="10"/>
            <rFont val="Arial"/>
            <family val="2"/>
          </rPr>
          <t xml:space="preserve">% 7
% 5</t>
        </r>
      </text>
    </comment>
    <comment ref="X14" authorId="0">
      <text>
        <r>
          <rPr>
            <sz val="10"/>
            <rFont val="Arial"/>
            <family val="2"/>
          </rPr>
          <t xml:space="preserve">%3</t>
        </r>
      </text>
    </comment>
    <comment ref="X20" authorId="0">
      <text>
        <r>
          <rPr>
            <sz val="10"/>
            <rFont val="Arial"/>
            <family val="2"/>
          </rPr>
          <t xml:space="preserve">Что делает программа (запустить)
16 элементов
% 3</t>
        </r>
      </text>
    </comment>
    <comment ref="Z13" authorId="0">
      <text>
        <r>
          <rPr>
            <sz val="10"/>
            <rFont val="Arial"/>
            <family val="2"/>
          </rPr>
          <t xml:space="preserve">z=1
x=0
y=1
res = 152</t>
        </r>
      </text>
    </comment>
    <comment ref="Z15" authorId="0">
      <text>
        <r>
          <rPr>
            <sz val="10"/>
            <rFont val="Arial"/>
            <family val="2"/>
          </rPr>
          <t xml:space="preserve">X=-1
Y=6
Z=2</t>
        </r>
      </text>
    </comment>
    <comment ref="AD4" authorId="0">
      <text>
        <r>
          <rPr>
            <sz val="10"/>
            <rFont val="Arial"/>
            <family val="2"/>
          </rPr>
          <t xml:space="preserve">Z=0
Y=0
X=0
res = ????
двумерный массив (сумма столбца)</t>
        </r>
      </text>
    </comment>
    <comment ref="AD5" authorId="0">
      <text>
        <r>
          <rPr>
            <sz val="10"/>
            <rFont val="Arial"/>
            <family val="2"/>
          </rPr>
          <t xml:space="preserve">Подпрограмма для сложения 18 битных чисел</t>
        </r>
      </text>
    </comment>
    <comment ref="AD6" authorId="0">
      <text>
        <r>
          <rPr>
            <sz val="10"/>
            <rFont val="Arial"/>
            <family val="2"/>
          </rPr>
          <t xml:space="preserve">x=y=z=0
-815*3 - 2
Подпрограмма для получения суммы 25 битного массива</t>
        </r>
      </text>
    </comment>
    <comment ref="AD7" authorId="0">
      <text>
        <r>
          <rPr>
            <sz val="10"/>
            <rFont val="Arial"/>
            <family val="2"/>
          </rPr>
          <t xml:space="preserve">Y = X = S + 1
Z = 0
R = E - 2
массив из 26 битных чисел, посчитать сумму (подпрограмма)</t>
        </r>
      </text>
    </comment>
    <comment ref="AD8" authorId="0">
      <text>
        <r>
          <rPr>
            <sz val="10"/>
            <rFont val="Arial"/>
            <family val="2"/>
          </rPr>
          <t xml:space="preserve">x=0
y=-2
z=1
-191
Сложение 29 битных чисел</t>
        </r>
      </text>
    </comment>
    <comment ref="AD9" authorId="0">
      <text>
        <r>
          <rPr>
            <sz val="10"/>
            <rFont val="Arial"/>
            <family val="2"/>
          </rPr>
          <t xml:space="preserve">X=Y=Z=0
-502
Сумма 20 битного массива</t>
        </r>
      </text>
    </comment>
    <comment ref="AD10" authorId="0">
      <text>
        <r>
          <rPr>
            <sz val="10"/>
            <rFont val="Arial"/>
            <family val="2"/>
          </rPr>
          <t xml:space="preserve">y=-3203
x=-3203
z=1
res=181-2*3203
сумма массива 14-битных чисел (+)</t>
        </r>
      </text>
    </comment>
    <comment ref="AD11" authorId="0">
      <text>
        <r>
          <rPr>
            <sz val="10"/>
            <rFont val="Arial"/>
            <family val="2"/>
          </rPr>
          <t xml:space="preserve">Массив из 20 битных чисел, сумма</t>
        </r>
      </text>
    </comment>
    <comment ref="AD13" authorId="0">
      <text>
        <r>
          <rPr>
            <sz val="10"/>
            <rFont val="Arial"/>
            <family val="2"/>
          </rPr>
          <t xml:space="preserve">двумерный массив (умножить все значение в столбика на 3)</t>
        </r>
      </text>
    </comment>
    <comment ref="AD14" authorId="0">
      <text>
        <r>
          <rPr>
            <sz val="10"/>
            <rFont val="Arial"/>
            <family val="2"/>
          </rPr>
          <t xml:space="preserve">z=1
x=-2
y=-1 
r=2
Подпрограмма для подсчёта суммы 20 битного массива</t>
        </r>
      </text>
    </comment>
    <comment ref="AD15" authorId="0">
      <text>
        <r>
          <rPr>
            <sz val="10"/>
            <rFont val="Arial"/>
            <family val="2"/>
          </rPr>
          <t xml:space="preserve">подпрограмма для сложения 40 битных знаковых чисел</t>
        </r>
      </text>
    </comment>
    <comment ref="AD16" authorId="0">
      <text>
        <r>
          <rPr>
            <sz val="10"/>
            <rFont val="Arial"/>
            <family val="2"/>
          </rPr>
          <t xml:space="preserve">x=0
z=1
y=1
58
Двумерный массив, в столбике % 3</t>
        </r>
      </text>
    </comment>
    <comment ref="AD17" authorId="0">
      <text>
        <r>
          <rPr>
            <sz val="10"/>
            <rFont val="Arial"/>
            <family val="2"/>
          </rPr>
          <t xml:space="preserve">a = b = 2
d = 0
Массив из 30 битных чисел, сумма (подпрограмма)</t>
        </r>
      </text>
    </comment>
    <comment ref="AD18" authorId="0">
      <text>
        <r>
          <rPr>
            <sz val="10"/>
            <rFont val="Arial"/>
            <family val="2"/>
          </rPr>
          <t xml:space="preserve">Y=X=0
Z=2
3*B - 1
Подпрограмму для сложения 22 битных чисел</t>
        </r>
      </text>
    </comment>
    <comment ref="AD19" authorId="0">
      <text>
        <r>
          <rPr>
            <sz val="10"/>
            <rFont val="Arial"/>
            <family val="2"/>
          </rPr>
          <t xml:space="preserve">a=1
c=2
b=1
-Y + 2
Посчитать сумму массива 40 битных чисел</t>
        </r>
      </text>
    </comment>
    <comment ref="AD20" authorId="0">
      <text>
        <r>
          <rPr>
            <sz val="10"/>
            <rFont val="Arial"/>
            <family val="2"/>
          </rPr>
          <t xml:space="preserve">y = 0
z = 1
x = 2
-19
45 битные числа (-0,5)</t>
        </r>
      </text>
    </comment>
    <comment ref="AJ4" authorId="0">
      <text>
        <r>
          <rPr>
            <sz val="10"/>
            <rFont val="Arial"/>
            <family val="2"/>
          </rPr>
          <t xml:space="preserve">вывод на ВУ-5 без буфера</t>
        </r>
      </text>
    </comment>
    <comment ref="AJ5" authorId="0">
      <text>
        <r>
          <rPr>
            <sz val="10"/>
            <rFont val="Arial"/>
            <family val="2"/>
          </rPr>
          <t xml:space="preserve">Ввод с ВУ-3</t>
        </r>
      </text>
    </comment>
    <comment ref="AJ6" authorId="0">
      <text>
        <r>
          <rPr>
            <sz val="10"/>
            <rFont val="Arial"/>
            <family val="2"/>
          </rPr>
          <t xml:space="preserve">ВУ-9-&gt;ВУ-7</t>
        </r>
      </text>
    </comment>
    <comment ref="AJ7" authorId="0">
      <text>
        <r>
          <rPr>
            <sz val="10"/>
            <rFont val="Arial"/>
            <family val="2"/>
          </rPr>
          <t xml:space="preserve">ввод с ВУ-8, Enter - конец ввода</t>
        </r>
      </text>
    </comment>
    <comment ref="AJ8" authorId="0">
      <text>
        <r>
          <rPr>
            <sz val="10"/>
            <rFont val="Arial"/>
            <family val="2"/>
          </rPr>
          <t xml:space="preserve">вывод на ВУ-5</t>
        </r>
      </text>
    </comment>
    <comment ref="AJ9" authorId="0">
      <text>
        <r>
          <rPr>
            <sz val="10"/>
            <rFont val="Arial"/>
            <family val="2"/>
          </rPr>
          <t xml:space="preserve">ВУ9-&gt;ВУ1</t>
        </r>
      </text>
    </comment>
    <comment ref="AJ11" authorId="0">
      <text>
        <r>
          <rPr>
            <sz val="10"/>
            <rFont val="Arial"/>
            <family val="2"/>
          </rPr>
          <t xml:space="preserve">ВУ-8 -&gt; ВУ-5</t>
        </r>
      </text>
    </comment>
    <comment ref="AJ13" authorId="0">
      <text>
        <r>
          <rPr>
            <sz val="10"/>
            <rFont val="Arial"/>
            <family val="2"/>
          </rPr>
          <t xml:space="preserve">вывод на ВУ-5</t>
        </r>
      </text>
    </comment>
    <comment ref="AJ15" authorId="0">
      <text>
        <r>
          <rPr>
            <sz val="10"/>
            <rFont val="Arial"/>
            <family val="2"/>
          </rPr>
          <t xml:space="preserve">ВУ9-&gt;ВУ-7</t>
        </r>
      </text>
    </comment>
    <comment ref="AJ16" authorId="0">
      <text>
        <r>
          <rPr>
            <sz val="10"/>
            <rFont val="Arial"/>
            <family val="2"/>
          </rPr>
          <t xml:space="preserve">ВУ-8-&gt;ВУ-6 (только цифры)</t>
        </r>
      </text>
    </comment>
    <comment ref="AJ17" authorId="0">
      <text>
        <r>
          <rPr>
            <sz val="10"/>
            <rFont val="Arial"/>
            <family val="2"/>
          </rPr>
          <t xml:space="preserve">вывод на ВУ-5</t>
        </r>
      </text>
    </comment>
    <comment ref="AJ18" authorId="0">
      <text>
        <r>
          <rPr>
            <sz val="10"/>
            <rFont val="Arial"/>
            <family val="2"/>
          </rPr>
          <t xml:space="preserve">вывод на ВУ-5</t>
        </r>
      </text>
    </comment>
    <comment ref="AJ19" authorId="0">
      <text>
        <r>
          <rPr>
            <sz val="10"/>
            <rFont val="Arial"/>
            <family val="2"/>
          </rPr>
          <t xml:space="preserve">длина строки на ВУ-7</t>
        </r>
      </text>
    </comment>
    <comment ref="AJ20" authorId="0">
      <text>
        <r>
          <rPr>
            <sz val="10"/>
            <rFont val="Arial"/>
            <family val="2"/>
          </rPr>
          <t xml:space="preserve">ВУ-7 -&gt; ВУ-9</t>
        </r>
      </text>
    </comment>
    <comment ref="AV4" authorId="0">
      <text>
        <r>
          <rPr>
            <sz val="10"/>
            <rFont val="Arial"/>
            <family val="2"/>
          </rPr>
          <t xml:space="preserve">Сумматор
C
</t>
        </r>
      </text>
    </comment>
    <comment ref="BB4" authorId="0">
      <text>
        <r>
          <rPr>
            <sz val="10"/>
            <rFont val="Arial"/>
            <family val="2"/>
          </rPr>
          <t xml:space="preserve">Нумерация не учтена</t>
        </r>
      </text>
    </comment>
    <comment ref="BB6" authorId="0">
      <text>
        <r>
          <rPr>
            <sz val="10"/>
            <rFont val="Arial"/>
            <family val="2"/>
          </rPr>
          <t xml:space="preserve">:(</t>
        </r>
      </text>
    </comment>
    <comment ref="BB9" authorId="0">
      <text>
        <r>
          <rPr>
            <sz val="10"/>
            <rFont val="Arial"/>
            <family val="2"/>
          </rPr>
          <t xml:space="preserve">Такого синтаксиса нет - AND: A AND B
Если хотите сделать AND у двух операндов со стека, то нужно использовать адресацию стека для этого</t>
        </r>
      </text>
    </comment>
    <comment ref="BB10" authorId="0">
      <text>
        <r>
          <rPr>
            <sz val="10"/>
            <rFont val="Arial"/>
            <family val="2"/>
          </rPr>
          <t xml:space="preserve">великолепные комментарии :)</t>
        </r>
      </text>
    </comment>
    <comment ref="BB11" authorId="0">
      <text>
        <r>
          <rPr>
            <sz val="10"/>
            <rFont val="Arial"/>
            <family val="2"/>
          </rPr>
          <t xml:space="preserve">Не учтено, что итоговый массив - 32-битный, также странная работа с нумерацией</t>
        </r>
      </text>
    </comment>
    <comment ref="BB13" authorId="0">
      <text>
        <r>
          <rPr>
            <sz val="10"/>
            <rFont val="Arial"/>
            <family val="2"/>
          </rPr>
          <t xml:space="preserve">Нумерация не учтена</t>
        </r>
      </text>
    </comment>
    <comment ref="BB14" authorId="0">
      <text>
        <r>
          <rPr>
            <sz val="10"/>
            <rFont val="Arial"/>
            <family val="2"/>
          </rPr>
          <t xml:space="preserve">нет расширения знаков
странная работа с LOOP
неясно, зачем нужен SWAP</t>
        </r>
      </text>
    </comment>
    <comment ref="BB16" authorId="0">
      <text>
        <r>
          <rPr>
            <sz val="10"/>
            <rFont val="Arial"/>
            <family val="2"/>
          </rPr>
          <t xml:space="preserve">не учтено, что итоговый массив - 32-битный</t>
        </r>
      </text>
    </comment>
    <comment ref="BB18" authorId="0">
      <text>
        <r>
          <rPr>
            <sz val="10"/>
            <rFont val="Arial"/>
            <family val="2"/>
          </rPr>
          <t xml:space="preserve">не учтена необходимость расширения знака для 14 и 32 бит</t>
        </r>
      </text>
    </comment>
    <comment ref="BG6" authorId="0">
      <text>
        <r>
          <rPr>
            <sz val="10"/>
            <rFont val="Arial"/>
            <family val="2"/>
          </rPr>
          <t xml:space="preserve">и КТ не сданы, и 0 в знаниях
</t>
        </r>
      </text>
    </comment>
    <comment ref="BG7" authorId="0">
      <text>
        <r>
          <rPr>
            <sz val="10"/>
            <rFont val="Arial"/>
            <family val="2"/>
          </rPr>
          <t xml:space="preserve">ПДП вообще не читали
</t>
        </r>
      </text>
    </comment>
    <comment ref="BG9" authorId="0">
      <text>
        <r>
          <rPr>
            <sz val="10"/>
            <rFont val="Arial"/>
            <family val="2"/>
          </rPr>
          <t xml:space="preserve">нет про контроллер
</t>
        </r>
      </text>
    </comment>
    <comment ref="BG11" authorId="0">
      <text>
        <r>
          <rPr>
            <sz val="10"/>
            <rFont val="Arial"/>
            <family val="2"/>
          </rPr>
          <t xml:space="preserve">второго вопроса практически нет</t>
        </r>
      </text>
    </comment>
    <comment ref="BG13" authorId="0">
      <text>
        <r>
          <rPr>
            <sz val="10"/>
            <rFont val="Arial"/>
            <family val="2"/>
          </rPr>
          <t xml:space="preserve">ПДП не смотрели. Просил же синюю библию почитать. Но что-то про ПДП написали, что достойно 3 на экзамене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G6" authorId="0">
      <text>
        <r>
          <rPr>
            <sz val="10"/>
            <rFont val="Arial"/>
            <family val="2"/>
          </rPr>
          <t xml:space="preserve">второй вопрос на четвреть, первый на половину</t>
        </r>
      </text>
    </comment>
    <comment ref="BG7" authorId="0">
      <text>
        <r>
          <rPr>
            <sz val="10"/>
            <rFont val="Arial"/>
            <family val="2"/>
          </rPr>
          <t xml:space="preserve">ПДП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V8" authorId="0">
      <text>
        <r>
          <rPr>
            <sz val="10"/>
            <rFont val="Arial"/>
            <family val="2"/>
          </rPr>
          <t xml:space="preserve">Доп не доделан</t>
        </r>
      </text>
    </comment>
    <comment ref="AA15" authorId="0">
      <text>
        <r>
          <rPr>
            <sz val="10"/>
            <rFont val="Arial"/>
            <family val="2"/>
          </rPr>
          <t xml:space="preserve">ОДЗ неправильное</t>
        </r>
      </text>
    </comment>
    <comment ref="AM8" authorId="0">
      <text>
        <r>
          <rPr>
            <sz val="10"/>
            <rFont val="Arial"/>
            <family val="2"/>
          </rPr>
          <t xml:space="preserve">копипаст с Макарова</t>
        </r>
      </text>
    </comment>
    <comment ref="BG4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B9" authorId="0">
      <text>
        <r>
          <rPr>
            <sz val="10"/>
            <rFont val="Arial"/>
            <family val="2"/>
          </rPr>
          <t xml:space="preserve">пожалуй, нет, слишком много ошибок, видны пропущенные лабы :-(</t>
        </r>
      </text>
    </comment>
    <comment ref="BG6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  <comment ref="BG7" authorId="0">
      <text>
        <r>
          <rPr>
            <sz val="10"/>
            <rFont val="Arial"/>
            <family val="2"/>
          </rPr>
          <t xml:space="preserve">Нет контроллера</t>
        </r>
      </text>
    </comment>
    <comment ref="BG10" authorId="0">
      <text>
        <r>
          <rPr>
            <sz val="10"/>
            <rFont val="Arial"/>
            <family val="2"/>
          </rPr>
          <t xml:space="preserve">Нет контролллера</t>
        </r>
      </text>
    </comment>
    <comment ref="BG12" authorId="0">
      <text>
        <r>
          <rPr>
            <sz val="10"/>
            <rFont val="Arial"/>
            <family val="2"/>
          </rPr>
          <t xml:space="preserve">Нет контролллера</t>
        </r>
      </text>
    </comment>
    <comment ref="BG17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  <comment ref="BG19" authorId="0">
      <text>
        <r>
          <rPr>
            <sz val="10"/>
            <rFont val="Arial"/>
            <family val="2"/>
          </rPr>
          <t xml:space="preserve">Это было ладно. Второй вопрос оч. плох.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10" authorId="0">
      <text>
        <r>
          <rPr>
            <sz val="10"/>
            <rFont val="Arial"/>
            <family val="2"/>
          </rPr>
          <t xml:space="preserve">Вариант на 2-ю лабу: 6344</t>
        </r>
      </text>
    </comment>
    <comment ref="J10" authorId="0">
      <text>
        <r>
          <rPr>
            <sz val="10"/>
            <rFont val="Arial"/>
            <family val="2"/>
          </rPr>
          <t xml:space="preserve">Допуск к лаб 2:
A = F309
B = C571
C = 155 (10)</t>
        </r>
      </text>
    </comment>
    <comment ref="K10" authorId="0">
      <text>
        <r>
          <rPr>
            <sz val="10"/>
            <rFont val="Arial"/>
            <family val="2"/>
          </rPr>
          <t xml:space="preserve">сдано выполнение 2-й
сдана вторая лаба</t>
        </r>
      </text>
    </comment>
    <comment ref="L5" authorId="0">
      <text>
        <r>
          <rPr>
            <sz val="10"/>
            <rFont val="Arial"/>
            <family val="2"/>
          </rPr>
          <t xml:space="preserve">не готов</t>
        </r>
      </text>
    </comment>
    <comment ref="L10" authorId="0">
      <text>
        <r>
          <rPr>
            <sz val="10"/>
            <rFont val="Arial"/>
            <family val="2"/>
          </rPr>
          <t xml:space="preserve">Рубеж за 1-й семестр сдан</t>
        </r>
      </text>
    </comment>
    <comment ref="U3" authorId="0">
      <text>
        <r>
          <rPr>
            <sz val="10"/>
            <rFont val="Arial"/>
            <family val="2"/>
          </rPr>
          <t xml:space="preserve">Adr = 200
N = 4
Arr = [6, -302, 77, 0]
R = 0101</t>
        </r>
      </text>
    </comment>
    <comment ref="U4" authorId="0">
      <text>
        <r>
          <rPr>
            <sz val="10"/>
            <rFont val="Arial"/>
            <family val="2"/>
          </rPr>
          <t xml:space="preserve">Adr = 300
N = 3
Arr = [0, -17, 29]
R = 2</t>
        </r>
      </text>
    </comment>
    <comment ref="U5" authorId="0">
      <text>
        <r>
          <rPr>
            <sz val="10"/>
            <rFont val="Arial"/>
            <family val="2"/>
          </rPr>
          <t xml:space="preserve">Adr = 4C0
N = 3
Arr = [2, 109, -456]
R = 2</t>
        </r>
      </text>
    </comment>
    <comment ref="U6" authorId="0">
      <text>
        <r>
          <rPr>
            <sz val="10"/>
            <rFont val="Arial"/>
            <family val="2"/>
          </rPr>
          <t xml:space="preserve">Adr = 200
N = 3
Arr = [24, -13, -22]
R = 2</t>
        </r>
      </text>
    </comment>
    <comment ref="U7" authorId="0">
      <text>
        <r>
          <rPr>
            <sz val="10"/>
            <rFont val="Arial"/>
            <family val="2"/>
          </rPr>
          <t xml:space="preserve">Adr = 200
N = 4
Arr = [-9, 56, 19, -8]
R = 10</t>
        </r>
      </text>
    </comment>
    <comment ref="U8" authorId="0">
      <text>
        <r>
          <rPr>
            <sz val="10"/>
            <rFont val="Arial"/>
            <family val="2"/>
          </rPr>
          <t xml:space="preserve">Adr = 200
N = 3
Arr = [19, -44, -7]
R = -7</t>
        </r>
      </text>
    </comment>
    <comment ref="U9" authorId="0">
      <text>
        <r>
          <rPr>
            <sz val="10"/>
            <rFont val="Arial"/>
            <family val="2"/>
          </rPr>
          <t xml:space="preserve">Adr = 570
N = 4
Arr = [92, 87, -6, -8]
R = -8</t>
        </r>
      </text>
    </comment>
    <comment ref="U10" authorId="0">
      <text>
        <r>
          <rPr>
            <sz val="10"/>
            <rFont val="Arial"/>
            <family val="2"/>
          </rPr>
          <t xml:space="preserve">Adr = 250
N = 4
Arr = [-39, 0, -8, 4]
R = -8</t>
        </r>
      </text>
    </comment>
    <comment ref="U11" authorId="0">
      <text>
        <r>
          <rPr>
            <sz val="10"/>
            <rFont val="Arial"/>
            <family val="2"/>
          </rPr>
          <t xml:space="preserve">Adr = 5B0
N = 4
Arr = [33, 0, -8, 19]
R = 1001</t>
        </r>
      </text>
    </comment>
    <comment ref="U12" authorId="0">
      <text>
        <r>
          <rPr>
            <sz val="10"/>
            <rFont val="Arial"/>
            <family val="2"/>
          </rPr>
          <t xml:space="preserve">Adr = 2B0
N = 4
Arr = [17, 66, -128, 0]
R = 1</t>
        </r>
      </text>
    </comment>
    <comment ref="U13" authorId="0">
      <text>
        <r>
          <rPr>
            <sz val="10"/>
            <rFont val="Arial"/>
            <family val="2"/>
          </rPr>
          <t xml:space="preserve">Adr = 200
N = 4
Arr = [81, -40, -41, 24]
R = -16</t>
        </r>
      </text>
    </comment>
    <comment ref="U14" authorId="0">
      <text>
        <r>
          <rPr>
            <sz val="10"/>
            <rFont val="Arial"/>
            <family val="2"/>
          </rPr>
          <t xml:space="preserve">Adr = 240
N = 4
Arr = [-17, 65, 63, 88]
R = 88</t>
        </r>
      </text>
    </comment>
    <comment ref="U15" authorId="0">
      <text>
        <r>
          <rPr>
            <sz val="10"/>
            <rFont val="Arial"/>
            <family val="2"/>
          </rPr>
          <t xml:space="preserve">Adr = 7FE
N = 4
Adr = [4, 18, -23, 57]
R = 0011</t>
        </r>
      </text>
    </comment>
    <comment ref="U17" authorId="0">
      <text>
        <r>
          <rPr>
            <sz val="10"/>
            <rFont val="Arial"/>
            <family val="2"/>
          </rPr>
          <t xml:space="preserve">Adr = 500
N = 4
Arr = [56, 9, -18, -40]
R = 16</t>
        </r>
      </text>
    </comment>
    <comment ref="U18" authorId="0">
      <text>
        <r>
          <rPr>
            <sz val="10"/>
            <rFont val="Arial"/>
            <family val="2"/>
          </rPr>
          <t xml:space="preserve">Adr = 270
N = 4
Arr = [12, -4, 9, 0]
R = 3</t>
        </r>
      </text>
    </comment>
    <comment ref="U19" authorId="0">
      <text>
        <r>
          <rPr>
            <sz val="10"/>
            <rFont val="Arial"/>
            <family val="2"/>
          </rPr>
          <t xml:space="preserve">Arr = 300
N = 4
Arr = [4, 0, -33, -12]
R = 1011</t>
        </r>
      </text>
    </comment>
    <comment ref="U20" authorId="0">
      <text>
        <r>
          <rPr>
            <sz val="10"/>
            <rFont val="Arial"/>
            <family val="2"/>
          </rPr>
          <t xml:space="preserve">Adr = 390
N = 3
Arr = [177, -133, 62]
R = 2</t>
        </r>
      </text>
    </comment>
    <comment ref="U21" authorId="0">
      <text>
        <r>
          <rPr>
            <sz val="10"/>
            <rFont val="Arial"/>
            <family val="2"/>
          </rPr>
          <t xml:space="preserve">Adr = 300
N = 4
Arr = [9, -17, 42, -7]
R = -24 = FFE8</t>
        </r>
      </text>
    </comment>
    <comment ref="U22" authorId="0">
      <text>
        <r>
          <rPr>
            <sz val="10"/>
            <rFont val="Arial"/>
            <family val="2"/>
          </rPr>
          <t xml:space="preserve">Adr = 200
N = 4
Arr = [-9, 22, 180, 0]
R = 22</t>
        </r>
      </text>
    </comment>
    <comment ref="U23" authorId="0">
      <text>
        <r>
          <rPr>
            <sz val="10"/>
            <rFont val="Arial"/>
            <family val="2"/>
          </rPr>
          <t xml:space="preserve">Adr = 200
N = 4
Arr = [7, 8, -17, -22]
R = -22</t>
        </r>
      </text>
    </comment>
    <comment ref="W5" authorId="0">
      <text>
        <r>
          <rPr>
            <sz val="10"/>
            <rFont val="Arial"/>
            <family val="2"/>
          </rPr>
          <t xml:space="preserve">loop</t>
        </r>
      </text>
    </comment>
    <comment ref="W10" authorId="0">
      <text>
        <r>
          <rPr>
            <sz val="10"/>
            <rFont val="Arial"/>
            <family val="2"/>
          </rPr>
          <t xml:space="preserve">020  8800
021  EE05
022  EAFE
023  F800
024  AF82
</t>
        </r>
      </text>
    </comment>
    <comment ref="W22" authorId="0">
      <text>
        <r>
          <rPr>
            <sz val="10"/>
            <rFont val="Arial"/>
            <family val="2"/>
          </rPr>
          <t xml:space="preserve">LOOP</t>
        </r>
      </text>
    </comment>
    <comment ref="AA3" authorId="0">
      <text>
        <r>
          <rPr>
            <sz val="10"/>
            <rFont val="Arial"/>
            <family val="2"/>
          </rPr>
          <t xml:space="preserve">X = -938
Y = -1
Z = 7
R = -133 = FF7B</t>
        </r>
      </text>
    </comment>
    <comment ref="AA4" authorId="0">
      <text>
        <r>
          <rPr>
            <sz val="10"/>
            <rFont val="Arial"/>
            <family val="2"/>
          </rPr>
          <t xml:space="preserve">X = 3000
Y = --2
Z = 3
R = 5268</t>
        </r>
      </text>
    </comment>
    <comment ref="AA5" authorId="0">
      <text>
        <r>
          <rPr>
            <sz val="10"/>
            <rFont val="Arial"/>
            <family val="2"/>
          </rPr>
          <t xml:space="preserve">X = 121
Y = -2875
Z = -120
R = 6</t>
        </r>
      </text>
    </comment>
    <comment ref="AA6" authorId="0">
      <text>
        <r>
          <rPr>
            <sz val="10"/>
            <rFont val="Arial"/>
            <family val="2"/>
          </rPr>
          <t xml:space="preserve">X = -39
Y = 2517
Z = 3736
R = 7470</t>
        </r>
      </text>
    </comment>
    <comment ref="AA7" authorId="0">
      <text>
        <r>
          <rPr>
            <sz val="10"/>
            <rFont val="Arial"/>
            <family val="2"/>
          </rPr>
          <t xml:space="preserve">X = 537
Y = 567
Z = -436
R = 3</t>
        </r>
      </text>
    </comment>
    <comment ref="AA8" authorId="0">
      <text>
        <r>
          <rPr>
            <sz val="10"/>
            <rFont val="Arial"/>
            <family val="2"/>
          </rPr>
          <t xml:space="preserve">X = -9
Y = 970
Z = 3963
R = 5010</t>
        </r>
      </text>
    </comment>
    <comment ref="AA9" authorId="0">
      <text>
        <r>
          <rPr>
            <sz val="10"/>
            <rFont val="Arial"/>
            <family val="2"/>
          </rPr>
          <t xml:space="preserve">X = 0
Y = 123
Z = -1425
R = 56</t>
        </r>
      </text>
    </comment>
    <comment ref="AA10" authorId="0">
      <text>
        <r>
          <rPr>
            <sz val="10"/>
            <rFont val="Arial"/>
            <family val="2"/>
          </rPr>
          <t xml:space="preserve">X = 81
Y = -120
Z = 45
R =  -1</t>
        </r>
      </text>
    </comment>
    <comment ref="AA11" authorId="0">
      <text>
        <r>
          <rPr>
            <sz val="10"/>
            <rFont val="Arial"/>
            <family val="2"/>
          </rPr>
          <t xml:space="preserve">X = 520
Y = -1394
Z = -222
R = 8</t>
        </r>
      </text>
    </comment>
    <comment ref="AA12" authorId="0">
      <text>
        <r>
          <rPr>
            <sz val="10"/>
            <rFont val="Arial"/>
            <family val="2"/>
          </rPr>
          <t xml:space="preserve">X = -2
Y = -400
Z = 131
R = -808</t>
        </r>
      </text>
    </comment>
    <comment ref="AA13" authorId="0">
      <text>
        <r>
          <rPr>
            <sz val="10"/>
            <rFont val="Arial"/>
            <family val="2"/>
          </rPr>
          <t xml:space="preserve">X = 1965
Y = -1597
Z = -34
R = 10</t>
        </r>
      </text>
    </comment>
    <comment ref="AA14" authorId="0">
      <text>
        <r>
          <rPr>
            <sz val="10"/>
            <rFont val="Arial"/>
            <family val="2"/>
          </rPr>
          <t xml:space="preserve">X = 40
Y = -3001
Z = -1
R = -6014 = E882</t>
        </r>
      </text>
    </comment>
    <comment ref="AA15" authorId="0">
      <text>
        <r>
          <rPr>
            <sz val="10"/>
            <rFont val="Arial"/>
            <family val="2"/>
          </rPr>
          <t xml:space="preserve">X = -870
Y = 49
Z = 2251
R = 4</t>
        </r>
      </text>
    </comment>
    <comment ref="AA17" authorId="0">
      <text>
        <r>
          <rPr>
            <sz val="10"/>
            <rFont val="Arial"/>
            <family val="2"/>
          </rPr>
          <t xml:space="preserve">X = 1
Y = 0
Z =  3318
R = 174</t>
        </r>
      </text>
    </comment>
    <comment ref="AA18" authorId="0">
      <text>
        <r>
          <rPr>
            <sz val="10"/>
            <rFont val="Arial"/>
            <family val="2"/>
          </rPr>
          <t xml:space="preserve">X = -1
Y = -8754
Z = 15
R = -4212= EF8C</t>
        </r>
      </text>
    </comment>
    <comment ref="AA19" authorId="0">
      <text>
        <r>
          <rPr>
            <sz val="10"/>
            <rFont val="Arial"/>
            <family val="2"/>
          </rPr>
          <t xml:space="preserve">X = 478
Y = 3656
Z = -2
R = 52</t>
        </r>
      </text>
    </comment>
    <comment ref="AA20" authorId="0">
      <text>
        <r>
          <rPr>
            <sz val="10"/>
            <rFont val="Arial"/>
            <family val="2"/>
          </rPr>
          <t xml:space="preserve">X = -739
Y = 0
Z = 0
R = -236 = FF14</t>
        </r>
      </text>
    </comment>
    <comment ref="AA21" authorId="0">
      <text>
        <r>
          <rPr>
            <sz val="10"/>
            <rFont val="Arial"/>
            <family val="2"/>
          </rPr>
          <t xml:space="preserve">X = 1
Y = 2281
Z = -12
R = 4692</t>
        </r>
      </text>
    </comment>
    <comment ref="AA22" authorId="0">
      <text>
        <r>
          <rPr>
            <sz val="10"/>
            <rFont val="Arial"/>
            <family val="2"/>
          </rPr>
          <t xml:space="preserve">X = 102
Y = 567
Z = -525
R = 7</t>
        </r>
      </text>
    </comment>
    <comment ref="AA23" authorId="0">
      <text>
        <r>
          <rPr>
            <sz val="10"/>
            <rFont val="Arial"/>
            <family val="2"/>
          </rPr>
          <t xml:space="preserve">X = -38
Y = 234
Z = 1000
R = 9</t>
        </r>
      </text>
    </comment>
    <comment ref="AG3" authorId="0">
      <text>
        <r>
          <rPr>
            <sz val="10"/>
            <rFont val="Arial"/>
            <family val="2"/>
          </rPr>
          <t xml:space="preserve">КЛЁН</t>
        </r>
      </text>
    </comment>
    <comment ref="AG4" authorId="0">
      <text>
        <r>
          <rPr>
            <sz val="10"/>
            <rFont val="Arial"/>
            <family val="2"/>
          </rPr>
          <t xml:space="preserve">ПАНДА</t>
        </r>
      </text>
    </comment>
    <comment ref="AG6" authorId="0">
      <text>
        <r>
          <rPr>
            <sz val="10"/>
            <rFont val="Arial"/>
            <family val="2"/>
          </rPr>
          <t xml:space="preserve">КОНФЕТА</t>
        </r>
      </text>
    </comment>
    <comment ref="AG7" authorId="0">
      <text>
        <r>
          <rPr>
            <sz val="10"/>
            <rFont val="Arial"/>
            <family val="2"/>
          </rPr>
          <t xml:space="preserve">ЛУНА</t>
        </r>
      </text>
    </comment>
    <comment ref="AG8" authorId="0">
      <text>
        <r>
          <rPr>
            <sz val="10"/>
            <rFont val="Arial"/>
            <family val="2"/>
          </rPr>
          <t xml:space="preserve">ПЕРЕЦ</t>
        </r>
      </text>
    </comment>
    <comment ref="AG9" authorId="0">
      <text>
        <r>
          <rPr>
            <sz val="10"/>
            <rFont val="Arial"/>
            <family val="2"/>
          </rPr>
          <t xml:space="preserve">КОНЬ</t>
        </r>
      </text>
    </comment>
    <comment ref="AG10" authorId="0">
      <text>
        <r>
          <rPr>
            <sz val="10"/>
            <rFont val="Arial"/>
            <family val="2"/>
          </rPr>
          <t xml:space="preserve">ПРИВЕТ</t>
        </r>
      </text>
    </comment>
    <comment ref="AG11" authorId="0">
      <text>
        <r>
          <rPr>
            <sz val="10"/>
            <rFont val="Arial"/>
            <family val="2"/>
          </rPr>
          <t xml:space="preserve">ЛОДКА</t>
        </r>
      </text>
    </comment>
    <comment ref="AG12" authorId="0">
      <text>
        <r>
          <rPr>
            <sz val="10"/>
            <rFont val="Arial"/>
            <family val="2"/>
          </rPr>
          <t xml:space="preserve">ВАЗА</t>
        </r>
      </text>
    </comment>
    <comment ref="AG13" authorId="0">
      <text>
        <r>
          <rPr>
            <sz val="10"/>
            <rFont val="Arial"/>
            <family val="2"/>
          </rPr>
          <t xml:space="preserve">КЛЁН</t>
        </r>
      </text>
    </comment>
    <comment ref="AG14" authorId="0">
      <text>
        <r>
          <rPr>
            <sz val="10"/>
            <rFont val="Arial"/>
            <family val="2"/>
          </rPr>
          <t xml:space="preserve">ПАРИК</t>
        </r>
      </text>
    </comment>
    <comment ref="AG15" authorId="0">
      <text>
        <r>
          <rPr>
            <sz val="10"/>
            <rFont val="Arial"/>
            <family val="2"/>
          </rPr>
          <t xml:space="preserve">СИРЕНЬ</t>
        </r>
      </text>
    </comment>
    <comment ref="AG17" authorId="0">
      <text>
        <r>
          <rPr>
            <sz val="10"/>
            <rFont val="Arial"/>
            <family val="2"/>
          </rPr>
          <t xml:space="preserve">ЗАРЯ</t>
        </r>
      </text>
    </comment>
    <comment ref="AG19" authorId="0">
      <text>
        <r>
          <rPr>
            <sz val="10"/>
            <rFont val="Arial"/>
            <family val="2"/>
          </rPr>
          <t xml:space="preserve">СЛОВО</t>
        </r>
      </text>
    </comment>
    <comment ref="AG20" authorId="0">
      <text>
        <r>
          <rPr>
            <sz val="10"/>
            <rFont val="Arial"/>
            <family val="2"/>
          </rPr>
          <t xml:space="preserve">ЗАЯЦ</t>
        </r>
      </text>
    </comment>
    <comment ref="AG21" authorId="0">
      <text>
        <r>
          <rPr>
            <sz val="10"/>
            <rFont val="Arial"/>
            <family val="2"/>
          </rPr>
          <t xml:space="preserve">РОЛЬ</t>
        </r>
      </text>
    </comment>
    <comment ref="AG22" authorId="0">
      <text>
        <r>
          <rPr>
            <sz val="10"/>
            <rFont val="Arial"/>
            <family val="2"/>
          </rPr>
          <t xml:space="preserve">ГУСЬ</t>
        </r>
      </text>
    </comment>
    <comment ref="AG23" authorId="0">
      <text>
        <r>
          <rPr>
            <sz val="10"/>
            <rFont val="Arial"/>
            <family val="2"/>
          </rPr>
          <t xml:space="preserve">СВЕЧА</t>
        </r>
      </text>
    </comment>
    <comment ref="AI3" authorId="0">
      <text>
        <r>
          <rPr>
            <sz val="10"/>
            <rFont val="Arial"/>
            <family val="2"/>
          </rPr>
          <t xml:space="preserve">С ВУ-8 (клавиатура) вводится строка, enter - завершение ввода. После окончания ввода, на ВУ-5 (принтер) вывести коды символов в 16-ричной системе счисления через пробел. Кодировка любая.</t>
        </r>
      </text>
    </comment>
    <comment ref="AI4" authorId="0">
      <text>
        <r>
          <rPr>
            <sz val="10"/>
            <rFont val="Arial"/>
            <family val="2"/>
          </rPr>
          <t xml:space="preserve">+
Ввод двух чисел с ВУ-9 (-99 до 99), завершение ввода по символу =, реализовать сравнение чисел без использования вычитания. Вывод наибольшего числа на ВУ-7</t>
        </r>
      </text>
    </comment>
    <comment ref="AI6" authorId="0">
      <text>
        <r>
          <rPr>
            <sz val="10"/>
            <rFont val="Arial"/>
            <family val="2"/>
          </rPr>
          <t xml:space="preserve">+
С ВУ-8 (клавиатура) вводится строка, "точка" - завершение ввода. После окончания ввода, на ВУ-5 (принтер) вывести эту же строку азбукой Морзе.
+
Терминал - команда cd + pwd
На ВУ-8 (клавиатура) вводится строка в формате "cd [путь]", где путь - валидный путь с точки зрения UNIX (примеры: /, /dir, d1/d2, ../.). Нажатие Enter - завершение ввода. Программа не должна допускать ввода символов, отличных от алфавитных, прямого слэша и точки. Принимая, что после запуска программы мы находимся в корневом каталоге, а все директории в пути существуют, программа должна сохранять текущее местонахождения пользователя после последовательного выполнения одной или более команд cd. И при вводе команды "pwd" печатать абсолютный путь до текущей директории на ВУ-5 (принтер). По желанию можно выводить на принтер текущий путь после каждой команды cd. При неверной команде или её формате программа должна печатать на ВУ-5 строку "ошибка".</t>
        </r>
      </text>
    </comment>
    <comment ref="AI7" authorId="0">
      <text>
        <r>
          <rPr>
            <sz val="10"/>
            <rFont val="Arial"/>
            <family val="2"/>
          </rPr>
          <t xml:space="preserve">+
Калькулятор. Реализовать вычисление остатка от деления нацело. Ввод пары чисел с ВУ-9 (цифровая клавиатура), разделитель чисел - операция деления. По нажатию "=" вывод результата на ВУ-7 (семисегментный индикатор).</t>
        </r>
      </text>
    </comment>
    <comment ref="AI8" authorId="0">
      <text>
        <r>
          <rPr>
            <sz val="10"/>
            <rFont val="Arial"/>
            <family val="2"/>
          </rPr>
          <t xml:space="preserve">+
Калькулятор. Ввод цифр с ВУ-9 (цифровая клавиатура), вывод результата на ВУ-7 (семисегментный индикатор), реализовать сложение и вычитание знаковых чисел от 1 до 3-х знаков.</t>
        </r>
      </text>
    </comment>
    <comment ref="AI9" authorId="0">
      <text>
        <r>
          <rPr>
            <sz val="10"/>
            <rFont val="Arial"/>
            <family val="2"/>
          </rPr>
          <t xml:space="preserve">С ВУ-9 (цифровая клавиатура) вводится число (от 0 до 99) в 10-й системе счисления. Нажатие на кнопку "=" - окончание ввода числа. Нажатия на другие клавиши игнорировать. После окончания ввода, на ВУ-7 (семисегментный индикатор) нужно вывести это число в 8-ричной системе счисления.</t>
        </r>
      </text>
    </comment>
    <comment ref="AI10" authorId="0">
      <text>
        <r>
          <rPr>
            <sz val="10"/>
            <rFont val="Arial"/>
            <family val="2"/>
          </rPr>
          <t xml:space="preserve">+
На ВУ-6 (бегущая строка) рисуется линия (земля). При нажатии на кнопку готовности ВУ-1, на ВУ-6 выводится дерево, затем продолжается рисование земли. При нажатии на готовность ВУ-2, на ВУ-6 выводится дом, затем продолжается рисование земли.</t>
        </r>
      </text>
    </comment>
    <comment ref="AI11" authorId="0">
      <text>
        <r>
          <rPr>
            <sz val="10"/>
            <rFont val="Arial"/>
            <family val="2"/>
          </rPr>
          <t xml:space="preserve">+
С ВУ-3 вводится 16-разрядное число (в два захода, сначала старшая часть, затем младшая). Интерпретируя это число, как количество секунд, вывести на ВУ-6 (бегущая строка) строку в формате "1:30:12", где три числа это часы, минуты и секунды соответственно.</t>
        </r>
      </text>
    </comment>
    <comment ref="AI12" authorId="0">
      <text>
        <r>
          <rPr>
            <sz val="10"/>
            <rFont val="Arial"/>
            <family val="2"/>
          </rPr>
          <t xml:space="preserve">+
Калькулятор. Реализовать деление нацело. Ввод пары чисел с ВУ-9 (цифровая клавиатура), разделитель чисел - операция деления. По нажатию "=" вывод результата на ВУ-5 (принтер). Кодировка любая.</t>
        </r>
      </text>
    </comment>
    <comment ref="AI13" authorId="0">
      <text>
        <r>
          <rPr>
            <sz val="10"/>
            <rFont val="Arial"/>
            <family val="2"/>
          </rPr>
          <t xml:space="preserve">+
С ВУ-3 вводится 16-разрядное число (в два захода, сначала старшая часть, затем младшая). Интерпретируя это число, как количество секунд, вывести на ВУ-5 (принтер) строку в формате "1ч 30м 12с". Вместо "0ч 15м 0с" выводить "15м". Кодировка любая.
</t>
        </r>
      </text>
    </comment>
    <comment ref="AI14" authorId="0">
      <text>
        <r>
          <rPr>
            <sz val="10"/>
            <rFont val="Arial"/>
            <family val="2"/>
          </rPr>
          <t xml:space="preserve">+
С ВУ-8 (клавиатура) вводится строка, "точка" - завершение ввода. После окончания ввода, на ВУ-5 (принтер) вывести эту же строку, заменяя гласные символы на "-" (тире).
</t>
        </r>
      </text>
    </comment>
    <comment ref="AI15" authorId="0">
      <text>
        <r>
          <rPr>
            <sz val="10"/>
            <rFont val="Arial"/>
            <family val="2"/>
          </rPr>
          <t xml:space="preserve">+
Калькулятор. Сложение беззнаковых чисел. Ввод пары чисел с ВУ-9 (цифровая клавиатура), разделитель чисел - операция сложения. По нажатию "=" вывод результата на ВУ-7 (семисегментный индикатор).
</t>
        </r>
      </text>
    </comment>
    <comment ref="AI17" authorId="0">
      <text>
        <r>
          <rPr>
            <sz val="10"/>
            <rFont val="Arial"/>
            <family val="2"/>
          </rPr>
          <t xml:space="preserve">+
Сравнение беззнаковых чисел. С ВУ-3 вводится два беззнаковых 16-разрядных числа (в два захода, сначала старшая часть, затем младшая). На ВУ-7 (семисегментный индикатор) выводится наибольшее из двух чисел.
</t>
        </r>
      </text>
    </comment>
    <comment ref="AI19" authorId="0">
      <text>
        <r>
          <rPr>
            <sz val="10"/>
            <rFont val="Arial"/>
            <family val="2"/>
          </rPr>
          <t xml:space="preserve">+
С ВУ-9 (цифровая клавиатура) вводится знаковое число в 10-й системе счисления. Нажатие на кнопку "=" - окончание ввода числа. Нажатия на другие клавиши (кроме минуса перед числом) игнорировать. После окончания ввода, если число помещается в 16 двоичных разрядов, на ВУ-5 (принтер) нужно вывести это число в 16-ричной системе счисления в дополнительном коде. Кодировка любая.</t>
        </r>
      </text>
    </comment>
    <comment ref="AI20" authorId="0">
      <text>
        <r>
          <rPr>
            <sz val="10"/>
            <rFont val="Arial"/>
            <family val="2"/>
          </rPr>
          <t xml:space="preserve">+
С ВУ-8 (клавиатура) вводится дата в формате "дд.мм", нажатие enter - завершение ввода, иные символы (кроме цифр и точки) игнорировать. После окончания ввода, на ВУ-5 (принтер) вывести день недели для этой даты в 2025 году. Сделать проверку формата введённых данных, в случае некорректной даты вывести ":(".
</t>
        </r>
      </text>
    </comment>
    <comment ref="AI21" authorId="0">
      <text>
        <r>
          <rPr>
            <sz val="10"/>
            <rFont val="Arial"/>
            <family val="2"/>
          </rPr>
          <t xml:space="preserve">C ВУ-3 вводится знаковое 8-разрядное число. Программа выводит ВУ-7 (семисегментный индикатор) модуль введённого числа.</t>
        </r>
      </text>
    </comment>
    <comment ref="AI22" authorId="0">
      <text>
        <r>
          <rPr>
            <sz val="10"/>
            <rFont val="Arial"/>
            <family val="2"/>
          </rPr>
          <t xml:space="preserve">+
Калькулятор. Умножение знаковых чисел. Ввод пары чисел с ВУ-9 (цифровая клавиатура), разделитель чисел - операция умножения. По нажатию "=" вывод результата на ВУ-7 (семисегментный индикатор). </t>
        </r>
      </text>
    </comment>
    <comment ref="AI23" authorId="0">
      <text>
        <r>
          <rPr>
            <sz val="10"/>
            <rFont val="Arial"/>
            <family val="2"/>
          </rPr>
          <t xml:space="preserve">+
На ВУ-6 (бегущая строка) рисуется линия (земля). При нажатии на кнопку готовности ВУ-1, на ВУ-6 выводится дерево, затем продолжается рисование земли. При нажатии на готовность ВУ-2, на ВУ-6 выводится дом, затем продолжается рисование земли.</t>
        </r>
      </text>
    </comment>
    <comment ref="AT23" authorId="0">
      <text>
        <r>
          <rPr>
            <sz val="10"/>
            <rFont val="Arial"/>
            <family val="2"/>
          </rPr>
          <t xml:space="preserve">посмотреть тесты</t>
        </r>
      </text>
    </comment>
    <comment ref="BG17" authorId="0">
      <text>
        <r>
          <rPr>
            <sz val="10"/>
            <rFont val="Arial"/>
            <family val="2"/>
          </rPr>
          <t xml:space="preserve">Второй вопрос не про формат кадра ассинхронного контроллера ввода-вывода</t>
        </r>
      </text>
    </comment>
    <comment ref="BG22" authorId="0">
      <text>
        <r>
          <rPr>
            <sz val="10"/>
            <rFont val="Arial"/>
            <family val="2"/>
          </rPr>
          <t xml:space="preserve">оба вопроса отсутствуют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R15" authorId="0">
      <text>
        <r>
          <rPr>
            <sz val="10"/>
            <rFont val="Arial"/>
            <family val="2"/>
          </rPr>
          <t xml:space="preserve">синтезировать команду, которая умножает на 2 содержимое ячейки, адрес которой находится в АС. Признаки не устанавливаем, результат сохраняем в ту же ячейку</t>
        </r>
      </text>
    </comment>
    <comment ref="AR18" authorId="0">
      <text>
        <r>
          <rPr>
            <sz val="10"/>
            <rFont val="Arial"/>
            <family val="2"/>
          </rPr>
          <t xml:space="preserve">адрес перехода в АС</t>
        </r>
      </text>
    </comment>
    <comment ref="BB4" authorId="0">
      <text>
        <r>
          <rPr>
            <sz val="10"/>
            <rFont val="Arial"/>
            <family val="2"/>
          </rPr>
          <t xml:space="preserve">на тоненького</t>
        </r>
      </text>
    </comment>
    <comment ref="BG3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  <comment ref="BG9" authorId="0">
      <text>
        <r>
          <rPr>
            <sz val="10"/>
            <rFont val="Arial"/>
            <family val="2"/>
          </rPr>
          <t xml:space="preserve">Учите контроллеры!!!</t>
        </r>
      </text>
    </comment>
    <comment ref="BG17" authorId="0">
      <text>
        <r>
          <rPr>
            <sz val="10"/>
            <rFont val="Arial"/>
            <family val="2"/>
          </rPr>
          <t xml:space="preserve">Ладно =(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G4" authorId="0">
      <text>
        <r>
          <rPr>
            <sz val="10"/>
            <rFont val="Arial"/>
            <family val="2"/>
          </rPr>
          <t xml:space="preserve">первый вопрос не о том!</t>
        </r>
      </text>
    </comment>
    <comment ref="BG6" authorId="0">
      <text>
        <r>
          <rPr>
            <sz val="10"/>
            <rFont val="Arial"/>
            <family val="2"/>
          </rPr>
          <t xml:space="preserve">второй вопрос - нет</t>
        </r>
      </text>
    </comment>
    <comment ref="BG11" authorId="0">
      <text>
        <r>
          <rPr>
            <sz val="10"/>
            <rFont val="Arial"/>
            <family val="2"/>
          </rPr>
          <t xml:space="preserve">1 плохо, второй очень плохо</t>
        </r>
      </text>
    </comment>
    <comment ref="BG14" authorId="0">
      <text>
        <r>
          <rPr>
            <sz val="10"/>
            <rFont val="Arial"/>
            <family val="2"/>
          </rPr>
          <t xml:space="preserve">Ладно</t>
        </r>
      </text>
    </comment>
    <comment ref="BG17" authorId="0">
      <text>
        <r>
          <rPr>
            <sz val="10"/>
            <rFont val="Arial"/>
            <family val="2"/>
          </rPr>
          <t xml:space="preserve">Почти нет первого вопроса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U15" authorId="0">
      <text>
        <r>
          <rPr>
            <sz val="10"/>
            <rFont val="Arial"/>
            <family val="2"/>
          </rPr>
          <t xml:space="preserve">назначение программы, трассировка для первых N чисел
 (пометили в отчете)</t>
        </r>
      </text>
    </comment>
    <comment ref="U29" authorId="0">
      <text>
        <r>
          <rPr>
            <sz val="10"/>
            <rFont val="Arial"/>
            <family val="2"/>
          </rPr>
          <t xml:space="preserve">1) добавить числа (с описанием) перед программой.
2) Объяснить как происходит итерация по массиву.
3) Показать цикл программы</t>
        </r>
      </text>
    </comment>
    <comment ref="U33" authorId="0">
      <text>
        <r>
          <rPr>
            <sz val="10"/>
            <rFont val="Arial"/>
            <family val="2"/>
          </rPr>
          <t xml:space="preserve">ОДЗ доделать (посмотреть вариант)</t>
        </r>
      </text>
    </comment>
    <comment ref="V4" authorId="0">
      <text>
        <r>
          <rPr>
            <sz val="10"/>
            <rFont val="Arial"/>
            <family val="2"/>
          </rPr>
          <t xml:space="preserve">180 2^14 11 16
</t>
        </r>
      </text>
    </comment>
    <comment ref="V5" authorId="0">
      <text>
        <r>
          <rPr>
            <sz val="10"/>
            <rFont val="Arial"/>
            <family val="2"/>
          </rPr>
          <t xml:space="preserve">потактово
</t>
        </r>
      </text>
    </comment>
    <comment ref="V12" authorId="0">
      <text>
        <r>
          <rPr>
            <sz val="10"/>
            <rFont val="Arial"/>
            <family val="2"/>
          </rPr>
          <t xml:space="preserve">поменять количество элементов массива на 5</t>
        </r>
      </text>
    </comment>
    <comment ref="V15" authorId="0">
      <text>
        <r>
          <rPr>
            <sz val="10"/>
            <rFont val="Arial"/>
            <family val="2"/>
          </rPr>
          <t xml:space="preserve">143
0
12
0
1231
</t>
        </r>
      </text>
    </comment>
    <comment ref="V16" authorId="0">
      <text>
        <r>
          <rPr>
            <sz val="10"/>
            <rFont val="Arial"/>
            <family val="2"/>
          </rPr>
          <t xml:space="preserve">размер массива 11
начальный адрес -2B2</t>
        </r>
      </text>
    </comment>
    <comment ref="V17" authorId="0">
      <text>
        <r>
          <rPr>
            <sz val="10"/>
            <rFont val="Arial"/>
            <family val="2"/>
          </rPr>
          <t xml:space="preserve">004B 000C 000D -2^10
</t>
        </r>
      </text>
    </comment>
    <comment ref="V18" authorId="0">
      <text>
        <r>
          <rPr>
            <sz val="10"/>
            <rFont val="Arial"/>
            <family val="2"/>
          </rPr>
          <t xml:space="preserve">адрес : значение
495: 0AF4
499: 1011
49B: 40AF
49E: 01FF
</t>
        </r>
      </text>
    </comment>
    <comment ref="V20" authorId="0">
      <text>
        <r>
          <rPr>
            <sz val="10"/>
            <rFont val="Arial"/>
            <family val="2"/>
          </rPr>
          <t xml:space="preserve">437: 3a47
439: aa12
43b: 07aa
44c: f3a1</t>
        </r>
      </text>
    </comment>
    <comment ref="V21" authorId="0">
      <text>
        <r>
          <rPr>
            <sz val="10"/>
            <rFont val="Arial"/>
            <family val="2"/>
          </rPr>
          <t xml:space="preserve">количество элементов массива поменять на 15
3СС: 5051
3CE: 7FFF
3D7: 6EAB
</t>
        </r>
      </text>
    </comment>
    <comment ref="V22" authorId="0">
      <text>
        <r>
          <rPr>
            <sz val="10"/>
            <rFont val="Arial"/>
            <family val="2"/>
          </rPr>
          <t xml:space="preserve">2C7: 007A
2C8: 000D
2C9:04A1
2CA: 111D</t>
        </r>
      </text>
    </comment>
    <comment ref="V24" authorId="0">
      <text>
        <r>
          <rPr>
            <sz val="10"/>
            <rFont val="Arial"/>
            <family val="2"/>
          </rPr>
          <t xml:space="preserve">количество элементов 6
адрес первого - 3A9</t>
        </r>
      </text>
    </comment>
    <comment ref="W6" authorId="0">
      <text>
        <r>
          <rPr>
            <sz val="10"/>
            <rFont val="Arial"/>
            <family val="2"/>
          </rPr>
          <t xml:space="preserve">режимы адресации
</t>
        </r>
      </text>
    </comment>
    <comment ref="W17" authorId="0">
      <text>
        <r>
          <rPr>
            <sz val="10"/>
            <rFont val="Arial"/>
            <family val="2"/>
          </rPr>
          <t xml:space="preserve">1. Форматы безадресных, адресных команд в бэвм +-
2. режимы адрессации (формат, рассказать, что означает каждый режим адресации)
8. Потактовое выполнение ST (IP+5)
9. все про команду LOOP и его execution -
10. Команды ветвления, КОП, виды, зачем нужны, какой режим адресации
ответил:
11. Все про Carry и Overflow флаги.+
3. зачем нужен какой регистр +
4. какая архитектура у БЭВМ +
5. Где расположены данные, где расположена программа +
6. какой максимальный адрес в БЭВМ +</t>
        </r>
      </text>
    </comment>
    <comment ref="W20" authorId="0">
      <text>
        <r>
          <rPr>
            <sz val="10"/>
            <rFont val="Arial"/>
            <family val="2"/>
          </rPr>
          <t xml:space="preserve">коп безадресной, ветвления, LOOP  цикл полный, С &amp; V
</t>
        </r>
      </text>
    </comment>
    <comment ref="W21" authorId="0">
      <text>
        <r>
          <rPr>
            <sz val="10"/>
            <rFont val="Arial"/>
            <family val="2"/>
          </rPr>
          <t xml:space="preserve">циклы для AAF6, Carry при вычитании, относительная адресация</t>
        </r>
      </text>
    </comment>
    <comment ref="W22" authorId="0">
      <text>
        <r>
          <rPr>
            <sz val="10"/>
            <rFont val="Arial"/>
            <family val="2"/>
          </rPr>
          <t xml:space="preserve">Carry = 1/0, V = 1/0 Рассказать, когда что ставится? 
Виды адресации, рассказать про все подробно
Цикл выборки команды, адреса, операнда, исполнения для команды AE02
Циклический сдвиг &amp; арифметический
</t>
        </r>
      </text>
    </comment>
    <comment ref="W23" authorId="0">
      <text>
        <r>
          <rPr>
            <sz val="10"/>
            <rFont val="Arial"/>
            <family val="2"/>
          </rPr>
          <t xml:space="preserve">адресация разная, виды команд
Диапазон смещений относительно IP при прямой относителньой адресации, 
арифметический &amp; циклический сдвиг
ОДЗ, Область опредеения
LOOP - циклы выборки команды, адреса,операнда, исполнения</t>
        </r>
      </text>
    </comment>
    <comment ref="W24" authorId="0">
      <text>
        <r>
          <rPr>
            <sz val="10"/>
            <rFont val="Arial"/>
            <family val="2"/>
          </rPr>
          <t xml:space="preserve">цикл выборки команды, адреса, операнда для команд с разными адресациями</t>
        </r>
      </text>
    </comment>
    <comment ref="W27" authorId="0">
      <text>
        <r>
          <rPr>
            <sz val="10"/>
            <rFont val="Arial"/>
            <family val="2"/>
          </rPr>
          <t xml:space="preserve">Потактовое выполнения. машинные циклы
</t>
        </r>
      </text>
    </comment>
    <comment ref="AA20" authorId="0">
      <text>
        <r>
          <rPr>
            <sz val="10"/>
            <rFont val="Arial"/>
            <family val="2"/>
          </rPr>
          <t xml:space="preserve">пишу в 10сс
X  25
Y 0
Z 3556
</t>
        </r>
      </text>
    </comment>
    <comment ref="AA24" authorId="0">
      <text>
        <r>
          <rPr>
            <sz val="10"/>
            <rFont val="Arial"/>
            <family val="2"/>
          </rPr>
          <t xml:space="preserve">поправить подпрограмму
</t>
        </r>
      </text>
    </comment>
    <comment ref="AA25" authorId="0">
      <text>
        <r>
          <rPr>
            <sz val="10"/>
            <rFont val="Arial"/>
            <family val="2"/>
          </rPr>
          <t xml:space="preserve">X = 2217
Y = 0
Z = -2004</t>
        </r>
      </text>
    </comment>
    <comment ref="AA31" authorId="0">
      <text>
        <r>
          <rPr>
            <sz val="10"/>
            <rFont val="Arial"/>
            <family val="2"/>
          </rPr>
          <t xml:space="preserve">Назначение программы, назначение подпрограммы, назначение комплекса программ
не сходится то, что написано в отчете с результатом
</t>
        </r>
      </text>
    </comment>
    <comment ref="AB16" authorId="0">
      <text>
        <r>
          <rPr>
            <sz val="10"/>
            <rFont val="Arial"/>
            <family val="2"/>
          </rPr>
          <t xml:space="preserve">данные выдала</t>
        </r>
      </text>
    </comment>
    <comment ref="AB22" authorId="0">
      <text>
        <r>
          <rPr>
            <sz val="10"/>
            <rFont val="Arial"/>
            <family val="2"/>
          </rPr>
          <t xml:space="preserve">X = 3600
Y =  - 2650
Z = 456</t>
        </r>
      </text>
    </comment>
    <comment ref="AB23" authorId="0">
      <text>
        <r>
          <rPr>
            <sz val="10"/>
            <rFont val="Arial"/>
            <family val="2"/>
          </rPr>
          <t xml:space="preserve">-200 0 -1600</t>
        </r>
      </text>
    </comment>
    <comment ref="AB24" authorId="0">
      <text>
        <r>
          <rPr>
            <sz val="10"/>
            <rFont val="Arial"/>
            <family val="2"/>
          </rPr>
          <t xml:space="preserve">команды для работы со стеком
</t>
        </r>
      </text>
    </comment>
    <comment ref="AB32" authorId="0">
      <text>
        <r>
          <rPr>
            <sz val="10"/>
            <rFont val="Arial"/>
            <family val="2"/>
          </rPr>
          <t xml:space="preserve">-11 20 550
 </t>
        </r>
      </text>
    </comment>
    <comment ref="AC20" authorId="0">
      <text>
        <r>
          <rPr>
            <sz val="10"/>
            <rFont val="Arial"/>
            <family val="2"/>
          </rPr>
          <t xml:space="preserve">ST(SP+1) - вид адресации, что делает +
RET, циклы исполнения +
CALL -
рекурсивность, способы передать аргументы в подрограмму
нарисовать все состояния стека при выполнении программы и рассказать +</t>
        </r>
      </text>
    </comment>
    <comment ref="AG14" authorId="0">
      <text>
        <r>
          <rPr>
            <sz val="10"/>
            <rFont val="Arial"/>
            <family val="2"/>
          </rPr>
          <t xml:space="preserve">Собака и кот
</t>
        </r>
      </text>
    </comment>
    <comment ref="AG20" authorId="0">
      <text>
        <r>
          <rPr>
            <sz val="10"/>
            <rFont val="Arial"/>
            <family val="2"/>
          </rPr>
          <t xml:space="preserve">гойда Братья!
ввод с ву-9 вывод на ву-7
</t>
        </r>
      </text>
    </comment>
    <comment ref="AG21" authorId="0">
      <text>
        <r>
          <rPr>
            <sz val="10"/>
            <rFont val="Arial"/>
            <family val="2"/>
          </rPr>
          <t xml:space="preserve">ПрИвЕт
Бегущая строка - уточка ВТ
</t>
        </r>
      </text>
    </comment>
    <comment ref="AG23" authorId="0">
      <text>
        <r>
          <rPr>
            <sz val="10"/>
            <rFont val="Arial"/>
            <family val="2"/>
          </rPr>
          <t xml:space="preserve">Я люблю ИТМО
доп Ввод с ВУ</t>
        </r>
      </text>
    </comment>
    <comment ref="AG24" authorId="0">
      <text>
        <r>
          <rPr>
            <sz val="10"/>
            <rFont val="Arial"/>
            <family val="2"/>
          </rPr>
          <t xml:space="preserve">вВедите теКст
ввод с принтера числа от 1 до 8 и вывод на бегущую строку</t>
        </r>
      </text>
    </comment>
    <comment ref="AH14" authorId="0">
      <text>
        <r>
          <rPr>
            <sz val="10"/>
            <rFont val="Arial"/>
            <family val="2"/>
          </rPr>
          <t xml:space="preserve">ввод с ВУ-9. вводится 2 знаковых числа. Вывести минимальное на ВУ-5</t>
        </r>
      </text>
    </comment>
    <comment ref="AH33" authorId="0">
      <text>
        <r>
          <rPr>
            <sz val="10"/>
            <rFont val="Arial"/>
            <family val="2"/>
          </rPr>
          <t xml:space="preserve">косинус на ву 6
</t>
        </r>
      </text>
    </comment>
    <comment ref="AH34" authorId="0">
      <text>
        <r>
          <rPr>
            <sz val="10"/>
            <rFont val="Arial"/>
            <family val="2"/>
          </rPr>
          <t xml:space="preserve">ВУ-8
</t>
        </r>
      </text>
    </comment>
    <comment ref="AI13" authorId="0">
      <text>
        <r>
          <rPr>
            <sz val="10"/>
            <rFont val="Arial"/>
            <family val="2"/>
          </rPr>
          <t xml:space="preserve">ждем доп 
</t>
        </r>
      </text>
    </comment>
    <comment ref="AJ15" authorId="0">
      <text>
        <r>
          <rPr>
            <sz val="10"/>
            <rFont val="Arial"/>
            <family val="2"/>
          </rPr>
          <t xml:space="preserve">трассировка
</t>
        </r>
      </text>
    </comment>
    <comment ref="AJ17" authorId="0">
      <text>
        <r>
          <rPr>
            <sz val="10"/>
            <rFont val="Arial"/>
            <family val="2"/>
          </rPr>
          <t xml:space="preserve">трассировка</t>
        </r>
      </text>
    </comment>
    <comment ref="BG13" authorId="0">
      <text>
        <r>
          <rPr>
            <sz val="10"/>
            <rFont val="Arial"/>
            <family val="2"/>
          </rPr>
          <t xml:space="preserve">Контроллер не тот, но "ладно"</t>
        </r>
      </text>
    </comment>
    <comment ref="BG15" authorId="0">
      <text>
        <r>
          <rPr>
            <sz val="10"/>
            <rFont val="Arial"/>
            <family val="2"/>
          </rPr>
          <t xml:space="preserve">Нене, надо хорошо подготовится</t>
        </r>
      </text>
    </comment>
    <comment ref="BG17" authorId="0">
      <text>
        <r>
          <rPr>
            <sz val="10"/>
            <rFont val="Arial"/>
            <family val="2"/>
          </rPr>
          <t xml:space="preserve">"ладно" (С)</t>
        </r>
      </text>
    </comment>
    <comment ref="BG31" authorId="0">
      <text>
        <r>
          <rPr>
            <sz val="10"/>
            <rFont val="Arial"/>
            <family val="2"/>
          </rPr>
          <t xml:space="preserve">Второго вопроса почти нет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J14" authorId="0">
      <text>
        <r>
          <rPr>
            <sz val="10"/>
            <rFont val="Arial"/>
            <family val="2"/>
          </rPr>
          <t xml:space="preserve">получил вопросы
</t>
        </r>
      </text>
    </comment>
    <comment ref="J17" authorId="0">
      <text>
        <r>
          <rPr>
            <sz val="10"/>
            <rFont val="Arial"/>
            <family val="2"/>
          </rPr>
          <t xml:space="preserve">Исправить график и пересчитать ОДЗ</t>
        </r>
      </text>
    </comment>
    <comment ref="W25" authorId="0">
      <text>
        <r>
          <rPr>
            <sz val="10"/>
            <rFont val="Arial"/>
            <family val="2"/>
          </rPr>
          <t xml:space="preserve">how many times we cooperate with main memory during command ABF6</t>
        </r>
      </text>
    </comment>
    <comment ref="Z31" authorId="0">
      <text>
        <r>
          <rPr>
            <sz val="10"/>
            <rFont val="Arial"/>
            <family val="2"/>
          </rPr>
          <t xml:space="preserve">caller vs callee saved registers
</t>
        </r>
      </text>
    </comment>
    <comment ref="AB28" authorId="0">
      <text>
        <r>
          <rPr>
            <sz val="10"/>
            <rFont val="Arial"/>
            <family val="2"/>
          </rPr>
          <t xml:space="preserve">неправильная формула
</t>
        </r>
      </text>
    </comment>
    <comment ref="AC10" authorId="0">
      <text>
        <r>
          <rPr>
            <sz val="10"/>
            <rFont val="Arial"/>
            <family val="2"/>
          </rPr>
          <t xml:space="preserve">подсчет факториала с оптимизацией хвостовой рекурсии</t>
        </r>
      </text>
    </comment>
    <comment ref="AC22" authorId="0">
      <text>
        <r>
          <rPr>
            <sz val="10"/>
            <rFont val="Arial"/>
            <family val="2"/>
          </rPr>
          <t xml:space="preserve">Difference between static and dynamic libraries</t>
        </r>
      </text>
    </comment>
    <comment ref="AC23" authorId="0">
      <text>
        <r>
          <rPr>
            <sz val="10"/>
            <rFont val="Arial"/>
            <family val="2"/>
          </rPr>
          <t xml:space="preserve">factorial counting with tail-recursion optimization</t>
        </r>
      </text>
    </comment>
    <comment ref="AC25" authorId="0">
      <text>
        <r>
          <rPr>
            <sz val="10"/>
            <rFont val="Arial"/>
            <family val="2"/>
          </rPr>
          <t xml:space="preserve">fib numbers</t>
        </r>
      </text>
    </comment>
    <comment ref="AC29" authorId="0">
      <text>
        <r>
          <rPr>
            <sz val="10"/>
            <rFont val="Arial"/>
            <family val="2"/>
          </rPr>
          <t xml:space="preserve">график</t>
        </r>
      </text>
    </comment>
    <comment ref="AC32" authorId="0">
      <text>
        <r>
          <rPr>
            <sz val="10"/>
            <rFont val="Arial"/>
            <family val="2"/>
          </rPr>
          <t xml:space="preserve">функция, которая принимает массив и выполняет предикат для всех его элементов</t>
        </r>
      </text>
    </comment>
    <comment ref="AD31" authorId="0">
      <text>
        <r>
          <rPr>
            <sz val="10"/>
            <rFont val="Arial"/>
            <family val="2"/>
          </rPr>
          <t xml:space="preserve">Дима придумает доп
</t>
        </r>
      </text>
    </comment>
    <comment ref="AI10" authorId="0">
      <text>
        <r>
          <rPr>
            <sz val="10"/>
            <rFont val="Arial"/>
            <family val="2"/>
          </rPr>
          <t xml:space="preserve">написать примитивный отладчик для БЭВМ. Будет определена подпрограмма, которую мы хотим отлаживать. В ВУ2 вводится число, номер строки, на которую мы хотим поставить точку останова. Затем, подпрограмма запускается, и после достижения заданного номера строки, заканчивает свое исполнение, а содержимое аккумулятора выводится на ВУ1. И затем программа снова переходит в ожидание ввода нового адреса останова.</t>
        </r>
      </text>
    </comment>
    <comment ref="AI22" authorId="0">
      <text>
        <r>
          <rPr>
            <sz val="10"/>
            <rFont val="Arial"/>
            <family val="2"/>
          </rPr>
          <t xml:space="preserve">Калькулятор </t>
        </r>
      </text>
    </comment>
    <comment ref="AI23" authorId="0">
      <text>
        <r>
          <rPr>
            <sz val="10"/>
            <rFont val="Arial"/>
            <family val="2"/>
          </rPr>
          <t xml:space="preserve">Написать программу, которая будет считать количество символов в строке в кодировке utf-8.</t>
        </r>
      </text>
    </comment>
    <comment ref="AI24" authorId="0">
      <text>
        <r>
          <rPr>
            <sz val="10"/>
            <rFont val="Arial"/>
            <family val="2"/>
          </rPr>
          <t xml:space="preserve">Чтение из ВУ-2 win-1251, перевод в КОИ-8, запись на ВУ-1
</t>
        </r>
      </text>
    </comment>
    <comment ref="AI27" authorId="0">
      <text>
        <r>
          <rPr>
            <sz val="10"/>
            <rFont val="Arial"/>
            <family val="2"/>
          </rPr>
          <t xml:space="preserve">С помощью ВУ7 и ВУ0 реализовать просто таймер.
На ВУ2 вводится количество секунд (1-9), и по готовности ВУ2 запускается таймер, и на ВУ7 можно видеть сколько секунд осталось до остановки.</t>
        </r>
      </text>
    </comment>
    <comment ref="AI28" authorId="0">
      <text>
        <r>
          <rPr>
            <sz val="10"/>
            <rFont val="Arial"/>
            <family val="2"/>
          </rPr>
          <t xml:space="preserve">Блокирующий/неблокирующий ввод/вывод
устройство и работа ВУ-3
memory-mapped I/O</t>
        </r>
      </text>
    </comment>
    <comment ref="AI33" authorId="0">
      <text>
        <r>
          <rPr>
            <sz val="10"/>
            <rFont val="Arial"/>
            <family val="2"/>
          </rPr>
          <t xml:space="preserve">сделать секундомер. на ВУ-3 вводится 0х0А и запускается счетчик, который обрабатывает таймер (ВУ-0). После того, как на ВУ-3 вводится 0х0В счетчик останавливается и сохраняется в какую-то ячейку памяти</t>
        </r>
      </text>
    </comment>
    <comment ref="AO10" authorId="0">
      <text>
        <r>
          <rPr>
            <sz val="10"/>
            <rFont val="Arial"/>
            <family val="2"/>
          </rPr>
          <t xml:space="preserve">вытесняющая многозадачность по таймеру.
Определить несколько независимых подпрограмм, определить контекст исполнения, и по прерыванию от таймера переключаться на следующую подпрограмму. Очередь циклична. Если подпрограмма завершилась, то как-то маркировать ее в очереди и пропускать.</t>
        </r>
      </text>
    </comment>
    <comment ref="AO24" authorId="0">
      <text>
        <r>
          <rPr>
            <sz val="10"/>
            <rFont val="Arial"/>
            <family val="2"/>
          </rPr>
          <t xml:space="preserve">придумать доп</t>
        </r>
      </text>
    </comment>
    <comment ref="AO27" authorId="0">
      <text>
        <r>
          <rPr>
            <sz val="10"/>
            <rFont val="Arial"/>
            <family val="2"/>
          </rPr>
          <t xml:space="preserve">добавить алгоритм проверки 
</t>
        </r>
      </text>
    </comment>
    <comment ref="AO28" authorId="0">
      <text>
        <r>
          <rPr>
            <sz val="10"/>
            <rFont val="Arial"/>
            <family val="2"/>
          </rPr>
          <t xml:space="preserve">Сделать часы в формате HH-MM-SS. выводить на семисегментный регистр, секунды инкрементируются, когда срабатывает таймер (ВУ-0)</t>
        </r>
      </text>
    </comment>
    <comment ref="AO30" authorId="0">
      <text>
        <r>
          <rPr>
            <sz val="10"/>
            <rFont val="Arial"/>
            <family val="2"/>
          </rPr>
          <t xml:space="preserve">не забыть про уточек
</t>
        </r>
      </text>
    </comment>
    <comment ref="AO31" authorId="0">
      <text>
        <r>
          <rPr>
            <sz val="10"/>
            <rFont val="Arial"/>
            <family val="2"/>
          </rPr>
          <t xml:space="preserve">часы на ВУ-7 по таймеру</t>
        </r>
      </text>
    </comment>
    <comment ref="AO32" authorId="0">
      <text>
        <r>
          <rPr>
            <sz val="10"/>
            <rFont val="Arial"/>
            <family val="2"/>
          </rPr>
          <t xml:space="preserve">реализовать простой секундомер на БЭВМ.
По прерыванию от таймера раз в секунду инкрементировать 7-ми сегментный индикатор, по прерыванию от ВУ2 текущее значение сохраняется в массив памяти, при этом секундомер продолжает работать. По прерыванию от ВУ1, секундомер сбрасывается.</t>
        </r>
      </text>
    </comment>
    <comment ref="AT31" authorId="0">
      <text>
        <r>
          <rPr>
            <sz val="10"/>
            <rFont val="Arial"/>
            <family val="2"/>
          </rPr>
          <t xml:space="preserve">тесты</t>
        </r>
      </text>
    </comment>
    <comment ref="BG4" authorId="0">
      <text>
        <r>
          <rPr>
            <sz val="10"/>
            <rFont val="Arial"/>
            <family val="2"/>
          </rPr>
          <t xml:space="preserve">нет второго вопроса =(</t>
        </r>
      </text>
    </comment>
    <comment ref="BG12" authorId="0">
      <text>
        <r>
          <rPr>
            <sz val="10"/>
            <rFont val="Arial"/>
            <family val="2"/>
          </rPr>
          <t xml:space="preserve">Не написали - это больно
Вам больше нечего сказать
Я знаю точно - что контроллер
Вам будет нужно описать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T21" authorId="0">
      <text>
        <r>
          <rPr>
            <sz val="10"/>
            <rFont val="Arial"/>
            <family val="2"/>
          </rPr>
          <t xml:space="preserve">- сравнение чисел без потери акка — как?</t>
        </r>
      </text>
    </comment>
    <comment ref="U11" authorId="0">
      <text>
        <r>
          <rPr>
            <sz val="10"/>
            <rFont val="Arial"/>
            <family val="2"/>
          </rPr>
          <t xml:space="preserve">ОДЗ
20 элементов, sum % 6</t>
        </r>
      </text>
    </comment>
    <comment ref="X3" authorId="0">
      <text>
        <r>
          <rPr>
            <sz val="10"/>
            <rFont val="Arial"/>
            <family val="2"/>
          </rPr>
          <t xml:space="preserve">15 элементов
%5</t>
        </r>
      </text>
    </comment>
    <comment ref="X4" authorId="0">
      <text>
        <r>
          <rPr>
            <sz val="10"/>
            <rFont val="Arial"/>
            <family val="2"/>
          </rPr>
          <t xml:space="preserve">количество элементов % 3</t>
        </r>
      </text>
    </comment>
    <comment ref="X5" authorId="0">
      <text>
        <r>
          <rPr>
            <sz val="10"/>
            <rFont val="Arial"/>
            <family val="2"/>
          </rPr>
          <t xml:space="preserve">&gt;
&lt;=
LOOP
Циклы</t>
        </r>
      </text>
    </comment>
    <comment ref="X9" authorId="0">
      <text>
        <r>
          <rPr>
            <sz val="10"/>
            <rFont val="Arial"/>
            <family val="2"/>
          </rPr>
          <t xml:space="preserve">addressing modes
impl of &lt;= and &gt;
loop execution cycle</t>
        </r>
      </text>
    </comment>
    <comment ref="X10" authorId="0">
      <text>
        <r>
          <rPr>
            <sz val="10"/>
            <rFont val="Arial"/>
            <family val="2"/>
          </rPr>
          <t xml:space="preserve">%7
</t>
        </r>
      </text>
    </comment>
    <comment ref="X11" authorId="0">
      <text>
        <r>
          <rPr>
            <sz val="10"/>
            <rFont val="Arial"/>
            <family val="2"/>
          </rPr>
          <t xml:space="preserve">19 битные числа</t>
        </r>
      </text>
    </comment>
    <comment ref="X12" authorId="0">
      <text>
        <r>
          <rPr>
            <sz val="10"/>
            <rFont val="Arial"/>
            <family val="2"/>
          </rPr>
          <t xml:space="preserve">количество чисел % 3</t>
        </r>
      </text>
    </comment>
    <comment ref="X17" authorId="0">
      <text>
        <r>
          <rPr>
            <sz val="10"/>
            <rFont val="Arial"/>
            <family val="2"/>
          </rPr>
          <t xml:space="preserve">switch</t>
        </r>
      </text>
    </comment>
    <comment ref="X18" authorId="0">
      <text>
        <r>
          <rPr>
            <sz val="10"/>
            <rFont val="Arial"/>
            <family val="2"/>
          </rPr>
          <t xml:space="preserve">Adding 20 bits (bitmask)</t>
        </r>
      </text>
    </comment>
    <comment ref="X20" authorId="0">
      <text>
        <r>
          <rPr>
            <sz val="10"/>
            <rFont val="Arial"/>
            <family val="2"/>
          </rPr>
          <t xml:space="preserve">заменить LOOP</t>
        </r>
      </text>
    </comment>
    <comment ref="X23" authorId="0">
      <text>
        <r>
          <rPr>
            <sz val="10"/>
            <rFont val="Arial"/>
            <family val="2"/>
          </rPr>
          <t xml:space="preserve">1) x &lt;= y одной командой — как? (+)
2) ADC (+)</t>
        </r>
      </text>
    </comment>
    <comment ref="Z20" authorId="0">
      <text>
        <r>
          <rPr>
            <sz val="10"/>
            <rFont val="Arial"/>
            <family val="2"/>
          </rPr>
          <t xml:space="preserve">X = 18
Y = 20
Z = 19</t>
        </r>
      </text>
    </comment>
    <comment ref="Z21" authorId="0">
      <text>
        <r>
          <rPr>
            <sz val="10"/>
            <rFont val="Arial"/>
            <family val="2"/>
          </rPr>
          <t xml:space="preserve">X = 0xFFDD
Y = 0xFFE1
Z = 0xFFE8</t>
        </r>
      </text>
    </comment>
    <comment ref="Z23" authorId="0">
      <text>
        <r>
          <rPr>
            <sz val="10"/>
            <rFont val="Arial"/>
            <family val="2"/>
          </rPr>
          <t xml:space="preserve">X = -10
Y = -3292
Z = 0
- рекурсия — как и сколько?
- </t>
        </r>
      </text>
    </comment>
    <comment ref="Z24" authorId="0">
      <text>
        <r>
          <rPr>
            <sz val="10"/>
            <rFont val="Arial"/>
            <family val="2"/>
          </rPr>
          <t xml:space="preserve">X = 42
Y = -4
Z = 10
- заменить RET — как?</t>
        </r>
      </text>
    </comment>
    <comment ref="Z25" authorId="0">
      <text>
        <r>
          <rPr>
            <sz val="10"/>
            <rFont val="Arial"/>
            <family val="2"/>
          </rPr>
          <t xml:space="preserve">X = 2730
Y = 32767
Z = -32768
- переносимость, зачем?
</t>
        </r>
      </text>
    </comment>
    <comment ref="Z26" authorId="0">
      <text>
        <r>
          <rPr>
            <sz val="10"/>
            <rFont val="Arial"/>
            <family val="2"/>
          </rPr>
          <t xml:space="preserve">X = 42 
Y = 10
Z = 84</t>
        </r>
      </text>
    </comment>
    <comment ref="Z27" authorId="0">
      <text>
        <r>
          <rPr>
            <sz val="10"/>
            <rFont val="Arial"/>
            <family val="2"/>
          </rPr>
          <t xml:space="preserve">X = 1
Y = 2
Z = 3</t>
        </r>
      </text>
    </comment>
    <comment ref="Z29" authorId="0">
      <text>
        <r>
          <rPr>
            <sz val="10"/>
            <rFont val="Arial"/>
            <family val="2"/>
          </rPr>
          <t xml:space="preserve">X = 1
Y = 1
Z = 1</t>
        </r>
      </text>
    </comment>
    <comment ref="Z30" authorId="0">
      <text>
        <r>
          <rPr>
            <sz val="10"/>
            <rFont val="Arial"/>
            <family val="2"/>
          </rPr>
          <t xml:space="preserve">X = 0x057A
Y = 0xB602
Z = 0xA440
Умножение на 0-F через сдвиги</t>
        </r>
      </text>
    </comment>
    <comment ref="Z32" authorId="0">
      <text>
        <r>
          <rPr>
            <sz val="10"/>
            <rFont val="Arial"/>
            <family val="2"/>
          </rPr>
          <t xml:space="preserve">X = 15
Y = -20
Z = -42
Раскрутить хвостовую рекурсию</t>
        </r>
      </text>
    </comment>
    <comment ref="AD3" authorId="0">
      <text>
        <r>
          <rPr>
            <sz val="10"/>
            <rFont val="Arial"/>
            <family val="2"/>
          </rPr>
          <t xml:space="preserve">x=y=z=0
R = -3*1338 - 2
подпрограмма для сложения 24-битных чисел</t>
        </r>
      </text>
    </comment>
    <comment ref="AD5" authorId="0">
      <text>
        <r>
          <rPr>
            <sz val="10"/>
            <rFont val="Arial"/>
            <family val="2"/>
          </rPr>
          <t xml:space="preserve">m206=0
m204=-1
m205=2
Подпрограмма для сложения 40 битных чисел
</t>
        </r>
      </text>
    </comment>
    <comment ref="AD6" authorId="0">
      <text>
        <r>
          <rPr>
            <sz val="10"/>
            <rFont val="Arial"/>
            <family val="2"/>
          </rPr>
          <t xml:space="preserve">Сложить умноженное на 3 значение каждого столбика двумерного массива</t>
        </r>
      </text>
    </comment>
    <comment ref="AD7" authorId="0">
      <text>
        <r>
          <rPr>
            <sz val="10"/>
            <rFont val="Arial"/>
            <family val="2"/>
          </rPr>
          <t xml:space="preserve">Y=1
X=-1
Z=-2
-3-W
Массив из 20 битных чисел, сумма (-0,5)
</t>
        </r>
      </text>
    </comment>
    <comment ref="AD10" authorId="0">
      <text>
        <r>
          <rPr>
            <sz val="10"/>
            <rFont val="Arial"/>
            <family val="2"/>
          </rPr>
          <t xml:space="preserve">X=0
Z=-1
Y=0
R=69
Сложение 28 битных чисел (расширение знака с помощью маски)</t>
        </r>
      </text>
    </comment>
    <comment ref="AD11" authorId="0">
      <text>
        <r>
          <rPr>
            <sz val="10"/>
            <rFont val="Arial"/>
            <family val="2"/>
          </rPr>
          <t xml:space="preserve">A=1853
B=163
X = -1
Z = -1
Y =  0
162
подпрограмма для сложения каждого второго столбика двумерного массива</t>
        </r>
      </text>
    </comment>
    <comment ref="AD12" authorId="0">
      <text>
        <r>
          <rPr>
            <sz val="10"/>
            <rFont val="Arial"/>
            <family val="2"/>
          </rPr>
          <t xml:space="preserve">Z=0
X=1
Y=0
-193
Сложение 30 битных чисел (подпрограмма)</t>
        </r>
      </text>
    </comment>
    <comment ref="AD15" authorId="0">
      <text>
        <r>
          <rPr>
            <sz val="10"/>
            <rFont val="Arial"/>
            <family val="2"/>
          </rPr>
          <t xml:space="preserve">подпрограмма для сложение 25 битных чисел</t>
        </r>
      </text>
    </comment>
    <comment ref="AD17" authorId="0">
      <text>
        <r>
          <rPr>
            <sz val="10"/>
            <rFont val="Arial"/>
            <family val="2"/>
          </rPr>
          <t xml:space="preserve">Сумма одномерного массива с 20-битными числами</t>
        </r>
      </text>
    </comment>
    <comment ref="AD18" authorId="0">
      <text>
        <r>
          <rPr>
            <sz val="10"/>
            <rFont val="Arial"/>
            <family val="2"/>
          </rPr>
          <t xml:space="preserve">X=-2
Z=Y=0
subprogram of summing two 20 bits numbers</t>
        </r>
      </text>
    </comment>
    <comment ref="AD22" authorId="0">
      <text>
        <r>
          <rPr>
            <sz val="10"/>
            <rFont val="Arial"/>
            <family val="2"/>
          </rPr>
          <t xml:space="preserve">поменять неизменяемый бит в PS</t>
        </r>
      </text>
    </comment>
    <comment ref="AD23" authorId="0">
      <text>
        <r>
          <rPr>
            <sz val="10"/>
            <rFont val="Arial"/>
            <family val="2"/>
          </rPr>
          <t xml:space="preserve">сложение 32-битных</t>
        </r>
      </text>
    </comment>
    <comment ref="AJ3" authorId="0">
      <text>
        <r>
          <rPr>
            <sz val="10"/>
            <rFont val="Arial"/>
            <family val="2"/>
          </rPr>
          <t xml:space="preserve">ВУ8-&gt;ВУ5</t>
        </r>
      </text>
    </comment>
    <comment ref="AJ5" authorId="0">
      <text>
        <r>
          <rPr>
            <sz val="10"/>
            <rFont val="Arial"/>
            <family val="2"/>
          </rPr>
          <t xml:space="preserve">ВУ-5</t>
        </r>
      </text>
    </comment>
    <comment ref="AJ7" authorId="0">
      <text>
        <r>
          <rPr>
            <sz val="10"/>
            <rFont val="Arial"/>
            <family val="2"/>
          </rPr>
          <t xml:space="preserve">ВУ-8
дешифратор</t>
        </r>
      </text>
    </comment>
    <comment ref="AJ10" authorId="0">
      <text>
        <r>
          <rPr>
            <sz val="10"/>
            <rFont val="Arial"/>
            <family val="2"/>
          </rPr>
          <t xml:space="preserve">ВУ-8 -&gt; ВУ-5</t>
        </r>
      </text>
    </comment>
    <comment ref="AJ11" authorId="0">
      <text>
        <r>
          <rPr>
            <sz val="10"/>
            <rFont val="Arial"/>
            <family val="2"/>
          </rPr>
          <t xml:space="preserve">ВУ-8-&gt;ВУ-5</t>
        </r>
      </text>
    </comment>
    <comment ref="AJ15" authorId="0">
      <text>
        <r>
          <rPr>
            <sz val="10"/>
            <rFont val="Arial"/>
            <family val="2"/>
          </rPr>
          <t xml:space="preserve">вывод на ВУ-5</t>
        </r>
      </text>
    </comment>
    <comment ref="AJ17" authorId="0">
      <text>
        <r>
          <rPr>
            <sz val="10"/>
            <rFont val="Arial"/>
            <family val="2"/>
          </rPr>
          <t xml:space="preserve">Ввод слова</t>
        </r>
      </text>
    </comment>
    <comment ref="AJ18" authorId="0">
      <text>
        <r>
          <rPr>
            <sz val="10"/>
            <rFont val="Arial"/>
            <family val="2"/>
          </rPr>
          <t xml:space="preserve">input from device 8
the decoder
the struct of IO controller #3</t>
        </r>
      </text>
    </comment>
    <comment ref="AL24" authorId="0">
      <text>
        <r>
          <rPr>
            <sz val="10"/>
            <rFont val="Arial"/>
            <family val="2"/>
          </rPr>
          <t xml:space="preserve">- прога для обработки прерываний сначала от ВУ-3, потом от ВУ-2
- IRET. Зачем, если есть RET?</t>
        </r>
      </text>
    </comment>
    <comment ref="AL30" authorId="0">
      <text>
        <r>
          <rPr>
            <sz val="10"/>
            <rFont val="Arial"/>
            <family val="2"/>
          </rPr>
          <t xml:space="preserve">1) Что за второе слово в векторе прерывания?
2) Сделать IRET без IRET</t>
        </r>
      </text>
    </comment>
    <comment ref="AP6" authorId="0">
      <text>
        <r>
          <rPr>
            <sz val="10"/>
            <rFont val="Arial"/>
            <family val="2"/>
          </rPr>
          <t xml:space="preserve">калькулятор (+ -)</t>
        </r>
      </text>
    </comment>
    <comment ref="AP15" authorId="0">
      <text>
        <r>
          <rPr>
            <sz val="10"/>
            <rFont val="Arial"/>
            <family val="2"/>
          </rPr>
          <t xml:space="preserve">Вывод на 7-сегмент
Цикл прерывания</t>
        </r>
      </text>
    </comment>
    <comment ref="BB3" authorId="0">
      <text>
        <r>
          <rPr>
            <sz val="10"/>
            <rFont val="Arial"/>
            <family val="2"/>
          </rPr>
          <t xml:space="preserve">Концептуально идея была верная, но прежде всего не реализовано никакого цикла, который бы прошёлся по всем элементам массива. Плюс не совсем понята идея smask</t>
        </r>
      </text>
    </comment>
    <comment ref="BB4" authorId="0">
      <text>
        <r>
          <rPr>
            <sz val="10"/>
            <rFont val="Arial"/>
            <family val="2"/>
          </rPr>
          <t xml:space="preserve">:(</t>
        </r>
      </text>
    </comment>
    <comment ref="BB5" authorId="0">
      <text>
        <r>
          <rPr>
            <sz val="10"/>
            <rFont val="Arial"/>
            <family val="2"/>
          </rPr>
          <t xml:space="preserve">Ох, оптимизатор по вам плачет... (можно было использовать команды перехода и/или LOOP)
Также не увидел расширения знака </t>
        </r>
      </text>
    </comment>
    <comment ref="BB6" authorId="0">
      <text>
        <r>
          <rPr>
            <sz val="10"/>
            <rFont val="Arial"/>
            <family val="2"/>
          </rPr>
          <t xml:space="preserve">изначально этот LOOP выносился ради великого смысла, но теперь это просто памятник истории (с)</t>
        </r>
      </text>
    </comment>
    <comment ref="BB7" authorId="0">
      <text>
        <r>
          <rPr>
            <sz val="10"/>
            <rFont val="Arial"/>
            <family val="2"/>
          </rPr>
          <t xml:space="preserve">Программа хорошо написана, однако она не учитывает, что мы сначала работаем с 12-битными числами, а затем с 32-битными</t>
        </r>
      </text>
    </comment>
    <comment ref="BB10" authorId="0">
      <text>
        <r>
          <rPr>
            <sz val="10"/>
            <rFont val="Arial"/>
            <family val="2"/>
          </rPr>
          <t xml:space="preserve">:(</t>
        </r>
      </text>
    </comment>
    <comment ref="BB11" authorId="0">
      <text>
        <r>
          <rPr>
            <sz val="10"/>
            <rFont val="Arial"/>
            <family val="2"/>
          </rPr>
          <t xml:space="preserve">Что-то я не совсем понял идею реализации расширения знака</t>
        </r>
      </text>
    </comment>
    <comment ref="BB12" authorId="0">
      <text>
        <r>
          <rPr>
            <sz val="10"/>
            <rFont val="Arial"/>
            <family val="2"/>
          </rPr>
          <t xml:space="preserve">:(</t>
        </r>
      </text>
    </comment>
    <comment ref="BG7" authorId="0">
      <text>
        <r>
          <rPr>
            <sz val="10"/>
            <rFont val="Arial"/>
            <family val="2"/>
          </rPr>
          <t xml:space="preserve">Готовьтесь лучше</t>
        </r>
      </text>
    </comment>
    <comment ref="BG11" authorId="0">
      <text>
        <r>
          <rPr>
            <sz val="10"/>
            <rFont val="Arial"/>
            <family val="2"/>
          </rPr>
          <t xml:space="preserve">Все понимаю, но принципы надо соблюдать. Попробуйте еще раз осенью.</t>
        </r>
      </text>
    </comment>
    <comment ref="BG12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  <comment ref="BG23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J3" authorId="0">
      <text>
        <r>
          <rPr>
            <sz val="10"/>
            <rFont val="Arial"/>
            <family val="2"/>
          </rPr>
          <t xml:space="preserve">не готов</t>
        </r>
      </text>
    </comment>
    <comment ref="K3" authorId="0">
      <text>
        <r>
          <rPr>
            <sz val="10"/>
            <rFont val="Arial"/>
            <family val="2"/>
          </rPr>
          <t xml:space="preserve">не готов</t>
        </r>
      </text>
    </comment>
    <comment ref="U3" authorId="0">
      <text>
        <r>
          <rPr>
            <sz val="10"/>
            <rFont val="Arial"/>
            <family val="2"/>
          </rPr>
          <t xml:space="preserve">Adr = 010
N = 4
Arr = [33, 8, -12, 2]
R = 2</t>
        </r>
      </text>
    </comment>
    <comment ref="U4" authorId="0">
      <text>
        <r>
          <rPr>
            <sz val="10"/>
            <rFont val="Arial"/>
            <family val="2"/>
          </rPr>
          <t xml:space="preserve">Adr = 500
N = 3
Arr = [68, -33, -12]
R = -12</t>
        </r>
      </text>
    </comment>
    <comment ref="U5" authorId="0">
      <text>
        <r>
          <rPr>
            <sz val="10"/>
            <rFont val="Arial"/>
            <family val="2"/>
          </rPr>
          <t xml:space="preserve">Adr = 7FE
N = 4
Arr = [-9, 10, -27, -3]
R = -3</t>
        </r>
      </text>
    </comment>
    <comment ref="U7" authorId="0">
      <text>
        <r>
          <rPr>
            <sz val="10"/>
            <rFont val="Arial"/>
            <family val="2"/>
          </rPr>
          <t xml:space="preserve">Adr = 290
N = 4
Arr = [-9, -133, 67, -2]
R = 0100</t>
        </r>
      </text>
    </comment>
    <comment ref="U10" authorId="0">
      <text>
        <r>
          <rPr>
            <sz val="10"/>
            <rFont val="Arial"/>
            <family val="2"/>
          </rPr>
          <t xml:space="preserve">Adr = 300
N = 3
Arr = [135, 136, 18]
R = 136</t>
        </r>
      </text>
    </comment>
    <comment ref="U11" authorId="0">
      <text>
        <r>
          <rPr>
            <sz val="10"/>
            <rFont val="Arial"/>
            <family val="2"/>
          </rPr>
          <t xml:space="preserve">Adr = 340
N = 4
Arr = [-7, 0, 19, 54]
R = 1</t>
        </r>
      </text>
    </comment>
    <comment ref="U12" authorId="0">
      <text>
        <r>
          <rPr>
            <sz val="10"/>
            <rFont val="Arial"/>
            <family val="2"/>
          </rPr>
          <t xml:space="preserve">Adr = 290
N = 4
Arr = [16, -8, 9, 26]
R = 1100</t>
        </r>
      </text>
    </comment>
    <comment ref="U13" authorId="0">
      <text>
        <r>
          <rPr>
            <sz val="10"/>
            <rFont val="Arial"/>
            <family val="2"/>
          </rPr>
          <t xml:space="preserve">Adr  = 515
N = 4
Arr = [48, 49, -18, 51]
R = 49</t>
        </r>
      </text>
    </comment>
    <comment ref="U14" authorId="0">
      <text>
        <r>
          <rPr>
            <sz val="10"/>
            <rFont val="Arial"/>
            <family val="2"/>
          </rPr>
          <t xml:space="preserve">Adr = 3B0
N = 4
Arr = [100, -33, 247, 5]
R = 3</t>
        </r>
      </text>
    </comment>
    <comment ref="U15" authorId="0">
      <text>
        <r>
          <rPr>
            <sz val="10"/>
            <rFont val="Arial"/>
            <family val="2"/>
          </rPr>
          <t xml:space="preserve">Adr = 410
N = 4
Arr = [90, 87, -12, 126]
R = -12</t>
        </r>
      </text>
    </comment>
    <comment ref="U16" authorId="0">
      <text>
        <r>
          <rPr>
            <sz val="10"/>
            <rFont val="Arial"/>
            <family val="2"/>
          </rPr>
          <t xml:space="preserve">Adr = 380
N = 3
Arr = [-8, 22, 17]
R = 22</t>
        </r>
      </text>
    </comment>
    <comment ref="U17" authorId="0">
      <text>
        <r>
          <rPr>
            <sz val="10"/>
            <rFont val="Arial"/>
            <family val="2"/>
          </rPr>
          <t xml:space="preserve">Adr = 3C0
N = 4
Arr = [15, 32, -18, -4]
R = 28</t>
        </r>
      </text>
    </comment>
    <comment ref="U19" authorId="0">
      <text>
        <r>
          <rPr>
            <sz val="10"/>
            <rFont val="Arial"/>
            <family val="2"/>
          </rPr>
          <t xml:space="preserve">Adr = 000
N = 4
Arr = [-13, 86, 103, -672]
R = -672</t>
        </r>
      </text>
    </comment>
    <comment ref="U20" authorId="0">
      <text>
        <r>
          <rPr>
            <sz val="10"/>
            <rFont val="Arial"/>
            <family val="2"/>
          </rPr>
          <t xml:space="preserve">Adr = 280
N = 3
Arr = [192, -55, 204]
R = 192</t>
        </r>
      </text>
    </comment>
    <comment ref="U21" authorId="0">
      <text>
        <r>
          <rPr>
            <sz val="10"/>
            <rFont val="Arial"/>
            <family val="2"/>
          </rPr>
          <t xml:space="preserve">Adr = 300
N = 4
Arr = [33, -99, 42, 13]
R = 1101</t>
        </r>
      </text>
    </comment>
    <comment ref="U22" authorId="0">
      <text>
        <r>
          <rPr>
            <sz val="10"/>
            <rFont val="Arial"/>
            <family val="2"/>
          </rPr>
          <t xml:space="preserve">Adr = 7FE
N = 4
Arr = [-8, 18, 17, -3]
R = -3</t>
        </r>
      </text>
    </comment>
    <comment ref="W11" authorId="0">
      <text>
        <r>
          <rPr>
            <sz val="10"/>
            <rFont val="Arial"/>
            <family val="2"/>
          </rPr>
          <t xml:space="preserve">BLT по тактам</t>
        </r>
      </text>
    </comment>
    <comment ref="AA3" authorId="0">
      <text>
        <r>
          <rPr>
            <sz val="10"/>
            <rFont val="Arial"/>
            <family val="2"/>
          </rPr>
          <t xml:space="preserve">X = -1072
Y = 660
Z = -5
R = 2</t>
        </r>
      </text>
    </comment>
    <comment ref="AA4" authorId="0">
      <text>
        <r>
          <rPr>
            <sz val="10"/>
            <rFont val="Arial"/>
            <family val="2"/>
          </rPr>
          <t xml:space="preserve">X = 1899
Y = 10
Z = -1100
R = 17 (10)</t>
        </r>
      </text>
    </comment>
    <comment ref="AA5" authorId="0">
      <text>
        <r>
          <rPr>
            <sz val="10"/>
            <rFont val="Arial"/>
            <family val="2"/>
          </rPr>
          <t xml:space="preserve">X = 300
Y = -15
Z = 55
R = 1</t>
        </r>
      </text>
    </comment>
    <comment ref="AA7" authorId="0">
      <text>
        <r>
          <rPr>
            <sz val="10"/>
            <rFont val="Arial"/>
            <family val="2"/>
          </rPr>
          <t xml:space="preserve">X = -2
Y = -418
Z = 14
R = -1072 = FBD0</t>
        </r>
      </text>
    </comment>
    <comment ref="AA10" authorId="0">
      <text>
        <r>
          <rPr>
            <sz val="10"/>
            <rFont val="Arial"/>
            <family val="2"/>
          </rPr>
          <t xml:space="preserve">X = -1900
Y= 3612
Z = 17
R = 91		</t>
        </r>
      </text>
    </comment>
    <comment ref="AA11" authorId="0">
      <text>
        <r>
          <rPr>
            <sz val="10"/>
            <rFont val="Arial"/>
            <family val="2"/>
          </rPr>
          <t xml:space="preserve">X = -3469
Y = -3470
Z = 1585
R = 599</t>
        </r>
      </text>
    </comment>
    <comment ref="AA13" authorId="0">
      <text>
        <r>
          <rPr>
            <sz val="10"/>
            <rFont val="Arial"/>
            <family val="2"/>
          </rPr>
          <t xml:space="preserve">X = 1928
Y = 34
Z = -1456
R = 5</t>
        </r>
      </text>
    </comment>
    <comment ref="AA14" authorId="0">
      <text>
        <r>
          <rPr>
            <sz val="10"/>
            <rFont val="Arial"/>
            <family val="2"/>
          </rPr>
          <t xml:space="preserve">X = -3328
Y = 1000
Z = 2583
R = 5</t>
        </r>
      </text>
    </comment>
    <comment ref="AA15" authorId="0">
      <text>
        <r>
          <rPr>
            <sz val="10"/>
            <rFont val="Arial"/>
            <family val="2"/>
          </rPr>
          <t xml:space="preserve">X = 1
Y = -312
Z = 3700
R = 7448 = 1D18</t>
        </r>
      </text>
    </comment>
    <comment ref="AA16" authorId="0">
      <text>
        <r>
          <rPr>
            <sz val="10"/>
            <rFont val="Arial"/>
            <family val="2"/>
          </rPr>
          <t xml:space="preserve">X = -5
Y = 3440
Z = 9
R = 4</t>
        </r>
      </text>
    </comment>
    <comment ref="AA17" authorId="0">
      <text>
        <r>
          <rPr>
            <sz val="10"/>
            <rFont val="Arial"/>
            <family val="2"/>
          </rPr>
          <t xml:space="preserve">X = -13
Y = 1960
Z = 2
R = 3792 = 0ED0</t>
        </r>
      </text>
    </comment>
    <comment ref="AA19" authorId="0">
      <text>
        <r>
          <rPr>
            <sz val="10"/>
            <rFont val="Arial"/>
            <family val="2"/>
          </rPr>
          <t xml:space="preserve">X = -55
Y = 1920
Z = -2786
R = 15		
</t>
        </r>
      </text>
    </comment>
    <comment ref="AA20" authorId="0">
      <text>
        <r>
          <rPr>
            <sz val="10"/>
            <rFont val="Arial"/>
            <family val="2"/>
          </rPr>
          <t xml:space="preserve">X = 1590
Y = -2755
Z = -203
R = 4</t>
        </r>
      </text>
    </comment>
    <comment ref="AA21" authorId="0">
      <text>
        <r>
          <rPr>
            <sz val="10"/>
            <rFont val="Arial"/>
            <family val="2"/>
          </rPr>
          <t xml:space="preserve">X = -5
Y = 1300
Z = 3
R = 2623</t>
        </r>
      </text>
    </comment>
    <comment ref="AA22" authorId="0">
      <text>
        <r>
          <rPr>
            <sz val="10"/>
            <rFont val="Arial"/>
            <family val="2"/>
          </rPr>
          <t xml:space="preserve">X = -60
Y = 267
Z = -29
R = 11</t>
        </r>
      </text>
    </comment>
    <comment ref="AG4" authorId="0">
      <text>
        <r>
          <rPr>
            <sz val="10"/>
            <rFont val="Arial"/>
            <family val="2"/>
          </rPr>
          <t xml:space="preserve">ВЫДРА</t>
        </r>
      </text>
    </comment>
    <comment ref="AG5" authorId="0">
      <text>
        <r>
          <rPr>
            <sz val="10"/>
            <rFont val="Arial"/>
            <family val="2"/>
          </rPr>
          <t xml:space="preserve">НЕБО</t>
        </r>
      </text>
    </comment>
    <comment ref="AG7" authorId="0">
      <text>
        <r>
          <rPr>
            <sz val="10"/>
            <rFont val="Arial"/>
            <family val="2"/>
          </rPr>
          <t xml:space="preserve">ЯСТРЕБ</t>
        </r>
      </text>
    </comment>
    <comment ref="AG10" authorId="0">
      <text>
        <r>
          <rPr>
            <sz val="10"/>
            <rFont val="Arial"/>
            <family val="2"/>
          </rPr>
          <t xml:space="preserve">СИРЕНЬ</t>
        </r>
      </text>
    </comment>
    <comment ref="AG13" authorId="0">
      <text>
        <r>
          <rPr>
            <sz val="10"/>
            <rFont val="Arial"/>
            <family val="2"/>
          </rPr>
          <t xml:space="preserve">ЗАЯЦ</t>
        </r>
      </text>
    </comment>
    <comment ref="AG14" authorId="0">
      <text>
        <r>
          <rPr>
            <sz val="10"/>
            <rFont val="Arial"/>
            <family val="2"/>
          </rPr>
          <t xml:space="preserve">КЛЮЧ</t>
        </r>
      </text>
    </comment>
    <comment ref="AG15" authorId="0">
      <text>
        <r>
          <rPr>
            <sz val="10"/>
            <rFont val="Arial"/>
            <family val="2"/>
          </rPr>
          <t xml:space="preserve">ЯСЕНЬ</t>
        </r>
      </text>
    </comment>
    <comment ref="AG16" authorId="0">
      <text>
        <r>
          <rPr>
            <sz val="10"/>
            <rFont val="Arial"/>
            <family val="2"/>
          </rPr>
          <t xml:space="preserve">ГОРА</t>
        </r>
      </text>
    </comment>
    <comment ref="AG17" authorId="0">
      <text>
        <r>
          <rPr>
            <sz val="10"/>
            <rFont val="Arial"/>
            <family val="2"/>
          </rPr>
          <t xml:space="preserve">КАНОЭ</t>
        </r>
      </text>
    </comment>
    <comment ref="AG19" authorId="0">
      <text>
        <r>
          <rPr>
            <sz val="10"/>
            <rFont val="Arial"/>
            <family val="2"/>
          </rPr>
          <t xml:space="preserve">ПУХ</t>
        </r>
      </text>
    </comment>
    <comment ref="AG20" authorId="0">
      <text>
        <r>
          <rPr>
            <sz val="10"/>
            <rFont val="Arial"/>
            <family val="2"/>
          </rPr>
          <t xml:space="preserve">Вьюга</t>
        </r>
      </text>
    </comment>
    <comment ref="AG21" authorId="0">
      <text>
        <r>
          <rPr>
            <sz val="10"/>
            <rFont val="Arial"/>
            <family val="2"/>
          </rPr>
          <t xml:space="preserve">ШКОЛА</t>
        </r>
      </text>
    </comment>
    <comment ref="AG22" authorId="0">
      <text>
        <r>
          <rPr>
            <sz val="10"/>
            <rFont val="Arial"/>
            <family val="2"/>
          </rPr>
          <t xml:space="preserve">ВАГОН</t>
        </r>
      </text>
    </comment>
    <comment ref="AI4" authorId="0">
      <text>
        <r>
          <rPr>
            <sz val="10"/>
            <rFont val="Arial"/>
            <family val="2"/>
          </rPr>
          <t xml:space="preserve">+
С ВУ-9 (цифровая клавиатура) вводится число (от 0 до 99) в 10-й системе счисления. Нажатие на кнопку "=" - окончание ввода числа. Нажатия на другие клавиши игнорировать. После окончания ввода, на ВУ-7 (семисегментный индикатор) нужно вывести это число в 8-ричной системе счисления.</t>
        </r>
      </text>
    </comment>
    <comment ref="AI5" authorId="0">
      <text>
        <r>
          <rPr>
            <sz val="10"/>
            <rFont val="Arial"/>
            <family val="2"/>
          </rPr>
          <t xml:space="preserve">+
На ВУ-6 (бегущая строка) рисуется машинка. Если на ВУ-3 неотрицательное число, машинка повёрнута вправо, если отрицательное - влево. Ввод нового значения на ВУ-3 меняет направление отрисовки.</t>
        </r>
      </text>
    </comment>
    <comment ref="AI7" authorId="0">
      <text>
        <r>
          <rPr>
            <sz val="10"/>
            <rFont val="Arial"/>
            <family val="2"/>
          </rPr>
          <t xml:space="preserve">+
С ВУ-8 (клавиатура) вводится строка, enter - завершение ввода. После окончания ввода, на ВУ-5 (принтер) вывести столько символов тире, сколько букв во введенном слове. Далее пользователь нажимает любой символ на клавиатуре, затем enter, после чего программа подставляет букву в слово (перерисовывает вывод на принтер), если она там есть, так пока пользователь не угадает всё слово</t>
        </r>
      </text>
    </comment>
    <comment ref="AI10" authorId="0">
      <text>
        <r>
          <rPr>
            <sz val="10"/>
            <rFont val="Arial"/>
            <family val="2"/>
          </rPr>
          <t xml:space="preserve">+
Калькулятор. Ввод цифр с ВУ-9 (цифровая клавиатура), вывод результата на ВУ-7 (семисегментный индикатор), реализовать сложение и вычитание знаковых чисел от 1 до 3-х знаков.</t>
        </r>
      </text>
    </comment>
    <comment ref="AI11" authorId="0">
      <text>
        <r>
          <rPr>
            <sz val="10"/>
            <rFont val="Arial"/>
            <family val="2"/>
          </rPr>
          <t xml:space="preserve">С ВУ-8 (клавиатура) вводится строка, enter - завершение ввода. После окончания ввода, на ВУ-5 (принтер) вывести коды символов в 16-ричной системе счисления через пробел. Кодировка любая.</t>
        </r>
      </text>
    </comment>
    <comment ref="AI13" authorId="0">
      <text>
        <r>
          <rPr>
            <sz val="10"/>
            <rFont val="Arial"/>
            <family val="2"/>
          </rPr>
          <t xml:space="preserve">+
С ВУ-3 вводится 16-разрядное число (в два захода, сначала старшая часть, затем младшая). Интерпретируя это число, как количество секунд, вывести на ВУ-6 (бегущая строка) строку в формате "1:30:12", где три числа это часы, минуты и секунды соответственно. 
</t>
        </r>
      </text>
    </comment>
    <comment ref="AI14" authorId="0">
      <text>
        <r>
          <rPr>
            <sz val="10"/>
            <rFont val="Arial"/>
            <family val="2"/>
          </rPr>
          <t xml:space="preserve">Сравнение беззнаковых чисел. С ВУ-3 вводится два беззнаковых 16-разрядных числа (в два захода, сначала старшая часть, затем младшая). На ВУ-7 (семисегментный индикатор) выводится наибольшее из двух чисел.</t>
        </r>
      </text>
    </comment>
    <comment ref="AI15" authorId="0">
      <text>
        <r>
          <rPr>
            <sz val="10"/>
            <rFont val="Arial"/>
            <family val="2"/>
          </rPr>
          <t xml:space="preserve">+
Калькулятор. Умножение знаковых чисел. Ввод пары чисел с ВУ-9 (цифровая клавиатура), разделитель чисел - операция умножения. По нажатию "=" вывод результата на ВУ-7 (семисегментный индикатор). 
</t>
        </r>
      </text>
    </comment>
    <comment ref="AI16" authorId="0">
      <text>
        <r>
          <rPr>
            <sz val="10"/>
            <rFont val="Arial"/>
            <family val="2"/>
          </rPr>
          <t xml:space="preserve">С ВУ-9 (цифровая клавиатура) вводится знаковое число в 10-й системе счисления. Нажатие на кнопку "=" - окончание ввода числа. Нажатия на другие клавиши (кроме минуса перед числом) игнорировать. После окончания ввода, если число помещается в 16 двоичных разрядов, на ВУ-5 (принтер) нужно вывести это число в 16-ричной системе счисления в дополнительном коде. Кодировка любая.</t>
        </r>
      </text>
    </comment>
    <comment ref="AI17" authorId="0">
      <text>
        <r>
          <rPr>
            <sz val="10"/>
            <rFont val="Arial"/>
            <family val="2"/>
          </rPr>
          <t xml:space="preserve">+
Калькулятор. Реализовать деление нацело. Ввод пары чисел с ВУ-9 (цифровая клавиатура), разделитель чисел - операция деления. По нажатию "=" вывод результата на ВУ-5 (принтер). Кодировка любая.</t>
        </r>
      </text>
    </comment>
    <comment ref="AI19" authorId="0">
      <text>
        <r>
          <rPr>
            <sz val="10"/>
            <rFont val="Arial"/>
            <family val="2"/>
          </rPr>
          <t xml:space="preserve">+
С ВУ-8 (клавиатура) вводится строка, "точка" - завершение ввода. После окончания ввода, на ВУ-5 (принтер) вывести эту же строку, заменяя гласные символы на "-" (тире).</t>
        </r>
      </text>
    </comment>
    <comment ref="AI20" authorId="0">
      <text>
        <r>
          <rPr>
            <sz val="10"/>
            <rFont val="Arial"/>
            <family val="2"/>
          </rPr>
          <t xml:space="preserve">+
С ВУ-8 (клавиатура) вводится строка, "точка" - завершение ввода. После окончания ввода, введённая строка выводится на ВУ-6 (бегущая строка).</t>
        </r>
      </text>
    </comment>
    <comment ref="AI21" authorId="0">
      <text>
        <r>
          <rPr>
            <sz val="10"/>
            <rFont val="Arial"/>
            <family val="2"/>
          </rPr>
          <t xml:space="preserve">+
С ВУ-8 (клавиатура) вводится дата в формате "дд.мм", нажатие enter - завершение ввода, иные символы (кроме цифр и точки) игнорировать. После окончания ввода, на ВУ-5 (принтер) вывести день недели для этой даты в 2025 году. Сделать проверку формата введённых данных, в случае некорректной даты вывести ":(".</t>
        </r>
      </text>
    </comment>
    <comment ref="AI22" authorId="0">
      <text>
        <r>
          <rPr>
            <sz val="10"/>
            <rFont val="Arial"/>
            <family val="2"/>
          </rPr>
          <t xml:space="preserve">+
С ВУ-8 (клавиатура) вводится строка, "точка" - завершение ввода. После окончания ввода, на ВУ-5 (принтер) вывести эту же строку транслитом. Выберите наиболее подходящую для этого кодировку.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X7" authorId="0">
      <text>
        <r>
          <rPr>
            <sz val="10"/>
            <rFont val="Arial"/>
            <family val="2"/>
          </rPr>
          <t xml:space="preserve">доп объяснил преподаватель</t>
        </r>
      </text>
    </comment>
    <comment ref="AD5" authorId="0">
      <text>
        <r>
          <rPr>
            <sz val="10"/>
            <rFont val="Arial"/>
            <family val="2"/>
          </rPr>
          <t xml:space="preserve">делали доп вместе</t>
        </r>
      </text>
    </comment>
    <comment ref="AD19" authorId="0">
      <text>
        <r>
          <rPr>
            <sz val="10"/>
            <rFont val="Arial"/>
            <family val="2"/>
          </rPr>
          <t xml:space="preserve">доп чуть чуть кривой</t>
        </r>
      </text>
    </comment>
    <comment ref="BG19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4" authorId="0">
      <text>
        <r>
          <rPr>
            <sz val="10"/>
            <rFont val="Arial"/>
            <family val="2"/>
          </rPr>
          <t xml:space="preserve">1) ЛАБА 1 -- переделать задание 4. Переписать команды на формат: 
ЗАДАНИЕ - 
КОМАНДА -
ВЫВОД ПО КОМАНДЕ - 
2) ЛАБА 2 -- значения для трассировки: A = 313, B = -5, C = 2048
</t>
        </r>
      </text>
    </comment>
    <comment ref="T3" authorId="0">
      <text>
        <r>
          <rPr>
            <sz val="10"/>
            <rFont val="Arial"/>
            <family val="2"/>
          </rPr>
          <t xml:space="preserve">num_of_elements = 4
x[0] = 3032
x[1] = -1234
x[2] = 23
x[3] = 1234</t>
        </r>
      </text>
    </comment>
    <comment ref="T5" authorId="0">
      <text>
        <r>
          <rPr>
            <sz val="10"/>
            <rFont val="Arial"/>
            <family val="2"/>
          </rPr>
          <t xml:space="preserve">cnt = 5
в десятичной 
x[0] = 1024
x[1] = 2025
x[2] = 313
x[3] = -1024
x[4] = -59</t>
        </r>
      </text>
    </comment>
    <comment ref="T6" authorId="0">
      <text>
        <r>
          <rPr>
            <sz val="10"/>
            <rFont val="Arial"/>
            <family val="2"/>
          </rPr>
          <t xml:space="preserve">arr_length = 5
x[0] = 32
x[1] = 15
x[2] = 16
x[3] = -64
x[4] = -1028</t>
        </r>
      </text>
    </comment>
    <comment ref="T7" authorId="0">
      <text>
        <r>
          <rPr>
            <sz val="10"/>
            <rFont val="Arial"/>
            <family val="2"/>
          </rPr>
          <t xml:space="preserve">Ответить на вопрос что делает программа (-)
n = 4
x[0] = 505
x[1] = -313
x[2] = -5
x[3] = 1024</t>
        </r>
      </text>
    </comment>
    <comment ref="T8" authorId="0">
      <text>
        <r>
          <rPr>
            <sz val="10"/>
            <rFont val="Arial"/>
            <family val="2"/>
          </rPr>
          <t xml:space="preserve">Переделать отчёт
n = 5
x[0] = 313
x[1] = -59
x[2] = 0
x[3] = 5051
x[4] = 0</t>
        </r>
      </text>
    </comment>
    <comment ref="T9" authorId="0">
      <text>
        <r>
          <rPr>
            <sz val="10"/>
            <rFont val="Arial"/>
            <family val="2"/>
          </rPr>
          <t xml:space="preserve">--arrLenght = 3
x[0] = -788
x[1] = 5600
x[2] = 313</t>
        </r>
      </text>
    </comment>
    <comment ref="T10" authorId="0">
      <text>
        <r>
          <rPr>
            <sz val="10"/>
            <rFont val="Arial"/>
            <family val="2"/>
          </rPr>
          <t xml:space="preserve">n=5
x[0] = 0
x[1] = 13
x[2] = -313
x[3] = -6
x[4] = 59</t>
        </r>
      </text>
    </comment>
    <comment ref="T13" authorId="0">
      <text>
        <r>
          <rPr>
            <sz val="10"/>
            <rFont val="Arial"/>
            <family val="2"/>
          </rPr>
          <t xml:space="preserve">n = 5
x[0] = 313
x[1] = 0
x[2] = 313
x[3] = 566
x[4] = 0</t>
        </r>
      </text>
    </comment>
    <comment ref="T14" authorId="0">
      <text>
        <r>
          <rPr>
            <sz val="10"/>
            <rFont val="Arial"/>
            <family val="2"/>
          </rPr>
          <t xml:space="preserve">1) Текст программы дописать
2) Описание программы не верно
n=4
x[0] = 61439
x[1] = 61439
x[2] = -61439
x[3] = 313
</t>
        </r>
      </text>
    </comment>
    <comment ref="T15" authorId="0">
      <text>
        <r>
          <rPr>
            <sz val="10"/>
            <rFont val="Arial"/>
            <family val="2"/>
          </rPr>
          <t xml:space="preserve">Разобраться в адресах и в описание программы (+)
Виды адресации
</t>
        </r>
      </text>
    </comment>
    <comment ref="T16" authorId="0">
      <text>
        <r>
          <rPr>
            <sz val="10"/>
            <rFont val="Arial"/>
            <family val="2"/>
          </rPr>
          <t xml:space="preserve">N = 5
x[0] = -313
x[1] = 568
x[2] = 4000
x[3] = -1693
x[4] = 313</t>
        </r>
      </text>
    </comment>
    <comment ref="T17" authorId="0">
      <text>
        <r>
          <rPr>
            <sz val="10"/>
            <rFont val="Arial"/>
            <family val="2"/>
          </rPr>
          <t xml:space="preserve">разобраться в смысле программы. Что выполняется в ней, и что происходит с элементами массива и как они влияют на результат (+)
--arr_lenght = 4
x[0] = 88
x[1] = 313
x[2] = -414
x[3] = 0
</t>
        </r>
      </text>
    </comment>
    <comment ref="T18" authorId="0">
      <text>
        <r>
          <rPr>
            <sz val="10"/>
            <rFont val="Arial"/>
            <family val="2"/>
          </rPr>
          <t xml:space="preserve">AFE1 - переделать на AEF1
N = 5
x[0] = 4
x[1] = 16
x[2] = -32
x[3] = 313
x[4] = 16000
Теория
</t>
        </r>
      </text>
    </comment>
    <comment ref="T19" authorId="0">
      <text>
        <r>
          <rPr>
            <sz val="10"/>
            <rFont val="Arial"/>
            <family val="2"/>
          </rPr>
          <t xml:space="preserve">1) Спросить про прямую загрузку
--arrLenght = 4
x[0] = -313
x[1] = 515
x[2] = 1024
x[3] = -1024</t>
        </r>
      </text>
    </comment>
    <comment ref="T20" authorId="0">
      <text>
        <r>
          <rPr>
            <sz val="10"/>
            <rFont val="Arial"/>
            <family val="2"/>
          </rPr>
          <t xml:space="preserve">n = 3
x[0] = -313
x[1] = 5
x[2] = -6</t>
        </r>
      </text>
    </comment>
    <comment ref="U15" authorId="0">
      <text>
        <r>
          <rPr>
            <sz val="10"/>
            <rFont val="Arial"/>
            <family val="2"/>
          </rPr>
          <t xml:space="preserve">n = 4
x[0] = -313
x[1] = 5
x[2] = 10
x[3] = 12</t>
        </r>
      </text>
    </comment>
    <comment ref="U22" authorId="0">
      <text>
        <r>
          <rPr>
            <sz val="10"/>
            <rFont val="Arial"/>
            <family val="2"/>
          </rPr>
          <t xml:space="preserve">n = 4
x[0] = -300
x[1] = 313
x[2] = 6
x[3] = 2051</t>
        </r>
      </text>
    </comment>
    <comment ref="V15" authorId="0">
      <text>
        <r>
          <rPr>
            <sz val="10"/>
            <rFont val="Arial"/>
            <family val="2"/>
          </rPr>
          <t xml:space="preserve">1) Все виды адресации </t>
        </r>
      </text>
    </comment>
    <comment ref="W18" authorId="0">
      <text>
        <r>
          <rPr>
            <sz val="10"/>
            <rFont val="Arial"/>
            <family val="2"/>
          </rPr>
          <t xml:space="preserve">1) Виды адресации
2) Цикл команды AAFB</t>
        </r>
      </text>
    </comment>
    <comment ref="Z3" authorId="0">
      <text>
        <r>
          <rPr>
            <sz val="10"/>
            <rFont val="Arial"/>
            <family val="2"/>
          </rPr>
          <t xml:space="preserve">X = 3081
Y = -503
Z = 1300</t>
        </r>
      </text>
    </comment>
    <comment ref="Z6" authorId="0">
      <text>
        <r>
          <rPr>
            <sz val="10"/>
            <rFont val="Arial"/>
            <family val="2"/>
          </rPr>
          <t xml:space="preserve">ОДЗ (+)</t>
        </r>
      </text>
    </comment>
    <comment ref="Z8" authorId="0">
      <text>
        <r>
          <rPr>
            <sz val="10"/>
            <rFont val="Arial"/>
            <family val="2"/>
          </rPr>
          <t xml:space="preserve">x = 313
y = -313
z = 400</t>
        </r>
      </text>
    </comment>
    <comment ref="Z14" authorId="0">
      <text>
        <r>
          <rPr>
            <sz val="10"/>
            <rFont val="Arial"/>
            <family val="2"/>
          </rPr>
          <t xml:space="preserve">1) График
2) ОДЗ
3) формулу пересмотреть</t>
        </r>
      </text>
    </comment>
    <comment ref="Z16" authorId="0">
      <text>
        <r>
          <rPr>
            <sz val="10"/>
            <rFont val="Arial"/>
            <family val="2"/>
          </rPr>
          <t xml:space="preserve">x = 5000
y = 313
z = -313</t>
        </r>
      </text>
    </comment>
    <comment ref="Z18" authorId="0">
      <text>
        <r>
          <rPr>
            <sz val="10"/>
            <rFont val="Arial"/>
            <family val="2"/>
          </rPr>
          <t xml:space="preserve">x = 313
y = -55
z = -4321</t>
        </r>
      </text>
    </comment>
    <comment ref="Z19" authorId="0">
      <text>
        <r>
          <rPr>
            <sz val="10"/>
            <rFont val="Arial"/>
            <family val="2"/>
          </rPr>
          <t xml:space="preserve">x = 2700
y = 1380
z = -313</t>
        </r>
      </text>
    </comment>
    <comment ref="AA5" authorId="0">
      <text>
        <r>
          <rPr>
            <sz val="10"/>
            <rFont val="Arial"/>
            <family val="2"/>
          </rPr>
          <t xml:space="preserve">x = 1703
y = 0
z = 2142</t>
        </r>
      </text>
    </comment>
    <comment ref="AA6" authorId="0">
      <text>
        <r>
          <rPr>
            <sz val="10"/>
            <rFont val="Arial"/>
            <family val="2"/>
          </rPr>
          <t xml:space="preserve">x = 2000
y = 313
z = -56</t>
        </r>
      </text>
    </comment>
    <comment ref="AA7" authorId="0">
      <text>
        <r>
          <rPr>
            <sz val="10"/>
            <rFont val="Arial"/>
            <family val="2"/>
          </rPr>
          <t xml:space="preserve">x= 404
y = -313
z = -1</t>
        </r>
      </text>
    </comment>
    <comment ref="AA9" authorId="0">
      <text>
        <r>
          <rPr>
            <sz val="10"/>
            <rFont val="Arial"/>
            <family val="2"/>
          </rPr>
          <t xml:space="preserve">x = -313
y = 5400
z = 0</t>
        </r>
      </text>
    </comment>
    <comment ref="AA10" authorId="0">
      <text>
        <r>
          <rPr>
            <sz val="10"/>
            <rFont val="Arial"/>
            <family val="2"/>
          </rPr>
          <t xml:space="preserve">x = 2500
y = -3
z = 313</t>
        </r>
      </text>
    </comment>
    <comment ref="AA13" authorId="0">
      <text>
        <r>
          <rPr>
            <sz val="10"/>
            <rFont val="Arial"/>
            <family val="2"/>
          </rPr>
          <t xml:space="preserve">x=0
y=-6
z=313</t>
        </r>
      </text>
    </comment>
    <comment ref="AA14" authorId="0">
      <text>
        <r>
          <rPr>
            <sz val="10"/>
            <rFont val="Arial"/>
            <family val="2"/>
          </rPr>
          <t xml:space="preserve">x = 1500
y = -313
z = 505</t>
        </r>
      </text>
    </comment>
    <comment ref="AA15" authorId="0">
      <text>
        <r>
          <rPr>
            <sz val="10"/>
            <rFont val="Arial"/>
            <family val="2"/>
          </rPr>
          <t xml:space="preserve">x = 313
y = 5400
z = -550</t>
        </r>
      </text>
    </comment>
    <comment ref="AA17" authorId="0">
      <text>
        <r>
          <rPr>
            <sz val="10"/>
            <rFont val="Arial"/>
            <family val="2"/>
          </rPr>
          <t xml:space="preserve">x=-313
y=6
z=256</t>
        </r>
      </text>
    </comment>
    <comment ref="AA20" authorId="0">
      <text>
        <r>
          <rPr>
            <sz val="10"/>
            <rFont val="Arial"/>
            <family val="2"/>
          </rPr>
          <t xml:space="preserve">x = 313
y = -4
z = 886</t>
        </r>
      </text>
    </comment>
    <comment ref="AA22" authorId="0">
      <text>
        <r>
          <rPr>
            <sz val="10"/>
            <rFont val="Arial"/>
            <family val="2"/>
          </rPr>
          <t xml:space="preserve">x= 404
y= 313
z= -606</t>
        </r>
      </text>
    </comment>
    <comment ref="AB18" authorId="0">
      <text>
        <r>
          <rPr>
            <sz val="10"/>
            <rFont val="Arial"/>
            <family val="2"/>
          </rPr>
          <t xml:space="preserve">1) Команды работы со стеком
2) Что будет, если в подпрограмме вызывать эту же подпрограмму
3) </t>
        </r>
      </text>
    </comment>
    <comment ref="AC6" authorId="0">
      <text>
        <r>
          <rPr>
            <sz val="10"/>
            <rFont val="Arial"/>
            <family val="2"/>
          </rPr>
          <t xml:space="preserve">1) Что такое стэк (+)
2) Команды работы со стэком (+)
3) Что будет если вызвать подпрогамму внутри подпрограмы  (саму себя)? (+)</t>
        </r>
      </text>
    </comment>
    <comment ref="AC7" authorId="0">
      <text>
        <r>
          <rPr>
            <sz val="10"/>
            <rFont val="Arial"/>
            <family val="2"/>
          </rPr>
          <t xml:space="preserve">1) Стэк
2) Команды для работы стэка
3) Рекурсивный вызов подпрограмм
4) Передача аргументов в подпрограмму</t>
        </r>
      </text>
    </comment>
    <comment ref="AC8" authorId="0">
      <text>
        <r>
          <rPr>
            <sz val="10"/>
            <rFont val="Arial"/>
            <family val="2"/>
          </rPr>
          <t xml:space="preserve">1) Рекурсивный вызов подпрограммы 
2) Цикл исполнения CALL
</t>
        </r>
      </text>
    </comment>
    <comment ref="AC15" authorId="0">
      <text>
        <r>
          <rPr>
            <sz val="10"/>
            <rFont val="Arial"/>
            <family val="2"/>
          </rPr>
          <t xml:space="preserve">1) Команды работы со стек
2) Вызов подпрограммы в подпрограмме (не стэковерфлоу)</t>
        </r>
      </text>
    </comment>
    <comment ref="AC17" authorId="0">
      <text>
        <r>
          <rPr>
            <sz val="10"/>
            <rFont val="Arial"/>
            <family val="2"/>
          </rPr>
          <t xml:space="preserve">1) Команда Call (цикл исполнения) (стр 28) (+)
2) Рекурсивный вызов подпрограммы (Можно или нельзя так делать? Если можно то как и какие есть последствия) (+)
3) Передача аргументов в подпрограмму (Как и почему нельзя через команду POP вытаскивать элементы в подпрограмме) (+)</t>
        </r>
      </text>
    </comment>
    <comment ref="AF6" authorId="0">
      <text>
        <r>
          <rPr>
            <sz val="10"/>
            <rFont val="Arial"/>
            <family val="2"/>
          </rPr>
          <t xml:space="preserve">1) Поменять IN на OUT ( возможно потребуется поменять код программы)
2) Проверять буду только ASM код
3) Посмотреть на работу со стэком </t>
        </r>
      </text>
    </comment>
    <comment ref="AF17" authorId="0">
      <text>
        <r>
          <rPr>
            <sz val="10"/>
            <rFont val="Arial"/>
            <family val="2"/>
          </rPr>
          <t xml:space="preserve">Поменять Вывод на Ввод
</t>
        </r>
      </text>
    </comment>
    <comment ref="AG3" authorId="0">
      <text>
        <r>
          <rPr>
            <sz val="10"/>
            <rFont val="Arial"/>
            <family val="2"/>
          </rPr>
          <t xml:space="preserve">Слово: Башня</t>
        </r>
      </text>
    </comment>
    <comment ref="AG5" authorId="0">
      <text>
        <r>
          <rPr>
            <sz val="10"/>
            <rFont val="Arial"/>
            <family val="2"/>
          </rPr>
          <t xml:space="preserve">1) Слово: Луна</t>
        </r>
      </text>
    </comment>
    <comment ref="AG6" authorId="0">
      <text>
        <r>
          <rPr>
            <sz val="10"/>
            <rFont val="Arial"/>
            <family val="2"/>
          </rPr>
          <t xml:space="preserve">Слово: МАГ</t>
        </r>
      </text>
    </comment>
    <comment ref="AG7" authorId="0">
      <text>
        <r>
          <rPr>
            <sz val="10"/>
            <rFont val="Arial"/>
            <family val="2"/>
          </rPr>
          <t xml:space="preserve">Слово: СИЛА</t>
        </r>
      </text>
    </comment>
    <comment ref="AG8" authorId="0">
      <text>
        <r>
          <rPr>
            <sz val="10"/>
            <rFont val="Arial"/>
            <family val="2"/>
          </rPr>
          <t xml:space="preserve">СЛОВО: ПРАВОСУДИЕ</t>
        </r>
      </text>
    </comment>
    <comment ref="AG9" authorId="0">
      <text>
        <r>
          <rPr>
            <sz val="10"/>
            <rFont val="Arial"/>
            <family val="2"/>
          </rPr>
          <t xml:space="preserve">Слово: ФОРТУНА</t>
        </r>
      </text>
    </comment>
    <comment ref="AG10" authorId="0">
      <text>
        <r>
          <rPr>
            <sz val="10"/>
            <rFont val="Arial"/>
            <family val="2"/>
          </rPr>
          <t xml:space="preserve">Слово: ИМПЕРАТОР</t>
        </r>
      </text>
    </comment>
    <comment ref="AG14" authorId="0">
      <text>
        <r>
          <rPr>
            <sz val="10"/>
            <rFont val="Arial"/>
            <family val="2"/>
          </rPr>
          <t xml:space="preserve">Слово - Колесница </t>
        </r>
      </text>
    </comment>
    <comment ref="AG15" authorId="0">
      <text>
        <r>
          <rPr>
            <sz val="10"/>
            <rFont val="Arial"/>
            <family val="2"/>
          </rPr>
          <t xml:space="preserve">СЛОВО: ИЕРОФАНТ</t>
        </r>
      </text>
    </comment>
    <comment ref="AG16" authorId="0">
      <text>
        <r>
          <rPr>
            <sz val="10"/>
            <rFont val="Arial"/>
            <family val="2"/>
          </rPr>
          <t xml:space="preserve">1) Исправить программу на ассемблере 
2) Слово: СОЛНЦЕ
</t>
        </r>
      </text>
    </comment>
    <comment ref="AG18" authorId="0">
      <text>
        <r>
          <rPr>
            <sz val="10"/>
            <rFont val="Arial"/>
            <family val="2"/>
          </rPr>
          <t xml:space="preserve">Слово: СУД</t>
        </r>
      </text>
    </comment>
    <comment ref="AG19" authorId="0">
      <text>
        <r>
          <rPr>
            <sz val="10"/>
            <rFont val="Arial"/>
            <family val="2"/>
          </rPr>
          <t xml:space="preserve">Слово: ДЬЯВОЛ </t>
        </r>
      </text>
    </comment>
    <comment ref="AG20" authorId="0">
      <text>
        <r>
          <rPr>
            <sz val="10"/>
            <rFont val="Arial"/>
            <family val="2"/>
          </rPr>
          <t xml:space="preserve">Слово: МИР</t>
        </r>
      </text>
    </comment>
    <comment ref="AH3" authorId="0">
      <text>
        <r>
          <rPr>
            <sz val="10"/>
            <rFont val="Arial"/>
            <family val="2"/>
          </rPr>
          <t xml:space="preserve">Доп: 
Ввод на ВУ-N строки формата dd.MM (19.03) - вывод на бегущую строку день недели (среда)
Только текущий год</t>
        </r>
      </text>
    </comment>
    <comment ref="AH5" authorId="0">
      <text>
        <r>
          <rPr>
            <sz val="10"/>
            <rFont val="Arial"/>
            <family val="2"/>
          </rPr>
          <t xml:space="preserve">Ввод количество часов на ВУ с нумпадом, после символа вывод на семисегментный индикатор количество полных часов</t>
        </r>
      </text>
    </comment>
    <comment ref="AH6" authorId="0">
      <text>
        <r>
          <rPr>
            <sz val="10"/>
            <rFont val="Arial"/>
            <family val="2"/>
          </rPr>
          <t xml:space="preserve">Доп: На Бегущую строчку нарисовать цветочек</t>
        </r>
      </text>
    </comment>
    <comment ref="AH7" authorId="0">
      <text>
        <r>
          <rPr>
            <sz val="10"/>
            <rFont val="Arial"/>
            <family val="2"/>
          </rPr>
          <t xml:space="preserve">Доп: Калькулятор для Умножение двух беззнаковых чисел. Ввод на ВУ с нумпадом. Вывод результата на ВУ-7</t>
        </r>
      </text>
    </comment>
    <comment ref="AH8" authorId="0">
      <text>
        <r>
          <rPr>
            <sz val="10"/>
            <rFont val="Arial"/>
            <family val="2"/>
          </rPr>
          <t xml:space="preserve">Доп: На нумпад вводим число от 0 до 32: выводим первые н букв русского алфавита.
Если перед число введён минус, тогда выводим алфавит в обратном порядке</t>
        </r>
      </text>
    </comment>
    <comment ref="AH9" authorId="0">
      <text>
        <r>
          <rPr>
            <sz val="10"/>
            <rFont val="Arial"/>
            <family val="2"/>
          </rPr>
          <t xml:space="preserve">Доп: Ввод в ВУ с нумпадом числа в троичной системе
Вывод на семисегментные индикаторы этого же числа в 7-миричной 
</t>
        </r>
      </text>
    </comment>
    <comment ref="AH10" authorId="0">
      <text>
        <r>
          <rPr>
            <sz val="10"/>
            <rFont val="Arial"/>
            <family val="2"/>
          </rPr>
          <t xml:space="preserve">Доп: Ввод на клавишный регистр возраст, вывод на 7-ми сегментный индикатор год рождения. Пример: Ввод 25 - вывод 2000</t>
        </r>
      </text>
    </comment>
    <comment ref="AH14" authorId="0">
      <text>
        <r>
          <rPr>
            <sz val="10"/>
            <rFont val="Arial"/>
            <family val="2"/>
          </rPr>
          <t xml:space="preserve">Доп: Ввод в нумпад числа от 1 до 6. Сделать полную валидацию символов
Вывод: на бегущую строку значение как на игральной кости (в рамочках)</t>
        </r>
      </text>
    </comment>
    <comment ref="AH15" authorId="0">
      <text>
        <r>
          <rPr>
            <sz val="10"/>
            <rFont val="Arial"/>
            <family val="2"/>
          </rPr>
          <t xml:space="preserve">Доп: Ввод на клавиатуру по русски - вывод того же слова транслитом на ВУ-5</t>
        </r>
      </text>
    </comment>
    <comment ref="AH16" authorId="0">
      <text>
        <r>
          <rPr>
            <sz val="10"/>
            <rFont val="Arial"/>
            <family val="2"/>
          </rPr>
          <t xml:space="preserve">Доп: Калькулятор с двумя действиями - Сложение и Вычитание.
Текстом выводить выражение и после знака равно выводить ответ</t>
        </r>
      </text>
    </comment>
    <comment ref="AH18" authorId="0">
      <text>
        <r>
          <rPr>
            <sz val="10"/>
            <rFont val="Arial"/>
            <family val="2"/>
          </rPr>
          <t xml:space="preserve">Доп: Ввод с клавиатурного ВУ слова - Вывод на ВУ-5 этой же строки азбукой Морзе</t>
        </r>
      </text>
    </comment>
    <comment ref="AH19" authorId="0">
      <text>
        <r>
          <rPr>
            <sz val="10"/>
            <rFont val="Arial"/>
            <family val="2"/>
          </rPr>
          <t xml:space="preserve">Доп: Ввод на нумпад числа формата yyyy (год)
Вывод в текстовое поле - Да или Нет
Проверка на то, является ли год високосным </t>
        </r>
      </text>
    </comment>
    <comment ref="AH20" authorId="0">
      <text>
        <r>
          <rPr>
            <sz val="10"/>
            <rFont val="Arial"/>
            <family val="2"/>
          </rPr>
          <t xml:space="preserve">Доп: Проверка на то, что число простое
На ВУ с нумпадом писать число (до 1000) (СТОП по знаку =), выводить на бегущую строку сообщение: ПРОСТОЕ, СОСТАВНОЕ, ОШИБКА</t>
        </r>
      </text>
    </comment>
    <comment ref="AI6" authorId="0">
      <text>
        <r>
          <rPr>
            <sz val="10"/>
            <rFont val="Arial"/>
            <family val="2"/>
          </rPr>
          <t xml:space="preserve">1) Как подключены ВУстройства и БЭВМ (шины адреса и данных)
2) Дешифратор адреса
3) Кодировки</t>
        </r>
      </text>
    </comment>
    <comment ref="AI8" authorId="0">
      <text>
        <r>
          <rPr>
            <sz val="10"/>
            <rFont val="Arial"/>
            <family val="2"/>
          </rPr>
          <t xml:space="preserve">1) Теория вся </t>
        </r>
      </text>
    </comment>
    <comment ref="AI18" authorId="0">
      <text>
        <r>
          <rPr>
            <sz val="10"/>
            <rFont val="Arial"/>
            <family val="2"/>
          </rPr>
          <t xml:space="preserve">1) Синхронный - Асинхронный ввод/вывод (+)
2) Работа с ВУ, назначения регистров ВУ
3) Что такое шина и как БЭВМ и ВУ понимают, от какой ВУ пришёл сигнал готовности</t>
        </r>
      </text>
    </comment>
    <comment ref="AL6" authorId="0">
      <text>
        <r>
          <rPr>
            <sz val="10"/>
            <rFont val="Arial"/>
            <family val="2"/>
          </rPr>
          <t xml:space="preserve">Не работает программа</t>
        </r>
      </text>
    </comment>
    <comment ref="AL14" authorId="0">
      <text>
        <r>
          <rPr>
            <sz val="10"/>
            <rFont val="Arial"/>
            <family val="2"/>
          </rPr>
          <t xml:space="preserve">1) Сделать согласно методичке
а) Сделать тестовые сценарии на проверку
б) Разобраться с ОДЗ</t>
        </r>
      </text>
    </comment>
    <comment ref="AL20" authorId="0">
      <text>
        <r>
          <rPr>
            <sz val="10"/>
            <rFont val="Arial"/>
            <family val="2"/>
          </rPr>
          <t xml:space="preserve">Убрать проверку на DI и EI из цикла мейн
Использовать значения для передачи на ВУ при прерывании из Акк.</t>
        </r>
      </text>
    </comment>
    <comment ref="AM15" authorId="0">
      <text>
        <r>
          <rPr>
            <sz val="10"/>
            <rFont val="Arial"/>
            <family val="2"/>
          </rPr>
          <t xml:space="preserve">1) Как и зачем работают прерывания и какую задачу выполняют
2) Полный цикл работы прерывания
3) Вектор прерывания, как его задать, что в него входит и как указать ВУ какой вектор будет исполняться</t>
        </r>
      </text>
    </comment>
    <comment ref="AN6" authorId="0">
      <text>
        <r>
          <rPr>
            <sz val="10"/>
            <rFont val="Arial"/>
            <family val="2"/>
          </rPr>
          <t xml:space="preserve">1) Полный цикл прерывания
2) Что такое вектор прерывания из чего состоит и зачем нужен
3) Как указать какой вектор прерывания будет исполняться для прерывания от каждого ВУ</t>
        </r>
      </text>
    </comment>
    <comment ref="AN17" authorId="0">
      <text>
        <r>
          <rPr>
            <sz val="10"/>
            <rFont val="Arial"/>
            <family val="2"/>
          </rPr>
          <t xml:space="preserve">1) Вектор прерывания, из чего состоит
2) МР - зачем нужен и что хранит
3) Как менеджер регистр используется в цикле прерывания</t>
        </r>
      </text>
    </comment>
    <comment ref="BB6" authorId="0">
      <text>
        <r>
          <rPr>
            <sz val="10"/>
            <rFont val="Arial"/>
            <family val="2"/>
          </rPr>
          <t xml:space="preserve">10
минус 4 так как писалась работа позже срока</t>
        </r>
      </text>
    </comment>
    <comment ref="BB7" authorId="0">
      <text>
        <r>
          <rPr>
            <sz val="10"/>
            <rFont val="Arial"/>
            <family val="2"/>
          </rPr>
          <t xml:space="preserve">10
минус 4 так как писалась работа позже срока</t>
        </r>
      </text>
    </comment>
    <comment ref="BB14" authorId="0">
      <text>
        <r>
          <rPr>
            <sz val="10"/>
            <rFont val="Arial"/>
            <family val="2"/>
          </rPr>
          <t xml:space="preserve">Нет намёков на работы с расширением знака
</t>
        </r>
      </text>
    </comment>
    <comment ref="BB17" authorId="0">
      <text>
        <r>
          <rPr>
            <sz val="10"/>
            <rFont val="Arial"/>
            <family val="2"/>
          </rPr>
          <t xml:space="preserve">10
минус 4 так как писалась работа позже срока</t>
        </r>
      </text>
    </comment>
    <comment ref="BB18" authorId="0">
      <text>
        <r>
          <rPr>
            <sz val="10"/>
            <rFont val="Arial"/>
            <family val="2"/>
          </rPr>
          <t xml:space="preserve">8
минус 2 так как писалась работа позже срока</t>
        </r>
      </text>
    </comment>
    <comment ref="BG8" authorId="0">
      <text>
        <r>
          <rPr>
            <sz val="10"/>
            <rFont val="Arial"/>
            <family val="2"/>
          </rPr>
          <t xml:space="preserve">нет второго вопроса</t>
        </r>
      </text>
    </comment>
    <comment ref="BG9" authorId="0">
      <text>
        <r>
          <rPr>
            <sz val="10"/>
            <rFont val="Arial"/>
            <family val="2"/>
          </rPr>
          <t xml:space="preserve">по сути нет второго вопроса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U4" authorId="0">
      <text>
        <r>
          <rPr>
            <sz val="10"/>
            <rFont val="Arial"/>
            <family val="2"/>
          </rPr>
          <t xml:space="preserve">Adr = 100
N = 3
Arr = [-3, -16, 18]
R = 0000 0000 0000 0110= 6
</t>
        </r>
      </text>
    </comment>
    <comment ref="U5" authorId="0">
      <text>
        <r>
          <rPr>
            <sz val="10"/>
            <rFont val="Arial"/>
            <family val="2"/>
          </rPr>
          <t xml:space="preserve">Adr = 5B0
N = 3
Arr = [0, 167, -44]
R = 2</t>
        </r>
      </text>
    </comment>
    <comment ref="U6" authorId="0">
      <text>
        <r>
          <rPr>
            <sz val="10"/>
            <rFont val="Arial"/>
            <family val="2"/>
          </rPr>
          <t xml:space="preserve">Adr = 200
N = 4
Arr = [-3, 26, -82, 6]
R = 32</t>
        </r>
      </text>
    </comment>
    <comment ref="U7" authorId="0">
      <text>
        <r>
          <rPr>
            <sz val="10"/>
            <rFont val="Arial"/>
            <family val="2"/>
          </rPr>
          <t xml:space="preserve">Adr = 290
N = 4
Arr = [16, 133, 12, 0]
R = 3</t>
        </r>
      </text>
    </comment>
    <comment ref="U8" authorId="0">
      <text>
        <r>
          <rPr>
            <sz val="10"/>
            <rFont val="Arial"/>
            <family val="2"/>
          </rPr>
          <t xml:space="preserve">Adr = 240
N = 4
Arr = [13, -24, 0, 0]
R = 2</t>
        </r>
      </text>
    </comment>
    <comment ref="U9" authorId="0">
      <text>
        <r>
          <rPr>
            <sz val="10"/>
            <rFont val="Arial"/>
            <family val="2"/>
          </rPr>
          <t xml:space="preserve">Adr = 200
N = 3
Arr=[-4, -132, 17]
R = -4</t>
        </r>
      </text>
    </comment>
    <comment ref="U10" authorId="0">
      <text>
        <r>
          <rPr>
            <sz val="10"/>
            <rFont val="Arial"/>
            <family val="2"/>
          </rPr>
          <t xml:space="preserve">Adr= 420
N = 3
Arr = [19, 200, -3]
R = -3 = FFFD</t>
        </r>
      </text>
    </comment>
    <comment ref="U11" authorId="0">
      <text>
        <r>
          <rPr>
            <sz val="10"/>
            <rFont val="Arial"/>
            <family val="2"/>
          </rPr>
          <t xml:space="preserve">Adr = 550
N = 4
Arr = [0, 0, 182, -66]
R = 0011</t>
        </r>
      </text>
    </comment>
    <comment ref="U12" authorId="0">
      <text>
        <r>
          <rPr>
            <sz val="10"/>
            <rFont val="Arial"/>
            <family val="2"/>
          </rPr>
          <t xml:space="preserve">Adr = 400
N = 4
Arr = [0, 14, -190, 5]
R = 19</t>
        </r>
      </text>
    </comment>
    <comment ref="U13" authorId="0">
      <text>
        <r>
          <rPr>
            <sz val="10"/>
            <rFont val="Arial"/>
            <family val="2"/>
          </rPr>
          <t xml:space="preserve">Adr = 540
N = 3
Arr = [19, -22, 174]
R = 1</t>
        </r>
      </text>
    </comment>
    <comment ref="U14" authorId="0">
      <text>
        <r>
          <rPr>
            <sz val="10"/>
            <rFont val="Arial"/>
            <family val="2"/>
          </rPr>
          <t xml:space="preserve">Adr = 240
N = 4
Arr = [33, 17, 82, 108]
R = 1100</t>
        </r>
      </text>
    </comment>
    <comment ref="U15" authorId="0">
      <text>
        <r>
          <rPr>
            <sz val="10"/>
            <rFont val="Arial"/>
            <family val="2"/>
          </rPr>
          <t xml:space="preserve">Adr = 280
N = 4
Arr = [190, 99, 13033, 15]
R = 3</t>
        </r>
      </text>
    </comment>
    <comment ref="U17" authorId="0">
      <text>
        <r>
          <rPr>
            <sz val="10"/>
            <rFont val="Arial"/>
            <family val="2"/>
          </rPr>
          <t xml:space="preserve">Arr = 5C0
N = 3
Arr = [-22, 1790, 99]
R = 99</t>
        </r>
      </text>
    </comment>
    <comment ref="U18" authorId="0">
      <text>
        <r>
          <rPr>
            <sz val="10"/>
            <rFont val="Arial"/>
            <family val="2"/>
          </rPr>
          <t xml:space="preserve">Adr = 2E0
N = 4
Arr = [4, 0, -13, 222]
R = 3</t>
        </r>
      </text>
    </comment>
    <comment ref="U19" authorId="0">
      <text>
        <r>
          <rPr>
            <sz val="10"/>
            <rFont val="Arial"/>
            <family val="2"/>
          </rPr>
          <t xml:space="preserve">Adr = 300
N = 3
Arr = [-45, 32, 3]
R = -45</t>
        </r>
      </text>
    </comment>
    <comment ref="U20" authorId="0">
      <text>
        <r>
          <rPr>
            <sz val="10"/>
            <rFont val="Arial"/>
            <family val="2"/>
          </rPr>
          <t xml:space="preserve">Adr = 7FF
N = 4
Arr = [-16, -22, 0, -1]
R = -1</t>
        </r>
      </text>
    </comment>
    <comment ref="U21" authorId="0">
      <text>
        <r>
          <rPr>
            <sz val="10"/>
            <rFont val="Arial"/>
            <family val="2"/>
          </rPr>
          <t xml:space="preserve">Adr= 100
N = 4
Arr = [-5, 16, 0, -182]
R = -187 = FF45</t>
        </r>
      </text>
    </comment>
    <comment ref="AA4" authorId="0">
      <text>
        <r>
          <rPr>
            <sz val="10"/>
            <rFont val="Arial"/>
            <family val="2"/>
          </rPr>
          <t xml:space="preserve">X = -20
Y = -3
Z = -45
R = 3</t>
        </r>
      </text>
    </comment>
    <comment ref="AA5" authorId="0">
      <text>
        <r>
          <rPr>
            <sz val="10"/>
            <rFont val="Arial"/>
            <family val="2"/>
          </rPr>
          <t xml:space="preserve">X = 1600
Y = 300
Z = -561
R = 1
</t>
        </r>
      </text>
    </comment>
    <comment ref="AA6" authorId="0">
      <text>
        <r>
          <rPr>
            <sz val="10"/>
            <rFont val="Arial"/>
            <family val="2"/>
          </rPr>
          <t xml:space="preserve">X = 1686
Y = -2451
Z = -144
R = -5</t>
        </r>
      </text>
    </comment>
    <comment ref="AA7" authorId="0">
      <text>
        <r>
          <rPr>
            <sz val="10"/>
            <rFont val="Arial"/>
            <family val="2"/>
          </rPr>
          <t xml:space="preserve">X = 14
Y = -391
Z = -1894
R = -3510</t>
        </r>
      </text>
    </comment>
    <comment ref="AA8" authorId="0">
      <text>
        <r>
          <rPr>
            <sz val="10"/>
            <rFont val="Arial"/>
            <family val="2"/>
          </rPr>
          <t xml:space="preserve">X =-1760
Y = 24
Z = 3513
R = 14054</t>
        </r>
      </text>
    </comment>
    <comment ref="AA9" authorId="0">
      <text>
        <r>
          <rPr>
            <sz val="10"/>
            <rFont val="Arial"/>
            <family val="2"/>
          </rPr>
          <t xml:space="preserve">X = -20
Y = 332
Z = -567
R = 0</t>
        </r>
      </text>
    </comment>
    <comment ref="AA10" authorId="0">
      <text>
        <r>
          <rPr>
            <sz val="10"/>
            <rFont val="Arial"/>
            <family val="2"/>
          </rPr>
          <t xml:space="preserve">X = -840
Y = 1398
Z = 1200
R = 19</t>
        </r>
      </text>
    </comment>
    <comment ref="AA11" authorId="0">
      <text>
        <r>
          <rPr>
            <sz val="10"/>
            <rFont val="Arial"/>
            <family val="2"/>
          </rPr>
          <t xml:space="preserve">X = -30 000
Y = 14
Z = -125
R = DF77</t>
        </r>
      </text>
    </comment>
    <comment ref="AA12" authorId="0">
      <text>
        <r>
          <rPr>
            <sz val="10"/>
            <rFont val="Arial"/>
            <family val="2"/>
          </rPr>
          <t xml:space="preserve">X = -844
Y = -195
Z = 357
R = 0</t>
        </r>
      </text>
    </comment>
    <comment ref="AA13" authorId="0">
      <text>
        <r>
          <rPr>
            <sz val="10"/>
            <rFont val="Arial"/>
            <family val="2"/>
          </rPr>
          <t xml:space="preserve">X = 193
Y = 2984
Z = -1886
R = 6</t>
        </r>
      </text>
    </comment>
    <comment ref="AA14" authorId="0">
      <text>
        <r>
          <rPr>
            <sz val="10"/>
            <rFont val="Arial"/>
            <family val="2"/>
          </rPr>
          <t xml:space="preserve">X = -34
Y = 2485
Z = 3757
R = 2</t>
        </r>
      </text>
    </comment>
    <comment ref="AA15" authorId="0">
      <text>
        <r>
          <rPr>
            <sz val="10"/>
            <rFont val="Arial"/>
            <family val="2"/>
          </rPr>
          <t xml:space="preserve">X = 333
Y = -200
Z = -775
R = 8</t>
        </r>
      </text>
    </comment>
    <comment ref="AA17" authorId="0">
      <text>
        <r>
          <rPr>
            <sz val="10"/>
            <rFont val="Arial"/>
            <family val="2"/>
          </rPr>
          <t xml:space="preserve">X = 177
Y = 3726
Z = -2870
R = 74</t>
        </r>
      </text>
    </comment>
    <comment ref="AA18" authorId="0">
      <text>
        <r>
          <rPr>
            <sz val="10"/>
            <rFont val="Arial"/>
            <family val="2"/>
          </rPr>
          <t xml:space="preserve">X  = 3314
Y = 331
Z = -1810
R = 16</t>
        </r>
      </text>
    </comment>
    <comment ref="AA19" authorId="0">
      <text>
        <r>
          <rPr>
            <sz val="10"/>
            <rFont val="Arial"/>
            <family val="2"/>
          </rPr>
          <t xml:space="preserve">X  = -1480
Y = 201
Y = 1008
R = 8</t>
        </r>
      </text>
    </comment>
    <comment ref="AA20" authorId="0">
      <text>
        <r>
          <rPr>
            <sz val="10"/>
            <rFont val="Arial"/>
            <family val="2"/>
          </rPr>
          <t xml:space="preserve">X = 1996
Y = 128
Z = -1370
R = 4</t>
        </r>
      </text>
    </comment>
    <comment ref="AA21" authorId="0">
      <text>
        <r>
          <rPr>
            <sz val="10"/>
            <rFont val="Arial"/>
            <family val="2"/>
          </rPr>
          <t xml:space="preserve">X = 3901
Y = 1
Z = -5
R = 103</t>
        </r>
      </text>
    </comment>
    <comment ref="AG4" authorId="0">
      <text>
        <r>
          <rPr>
            <sz val="10"/>
            <rFont val="Arial"/>
            <family val="2"/>
          </rPr>
          <t xml:space="preserve">ЁЛКА</t>
        </r>
      </text>
    </comment>
    <comment ref="AG5" authorId="0">
      <text>
        <r>
          <rPr>
            <sz val="10"/>
            <rFont val="Arial"/>
            <family val="2"/>
          </rPr>
          <t xml:space="preserve">СМЕСЬ</t>
        </r>
      </text>
    </comment>
    <comment ref="AG6" authorId="0">
      <text>
        <r>
          <rPr>
            <sz val="10"/>
            <rFont val="Arial"/>
            <family val="2"/>
          </rPr>
          <t xml:space="preserve">ИРИС</t>
        </r>
      </text>
    </comment>
    <comment ref="AG7" authorId="0">
      <text>
        <r>
          <rPr>
            <sz val="10"/>
            <rFont val="Arial"/>
            <family val="2"/>
          </rPr>
          <t xml:space="preserve">ЛЕМУР</t>
        </r>
      </text>
    </comment>
    <comment ref="AG8" authorId="0">
      <text>
        <r>
          <rPr>
            <sz val="10"/>
            <rFont val="Arial"/>
            <family val="2"/>
          </rPr>
          <t xml:space="preserve">МЫШЬ</t>
        </r>
      </text>
    </comment>
    <comment ref="AG9" authorId="0">
      <text>
        <r>
          <rPr>
            <sz val="10"/>
            <rFont val="Arial"/>
            <family val="2"/>
          </rPr>
          <t xml:space="preserve">АИСТ</t>
        </r>
      </text>
    </comment>
    <comment ref="AG10" authorId="0">
      <text>
        <r>
          <rPr>
            <sz val="10"/>
            <rFont val="Arial"/>
            <family val="2"/>
          </rPr>
          <t xml:space="preserve">ВЕТЕР</t>
        </r>
      </text>
    </comment>
    <comment ref="AG11" authorId="0">
      <text>
        <r>
          <rPr>
            <sz val="10"/>
            <rFont val="Arial"/>
            <family val="2"/>
          </rPr>
          <t xml:space="preserve">ВОРОН</t>
        </r>
      </text>
    </comment>
    <comment ref="AG12" authorId="0">
      <text>
        <r>
          <rPr>
            <sz val="10"/>
            <rFont val="Arial"/>
            <family val="2"/>
          </rPr>
          <t xml:space="preserve">ОСИНА</t>
        </r>
      </text>
    </comment>
    <comment ref="AG13" authorId="0">
      <text>
        <r>
          <rPr>
            <sz val="10"/>
            <rFont val="Arial"/>
            <family val="2"/>
          </rPr>
          <t xml:space="preserve">СНЕГ</t>
        </r>
      </text>
    </comment>
    <comment ref="AG14" authorId="0">
      <text>
        <r>
          <rPr>
            <sz val="10"/>
            <rFont val="Arial"/>
            <family val="2"/>
          </rPr>
          <t xml:space="preserve">СВЕТ</t>
        </r>
      </text>
    </comment>
    <comment ref="AG15" authorId="0">
      <text>
        <r>
          <rPr>
            <sz val="10"/>
            <rFont val="Arial"/>
            <family val="2"/>
          </rPr>
          <t xml:space="preserve">УСПЕХ</t>
        </r>
      </text>
    </comment>
    <comment ref="AG17" authorId="0">
      <text>
        <r>
          <rPr>
            <sz val="10"/>
            <rFont val="Arial"/>
            <family val="2"/>
          </rPr>
          <t xml:space="preserve">КОМЕТА</t>
        </r>
      </text>
    </comment>
    <comment ref="AG18" authorId="0">
      <text>
        <r>
          <rPr>
            <sz val="10"/>
            <rFont val="Arial"/>
            <family val="2"/>
          </rPr>
          <t xml:space="preserve">ЯСЕНЬ</t>
        </r>
      </text>
    </comment>
    <comment ref="AG19" authorId="0">
      <text>
        <r>
          <rPr>
            <sz val="10"/>
            <rFont val="Arial"/>
            <family val="2"/>
          </rPr>
          <t xml:space="preserve">ЗВЕЗДА</t>
        </r>
      </text>
    </comment>
    <comment ref="AG20" authorId="0">
      <text>
        <r>
          <rPr>
            <sz val="10"/>
            <rFont val="Arial"/>
            <family val="2"/>
          </rPr>
          <t xml:space="preserve">ОСИНА</t>
        </r>
      </text>
    </comment>
    <comment ref="AG21" authorId="0">
      <text>
        <r>
          <rPr>
            <sz val="10"/>
            <rFont val="Arial"/>
            <family val="2"/>
          </rPr>
          <t xml:space="preserve">ТРОН</t>
        </r>
      </text>
    </comment>
    <comment ref="AI4" authorId="0">
      <text>
        <r>
          <rPr>
            <sz val="10"/>
            <rFont val="Arial"/>
            <family val="2"/>
          </rPr>
          <t xml:space="preserve">*
По нажатию на готовность ВУ-2 программа случайным образом рисует на ВУ-6 (бегущая строка) одно из трёх изображений: камень, ножницы или бумагу. Выпадение всех фигур должно быть равновероятным.</t>
        </r>
      </text>
    </comment>
    <comment ref="AI5" authorId="0">
      <text>
        <r>
          <rPr>
            <sz val="10"/>
            <rFont val="Arial"/>
            <family val="2"/>
          </rPr>
          <t xml:space="preserve">+
С ВУ-8 (клавиатура) вводится строка, enter - завершение ввода. После окончания ввода, на ВУ-5 (принтер) вывести коды символов в 16-ричной системе счисления через пробел. Кодировка любая.</t>
        </r>
      </text>
    </comment>
    <comment ref="AI6" authorId="0">
      <text>
        <r>
          <rPr>
            <sz val="10"/>
            <rFont val="Arial"/>
            <family val="2"/>
          </rPr>
          <t xml:space="preserve">+
С ВУ-8 (клавиатура) вводится строка, "точка" - завершение ввода. После этого нужно заменить все гласные буквы на заглавные и ввести строку на принтер</t>
        </r>
      </text>
    </comment>
    <comment ref="AI7" authorId="0">
      <text>
        <r>
          <rPr>
            <sz val="10"/>
            <rFont val="Arial"/>
            <family val="2"/>
          </rPr>
          <t xml:space="preserve">+
С ВУ-3 вводится 16-разрядное число (в два захода, сначала старшая часть, затем младшая). Интерпретируя это число, как количество секунд, вывести на ВУ-5 (принтер) строку в формате "1ч 30м 12с". Вместо "0ч 15м 0с" выводить "15м". Кодировка любая.</t>
        </r>
      </text>
    </comment>
    <comment ref="AI8" authorId="0">
      <text>
        <r>
          <rPr>
            <sz val="10"/>
            <rFont val="Arial"/>
            <family val="2"/>
          </rPr>
          <t xml:space="preserve">+
С ВУ-8 (клавиатура) вводится строка, "точка" - завершение ввода. После окончания ввода, на ВУ-5 (принтер) вывести эту же строку, заменяя гласные символы на "-" (тире).</t>
        </r>
      </text>
    </comment>
    <comment ref="AI9" authorId="0">
      <text>
        <r>
          <rPr>
            <sz val="10"/>
            <rFont val="Arial"/>
            <family val="2"/>
          </rPr>
          <t xml:space="preserve">+
На ВУ-6 (бегущая строка) рисуется линия (земля). При нажатии на кнопку готовности ВУ-1, на ВУ-6 выводится дерево, затем продолжается рисование земли. При нажатии на готовность ВУ-2, на ВУ-6 выводится дом, затем продолжается рисование земли.</t>
        </r>
      </text>
    </comment>
    <comment ref="AI10" authorId="0">
      <text>
        <r>
          <rPr>
            <sz val="10"/>
            <rFont val="Arial"/>
            <family val="2"/>
          </rPr>
          <t xml:space="preserve">+
С ВУ-9 (цифровая клавиатура) вводится число (от 0 до 1000) в 10-й системе счисления. Нажатие на кнопку "=" - окончание ввода числа. Нажатия на другие клавиши игнорировать. После окончания ввода, на ВУ-5 (принтер) нужно вывести это число римскими цифрами. Кодировка любая.</t>
        </r>
      </text>
    </comment>
    <comment ref="AI11" authorId="0">
      <text>
        <r>
          <rPr>
            <sz val="10"/>
            <rFont val="Arial"/>
            <family val="2"/>
          </rPr>
          <t xml:space="preserve">+
C ВУ-3 вводится знаковое 8-разрядное число. Программа выводит ВУ-7 (семисегментный индикатор) модуль введённого числа.</t>
        </r>
      </text>
    </comment>
    <comment ref="AI12" authorId="0">
      <text>
        <r>
          <rPr>
            <sz val="10"/>
            <rFont val="Arial"/>
            <family val="2"/>
          </rPr>
          <t xml:space="preserve">С ВУ-9 (цифровая клавиатура) вводится число (от 0 до 99) в 10-й системе счисления. Нажатие на кнопку "=" - окончание ввода числа. Нажатия на другие клавиши игнорировать. После окончания ввода, на ВУ-7 (семисегментный индикатор) нужно вывести это число в 8-ричной системе счисления.</t>
        </r>
      </text>
    </comment>
    <comment ref="AI13" authorId="0">
      <text>
        <r>
          <rPr>
            <sz val="10"/>
            <rFont val="Arial"/>
            <family val="2"/>
          </rPr>
          <t xml:space="preserve">+
На ВУ-6 (бегущая строка) рисуется машинка. Если на ВУ-3 неотрицательное число, машинка повёрнута вправо, если отрицательное - влево. Ввод нового значения на ВУ-3 меняет направление отрисовки.</t>
        </r>
      </text>
    </comment>
    <comment ref="AI14" authorId="0">
      <text>
        <r>
          <rPr>
            <sz val="10"/>
            <rFont val="Arial"/>
            <family val="2"/>
          </rPr>
          <t xml:space="preserve">+
Сравнение беззнаковых чисел. С ВУ-3 вводится два беззнаковых 16-разрядных числа (в два захода, сначала старшая часть, затем младшая). На ВУ-7 (семисегментный индикатор) выводится наибольшее из двух чисел.</t>
        </r>
      </text>
    </comment>
    <comment ref="AI15" authorId="0">
      <text>
        <r>
          <rPr>
            <sz val="10"/>
            <rFont val="Arial"/>
            <family val="2"/>
          </rPr>
          <t xml:space="preserve">+
На ВУ-6 (бегущая строка) рисуется прямой угол (фигура из двух линий). Если значение на ВУ-2 положительное, угол имеет размеры 3х3 клетки, если отрицательное - 5х5. Если остаток от деления на 4 значения на ВУ-3 равен 2, угол повернут на 90 градусов по часовой стрелке, если остаток равен 3 - на 180 градусов, если четырём - на 270.</t>
        </r>
      </text>
    </comment>
    <comment ref="AI17" authorId="0">
      <text>
        <r>
          <rPr>
            <sz val="10"/>
            <rFont val="Arial"/>
            <family val="2"/>
          </rPr>
          <t xml:space="preserve">С ВУ-8 (клавиатура) вводится строка, "точка" - завершение ввода. После окончания ввода, на ВУ-5 (принтер) вывести эту же строку транслитом. Выберите наиболее подходящую для этого кодировку. </t>
        </r>
      </text>
    </comment>
    <comment ref="AI18" authorId="0">
      <text>
        <r>
          <rPr>
            <sz val="10"/>
            <rFont val="Arial"/>
            <family val="2"/>
          </rPr>
          <t xml:space="preserve">+
С ВУ-3 вводится массив чисел в следующем формате: сначала вводится длина массива, затем элементы. Элементы - знаковые 8-разрядные числа. После окончания ввода, на ВУ-7 (семисегментный индикатор) выводится максимальный элемент массива. Поиск максимального элемента массива вынести в подпрограмму.</t>
        </r>
      </text>
    </comment>
    <comment ref="AI19" authorId="0">
      <text>
        <r>
          <rPr>
            <sz val="10"/>
            <rFont val="Arial"/>
            <family val="2"/>
          </rPr>
          <t xml:space="preserve">+
Калькулятор. Реализовать вычисление остатка от деления нацело. Ввод пары чисел с ВУ-9 (цифровая клавиатура), разделитель чисел - операция деления. По нажатию "=" вывод результата на ВУ-7 (семисегментный индикатор).</t>
        </r>
      </text>
    </comment>
    <comment ref="AI20" authorId="0">
      <text>
        <r>
          <rPr>
            <sz val="10"/>
            <rFont val="Arial"/>
            <family val="2"/>
          </rPr>
          <t xml:space="preserve">+
Калькулятор. Реализовать деление нацело. Ввод пары чисел с ВУ-9 (цифровая клавиатура), разделитель чисел - операция деления. По нажатию "=" вывод результата на ВУ-5 (принтер). Кодировка любая.</t>
        </r>
      </text>
    </comment>
    <comment ref="AI21" authorId="0">
      <text>
        <r>
          <rPr>
            <sz val="10"/>
            <rFont val="Arial"/>
            <family val="2"/>
          </rPr>
          <t xml:space="preserve">+
С ВУ-8 (клавиатура) вводится дата в формате "дд.мм", нажатие enter - завершение ввода, иные символы (кроме цифр и точки) игнорировать. После окончания ввода, на ВУ-6 (бегущая строка) вывести изображение знака зодиака. Сделать проверку формата введённых данных, в случае некорректной даты вывести ":(".</t>
        </r>
      </text>
    </comment>
    <comment ref="BG13" authorId="0">
      <text>
        <r>
          <rPr>
            <sz val="10"/>
            <rFont val="Arial"/>
            <family val="2"/>
          </rPr>
          <t xml:space="preserve">не знаю, почему поставил "ладно"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L15" authorId="0">
      <text>
        <r>
          <rPr>
            <sz val="10"/>
            <rFont val="Arial"/>
            <family val="2"/>
          </rPr>
          <t xml:space="preserve">+ запрос от ВУ-1, который суммирует результаты посчитанных ранее функций (ВУ-3) и выходит из программы</t>
        </r>
      </text>
    </comment>
    <comment ref="BB6" authorId="0">
      <text>
        <r>
          <rPr>
            <sz val="10"/>
            <rFont val="Arial"/>
            <family val="2"/>
          </rPr>
          <t xml:space="preserve">пожалуй, нет. Слишком много ошибок
</t>
        </r>
      </text>
    </comment>
    <comment ref="BG5" authorId="0">
      <text>
        <r>
          <rPr>
            <sz val="10"/>
            <rFont val="Arial"/>
            <family val="2"/>
          </rPr>
          <t xml:space="preserve">нет второго вопроса =(</t>
        </r>
      </text>
    </comment>
    <comment ref="BG15" authorId="0">
      <text>
        <r>
          <rPr>
            <sz val="10"/>
            <rFont val="Arial"/>
            <family val="2"/>
          </rPr>
          <t xml:space="preserve">нет ПДП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J4" authorId="0">
      <text>
        <r>
          <rPr>
            <sz val="10"/>
            <rFont val="Arial"/>
            <family val="2"/>
          </rPr>
          <t xml:space="preserve">16.04 сдал первую лабу
23.04 получил вопрос на 2-ю (выполнение SUB)
24.04 сдал 2-ю лабу</t>
        </r>
      </text>
    </comment>
    <comment ref="J8" authorId="0">
      <text>
        <r>
          <rPr>
            <sz val="10"/>
            <rFont val="Arial"/>
            <family val="2"/>
          </rPr>
          <t xml:space="preserve">15.04 получил вопросы на защиту
24.04 сдал 2ю лабу
</t>
        </r>
      </text>
    </comment>
  </commentList>
</comments>
</file>

<file path=xl/sharedStrings.xml><?xml version="1.0" encoding="utf-8"?>
<sst xmlns="http://schemas.openxmlformats.org/spreadsheetml/2006/main" count="8685" uniqueCount="1580">
  <si>
    <t xml:space="preserve">№</t>
  </si>
  <si>
    <t xml:space="preserve">ИСУ</t>
  </si>
  <si>
    <t xml:space="preserve">Ф.И.О.</t>
  </si>
  <si>
    <t xml:space="preserve">Группа по ИСУ</t>
  </si>
  <si>
    <t xml:space="preserve">Группа фактическая</t>
  </si>
  <si>
    <t xml:space="preserve">Вкладка</t>
  </si>
  <si>
    <t xml:space="preserve">Check</t>
  </si>
  <si>
    <t xml:space="preserve">Offset</t>
  </si>
  <si>
    <t xml:space="preserve">ЛР3</t>
  </si>
  <si>
    <t xml:space="preserve">ЛР4</t>
  </si>
  <si>
    <t xml:space="preserve">ЛР5</t>
  </si>
  <si>
    <t xml:space="preserve">ЛР6</t>
  </si>
  <si>
    <t xml:space="preserve">ЛР7</t>
  </si>
  <si>
    <t xml:space="preserve">МК1</t>
  </si>
  <si>
    <t xml:space="preserve">МК2</t>
  </si>
  <si>
    <t xml:space="preserve">Рубеж</t>
  </si>
  <si>
    <t xml:space="preserve">Экзамен</t>
  </si>
  <si>
    <t xml:space="preserve">ЛК</t>
  </si>
  <si>
    <t xml:space="preserve">Итого</t>
  </si>
  <si>
    <t xml:space="preserve">464902</t>
  </si>
  <si>
    <t xml:space="preserve">Абодерин Абдуллах Аболаде</t>
  </si>
  <si>
    <t xml:space="preserve">P3132</t>
  </si>
  <si>
    <t xml:space="preserve">471658</t>
  </si>
  <si>
    <t xml:space="preserve">Агаларова Айсел Нубарековна</t>
  </si>
  <si>
    <t xml:space="preserve">P3130</t>
  </si>
  <si>
    <t xml:space="preserve">465026</t>
  </si>
  <si>
    <t xml:space="preserve">Антонова Анна Игоревна</t>
  </si>
  <si>
    <t xml:space="preserve">465058</t>
  </si>
  <si>
    <t xml:space="preserve">Арцер Александр Александрович</t>
  </si>
  <si>
    <t xml:space="preserve">408184</t>
  </si>
  <si>
    <t xml:space="preserve">Ашралиева Дана Руслановна</t>
  </si>
  <si>
    <t xml:space="preserve">465186</t>
  </si>
  <si>
    <t xml:space="preserve">Белов Вадим Алексеевич</t>
  </si>
  <si>
    <t xml:space="preserve">407784</t>
  </si>
  <si>
    <t xml:space="preserve">Белхушет Мохаммед Сирадж</t>
  </si>
  <si>
    <t xml:space="preserve">431831</t>
  </si>
  <si>
    <t xml:space="preserve">Бущик Иван Николаевич</t>
  </si>
  <si>
    <t xml:space="preserve">465346</t>
  </si>
  <si>
    <t xml:space="preserve">Валиев Руслан Новруз Оглы</t>
  </si>
  <si>
    <t xml:space="preserve">P3131</t>
  </si>
  <si>
    <t xml:space="preserve">408364</t>
  </si>
  <si>
    <t xml:space="preserve">Васин Михаил Александрович</t>
  </si>
  <si>
    <t xml:space="preserve">372854</t>
  </si>
  <si>
    <t xml:space="preserve">Вернер Кристина Витальевна</t>
  </si>
  <si>
    <t xml:space="preserve">465601</t>
  </si>
  <si>
    <t xml:space="preserve">Горшелев Кирилл Валерьевич</t>
  </si>
  <si>
    <t xml:space="preserve">465602</t>
  </si>
  <si>
    <t xml:space="preserve">Горшенин Владислав Дмитриевич</t>
  </si>
  <si>
    <t xml:space="preserve">471855</t>
  </si>
  <si>
    <t xml:space="preserve">Гребенюк Леонид Сергеевич</t>
  </si>
  <si>
    <t xml:space="preserve">435169</t>
  </si>
  <si>
    <t xml:space="preserve">Гузалов Тимур Павлович</t>
  </si>
  <si>
    <t xml:space="preserve">465676</t>
  </si>
  <si>
    <t xml:space="preserve">Гулахмадзода Имрон Бехруз</t>
  </si>
  <si>
    <t xml:space="preserve">465716</t>
  </si>
  <si>
    <t xml:space="preserve">Дараб Задех Захра</t>
  </si>
  <si>
    <t xml:space="preserve">465727</t>
  </si>
  <si>
    <t xml:space="preserve">Дедюкиева Иляна Валерьевна</t>
  </si>
  <si>
    <t xml:space="preserve">408023</t>
  </si>
  <si>
    <t xml:space="preserve">Димо Джофани Патрис Юпио</t>
  </si>
  <si>
    <t xml:space="preserve">407868</t>
  </si>
  <si>
    <t xml:space="preserve">Динь Хюи Хоанг</t>
  </si>
  <si>
    <t xml:space="preserve">465824</t>
  </si>
  <si>
    <t xml:space="preserve">Дядев Владислав Александрович</t>
  </si>
  <si>
    <t xml:space="preserve">471917</t>
  </si>
  <si>
    <t xml:space="preserve">Ежелева Дарья Витальевна</t>
  </si>
  <si>
    <t xml:space="preserve">408578</t>
  </si>
  <si>
    <t xml:space="preserve">Езерский Андрей Александрович</t>
  </si>
  <si>
    <t xml:space="preserve">465871</t>
  </si>
  <si>
    <t xml:space="preserve">Ершов Дмитрий Александрович</t>
  </si>
  <si>
    <t xml:space="preserve">381731</t>
  </si>
  <si>
    <t xml:space="preserve">Жукова Мария Владимировна</t>
  </si>
  <si>
    <t xml:space="preserve">465903</t>
  </si>
  <si>
    <t xml:space="preserve">Журавлев Ярослав Денисович</t>
  </si>
  <si>
    <t xml:space="preserve">465983</t>
  </si>
  <si>
    <t xml:space="preserve">Зотов Ярослав Сергеевич</t>
  </si>
  <si>
    <t xml:space="preserve">463221</t>
  </si>
  <si>
    <t xml:space="preserve">Идрис Шуаибу</t>
  </si>
  <si>
    <t xml:space="preserve">407796</t>
  </si>
  <si>
    <t xml:space="preserve">Ислам Мд Асифул</t>
  </si>
  <si>
    <t xml:space="preserve">466072</t>
  </si>
  <si>
    <t xml:space="preserve">Казакова Елена Денисовна</t>
  </si>
  <si>
    <t xml:space="preserve">466197</t>
  </si>
  <si>
    <t xml:space="preserve">Ковалев Александр Юрьевич</t>
  </si>
  <si>
    <t xml:space="preserve">466280</t>
  </si>
  <si>
    <t xml:space="preserve">Корнеев Григорий Сергеевич</t>
  </si>
  <si>
    <t xml:space="preserve">466298</t>
  </si>
  <si>
    <t xml:space="preserve">Корхонен Артём Андреевич</t>
  </si>
  <si>
    <t xml:space="preserve">466309</t>
  </si>
  <si>
    <t xml:space="preserve">Косов Артём Андреевич</t>
  </si>
  <si>
    <t xml:space="preserve">489925</t>
  </si>
  <si>
    <t xml:space="preserve">Краснов Владислав Васильевич</t>
  </si>
  <si>
    <t xml:space="preserve">466385</t>
  </si>
  <si>
    <t xml:space="preserve">Кузнецов Андрей Александрович</t>
  </si>
  <si>
    <t xml:space="preserve">466398</t>
  </si>
  <si>
    <t xml:space="preserve">Кузубов Константин Александрович</t>
  </si>
  <si>
    <t xml:space="preserve">466449</t>
  </si>
  <si>
    <t xml:space="preserve">Лабин Макар Андреевич</t>
  </si>
  <si>
    <t xml:space="preserve">407885</t>
  </si>
  <si>
    <t xml:space="preserve">Ларби Энох Асанте</t>
  </si>
  <si>
    <t xml:space="preserve">466472</t>
  </si>
  <si>
    <t xml:space="preserve">Ларютин Иван Николаевич</t>
  </si>
  <si>
    <t xml:space="preserve">466546</t>
  </si>
  <si>
    <t xml:space="preserve">Лукина Татьяна Александровна</t>
  </si>
  <si>
    <t xml:space="preserve">466629</t>
  </si>
  <si>
    <t xml:space="preserve">Маренников Андрей Иванович</t>
  </si>
  <si>
    <t xml:space="preserve">407888</t>
  </si>
  <si>
    <t xml:space="preserve">Мохамед Амр Ибрахим Гениди</t>
  </si>
  <si>
    <t xml:space="preserve">466903</t>
  </si>
  <si>
    <t xml:space="preserve">Новиков Даниил Дмитриевич</t>
  </si>
  <si>
    <t xml:space="preserve">466944</t>
  </si>
  <si>
    <t xml:space="preserve">Ожеховский Александр Сергеевич</t>
  </si>
  <si>
    <t xml:space="preserve">463223</t>
  </si>
  <si>
    <t xml:space="preserve">Оладое Майкл Блессинг</t>
  </si>
  <si>
    <t xml:space="preserve">413033</t>
  </si>
  <si>
    <t xml:space="preserve">Ортис Варгас Сара Хулиана</t>
  </si>
  <si>
    <t xml:space="preserve">467082</t>
  </si>
  <si>
    <t xml:space="preserve">Пивоваров Роман Николаевич</t>
  </si>
  <si>
    <t xml:space="preserve">472391</t>
  </si>
  <si>
    <t xml:space="preserve">Пулотов Фирдавсджон Шухратович</t>
  </si>
  <si>
    <t xml:space="preserve">467211</t>
  </si>
  <si>
    <t xml:space="preserve">Разгоняев Максим Витальевич</t>
  </si>
  <si>
    <t xml:space="preserve">407793</t>
  </si>
  <si>
    <t xml:space="preserve">Рахаман Мд Афифур</t>
  </si>
  <si>
    <t xml:space="preserve">467244</t>
  </si>
  <si>
    <t xml:space="preserve">Родионов Максим Артемович</t>
  </si>
  <si>
    <t xml:space="preserve">467282</t>
  </si>
  <si>
    <t xml:space="preserve">Русанов Сергей Константинович</t>
  </si>
  <si>
    <t xml:space="preserve">467288</t>
  </si>
  <si>
    <t xml:space="preserve">Рутман Роман Ильич</t>
  </si>
  <si>
    <t xml:space="preserve">467318</t>
  </si>
  <si>
    <t xml:space="preserve">Савинов Дмитрий Александрович</t>
  </si>
  <si>
    <t xml:space="preserve">408067</t>
  </si>
  <si>
    <t xml:space="preserve">Салями Анас</t>
  </si>
  <si>
    <t xml:space="preserve">467392</t>
  </si>
  <si>
    <t xml:space="preserve">Свечников Константин Денисович</t>
  </si>
  <si>
    <t xml:space="preserve">470162</t>
  </si>
  <si>
    <t xml:space="preserve">Серов Антон Александрович</t>
  </si>
  <si>
    <t xml:space="preserve">467549</t>
  </si>
  <si>
    <t xml:space="preserve">Соловьев Алексей Владиславович</t>
  </si>
  <si>
    <t xml:space="preserve">409611</t>
  </si>
  <si>
    <t xml:space="preserve">Сологубов Матвей Алексеевич</t>
  </si>
  <si>
    <t xml:space="preserve">467586</t>
  </si>
  <si>
    <t xml:space="preserve">Старченко Александр Николаевич</t>
  </si>
  <si>
    <t xml:space="preserve">463225</t>
  </si>
  <si>
    <t xml:space="preserve">Стивен Франклин Фейвор Ннаемека</t>
  </si>
  <si>
    <t xml:space="preserve">467610</t>
  </si>
  <si>
    <t xml:space="preserve">Стрелов Алексей Дмитриевич</t>
  </si>
  <si>
    <t xml:space="preserve">409658</t>
  </si>
  <si>
    <t xml:space="preserve">Сыщиков Никита Сергеевич</t>
  </si>
  <si>
    <t xml:space="preserve">467676</t>
  </si>
  <si>
    <t xml:space="preserve">Тарнопольский Максим Николаевич</t>
  </si>
  <si>
    <t xml:space="preserve">472548</t>
  </si>
  <si>
    <t xml:space="preserve">Тенькаев Артём Антонович</t>
  </si>
  <si>
    <t xml:space="preserve">467783</t>
  </si>
  <si>
    <t xml:space="preserve">Турыгин Никита Денисович</t>
  </si>
  <si>
    <t xml:space="preserve">463226</t>
  </si>
  <si>
    <t xml:space="preserve">Уджах Генри Агада</t>
  </si>
  <si>
    <t xml:space="preserve">467898</t>
  </si>
  <si>
    <t xml:space="preserve">Хабиров Тимур Рустемович</t>
  </si>
  <si>
    <t xml:space="preserve">415129</t>
  </si>
  <si>
    <t xml:space="preserve">Хоанг Тхе Вьет</t>
  </si>
  <si>
    <t xml:space="preserve">368999</t>
  </si>
  <si>
    <t xml:space="preserve">Хоменков Андрей Петрович</t>
  </si>
  <si>
    <t xml:space="preserve">407938</t>
  </si>
  <si>
    <t xml:space="preserve">Чирима Инносент Кельвин</t>
  </si>
  <si>
    <t xml:space="preserve">468098</t>
  </si>
  <si>
    <t xml:space="preserve">Шихахмедов Багаутдин Вадимович</t>
  </si>
  <si>
    <t xml:space="preserve">475247</t>
  </si>
  <si>
    <t xml:space="preserve">Шмидько Елизавета Львовна</t>
  </si>
  <si>
    <t xml:space="preserve">408078</t>
  </si>
  <si>
    <t xml:space="preserve">Юксель Хамза</t>
  </si>
  <si>
    <t xml:space="preserve">464900</t>
  </si>
  <si>
    <t xml:space="preserve">Абдуллаева София Улугбековна</t>
  </si>
  <si>
    <t xml:space="preserve">P3108</t>
  </si>
  <si>
    <t xml:space="preserve">464905</t>
  </si>
  <si>
    <t xml:space="preserve">Абрамов Егор Денисович</t>
  </si>
  <si>
    <t xml:space="preserve">P3119</t>
  </si>
  <si>
    <t xml:space="preserve">464906</t>
  </si>
  <si>
    <t xml:space="preserve">Абрамова Анастасия Сергеевна</t>
  </si>
  <si>
    <t xml:space="preserve">P3111</t>
  </si>
  <si>
    <t xml:space="preserve">464917</t>
  </si>
  <si>
    <t xml:space="preserve">Авдеев Владислав Александрович</t>
  </si>
  <si>
    <t xml:space="preserve">P3114</t>
  </si>
  <si>
    <t xml:space="preserve">464921</t>
  </si>
  <si>
    <t xml:space="preserve">Авенданьо Дуран Карлос Мануэль</t>
  </si>
  <si>
    <t xml:space="preserve">P3106</t>
  </si>
  <si>
    <t xml:space="preserve">399913</t>
  </si>
  <si>
    <t xml:space="preserve">Александрова Милана Сергеевна</t>
  </si>
  <si>
    <t xml:space="preserve">471668</t>
  </si>
  <si>
    <t xml:space="preserve">Алтанхуяг Нямсурэн</t>
  </si>
  <si>
    <t xml:space="preserve">P3112</t>
  </si>
  <si>
    <t xml:space="preserve">464985</t>
  </si>
  <si>
    <t xml:space="preserve">Алтухов Владимир Александрович</t>
  </si>
  <si>
    <t xml:space="preserve">P3110</t>
  </si>
  <si>
    <t xml:space="preserve">465029</t>
  </si>
  <si>
    <t xml:space="preserve">Ануфриев Андрей Сергеевич</t>
  </si>
  <si>
    <t xml:space="preserve">476150</t>
  </si>
  <si>
    <t xml:space="preserve">Ахроров Кароматуллохон Фирдавсович</t>
  </si>
  <si>
    <t xml:space="preserve">465105</t>
  </si>
  <si>
    <t xml:space="preserve">Байбурина Карина Ильшатовна</t>
  </si>
  <si>
    <t xml:space="preserve">489380</t>
  </si>
  <si>
    <t xml:space="preserve">Бандурин Егор Сергеевич</t>
  </si>
  <si>
    <t xml:space="preserve">465142</t>
  </si>
  <si>
    <t xml:space="preserve">Бармичев Григорий Андреевич</t>
  </si>
  <si>
    <t xml:space="preserve">471733</t>
  </si>
  <si>
    <t xml:space="preserve">Бегун Фёдор Аркадьевич</t>
  </si>
  <si>
    <t xml:space="preserve">408076</t>
  </si>
  <si>
    <t xml:space="preserve">Бен Шамех Абделазиз</t>
  </si>
  <si>
    <t xml:space="preserve">465211</t>
  </si>
  <si>
    <t xml:space="preserve">Бердышев Григорий Александрович</t>
  </si>
  <si>
    <t xml:space="preserve">465224</t>
  </si>
  <si>
    <t xml:space="preserve">Бибиков Владислав Олегович</t>
  </si>
  <si>
    <t xml:space="preserve">P3116</t>
  </si>
  <si>
    <t xml:space="preserve">465244</t>
  </si>
  <si>
    <t xml:space="preserve">Бойко Георгий Александрович</t>
  </si>
  <si>
    <t xml:space="preserve">465259</t>
  </si>
  <si>
    <t xml:space="preserve">Бондаренко Андрей Владимирович</t>
  </si>
  <si>
    <t xml:space="preserve">P3115</t>
  </si>
  <si>
    <t xml:space="preserve">465280</t>
  </si>
  <si>
    <t xml:space="preserve">Бражкин Егор Юрьевич</t>
  </si>
  <si>
    <t xml:space="preserve">465294</t>
  </si>
  <si>
    <t xml:space="preserve">Букреев Степан Сергеевич</t>
  </si>
  <si>
    <t xml:space="preserve">P3117</t>
  </si>
  <si>
    <t xml:space="preserve">465303</t>
  </si>
  <si>
    <t xml:space="preserve">Булюсин Илья Олегович</t>
  </si>
  <si>
    <t xml:space="preserve">489889</t>
  </si>
  <si>
    <t xml:space="preserve">Быков Лев</t>
  </si>
  <si>
    <t xml:space="preserve">465355</t>
  </si>
  <si>
    <t xml:space="preserve">Васильев Александр Георгиевич</t>
  </si>
  <si>
    <t xml:space="preserve">471800</t>
  </si>
  <si>
    <t xml:space="preserve">Ведерникова Анна Васильевна</t>
  </si>
  <si>
    <t xml:space="preserve">P3109</t>
  </si>
  <si>
    <t xml:space="preserve">465382</t>
  </si>
  <si>
    <t xml:space="preserve">Ведехин Александр Вадимович</t>
  </si>
  <si>
    <t xml:space="preserve">P3118</t>
  </si>
  <si>
    <t xml:space="preserve">465439</t>
  </si>
  <si>
    <t xml:space="preserve">Вольнова Анна Александровна</t>
  </si>
  <si>
    <t xml:space="preserve">465457</t>
  </si>
  <si>
    <t xml:space="preserve">Вохрамеев Глеб Дмитриевич</t>
  </si>
  <si>
    <t xml:space="preserve">408410</t>
  </si>
  <si>
    <t xml:space="preserve">Гаврилов Данил Сергеевич</t>
  </si>
  <si>
    <t xml:space="preserve">465479</t>
  </si>
  <si>
    <t xml:space="preserve">Гаврилюк Максим Юрьевич</t>
  </si>
  <si>
    <t xml:space="preserve">P3113</t>
  </si>
  <si>
    <t xml:space="preserve">465487</t>
  </si>
  <si>
    <t xml:space="preserve">Газизуллин Ринат Ришатович</t>
  </si>
  <si>
    <t xml:space="preserve">408417</t>
  </si>
  <si>
    <t xml:space="preserve">Галак Екатерина Анатольевна</t>
  </si>
  <si>
    <t xml:space="preserve">465544</t>
  </si>
  <si>
    <t xml:space="preserve">Гладышев Иван Станиславович</t>
  </si>
  <si>
    <t xml:space="preserve">465561</t>
  </si>
  <si>
    <t xml:space="preserve">Гойхман Елена Яковлевна</t>
  </si>
  <si>
    <t xml:space="preserve">465567</t>
  </si>
  <si>
    <t xml:space="preserve">Головач Владимир Сергеевич</t>
  </si>
  <si>
    <t xml:space="preserve">368041</t>
  </si>
  <si>
    <t xml:space="preserve">Гончаров Артём Дмитриевич</t>
  </si>
  <si>
    <t xml:space="preserve">471848</t>
  </si>
  <si>
    <t xml:space="preserve">Гончаров Максим Дмитриевич</t>
  </si>
  <si>
    <t xml:space="preserve">465591</t>
  </si>
  <si>
    <t xml:space="preserve">Горелова Ульяна Андреевна</t>
  </si>
  <si>
    <t xml:space="preserve">465592</t>
  </si>
  <si>
    <t xml:space="preserve">Горин Семён Дмитриевич</t>
  </si>
  <si>
    <t xml:space="preserve">465635</t>
  </si>
  <si>
    <t xml:space="preserve">Григорьев Даниил Александрович</t>
  </si>
  <si>
    <t xml:space="preserve">465657</t>
  </si>
  <si>
    <t xml:space="preserve">Гришин Артем Евгеньевич</t>
  </si>
  <si>
    <t xml:space="preserve">471872</t>
  </si>
  <si>
    <t xml:space="preserve">Давиденко Кирилл Павлович</t>
  </si>
  <si>
    <t xml:space="preserve">465722</t>
  </si>
  <si>
    <t xml:space="preserve">Девятых Павел Леонидович</t>
  </si>
  <si>
    <t xml:space="preserve">465745</t>
  </si>
  <si>
    <t xml:space="preserve">Деревянко Владимир Владимирович</t>
  </si>
  <si>
    <t xml:space="preserve">465746</t>
  </si>
  <si>
    <t xml:space="preserve">Дереновский Илья Андреевич</t>
  </si>
  <si>
    <t xml:space="preserve">465755</t>
  </si>
  <si>
    <t xml:space="preserve">Джантуре Назерке</t>
  </si>
  <si>
    <t xml:space="preserve">465774</t>
  </si>
  <si>
    <t xml:space="preserve">Добрышкин Владимир Александрович</t>
  </si>
  <si>
    <t xml:space="preserve">P3107</t>
  </si>
  <si>
    <t xml:space="preserve">465808</t>
  </si>
  <si>
    <t xml:space="preserve">Дубовец Дмитрий Александрович</t>
  </si>
  <si>
    <t xml:space="preserve">474281</t>
  </si>
  <si>
    <t xml:space="preserve">Дърлянов Христо Христов</t>
  </si>
  <si>
    <t xml:space="preserve">465826</t>
  </si>
  <si>
    <t xml:space="preserve">Евграфов Артём Андреевич</t>
  </si>
  <si>
    <t xml:space="preserve">412940</t>
  </si>
  <si>
    <t xml:space="preserve">Еремин Денис Андреевич</t>
  </si>
  <si>
    <t xml:space="preserve">465870</t>
  </si>
  <si>
    <t xml:space="preserve">Ерохин Егор Геннадьевич</t>
  </si>
  <si>
    <t xml:space="preserve">465887</t>
  </si>
  <si>
    <t xml:space="preserve">Жеребцов Михаил Александрович</t>
  </si>
  <si>
    <t xml:space="preserve">465917</t>
  </si>
  <si>
    <t xml:space="preserve">Заголович Александр Андреевич</t>
  </si>
  <si>
    <t xml:space="preserve">489451</t>
  </si>
  <si>
    <t xml:space="preserve">Зайцев Дмитрий Владимирович</t>
  </si>
  <si>
    <t xml:space="preserve">465945</t>
  </si>
  <si>
    <t xml:space="preserve">Западовников Алексей Викторович</t>
  </si>
  <si>
    <t xml:space="preserve">465951</t>
  </si>
  <si>
    <t xml:space="preserve">Захарченко Андрей Сергеевич</t>
  </si>
  <si>
    <t xml:space="preserve">465967</t>
  </si>
  <si>
    <t xml:space="preserve">Зенченков Павел Геннадьевич</t>
  </si>
  <si>
    <t xml:space="preserve">465987</t>
  </si>
  <si>
    <t xml:space="preserve">Зубулина Юлия Максимовна</t>
  </si>
  <si>
    <t xml:space="preserve">489388</t>
  </si>
  <si>
    <t xml:space="preserve">Зуев Даниил Андреевич</t>
  </si>
  <si>
    <t xml:space="preserve">465993</t>
  </si>
  <si>
    <t xml:space="preserve">Зыков Андрей Алексеевич</t>
  </si>
  <si>
    <t xml:space="preserve">489406</t>
  </si>
  <si>
    <t xml:space="preserve">Изаак Герман Константинович</t>
  </si>
  <si>
    <t xml:space="preserve">406492</t>
  </si>
  <si>
    <t xml:space="preserve">Ильичев Александр Игоревич</t>
  </si>
  <si>
    <t xml:space="preserve">466042</t>
  </si>
  <si>
    <t xml:space="preserve">Ипантьев Иван</t>
  </si>
  <si>
    <t xml:space="preserve">466049</t>
  </si>
  <si>
    <t xml:space="preserve">Исаева Александра-Ирина Антоновна</t>
  </si>
  <si>
    <t xml:space="preserve">466082</t>
  </si>
  <si>
    <t xml:space="preserve">Кайгородова Александра Андреевна</t>
  </si>
  <si>
    <t xml:space="preserve">466084</t>
  </si>
  <si>
    <t xml:space="preserve">Калакин Ярослав Евгеньевич</t>
  </si>
  <si>
    <t xml:space="preserve">466088</t>
  </si>
  <si>
    <t xml:space="preserve">Калинин Дмитрий Викторович</t>
  </si>
  <si>
    <t xml:space="preserve">466113</t>
  </si>
  <si>
    <t xml:space="preserve">Караганов Павел Эдуардович</t>
  </si>
  <si>
    <t xml:space="preserve">466114</t>
  </si>
  <si>
    <t xml:space="preserve">Карасев Александр Дмитриевич</t>
  </si>
  <si>
    <t xml:space="preserve">466127</t>
  </si>
  <si>
    <t xml:space="preserve">Карнажицкий Максим Романович</t>
  </si>
  <si>
    <t xml:space="preserve">466137</t>
  </si>
  <si>
    <t xml:space="preserve">Картомышев Антон Романович</t>
  </si>
  <si>
    <t xml:space="preserve">466140</t>
  </si>
  <si>
    <t xml:space="preserve">Касимов Аскар Маратович</t>
  </si>
  <si>
    <t xml:space="preserve">466177</t>
  </si>
  <si>
    <t xml:space="preserve">Клевцов Александр Сергеевич</t>
  </si>
  <si>
    <t xml:space="preserve">466200</t>
  </si>
  <si>
    <t xml:space="preserve">Ковалев Руслан Бабекович</t>
  </si>
  <si>
    <t xml:space="preserve">466207</t>
  </si>
  <si>
    <t xml:space="preserve">Ковыршин Александр Сергеевич</t>
  </si>
  <si>
    <t xml:space="preserve">466217</t>
  </si>
  <si>
    <t xml:space="preserve">Козаченко Данил Александрович</t>
  </si>
  <si>
    <t xml:space="preserve">408809</t>
  </si>
  <si>
    <t xml:space="preserve">Козицкая Полина Николаевна</t>
  </si>
  <si>
    <t xml:space="preserve">466272</t>
  </si>
  <si>
    <t xml:space="preserve">Корепанов Олег Сергеевич</t>
  </si>
  <si>
    <t xml:space="preserve">466273</t>
  </si>
  <si>
    <t xml:space="preserve">Корепина Ксения Ильинична</t>
  </si>
  <si>
    <t xml:space="preserve">466279</t>
  </si>
  <si>
    <t xml:space="preserve">Корнеев Глеб Евгеньевич</t>
  </si>
  <si>
    <t xml:space="preserve">466287</t>
  </si>
  <si>
    <t xml:space="preserve">Коробов Алексей Сергеевич</t>
  </si>
  <si>
    <t xml:space="preserve">466300</t>
  </si>
  <si>
    <t xml:space="preserve">Коршун Артём Сергеевич</t>
  </si>
  <si>
    <t xml:space="preserve">466310</t>
  </si>
  <si>
    <t xml:space="preserve">Косогова Мария Александровна</t>
  </si>
  <si>
    <t xml:space="preserve">466316</t>
  </si>
  <si>
    <t xml:space="preserve">Котиков Вадим Сергеевич</t>
  </si>
  <si>
    <t xml:space="preserve">472094</t>
  </si>
  <si>
    <t xml:space="preserve">Крамбалев Сергей Дмитриевич</t>
  </si>
  <si>
    <t xml:space="preserve">466339</t>
  </si>
  <si>
    <t xml:space="preserve">Краснов Алексей Сергеевич</t>
  </si>
  <si>
    <t xml:space="preserve">466344</t>
  </si>
  <si>
    <t xml:space="preserve">Красноштанова Юлия Николаевна</t>
  </si>
  <si>
    <t xml:space="preserve">466363</t>
  </si>
  <si>
    <t xml:space="preserve">Круль Михаил Валерьевич</t>
  </si>
  <si>
    <t xml:space="preserve">466369</t>
  </si>
  <si>
    <t xml:space="preserve">Крылова Мария Дмитриевна</t>
  </si>
  <si>
    <t xml:space="preserve">466380</t>
  </si>
  <si>
    <t xml:space="preserve">Кудрявцева Руслана Сергеевна</t>
  </si>
  <si>
    <t xml:space="preserve">408931</t>
  </si>
  <si>
    <t xml:space="preserve">Кудряшова Татьяна Юрьевна</t>
  </si>
  <si>
    <t xml:space="preserve">466386</t>
  </si>
  <si>
    <t xml:space="preserve">Кузнецов Андрей Романович</t>
  </si>
  <si>
    <t xml:space="preserve">466402</t>
  </si>
  <si>
    <t xml:space="preserve">Кузьмин Дмитрий Анатольевич</t>
  </si>
  <si>
    <t xml:space="preserve">466423</t>
  </si>
  <si>
    <t xml:space="preserve">Курагина Анастасия Романовна</t>
  </si>
  <si>
    <t xml:space="preserve">466441</t>
  </si>
  <si>
    <t xml:space="preserve">Кутузова Софья Руслановна</t>
  </si>
  <si>
    <t xml:space="preserve">466468</t>
  </si>
  <si>
    <t xml:space="preserve">Ларионов Владислав Васильевич</t>
  </si>
  <si>
    <t xml:space="preserve">367349</t>
  </si>
  <si>
    <t xml:space="preserve">Лежебоков Владислав Максимович</t>
  </si>
  <si>
    <t xml:space="preserve">466495</t>
  </si>
  <si>
    <t xml:space="preserve">Лежнев Никита Сергеевич</t>
  </si>
  <si>
    <t xml:space="preserve">466497</t>
  </si>
  <si>
    <t xml:space="preserve">Лейковский Никита Вячеславович</t>
  </si>
  <si>
    <t xml:space="preserve">472157</t>
  </si>
  <si>
    <t xml:space="preserve">Леонтьева Арина Николаевна</t>
  </si>
  <si>
    <t xml:space="preserve">466501</t>
  </si>
  <si>
    <t xml:space="preserve">Лесников Владимир Алексеевич</t>
  </si>
  <si>
    <t xml:space="preserve">466513</t>
  </si>
  <si>
    <t xml:space="preserve">Линейский Аким Евгеньевич</t>
  </si>
  <si>
    <t xml:space="preserve">466520</t>
  </si>
  <si>
    <t xml:space="preserve">Логачев Владислав Алексеевич</t>
  </si>
  <si>
    <t xml:space="preserve">466537</t>
  </si>
  <si>
    <t xml:space="preserve">Лоскутов Прохор Александрович</t>
  </si>
  <si>
    <t xml:space="preserve">466549</t>
  </si>
  <si>
    <t xml:space="preserve">Лукошников Дмитрий Викторович</t>
  </si>
  <si>
    <t xml:space="preserve">439629</t>
  </si>
  <si>
    <t xml:space="preserve">Лунин Илья Владимирович</t>
  </si>
  <si>
    <t xml:space="preserve">466560</t>
  </si>
  <si>
    <t xml:space="preserve">Львова Елизавета Юрьевна</t>
  </si>
  <si>
    <t xml:space="preserve">472196</t>
  </si>
  <si>
    <t xml:space="preserve">Макаров Матвей Романович</t>
  </si>
  <si>
    <t xml:space="preserve">466593</t>
  </si>
  <si>
    <t xml:space="preserve">Макашин Андрей Михайлович</t>
  </si>
  <si>
    <t xml:space="preserve">466595</t>
  </si>
  <si>
    <t xml:space="preserve">Макогон Ярослав Вадимович</t>
  </si>
  <si>
    <t xml:space="preserve">434931</t>
  </si>
  <si>
    <t xml:space="preserve">Мантуш Даниил Валерьевич</t>
  </si>
  <si>
    <t xml:space="preserve">413004</t>
  </si>
  <si>
    <t xml:space="preserve">Маншетов Максим Владимирович</t>
  </si>
  <si>
    <t xml:space="preserve">409086</t>
  </si>
  <si>
    <t xml:space="preserve">Маринин Матвей Александрович</t>
  </si>
  <si>
    <t xml:space="preserve">373256</t>
  </si>
  <si>
    <t xml:space="preserve">Мартинес Родригес Мартин Адриан</t>
  </si>
  <si>
    <t xml:space="preserve">466650</t>
  </si>
  <si>
    <t xml:space="preserve">Марьин Григорий Алексеевич</t>
  </si>
  <si>
    <t xml:space="preserve">466662</t>
  </si>
  <si>
    <t xml:space="preserve">Матвеева Полина Павловна</t>
  </si>
  <si>
    <t xml:space="preserve">466668</t>
  </si>
  <si>
    <t xml:space="preserve">Махмутова Диана Радиковна</t>
  </si>
  <si>
    <t xml:space="preserve">489568</t>
  </si>
  <si>
    <t xml:space="preserve">Махнева Ирина Александровна</t>
  </si>
  <si>
    <t xml:space="preserve">466690</t>
  </si>
  <si>
    <t xml:space="preserve">Мельник Фёдор Александрович</t>
  </si>
  <si>
    <t xml:space="preserve">335003</t>
  </si>
  <si>
    <t xml:space="preserve">Меснянкин Максим Александрович</t>
  </si>
  <si>
    <t xml:space="preserve">466730</t>
  </si>
  <si>
    <t xml:space="preserve">Михайлов Петр Сергеевич</t>
  </si>
  <si>
    <t xml:space="preserve">466752</t>
  </si>
  <si>
    <t xml:space="preserve">Молоков Федор Михайлович</t>
  </si>
  <si>
    <t xml:space="preserve">375301</t>
  </si>
  <si>
    <t xml:space="preserve">Мухамедьяров Артур Альбертович</t>
  </si>
  <si>
    <t xml:space="preserve">466815</t>
  </si>
  <si>
    <t xml:space="preserve">Мыц Иван Евгеньевич</t>
  </si>
  <si>
    <t xml:space="preserve">466823</t>
  </si>
  <si>
    <t xml:space="preserve">Нагорный Николай Викторович</t>
  </si>
  <si>
    <t xml:space="preserve">466824</t>
  </si>
  <si>
    <t xml:space="preserve">Надольский Кирилл Николаевич</t>
  </si>
  <si>
    <t xml:space="preserve">466828</t>
  </si>
  <si>
    <t xml:space="preserve">Назайкин Егор Евгеньевич</t>
  </si>
  <si>
    <t xml:space="preserve">419310</t>
  </si>
  <si>
    <t xml:space="preserve">Наумов Мирослав</t>
  </si>
  <si>
    <t xml:space="preserve">466852</t>
  </si>
  <si>
    <t xml:space="preserve">Некрасов Александр</t>
  </si>
  <si>
    <t xml:space="preserve">466853</t>
  </si>
  <si>
    <t xml:space="preserve">Некрутенко Максим Владимирович</t>
  </si>
  <si>
    <t xml:space="preserve">466873</t>
  </si>
  <si>
    <t xml:space="preserve">Никитенко Матвей Олегович</t>
  </si>
  <si>
    <t xml:space="preserve">472302</t>
  </si>
  <si>
    <t xml:space="preserve">Никифоров Кирилл Евгеньевич</t>
  </si>
  <si>
    <t xml:space="preserve">466890</t>
  </si>
  <si>
    <t xml:space="preserve">Николенко Максим Викторович</t>
  </si>
  <si>
    <t xml:space="preserve">466930</t>
  </si>
  <si>
    <t xml:space="preserve">Образцов Максим Евгеньевич</t>
  </si>
  <si>
    <t xml:space="preserve">466938</t>
  </si>
  <si>
    <t xml:space="preserve">Овчинников Данил Михайлович</t>
  </si>
  <si>
    <t xml:space="preserve">466972</t>
  </si>
  <si>
    <t xml:space="preserve">Осипов Вячеслав Витальевич</t>
  </si>
  <si>
    <t xml:space="preserve">348809</t>
  </si>
  <si>
    <t xml:space="preserve">Остапишин Никита Алексеевич</t>
  </si>
  <si>
    <t xml:space="preserve">466985</t>
  </si>
  <si>
    <t xml:space="preserve">Павленко Иван Дмитриевич</t>
  </si>
  <si>
    <t xml:space="preserve">409297</t>
  </si>
  <si>
    <t xml:space="preserve">Павлов Эдгар Айсенович</t>
  </si>
  <si>
    <t xml:space="preserve">467018</t>
  </si>
  <si>
    <t xml:space="preserve">Панченко Антон Дмитриевич</t>
  </si>
  <si>
    <t xml:space="preserve">467027</t>
  </si>
  <si>
    <t xml:space="preserve">Паршуков Семён Алексеевич</t>
  </si>
  <si>
    <t xml:space="preserve">467037</t>
  </si>
  <si>
    <t xml:space="preserve">Пахомов Даниил Михайлович</t>
  </si>
  <si>
    <t xml:space="preserve">467039</t>
  </si>
  <si>
    <t xml:space="preserve">Пахомов Игнат Александрович</t>
  </si>
  <si>
    <t xml:space="preserve">489583</t>
  </si>
  <si>
    <t xml:space="preserve">Петров Павел Алексеевич</t>
  </si>
  <si>
    <t xml:space="preserve">467072</t>
  </si>
  <si>
    <t xml:space="preserve">Петрова Полина Алексеевна</t>
  </si>
  <si>
    <t xml:space="preserve">467088</t>
  </si>
  <si>
    <t xml:space="preserve">Пиляров Руслан Назирович</t>
  </si>
  <si>
    <t xml:space="preserve">467092</t>
  </si>
  <si>
    <t xml:space="preserve">Пингачева Лилия Сергеевна</t>
  </si>
  <si>
    <t xml:space="preserve">467109</t>
  </si>
  <si>
    <t xml:space="preserve">Плющев Александр Алексеевич</t>
  </si>
  <si>
    <t xml:space="preserve">467132</t>
  </si>
  <si>
    <t xml:space="preserve">Полищенко Николай Николаевич</t>
  </si>
  <si>
    <t xml:space="preserve">409364</t>
  </si>
  <si>
    <t xml:space="preserve">Поллак Артур Дмитриевич</t>
  </si>
  <si>
    <t xml:space="preserve">467139</t>
  </si>
  <si>
    <t xml:space="preserve">Полуянов Игорь Андреевич</t>
  </si>
  <si>
    <t xml:space="preserve">467141</t>
  </si>
  <si>
    <t xml:space="preserve">Поляков Алексей Леонидович</t>
  </si>
  <si>
    <t xml:space="preserve">467157</t>
  </si>
  <si>
    <t xml:space="preserve">Попов Кирилл Олегович</t>
  </si>
  <si>
    <t xml:space="preserve">467182</t>
  </si>
  <si>
    <t xml:space="preserve">Прокопенко Сергей Петрович</t>
  </si>
  <si>
    <t xml:space="preserve">467204</t>
  </si>
  <si>
    <t xml:space="preserve">Пчелкин Илья Игоревич</t>
  </si>
  <si>
    <t xml:space="preserve">467205</t>
  </si>
  <si>
    <t xml:space="preserve">Пшеничников Артём Дмитриевич</t>
  </si>
  <si>
    <t xml:space="preserve">472395</t>
  </si>
  <si>
    <t xml:space="preserve">Радченко Алина Александровна</t>
  </si>
  <si>
    <t xml:space="preserve">467213</t>
  </si>
  <si>
    <t xml:space="preserve">Разыграев Кирилл Сергеевич</t>
  </si>
  <si>
    <t xml:space="preserve">475186</t>
  </si>
  <si>
    <t xml:space="preserve">Резников Алексей Романович</t>
  </si>
  <si>
    <t xml:space="preserve">467233</t>
  </si>
  <si>
    <t xml:space="preserve">Решетников Сергей Евгеньевич</t>
  </si>
  <si>
    <t xml:space="preserve">467234</t>
  </si>
  <si>
    <t xml:space="preserve">Решетов Даниил Алексеевич</t>
  </si>
  <si>
    <t xml:space="preserve">467237</t>
  </si>
  <si>
    <t xml:space="preserve">Рзаев Ахмед Меджидович</t>
  </si>
  <si>
    <t xml:space="preserve">407893</t>
  </si>
  <si>
    <t xml:space="preserve">Ровкова Анастасия Сергеевна</t>
  </si>
  <si>
    <t xml:space="preserve">467242</t>
  </si>
  <si>
    <t xml:space="preserve">Рогович Мария Михайловна</t>
  </si>
  <si>
    <t xml:space="preserve">368732</t>
  </si>
  <si>
    <t xml:space="preserve">Русских Егор Алексеевич</t>
  </si>
  <si>
    <t xml:space="preserve">409478</t>
  </si>
  <si>
    <t xml:space="preserve">Рыженкова Алина Александровна</t>
  </si>
  <si>
    <t xml:space="preserve">424309</t>
  </si>
  <si>
    <t xml:space="preserve">Рябов Георгий Алексеевич</t>
  </si>
  <si>
    <t xml:space="preserve">467306</t>
  </si>
  <si>
    <t xml:space="preserve">Рязанов Григорий Алексеевич</t>
  </si>
  <si>
    <t xml:space="preserve">467307</t>
  </si>
  <si>
    <t xml:space="preserve">Рязанов Никита Сергеевич</t>
  </si>
  <si>
    <t xml:space="preserve">467342</t>
  </si>
  <si>
    <t xml:space="preserve">Саломахин Тимур Евгеньевич</t>
  </si>
  <si>
    <t xml:space="preserve">467351</t>
  </si>
  <si>
    <t xml:space="preserve">Самсонова Владислава Николаевна</t>
  </si>
  <si>
    <t xml:space="preserve">467353</t>
  </si>
  <si>
    <t xml:space="preserve">Санатин Дмитрий Павлович</t>
  </si>
  <si>
    <t xml:space="preserve">467363</t>
  </si>
  <si>
    <t xml:space="preserve">Сарваров Тимур Фазаелович</t>
  </si>
  <si>
    <t xml:space="preserve">467388</t>
  </si>
  <si>
    <t xml:space="preserve">Светлов Илья Александрович</t>
  </si>
  <si>
    <t xml:space="preserve">467393</t>
  </si>
  <si>
    <t xml:space="preserve">Свечников Фёдор Андреевич</t>
  </si>
  <si>
    <t xml:space="preserve">409529</t>
  </si>
  <si>
    <t xml:space="preserve">Седов Даниил Борисович</t>
  </si>
  <si>
    <t xml:space="preserve">467409</t>
  </si>
  <si>
    <t xml:space="preserve">Селецкий Никита Антонович</t>
  </si>
  <si>
    <t xml:space="preserve">472464</t>
  </si>
  <si>
    <t xml:space="preserve">Семенов Егор Евгеньевич</t>
  </si>
  <si>
    <t xml:space="preserve">467432</t>
  </si>
  <si>
    <t xml:space="preserve">Середа Вероника Сергеевна</t>
  </si>
  <si>
    <t xml:space="preserve">467434</t>
  </si>
  <si>
    <t xml:space="preserve">Серенко Егор Игоревич</t>
  </si>
  <si>
    <t xml:space="preserve">472474</t>
  </si>
  <si>
    <t xml:space="preserve">Сидоров Илья Александрович</t>
  </si>
  <si>
    <t xml:space="preserve">467463</t>
  </si>
  <si>
    <t xml:space="preserve">Симакова Алёна Александровна</t>
  </si>
  <si>
    <t xml:space="preserve">467464</t>
  </si>
  <si>
    <t xml:space="preserve">Симдякина Виктория Вадимовна</t>
  </si>
  <si>
    <t xml:space="preserve">467467</t>
  </si>
  <si>
    <t xml:space="preserve">Симонов Лев Константинович</t>
  </si>
  <si>
    <t xml:space="preserve">467507</t>
  </si>
  <si>
    <t xml:space="preserve">Смирнов Андрей Алексеевич</t>
  </si>
  <si>
    <t xml:space="preserve">467509</t>
  </si>
  <si>
    <t xml:space="preserve">Смирнов Вадим Константинович</t>
  </si>
  <si>
    <t xml:space="preserve">467525</t>
  </si>
  <si>
    <t xml:space="preserve">Снагин Станислав Максимович</t>
  </si>
  <si>
    <t xml:space="preserve">467530</t>
  </si>
  <si>
    <t xml:space="preserve">Соболев Егор Викторович</t>
  </si>
  <si>
    <t xml:space="preserve">467537</t>
  </si>
  <si>
    <t xml:space="preserve">Соколов Александр Алексеевич</t>
  </si>
  <si>
    <t xml:space="preserve">467546</t>
  </si>
  <si>
    <t xml:space="preserve">Солдатов Кирилл Александрович</t>
  </si>
  <si>
    <t xml:space="preserve">467570</t>
  </si>
  <si>
    <t xml:space="preserve">Софьин Вячеслав Евгеньевич</t>
  </si>
  <si>
    <t xml:space="preserve">467579</t>
  </si>
  <si>
    <t xml:space="preserve">Стариков Арсений Дмитриевич</t>
  </si>
  <si>
    <t xml:space="preserve">467593</t>
  </si>
  <si>
    <t xml:space="preserve">Степанов Илья Алексеевич</t>
  </si>
  <si>
    <t xml:space="preserve">467604</t>
  </si>
  <si>
    <t xml:space="preserve">Столбченко Илья Викторович</t>
  </si>
  <si>
    <t xml:space="preserve">407956</t>
  </si>
  <si>
    <t xml:space="preserve">Су Лянхуа</t>
  </si>
  <si>
    <t xml:space="preserve">472530</t>
  </si>
  <si>
    <t xml:space="preserve">Суворов Станислав Денисович</t>
  </si>
  <si>
    <t xml:space="preserve">467647</t>
  </si>
  <si>
    <t xml:space="preserve">Сушко Александр Александрович</t>
  </si>
  <si>
    <t xml:space="preserve">467654</t>
  </si>
  <si>
    <t xml:space="preserve">Сычков Никита Сергеевич</t>
  </si>
  <si>
    <t xml:space="preserve">467667</t>
  </si>
  <si>
    <t xml:space="preserve">Тарасов Владислав Павлович</t>
  </si>
  <si>
    <t xml:space="preserve">467669</t>
  </si>
  <si>
    <t xml:space="preserve">Тарасов Савелий Дмитриевич</t>
  </si>
  <si>
    <t xml:space="preserve">467675</t>
  </si>
  <si>
    <t xml:space="preserve">Таратенко Алексей Вадимович</t>
  </si>
  <si>
    <t xml:space="preserve">372856</t>
  </si>
  <si>
    <t xml:space="preserve">Таустоб Глеб Витальевич</t>
  </si>
  <si>
    <t xml:space="preserve">467696</t>
  </si>
  <si>
    <t xml:space="preserve">Терехов Юрий Владимирович</t>
  </si>
  <si>
    <t xml:space="preserve">467727</t>
  </si>
  <si>
    <t xml:space="preserve">Ткачев Денис Владимирович</t>
  </si>
  <si>
    <t xml:space="preserve">467731</t>
  </si>
  <si>
    <t xml:space="preserve">Толмачёв Игорь Дмитриевич</t>
  </si>
  <si>
    <t xml:space="preserve">467738</t>
  </si>
  <si>
    <t xml:space="preserve">Тонков Николай Павлович</t>
  </si>
  <si>
    <t xml:space="preserve">467740</t>
  </si>
  <si>
    <t xml:space="preserve">Торбин Илья Александрович</t>
  </si>
  <si>
    <t xml:space="preserve">467742</t>
  </si>
  <si>
    <t xml:space="preserve">Торопов Павел Кириллович</t>
  </si>
  <si>
    <t xml:space="preserve">467802</t>
  </si>
  <si>
    <t xml:space="preserve">Умарова Амина Магомедгабибовна</t>
  </si>
  <si>
    <t xml:space="preserve">467830</t>
  </si>
  <si>
    <t xml:space="preserve">Фадин Константин Алексеевич</t>
  </si>
  <si>
    <t xml:space="preserve">467846</t>
  </si>
  <si>
    <t xml:space="preserve">Федоров Дмитрий Александрович</t>
  </si>
  <si>
    <t xml:space="preserve">467858</t>
  </si>
  <si>
    <t xml:space="preserve">Федяев Михаил Дмитриевич</t>
  </si>
  <si>
    <t xml:space="preserve">467871</t>
  </si>
  <si>
    <t xml:space="preserve">Филимонов Никита Данилович</t>
  </si>
  <si>
    <t xml:space="preserve">467889</t>
  </si>
  <si>
    <t xml:space="preserve">Фонарева Виктория Сергеевна</t>
  </si>
  <si>
    <t xml:space="preserve">467922</t>
  </si>
  <si>
    <t xml:space="preserve">Хахулина Светлана Алексеевна</t>
  </si>
  <si>
    <t xml:space="preserve">467937</t>
  </si>
  <si>
    <t xml:space="preserve">Хойрыш Семён Алексеевич</t>
  </si>
  <si>
    <t xml:space="preserve">467944</t>
  </si>
  <si>
    <t xml:space="preserve">Храбров Артём Алексеевич</t>
  </si>
  <si>
    <t xml:space="preserve">409804</t>
  </si>
  <si>
    <t xml:space="preserve">Христофоров Виталий Николаевич</t>
  </si>
  <si>
    <t xml:space="preserve">467959</t>
  </si>
  <si>
    <t xml:space="preserve">Целиков Даниил Александрович</t>
  </si>
  <si>
    <t xml:space="preserve">467968</t>
  </si>
  <si>
    <t xml:space="preserve">Чабан Артём Викторович</t>
  </si>
  <si>
    <t xml:space="preserve">467969</t>
  </si>
  <si>
    <t xml:space="preserve">Чайковский Никита Михайлович</t>
  </si>
  <si>
    <t xml:space="preserve">467979</t>
  </si>
  <si>
    <t xml:space="preserve">Чебыкин Владимир Андреевич</t>
  </si>
  <si>
    <t xml:space="preserve">407959</t>
  </si>
  <si>
    <t xml:space="preserve">Чжун Цзяцзюнь</t>
  </si>
  <si>
    <t xml:space="preserve">468013</t>
  </si>
  <si>
    <t xml:space="preserve">Чимирев Игорь Олегович</t>
  </si>
  <si>
    <t xml:space="preserve">468018</t>
  </si>
  <si>
    <t xml:space="preserve">Чистякова Екатерина Александровна</t>
  </si>
  <si>
    <t xml:space="preserve">468030</t>
  </si>
  <si>
    <t xml:space="preserve">Чупров Иван Андреевич</t>
  </si>
  <si>
    <t xml:space="preserve">407960</t>
  </si>
  <si>
    <t xml:space="preserve">Чэнь Хаолинь</t>
  </si>
  <si>
    <t xml:space="preserve">468045</t>
  </si>
  <si>
    <t xml:space="preserve">Шайкина Виктория Евгеньевна</t>
  </si>
  <si>
    <t xml:space="preserve">468074</t>
  </si>
  <si>
    <t xml:space="preserve">Швецов Егор Максимович</t>
  </si>
  <si>
    <t xml:space="preserve">468100</t>
  </si>
  <si>
    <t xml:space="preserve">Шишкин Артём Владимирович</t>
  </si>
  <si>
    <t xml:space="preserve">468105</t>
  </si>
  <si>
    <t xml:space="preserve">Шкиптан Александр Олегович</t>
  </si>
  <si>
    <t xml:space="preserve">468125</t>
  </si>
  <si>
    <t xml:space="preserve">Шубин Егор Вячеславович</t>
  </si>
  <si>
    <t xml:space="preserve">468127</t>
  </si>
  <si>
    <t xml:space="preserve">Шукаев Олег Евгеньевич</t>
  </si>
  <si>
    <t xml:space="preserve">468133</t>
  </si>
  <si>
    <t xml:space="preserve">Шумахер Демид Сергеевич</t>
  </si>
  <si>
    <t xml:space="preserve">468197</t>
  </si>
  <si>
    <t xml:space="preserve">Яруков Артём Дмитриевич</t>
  </si>
  <si>
    <t xml:space="preserve">468198</t>
  </si>
  <si>
    <t xml:space="preserve">Ясаков Артем Андреевич</t>
  </si>
  <si>
    <t xml:space="preserve">[ФИО_преподавателя]</t>
  </si>
  <si>
    <t xml:space="preserve">[поток]</t>
  </si>
  <si>
    <t xml:space="preserve">Посещаемость</t>
  </si>
  <si>
    <t xml:space="preserve">Потенц. допы</t>
  </si>
  <si>
    <t xml:space="preserve">MK</t>
  </si>
  <si>
    <t xml:space="preserve">КТ 
сданы</t>
  </si>
  <si>
    <t xml:space="preserve">ФИО</t>
  </si>
  <si>
    <t xml:space="preserve">Группа</t>
  </si>
  <si>
    <t xml:space="preserve">ИСУ ИД</t>
  </si>
  <si>
    <t xml:space="preserve">Вар</t>
  </si>
  <si>
    <t xml:space="preserve">Д</t>
  </si>
  <si>
    <t xml:space="preserve">В</t>
  </si>
  <si>
    <t xml:space="preserve">З</t>
  </si>
  <si>
    <t xml:space="preserve">Б</t>
  </si>
  <si>
    <t xml:space="preserve">Дата</t>
  </si>
  <si>
    <t xml:space="preserve">Балл</t>
  </si>
  <si>
    <t xml:space="preserve">балл</t>
  </si>
  <si>
    <t xml:space="preserve">оценка</t>
  </si>
  <si>
    <t xml:space="preserve">Студентов работало</t>
  </si>
  <si>
    <t xml:space="preserve">Баллы мин/макс:</t>
  </si>
  <si>
    <t xml:space="preserve">0-10</t>
  </si>
  <si>
    <t xml:space="preserve">0-5</t>
  </si>
  <si>
    <t xml:space="preserve">6-30</t>
  </si>
  <si>
    <t xml:space="preserve">0-3</t>
  </si>
  <si>
    <t xml:space="preserve">Студентов пристуствовало</t>
  </si>
  <si>
    <t xml:space="preserve">Легенда:</t>
  </si>
  <si>
    <t xml:space="preserve">Y - был (на перекличке)</t>
  </si>
  <si>
    <t xml:space="preserve">Сдало:</t>
  </si>
  <si>
    <t xml:space="preserve">N - отсутствовал</t>
  </si>
  <si>
    <t xml:space="preserve">%</t>
  </si>
  <si>
    <t xml:space="preserve">* - подошел к преподавателю</t>
  </si>
  <si>
    <t xml:space="preserve">Количество * == количество подходов</t>
  </si>
  <si>
    <t xml:space="preserve">Абузов Я. А.</t>
  </si>
  <si>
    <t xml:space="preserve">ЛР2</t>
  </si>
  <si>
    <t xml:space="preserve">Киселёв Михаил Васильевич</t>
  </si>
  <si>
    <t xml:space="preserve">P3232</t>
  </si>
  <si>
    <t xml:space="preserve">Y</t>
  </si>
  <si>
    <t xml:space="preserve">554</t>
  </si>
  <si>
    <t xml:space="preserve">СТЕПАНОВ Илья Вячеславович</t>
  </si>
  <si>
    <t xml:space="preserve">341769</t>
  </si>
  <si>
    <t xml:space="preserve">555</t>
  </si>
  <si>
    <t xml:space="preserve">Долженко  Александра Борисовна</t>
  </si>
  <si>
    <t xml:space="preserve">P3124</t>
  </si>
  <si>
    <t xml:space="preserve">465786</t>
  </si>
  <si>
    <t xml:space="preserve">556</t>
  </si>
  <si>
    <t xml:space="preserve">Игнатов Андрей Игоревич </t>
  </si>
  <si>
    <t xml:space="preserve">P3224</t>
  </si>
  <si>
    <t xml:space="preserve">414210</t>
  </si>
  <si>
    <t xml:space="preserve">558</t>
  </si>
  <si>
    <t xml:space="preserve">done</t>
  </si>
  <si>
    <t xml:space="preserve">Галиуллин Рашит Дамирович</t>
  </si>
  <si>
    <t xml:space="preserve">490149</t>
  </si>
  <si>
    <t xml:space="preserve">557</t>
  </si>
  <si>
    <t xml:space="preserve">Казакова Кристина Дмитриевна</t>
  </si>
  <si>
    <t xml:space="preserve">Р3232</t>
  </si>
  <si>
    <t xml:space="preserve">470150</t>
  </si>
  <si>
    <t xml:space="preserve">559</t>
  </si>
  <si>
    <t xml:space="preserve">Изаак Герман Константинович </t>
  </si>
  <si>
    <t xml:space="preserve">54</t>
  </si>
  <si>
    <t xml:space="preserve">Р3117</t>
  </si>
  <si>
    <t xml:space="preserve">Орельский Никита</t>
  </si>
  <si>
    <t xml:space="preserve">P3221</t>
  </si>
  <si>
    <t xml:space="preserve">309545</t>
  </si>
  <si>
    <t xml:space="preserve">7966</t>
  </si>
  <si>
    <t xml:space="preserve">Каменский Ярослав Владиславович </t>
  </si>
  <si>
    <t xml:space="preserve">P3212</t>
  </si>
  <si>
    <t xml:space="preserve">408733</t>
  </si>
  <si>
    <t xml:space="preserve">560</t>
  </si>
  <si>
    <t xml:space="preserve">600</t>
  </si>
  <si>
    <t xml:space="preserve">Зайцев Дмтрий Владимирович</t>
  </si>
  <si>
    <t xml:space="preserve">Ткешелашвили Н.М.</t>
  </si>
  <si>
    <t xml:space="preserve">ОПД (Р3106) 1.1</t>
  </si>
  <si>
    <r>
      <rPr>
        <strike val="true"/>
        <sz val="10"/>
        <color theme="1"/>
        <rFont val="Arial"/>
        <family val="0"/>
        <charset val="1"/>
      </rPr>
      <t xml:space="preserve">Авенданьо Дуран Карлос </t>
    </r>
    <r>
      <rPr>
        <b val="true"/>
        <strike val="true"/>
        <sz val="10"/>
        <color theme="1"/>
        <rFont val="Arial"/>
        <family val="0"/>
        <charset val="1"/>
      </rPr>
      <t xml:space="preserve">Мануэль</t>
    </r>
  </si>
  <si>
    <t xml:space="preserve">Р3106</t>
  </si>
  <si>
    <t xml:space="preserve">*</t>
  </si>
  <si>
    <t xml:space="preserve">N</t>
  </si>
  <si>
    <t xml:space="preserve">6001</t>
  </si>
  <si>
    <t xml:space="preserve">-</t>
  </si>
  <si>
    <t xml:space="preserve">***</t>
  </si>
  <si>
    <t xml:space="preserve">**</t>
  </si>
  <si>
    <t xml:space="preserve">6002</t>
  </si>
  <si>
    <r>
      <rPr>
        <sz val="10"/>
        <color theme="1"/>
        <rFont val="Arial"/>
        <family val="0"/>
        <charset val="1"/>
      </rPr>
      <t xml:space="preserve">Бен Шамех </t>
    </r>
    <r>
      <rPr>
        <b val="true"/>
        <sz val="10"/>
        <color theme="1"/>
        <rFont val="Arial"/>
        <family val="0"/>
        <charset val="1"/>
      </rPr>
      <t xml:space="preserve">Абделазиз</t>
    </r>
  </si>
  <si>
    <t xml:space="preserve">6003</t>
  </si>
  <si>
    <t xml:space="preserve">Джунь Александра Васильевна</t>
  </si>
  <si>
    <t xml:space="preserve">465757</t>
  </si>
  <si>
    <t xml:space="preserve">6004</t>
  </si>
  <si>
    <t xml:space="preserve">6005</t>
  </si>
  <si>
    <t xml:space="preserve">Кан Анатолий Андреевич</t>
  </si>
  <si>
    <t xml:space="preserve">408735</t>
  </si>
  <si>
    <t xml:space="preserve">6006</t>
  </si>
  <si>
    <t xml:space="preserve">Картошкин Степан Романович</t>
  </si>
  <si>
    <t xml:space="preserve">466138</t>
  </si>
  <si>
    <t xml:space="preserve">6007</t>
  </si>
  <si>
    <t xml:space="preserve">КосОгова Мария Александровна</t>
  </si>
  <si>
    <t xml:space="preserve">6008</t>
  </si>
  <si>
    <t xml:space="preserve">6009</t>
  </si>
  <si>
    <t xml:space="preserve">6010</t>
  </si>
  <si>
    <t xml:space="preserve">6011</t>
  </si>
  <si>
    <t xml:space="preserve">6012</t>
  </si>
  <si>
    <t xml:space="preserve">6013</t>
  </si>
  <si>
    <t xml:space="preserve">6014</t>
  </si>
  <si>
    <t xml:space="preserve">6015</t>
  </si>
  <si>
    <t xml:space="preserve">6016</t>
  </si>
  <si>
    <t xml:space="preserve">6017</t>
  </si>
  <si>
    <t xml:space="preserve">6018</t>
  </si>
  <si>
    <t xml:space="preserve">6019</t>
  </si>
  <si>
    <t xml:space="preserve">ШвецОв Егор Максимович</t>
  </si>
  <si>
    <t xml:space="preserve">6020</t>
  </si>
  <si>
    <t xml:space="preserve">Осипов Святослав Владимирович</t>
  </si>
  <si>
    <t xml:space="preserve">ОПД (Р3107) 1.2</t>
  </si>
  <si>
    <t xml:space="preserve">1666</t>
  </si>
  <si>
    <t xml:space="preserve">Клеева Ульяна Сергеевна</t>
  </si>
  <si>
    <t xml:space="preserve">466179</t>
  </si>
  <si>
    <t xml:space="preserve">604</t>
  </si>
  <si>
    <t xml:space="preserve">Кудрявцев Матвей Иванович</t>
  </si>
  <si>
    <t xml:space="preserve">466376</t>
  </si>
  <si>
    <t xml:space="preserve">454</t>
  </si>
  <si>
    <t xml:space="preserve">3699</t>
  </si>
  <si>
    <t xml:space="preserve">Мучокочоко Этель Тиней</t>
  </si>
  <si>
    <t xml:space="preserve">463222</t>
  </si>
  <si>
    <t xml:space="preserve">Прокопе́нко Сергей Петрович</t>
  </si>
  <si>
    <t xml:space="preserve">879</t>
  </si>
  <si>
    <t xml:space="preserve">1314</t>
  </si>
  <si>
    <t xml:space="preserve">11253</t>
  </si>
  <si>
    <t xml:space="preserve">1821</t>
  </si>
  <si>
    <t xml:space="preserve">1956</t>
  </si>
  <si>
    <t xml:space="preserve">520</t>
  </si>
  <si>
    <t xml:space="preserve">636</t>
  </si>
  <si>
    <t xml:space="preserve">1302</t>
  </si>
  <si>
    <t xml:space="preserve">Вербовой Александр Александрович</t>
  </si>
  <si>
    <t xml:space="preserve">ОПД (Р3108) 1.3</t>
  </si>
  <si>
    <t xml:space="preserve">W</t>
  </si>
  <si>
    <t xml:space="preserve">8001</t>
  </si>
  <si>
    <t xml:space="preserve">19.92</t>
  </si>
  <si>
    <t xml:space="preserve">Альшухайед Рами</t>
  </si>
  <si>
    <t xml:space="preserve">408027</t>
  </si>
  <si>
    <t xml:space="preserve">8002</t>
  </si>
  <si>
    <t xml:space="preserve">8003</t>
  </si>
  <si>
    <t xml:space="preserve">8004</t>
  </si>
  <si>
    <t xml:space="preserve">8005</t>
  </si>
  <si>
    <t xml:space="preserve">8006</t>
  </si>
  <si>
    <t xml:space="preserve">8007</t>
  </si>
  <si>
    <t xml:space="preserve">8008</t>
  </si>
  <si>
    <t xml:space="preserve">Лернер Александра Владимировна</t>
  </si>
  <si>
    <t xml:space="preserve">472158</t>
  </si>
  <si>
    <t xml:space="preserve">8009</t>
  </si>
  <si>
    <t xml:space="preserve">Мокшев Владимир Андреевич</t>
  </si>
  <si>
    <t xml:space="preserve">374751</t>
  </si>
  <si>
    <t xml:space="preserve">8010</t>
  </si>
  <si>
    <t xml:space="preserve">8011</t>
  </si>
  <si>
    <t xml:space="preserve">8012</t>
  </si>
  <si>
    <t xml:space="preserve">8013</t>
  </si>
  <si>
    <t xml:space="preserve">8014</t>
  </si>
  <si>
    <t xml:space="preserve">8015</t>
  </si>
  <si>
    <t xml:space="preserve">8016</t>
  </si>
  <si>
    <t xml:space="preserve">8017</t>
  </si>
  <si>
    <t xml:space="preserve">8018</t>
  </si>
  <si>
    <t xml:space="preserve">8019</t>
  </si>
  <si>
    <t xml:space="preserve">W - подошел к преподавателю</t>
  </si>
  <si>
    <t xml:space="preserve">ОПД (Р3109) 1.4</t>
  </si>
  <si>
    <t xml:space="preserve">Абдуллоев Мехрубон Фарходович</t>
  </si>
  <si>
    <t xml:space="preserve">Р3109</t>
  </si>
  <si>
    <t xml:space="preserve">471628</t>
  </si>
  <si>
    <t xml:space="preserve">9001</t>
  </si>
  <si>
    <t xml:space="preserve">9002</t>
  </si>
  <si>
    <t xml:space="preserve">9003</t>
  </si>
  <si>
    <t xml:space="preserve">9004</t>
  </si>
  <si>
    <t xml:space="preserve">9005</t>
  </si>
  <si>
    <t xml:space="preserve">9006</t>
  </si>
  <si>
    <t xml:space="preserve">9007</t>
  </si>
  <si>
    <t xml:space="preserve">9008</t>
  </si>
  <si>
    <t xml:space="preserve">9009</t>
  </si>
  <si>
    <t xml:space="preserve">9010</t>
  </si>
  <si>
    <t xml:space="preserve">9011</t>
  </si>
  <si>
    <t xml:space="preserve">9012</t>
  </si>
  <si>
    <t xml:space="preserve">9013</t>
  </si>
  <si>
    <t xml:space="preserve">Резк Ахмед Мохамед Хамза</t>
  </si>
  <si>
    <t xml:space="preserve">414249</t>
  </si>
  <si>
    <t xml:space="preserve">9014</t>
  </si>
  <si>
    <t xml:space="preserve">9015</t>
  </si>
  <si>
    <t xml:space="preserve">9016</t>
  </si>
  <si>
    <t xml:space="preserve">9017</t>
  </si>
  <si>
    <t xml:space="preserve">9018</t>
  </si>
  <si>
    <t xml:space="preserve">9019</t>
  </si>
  <si>
    <t xml:space="preserve">X</t>
  </si>
  <si>
    <t xml:space="preserve">Z</t>
  </si>
  <si>
    <t xml:space="preserve">Блохина Елена Николаевна</t>
  </si>
  <si>
    <t xml:space="preserve">ОПД (Р3110) 1.5</t>
  </si>
  <si>
    <t xml:space="preserve">Р3110</t>
  </si>
  <si>
    <t xml:space="preserve">1090</t>
  </si>
  <si>
    <t xml:space="preserve">1080</t>
  </si>
  <si>
    <t xml:space="preserve">Поздно-</t>
  </si>
  <si>
    <t xml:space="preserve">1060</t>
  </si>
  <si>
    <t xml:space="preserve">1061</t>
  </si>
  <si>
    <t xml:space="preserve">Май?</t>
  </si>
  <si>
    <t xml:space="preserve">1063</t>
  </si>
  <si>
    <t xml:space="preserve">1064</t>
  </si>
  <si>
    <t xml:space="preserve">1065</t>
  </si>
  <si>
    <t xml:space="preserve">1066</t>
  </si>
  <si>
    <t xml:space="preserve">1067</t>
  </si>
  <si>
    <t xml:space="preserve">1068</t>
  </si>
  <si>
    <t xml:space="preserve">1075</t>
  </si>
  <si>
    <t xml:space="preserve">1069</t>
  </si>
  <si>
    <t xml:space="preserve">1070</t>
  </si>
  <si>
    <t xml:space="preserve">1071</t>
  </si>
  <si>
    <t xml:space="preserve">1072</t>
  </si>
  <si>
    <t xml:space="preserve">1074</t>
  </si>
  <si>
    <t xml:space="preserve">Ура?</t>
  </si>
  <si>
    <t xml:space="preserve">1073</t>
  </si>
  <si>
    <t xml:space="preserve">:</t>
  </si>
  <si>
    <t xml:space="preserve">/</t>
  </si>
  <si>
    <t xml:space="preserve">Остапенко Ольга</t>
  </si>
  <si>
    <t xml:space="preserve">4906</t>
  </si>
  <si>
    <t xml:space="preserve">9380</t>
  </si>
  <si>
    <t xml:space="preserve">5591</t>
  </si>
  <si>
    <t xml:space="preserve">5657</t>
  </si>
  <si>
    <t xml:space="preserve">5870</t>
  </si>
  <si>
    <t xml:space="preserve">4379</t>
  </si>
  <si>
    <t xml:space="preserve">6127</t>
  </si>
  <si>
    <t xml:space="preserve">2094</t>
  </si>
  <si>
    <t xml:space="preserve">6363</t>
  </si>
  <si>
    <t xml:space="preserve">7349</t>
  </si>
  <si>
    <t xml:space="preserve">6730</t>
  </si>
  <si>
    <t xml:space="preserve">Набиев Тимофей Русланович</t>
  </si>
  <si>
    <t xml:space="preserve">466817</t>
  </si>
  <si>
    <t xml:space="preserve">6817</t>
  </si>
  <si>
    <t xml:space="preserve">9310</t>
  </si>
  <si>
    <t xml:space="preserve">9364</t>
  </si>
  <si>
    <t xml:space="preserve">7306</t>
  </si>
  <si>
    <t xml:space="preserve">9478</t>
  </si>
  <si>
    <t xml:space="preserve">Скворцова Дарья Алексеевна</t>
  </si>
  <si>
    <t xml:space="preserve">467484</t>
  </si>
  <si>
    <t xml:space="preserve">7484</t>
  </si>
  <si>
    <t xml:space="preserve">7727</t>
  </si>
  <si>
    <t xml:space="preserve">8133</t>
  </si>
  <si>
    <t xml:space="preserve">?,0</t>
  </si>
  <si>
    <t xml:space="preserve">5746</t>
  </si>
  <si>
    <t xml:space="preserve">7861</t>
  </si>
  <si>
    <t xml:space="preserve">7862</t>
  </si>
  <si>
    <t xml:space="preserve">7863</t>
  </si>
  <si>
    <t xml:space="preserve">7864</t>
  </si>
  <si>
    <t xml:space="preserve">7865</t>
  </si>
  <si>
    <t xml:space="preserve">7866</t>
  </si>
  <si>
    <t xml:space="preserve">7867</t>
  </si>
  <si>
    <t xml:space="preserve">7868</t>
  </si>
  <si>
    <t xml:space="preserve">7869</t>
  </si>
  <si>
    <t xml:space="preserve">Лобанов Роман Артемович</t>
  </si>
  <si>
    <t xml:space="preserve">475153</t>
  </si>
  <si>
    <t xml:space="preserve">7870</t>
  </si>
  <si>
    <t xml:space="preserve">7871</t>
  </si>
  <si>
    <t xml:space="preserve">7872</t>
  </si>
  <si>
    <t xml:space="preserve">7873</t>
  </si>
  <si>
    <t xml:space="preserve">7874</t>
  </si>
  <si>
    <t xml:space="preserve">7876</t>
  </si>
  <si>
    <t xml:space="preserve">7877</t>
  </si>
  <si>
    <t xml:space="preserve">7878</t>
  </si>
  <si>
    <t xml:space="preserve">7879</t>
  </si>
  <si>
    <t xml:space="preserve">Ермаков Михаил Константинович</t>
  </si>
  <si>
    <t xml:space="preserve">ОПД (Р3113) 1.8</t>
  </si>
  <si>
    <t xml:space="preserve">y</t>
  </si>
  <si>
    <t xml:space="preserve">n</t>
  </si>
  <si>
    <t xml:space="preserve">******</t>
  </si>
  <si>
    <t xml:space="preserve">311300</t>
  </si>
  <si>
    <t xml:space="preserve">311301</t>
  </si>
  <si>
    <t xml:space="preserve">311302</t>
  </si>
  <si>
    <t xml:space="preserve">311303</t>
  </si>
  <si>
    <t xml:space="preserve">311304</t>
  </si>
  <si>
    <t xml:space="preserve">311305</t>
  </si>
  <si>
    <t xml:space="preserve">311306</t>
  </si>
  <si>
    <t xml:space="preserve">311307</t>
  </si>
  <si>
    <t xml:space="preserve">311309</t>
  </si>
  <si>
    <t xml:space="preserve">311310</t>
  </si>
  <si>
    <t xml:space="preserve">311311</t>
  </si>
  <si>
    <t xml:space="preserve">311312</t>
  </si>
  <si>
    <t xml:space="preserve">311313</t>
  </si>
  <si>
    <t xml:space="preserve">311314</t>
  </si>
  <si>
    <t xml:space="preserve">311315</t>
  </si>
  <si>
    <t xml:space="preserve">311317</t>
  </si>
  <si>
    <t xml:space="preserve">311318</t>
  </si>
  <si>
    <t xml:space="preserve">ОПД (Р3114) 1.9</t>
  </si>
  <si>
    <t xml:space="preserve">50221</t>
  </si>
  <si>
    <t xml:space="preserve">Александро́ва Милана Сергеевна</t>
  </si>
  <si>
    <t xml:space="preserve">8569</t>
  </si>
  <si>
    <t xml:space="preserve">57115</t>
  </si>
  <si>
    <t xml:space="preserve">13263</t>
  </si>
  <si>
    <t xml:space="preserve">6820</t>
  </si>
  <si>
    <t xml:space="preserve">351991</t>
  </si>
  <si>
    <t xml:space="preserve">Ле́сников Владимир Алексеевич</t>
  </si>
  <si>
    <t xml:space="preserve">50413</t>
  </si>
  <si>
    <t xml:space="preserve">55948</t>
  </si>
  <si>
    <t xml:space="preserve">18149</t>
  </si>
  <si>
    <t xml:space="preserve">Орлов Игорь Юрьевич</t>
  </si>
  <si>
    <t xml:space="preserve">466961</t>
  </si>
  <si>
    <t xml:space="preserve">44651</t>
  </si>
  <si>
    <t xml:space="preserve">44719</t>
  </si>
  <si>
    <t xml:space="preserve">52794</t>
  </si>
  <si>
    <t xml:space="preserve">4691</t>
  </si>
  <si>
    <t xml:space="preserve">ОПД (Р3115) 1.10</t>
  </si>
  <si>
    <t xml:space="preserve">Р3115</t>
  </si>
  <si>
    <t xml:space="preserve">1550</t>
  </si>
  <si>
    <t xml:space="preserve">1551</t>
  </si>
  <si>
    <t xml:space="preserve">1552</t>
  </si>
  <si>
    <t xml:space="preserve">1553</t>
  </si>
  <si>
    <t xml:space="preserve">1554</t>
  </si>
  <si>
    <t xml:space="preserve">1555</t>
  </si>
  <si>
    <t xml:space="preserve">1590</t>
  </si>
  <si>
    <t xml:space="preserve">1556</t>
  </si>
  <si>
    <t xml:space="preserve">1557</t>
  </si>
  <si>
    <t xml:space="preserve">1558</t>
  </si>
  <si>
    <t xml:space="preserve">1559</t>
  </si>
  <si>
    <t xml:space="preserve">15597</t>
  </si>
  <si>
    <t xml:space="preserve">1570</t>
  </si>
  <si>
    <t xml:space="preserve">467725</t>
  </si>
  <si>
    <t xml:space="preserve">1560</t>
  </si>
  <si>
    <t xml:space="preserve">1561</t>
  </si>
  <si>
    <t xml:space="preserve">1562</t>
  </si>
  <si>
    <t xml:space="preserve">1563</t>
  </si>
  <si>
    <t xml:space="preserve">1564</t>
  </si>
  <si>
    <t xml:space="preserve">1565</t>
  </si>
  <si>
    <t xml:space="preserve">Сердюков Илья Константинович</t>
  </si>
  <si>
    <t xml:space="preserve">ОПД (Р3116) 1.11</t>
  </si>
  <si>
    <t xml:space="preserve">Р3116</t>
  </si>
  <si>
    <t xml:space="preserve">ЛОскутов Прохор Александрович</t>
  </si>
  <si>
    <t xml:space="preserve">1621</t>
  </si>
  <si>
    <t xml:space="preserve">FFFFFFEF8C</t>
  </si>
  <si>
    <t xml:space="preserve">ОПД (Р3117) 1.12</t>
  </si>
  <si>
    <t xml:space="preserve">1770</t>
  </si>
  <si>
    <t xml:space="preserve">1771</t>
  </si>
  <si>
    <t xml:space="preserve">1772</t>
  </si>
  <si>
    <t xml:space="preserve">1791</t>
  </si>
  <si>
    <t xml:space="preserve">1773</t>
  </si>
  <si>
    <t xml:space="preserve">1774</t>
  </si>
  <si>
    <t xml:space="preserve">1790</t>
  </si>
  <si>
    <t xml:space="preserve">1776</t>
  </si>
  <si>
    <t xml:space="preserve">1795</t>
  </si>
  <si>
    <t xml:space="preserve">1777</t>
  </si>
  <si>
    <t xml:space="preserve">1778</t>
  </si>
  <si>
    <t xml:space="preserve">Луна-</t>
  </si>
  <si>
    <t xml:space="preserve">1779</t>
  </si>
  <si>
    <t xml:space="preserve">1780</t>
  </si>
  <si>
    <t xml:space="preserve">1781</t>
  </si>
  <si>
    <t xml:space="preserve">1782</t>
  </si>
  <si>
    <t xml:space="preserve">1783</t>
  </si>
  <si>
    <t xml:space="preserve">ОПД (Р3118) 1.13</t>
  </si>
  <si>
    <t xml:space="preserve">31801</t>
  </si>
  <si>
    <t xml:space="preserve">31802</t>
  </si>
  <si>
    <t xml:space="preserve">31803</t>
  </si>
  <si>
    <t xml:space="preserve">****</t>
  </si>
  <si>
    <t xml:space="preserve">31804</t>
  </si>
  <si>
    <t xml:space="preserve">31805</t>
  </si>
  <si>
    <t xml:space="preserve">31807</t>
  </si>
  <si>
    <t xml:space="preserve">31808</t>
  </si>
  <si>
    <t xml:space="preserve">31809</t>
  </si>
  <si>
    <t xml:space="preserve">31810</t>
  </si>
  <si>
    <t xml:space="preserve">31811</t>
  </si>
  <si>
    <t xml:space="preserve">31812</t>
  </si>
  <si>
    <t xml:space="preserve">31813</t>
  </si>
  <si>
    <t xml:space="preserve">31815</t>
  </si>
  <si>
    <t xml:space="preserve">31816</t>
  </si>
  <si>
    <t xml:space="preserve">31817</t>
  </si>
  <si>
    <t xml:space="preserve">31818</t>
  </si>
  <si>
    <t xml:space="preserve">Петров Павел Алексеевич (академ)</t>
  </si>
  <si>
    <t xml:space="preserve">2 лаба ok</t>
  </si>
  <si>
    <t xml:space="preserve">4905</t>
  </si>
  <si>
    <t xml:space="preserve">5029</t>
  </si>
  <si>
    <t xml:space="preserve">1</t>
  </si>
  <si>
    <t xml:space="preserve">1733</t>
  </si>
  <si>
    <t xml:space="preserve">9889</t>
  </si>
  <si>
    <t xml:space="preserve">5439</t>
  </si>
  <si>
    <t xml:space="preserve">8809</t>
  </si>
  <si>
    <t xml:space="preserve">6300</t>
  </si>
  <si>
    <t xml:space="preserve">4931</t>
  </si>
  <si>
    <t xml:space="preserve">6668</t>
  </si>
  <si>
    <t xml:space="preserve">6972</t>
  </si>
  <si>
    <t xml:space="preserve">7088</t>
  </si>
  <si>
    <t xml:space="preserve">7464</t>
  </si>
  <si>
    <t xml:space="preserve">7509</t>
  </si>
  <si>
    <t xml:space="preserve">7667</t>
  </si>
  <si>
    <t xml:space="preserve">7742</t>
  </si>
  <si>
    <t xml:space="preserve">7858</t>
  </si>
  <si>
    <t xml:space="preserve">7959</t>
  </si>
  <si>
    <t xml:space="preserve">Дърлянов Христо</t>
  </si>
  <si>
    <t xml:space="preserve">4281</t>
  </si>
  <si>
    <t xml:space="preserve">Воронина Дарья Сергеевна, Комлев Игорь Владимирович</t>
  </si>
  <si>
    <t xml:space="preserve">ОПД (Р3130) 2.1, 2.2</t>
  </si>
  <si>
    <t xml:space="preserve">Алвари Юсеф</t>
  </si>
  <si>
    <t xml:space="preserve">374856</t>
  </si>
  <si>
    <t xml:space="preserve">935678</t>
  </si>
  <si>
    <t xml:space="preserve">935672</t>
  </si>
  <si>
    <t xml:space="preserve">999999</t>
  </si>
  <si>
    <t xml:space="preserve">945672</t>
  </si>
  <si>
    <t xml:space="preserve">Виджая Раден Гален Братасена</t>
  </si>
  <si>
    <t xml:space="preserve">463219</t>
  </si>
  <si>
    <t xml:space="preserve">935326</t>
  </si>
  <si>
    <t xml:space="preserve">Воробьев Юрий Константинович</t>
  </si>
  <si>
    <t xml:space="preserve">441010</t>
  </si>
  <si>
    <t xml:space="preserve">945673</t>
  </si>
  <si>
    <t xml:space="preserve">Дмитриенко Давид</t>
  </si>
  <si>
    <t xml:space="preserve">471890</t>
  </si>
  <si>
    <t xml:space="preserve">935322</t>
  </si>
  <si>
    <t xml:space="preserve">Жамбусинов Марк Ильясович</t>
  </si>
  <si>
    <t xml:space="preserve">465879</t>
  </si>
  <si>
    <t xml:space="preserve">935327</t>
  </si>
  <si>
    <t xml:space="preserve">Жданович Владимир Андреевич</t>
  </si>
  <si>
    <t xml:space="preserve">465883</t>
  </si>
  <si>
    <t xml:space="preserve">935329</t>
  </si>
  <si>
    <t xml:space="preserve">956782</t>
  </si>
  <si>
    <t xml:space="preserve">7777772</t>
  </si>
  <si>
    <t xml:space="preserve">956742</t>
  </si>
  <si>
    <t xml:space="preserve">945679</t>
  </si>
  <si>
    <t xml:space="preserve">996840311</t>
  </si>
  <si>
    <t xml:space="preserve">*y</t>
  </si>
  <si>
    <t xml:space="preserve">945678</t>
  </si>
  <si>
    <t xml:space="preserve">945671</t>
  </si>
  <si>
    <t xml:space="preserve">Абрамов Арсений Ярославович</t>
  </si>
  <si>
    <t xml:space="preserve">464904</t>
  </si>
  <si>
    <t xml:space="preserve">956788</t>
  </si>
  <si>
    <t xml:space="preserve">956780</t>
  </si>
  <si>
    <t xml:space="preserve">956789</t>
  </si>
  <si>
    <t xml:space="preserve">95679</t>
  </si>
  <si>
    <t xml:space="preserve">956790</t>
  </si>
  <si>
    <t xml:space="preserve">956791</t>
  </si>
  <si>
    <t xml:space="preserve"> y</t>
  </si>
  <si>
    <t xml:space="preserve">956792</t>
  </si>
  <si>
    <t xml:space="preserve">Кутовой Вячеслав Андреевич</t>
  </si>
  <si>
    <t xml:space="preserve">412989</t>
  </si>
  <si>
    <t xml:space="preserve">956793</t>
  </si>
  <si>
    <t xml:space="preserve">956755</t>
  </si>
  <si>
    <t xml:space="preserve">956757</t>
  </si>
  <si>
    <t xml:space="preserve">Рашид Мд Шахриар</t>
  </si>
  <si>
    <t xml:space="preserve">463224</t>
  </si>
  <si>
    <t xml:space="preserve">95673</t>
  </si>
  <si>
    <t xml:space="preserve">956745</t>
  </si>
  <si>
    <t xml:space="preserve">956762</t>
  </si>
  <si>
    <t xml:space="preserve">935392</t>
  </si>
  <si>
    <t xml:space="preserve">935393</t>
  </si>
  <si>
    <t xml:space="preserve">Арианто Афифах Зулфа</t>
  </si>
  <si>
    <t xml:space="preserve">486552</t>
  </si>
  <si>
    <t xml:space="preserve">7449</t>
  </si>
  <si>
    <t xml:space="preserve">3237</t>
  </si>
  <si>
    <t xml:space="preserve">3272</t>
  </si>
  <si>
    <t xml:space="preserve">4736</t>
  </si>
  <si>
    <t xml:space="preserve">Левин Эдуард</t>
  </si>
  <si>
    <t xml:space="preserve">466490</t>
  </si>
  <si>
    <t xml:space="preserve">3926</t>
  </si>
  <si>
    <t xml:space="preserve">Манасарян Милена Аваговна</t>
  </si>
  <si>
    <t xml:space="preserve">472209</t>
  </si>
  <si>
    <t xml:space="preserve">3825</t>
  </si>
  <si>
    <t xml:space="preserve">3096</t>
  </si>
  <si>
    <t xml:space="preserve">4758</t>
  </si>
  <si>
    <t xml:space="preserve">5738</t>
  </si>
  <si>
    <t xml:space="preserve">5792</t>
  </si>
  <si>
    <t xml:space="preserve">3592</t>
  </si>
  <si>
    <t xml:space="preserve">Серов Антон Александович</t>
  </si>
  <si>
    <t xml:space="preserve">9786</t>
  </si>
  <si>
    <t xml:space="preserve">Симончук Захарий Александрович</t>
  </si>
  <si>
    <t xml:space="preserve">475197</t>
  </si>
  <si>
    <t xml:space="preserve">6856</t>
  </si>
  <si>
    <t xml:space="preserve">Ситдиков Рафаэль Ильдусович</t>
  </si>
  <si>
    <t xml:space="preserve">467478</t>
  </si>
  <si>
    <t xml:space="preserve">7844</t>
  </si>
  <si>
    <t xml:space="preserve">7957</t>
  </si>
  <si>
    <t xml:space="preserve">Бушков Борис Кириллович</t>
  </si>
  <si>
    <t xml:space="preserve">471783</t>
  </si>
  <si>
    <t xml:space="preserve">3131</t>
  </si>
  <si>
    <t xml:space="preserve">3132</t>
  </si>
  <si>
    <t xml:space="preserve">3133</t>
  </si>
  <si>
    <t xml:space="preserve">3134</t>
  </si>
  <si>
    <t xml:space="preserve">4150</t>
  </si>
  <si>
    <t xml:space="preserve">3135</t>
  </si>
  <si>
    <t xml:space="preserve">0xb00b</t>
  </si>
  <si>
    <t xml:space="preserve">3136</t>
  </si>
  <si>
    <t xml:space="preserve">Мухаммад Аднан Иса</t>
  </si>
  <si>
    <t xml:space="preserve">466806</t>
  </si>
  <si>
    <t xml:space="preserve">3137</t>
  </si>
  <si>
    <t xml:space="preserve">0х228</t>
  </si>
  <si>
    <t xml:space="preserve">Тенькаев Артем Антонович</t>
  </si>
  <si>
    <t xml:space="preserve">Академ разница</t>
  </si>
  <si>
    <t xml:space="preserve">1 лаба</t>
  </si>
  <si>
    <t xml:space="preserve">2 лаба</t>
  </si>
  <si>
    <t xml:space="preserve">Р3131</t>
  </si>
  <si>
    <t xml:space="preserve">Абузов Ярослав Александрович, Деменев Тимур Гурбанович</t>
  </si>
  <si>
    <t xml:space="preserve">ОПД (Р3132) 2.5, 2.6</t>
  </si>
  <si>
    <t xml:space="preserve">3481</t>
  </si>
  <si>
    <t xml:space="preserve">3482</t>
  </si>
  <si>
    <t xml:space="preserve">3483</t>
  </si>
  <si>
    <t xml:space="preserve">3484</t>
  </si>
  <si>
    <t xml:space="preserve">3485</t>
  </si>
  <si>
    <t xml:space="preserve">3486</t>
  </si>
  <si>
    <t xml:space="preserve">3487</t>
  </si>
  <si>
    <t xml:space="preserve">3488</t>
  </si>
  <si>
    <t xml:space="preserve">3489</t>
  </si>
  <si>
    <t xml:space="preserve">3490</t>
  </si>
  <si>
    <t xml:space="preserve">Мухитдинов Азизхон Акмалхонович</t>
  </si>
  <si>
    <t xml:space="preserve">474334</t>
  </si>
  <si>
    <t xml:space="preserve">3491</t>
  </si>
  <si>
    <t xml:space="preserve">3492</t>
  </si>
  <si>
    <t xml:space="preserve">3493</t>
  </si>
  <si>
    <t xml:space="preserve">Шашкин Игорь Витальевич</t>
  </si>
  <si>
    <t xml:space="preserve">472664</t>
  </si>
  <si>
    <t xml:space="preserve">3494</t>
  </si>
  <si>
    <t xml:space="preserve">3495</t>
  </si>
  <si>
    <t xml:space="preserve">3496</t>
  </si>
  <si>
    <t xml:space="preserve">y*</t>
  </si>
  <si>
    <t xml:space="preserve">3218</t>
  </si>
  <si>
    <t xml:space="preserve">3219</t>
  </si>
  <si>
    <t xml:space="preserve">y**</t>
  </si>
  <si>
    <t xml:space="preserve">3220</t>
  </si>
  <si>
    <t xml:space="preserve">3221</t>
  </si>
  <si>
    <t xml:space="preserve">3222</t>
  </si>
  <si>
    <t xml:space="preserve">3223</t>
  </si>
  <si>
    <t xml:space="preserve">3224</t>
  </si>
  <si>
    <t xml:space="preserve">3225</t>
  </si>
  <si>
    <t xml:space="preserve">Слаев Амаль Ликманович</t>
  </si>
  <si>
    <t xml:space="preserve">467494</t>
  </si>
  <si>
    <t xml:space="preserve">3227</t>
  </si>
  <si>
    <t xml:space="preserve">3228</t>
  </si>
  <si>
    <t xml:space="preserve">3229</t>
  </si>
  <si>
    <t xml:space="preserve">3230</t>
  </si>
  <si>
    <t xml:space="preserve">ISU_ID</t>
  </si>
  <si>
    <t xml:space="preserve">ГPуппа</t>
  </si>
  <si>
    <t xml:space="preserve">Баллы</t>
  </si>
  <si>
    <t xml:space="preserve">s465993</t>
  </si>
  <si>
    <t xml:space="preserve">Andrei Zykov</t>
  </si>
  <si>
    <t xml:space="preserve">s409529</t>
  </si>
  <si>
    <t xml:space="preserve">Daniil Sedov</t>
  </si>
  <si>
    <t xml:space="preserve">s467846</t>
  </si>
  <si>
    <t xml:space="preserve">Dmitrii Fedorov</t>
  </si>
  <si>
    <t xml:space="preserve">s468074</t>
  </si>
  <si>
    <t xml:space="preserve">Egor Shvetcov</t>
  </si>
  <si>
    <t xml:space="preserve">s466690</t>
  </si>
  <si>
    <t xml:space="preserve">Fedor Melnik</t>
  </si>
  <si>
    <t xml:space="preserve">s467204</t>
  </si>
  <si>
    <t xml:space="preserve">Ilia Pchelkin</t>
  </si>
  <si>
    <t xml:space="preserve">s472474</t>
  </si>
  <si>
    <t xml:space="preserve">Ilia Sidorov</t>
  </si>
  <si>
    <t xml:space="preserve">s465105</t>
  </si>
  <si>
    <t xml:space="preserve">Karina Baiburina</t>
  </si>
  <si>
    <t xml:space="preserve">s464921</t>
  </si>
  <si>
    <t xml:space="preserve">Karlos Manuel Avendano Duran</t>
  </si>
  <si>
    <t xml:space="preserve">s467546</t>
  </si>
  <si>
    <t xml:space="preserve">Kirill Soldatov</t>
  </si>
  <si>
    <t xml:space="preserve">s413004</t>
  </si>
  <si>
    <t xml:space="preserve">Maksim Manshetov</t>
  </si>
  <si>
    <t xml:space="preserve">s466853</t>
  </si>
  <si>
    <t xml:space="preserve">Maksim Nekrutenko</t>
  </si>
  <si>
    <t xml:space="preserve">s466310</t>
  </si>
  <si>
    <t xml:space="preserve">Mariia Kosogova</t>
  </si>
  <si>
    <t xml:space="preserve">s467669</t>
  </si>
  <si>
    <t xml:space="preserve">Savelii Tarasov</t>
  </si>
  <si>
    <t xml:space="preserve">s467922</t>
  </si>
  <si>
    <t xml:space="preserve">Svetlana Khakhulina</t>
  </si>
  <si>
    <t xml:space="preserve">s466316</t>
  </si>
  <si>
    <t xml:space="preserve">Vadim Kotikov</t>
  </si>
  <si>
    <t xml:space="preserve">s472395</t>
  </si>
  <si>
    <t xml:space="preserve">Alina Radchenko</t>
  </si>
  <si>
    <t xml:space="preserve">s467205</t>
  </si>
  <si>
    <t xml:space="preserve">Artem Pshenichnikov</t>
  </si>
  <si>
    <t xml:space="preserve">s467307</t>
  </si>
  <si>
    <t xml:space="preserve">Nikita Riazanov</t>
  </si>
  <si>
    <t xml:space="preserve">s466272</t>
  </si>
  <si>
    <t xml:space="preserve">Oleg Korepanov</t>
  </si>
  <si>
    <t xml:space="preserve">s467937</t>
  </si>
  <si>
    <t xml:space="preserve">Semen Khoirysh</t>
  </si>
  <si>
    <t xml:space="preserve">s467182</t>
  </si>
  <si>
    <t xml:space="preserve">Sergei Prokopenko</t>
  </si>
  <si>
    <t xml:space="preserve">s467570</t>
  </si>
  <si>
    <t xml:space="preserve">Viacheslav Sofin</t>
  </si>
  <si>
    <t xml:space="preserve">s465774</t>
  </si>
  <si>
    <t xml:space="preserve">Vladimir Dobryshkin</t>
  </si>
  <si>
    <t xml:space="preserve">s466386</t>
  </si>
  <si>
    <t xml:space="preserve">Andrei Kuznetcov</t>
  </si>
  <si>
    <t xml:space="preserve">s372856</t>
  </si>
  <si>
    <t xml:space="preserve">Gleb Taustob</t>
  </si>
  <si>
    <t xml:space="preserve">s466273</t>
  </si>
  <si>
    <t xml:space="preserve">Kseniia Korepina</t>
  </si>
  <si>
    <t xml:space="preserve">s465755</t>
  </si>
  <si>
    <t xml:space="preserve">Nazerke Dzhanture</t>
  </si>
  <si>
    <t xml:space="preserve">s465592</t>
  </si>
  <si>
    <t xml:space="preserve">Semen Gorin</t>
  </si>
  <si>
    <t xml:space="preserve">s467233</t>
  </si>
  <si>
    <t xml:space="preserve">Sergei Reshetnikov</t>
  </si>
  <si>
    <t xml:space="preserve">s464900</t>
  </si>
  <si>
    <t xml:space="preserve">Sofiia Abdullaeva</t>
  </si>
  <si>
    <t xml:space="preserve">s467237</t>
  </si>
  <si>
    <t xml:space="preserve">Akhmed Rzaev</t>
  </si>
  <si>
    <t xml:space="preserve">s466049</t>
  </si>
  <si>
    <t xml:space="preserve">Aleksandra-Irina Isaeva</t>
  </si>
  <si>
    <t xml:space="preserve">s467141</t>
  </si>
  <si>
    <t xml:space="preserve">Aleksei Poliakov</t>
  </si>
  <si>
    <t xml:space="preserve">s471800</t>
  </si>
  <si>
    <t xml:space="preserve">Anna Vedernikova</t>
  </si>
  <si>
    <t xml:space="preserve">s465826</t>
  </si>
  <si>
    <t xml:space="preserve">Artem Evgrafov</t>
  </si>
  <si>
    <t xml:space="preserve">s375301</t>
  </si>
  <si>
    <t xml:space="preserve">Artur Mukhamediarov</t>
  </si>
  <si>
    <t xml:space="preserve">s466088</t>
  </si>
  <si>
    <t xml:space="preserve">Dmitrii Kalinin</t>
  </si>
  <si>
    <t xml:space="preserve">s466402</t>
  </si>
  <si>
    <t xml:space="preserve">Dmitrii Kuzmin</t>
  </si>
  <si>
    <t xml:space="preserve">s468125</t>
  </si>
  <si>
    <t xml:space="preserve">Egor Shubin</t>
  </si>
  <si>
    <t xml:space="preserve">s467530</t>
  </si>
  <si>
    <t xml:space="preserve">Egor Sobolev</t>
  </si>
  <si>
    <t xml:space="preserve">s466084</t>
  </si>
  <si>
    <t xml:space="preserve">Iaroslav Kalakin</t>
  </si>
  <si>
    <t xml:space="preserve">s467696</t>
  </si>
  <si>
    <t xml:space="preserve">Iurii Terekhov</t>
  </si>
  <si>
    <t xml:space="preserve">s466824</t>
  </si>
  <si>
    <t xml:space="preserve">Kirill Nadolskii</t>
  </si>
  <si>
    <t xml:space="preserve">s472302</t>
  </si>
  <si>
    <t xml:space="preserve">Kirill Nikiforov</t>
  </si>
  <si>
    <t xml:space="preserve">s467830</t>
  </si>
  <si>
    <t xml:space="preserve">Konstantin Fadin</t>
  </si>
  <si>
    <t xml:space="preserve">s466369</t>
  </si>
  <si>
    <t xml:space="preserve">Mariia Krylova</t>
  </si>
  <si>
    <t xml:space="preserve">s466468</t>
  </si>
  <si>
    <t xml:space="preserve">Vladislav Larionov</t>
  </si>
  <si>
    <t xml:space="preserve">P3109/</t>
  </si>
  <si>
    <t xml:space="preserve">s465142</t>
  </si>
  <si>
    <t xml:space="preserve">Grigorii Barmichev</t>
  </si>
  <si>
    <t xml:space="preserve">s467139</t>
  </si>
  <si>
    <t xml:space="preserve">Igor Poluianov</t>
  </si>
  <si>
    <t xml:space="preserve">s466042</t>
  </si>
  <si>
    <t xml:space="preserve">Ivan Ipantev</t>
  </si>
  <si>
    <t xml:space="preserve">s466815</t>
  </si>
  <si>
    <t xml:space="preserve">Ivan Mytc</t>
  </si>
  <si>
    <t xml:space="preserve">s476150</t>
  </si>
  <si>
    <t xml:space="preserve">Karomatullokhon Akhrorov</t>
  </si>
  <si>
    <t xml:space="preserve">s471848</t>
  </si>
  <si>
    <t xml:space="preserve">Maksim Goncharov</t>
  </si>
  <si>
    <t xml:space="preserve">s468127</t>
  </si>
  <si>
    <t xml:space="preserve">Oleg Shukaev</t>
  </si>
  <si>
    <t xml:space="preserve">s465722</t>
  </si>
  <si>
    <t xml:space="preserve">Pavel Deviatykh</t>
  </si>
  <si>
    <t xml:space="preserve">s466113</t>
  </si>
  <si>
    <t xml:space="preserve">Pavel Karaganov</t>
  </si>
  <si>
    <t xml:space="preserve">s466441</t>
  </si>
  <si>
    <t xml:space="preserve">Sofia Kutuzova</t>
  </si>
  <si>
    <t xml:space="preserve">s407959</t>
  </si>
  <si>
    <t xml:space="preserve">Tcziatcziun Chzhun</t>
  </si>
  <si>
    <t xml:space="preserve">s467889</t>
  </si>
  <si>
    <t xml:space="preserve">Viktoriia Fonareva</t>
  </si>
  <si>
    <t xml:space="preserve">s467351</t>
  </si>
  <si>
    <t xml:space="preserve">Vladislava Samsonova</t>
  </si>
  <si>
    <t xml:space="preserve">s464906</t>
  </si>
  <si>
    <t xml:space="preserve">Anastasiia Abramova</t>
  </si>
  <si>
    <t xml:space="preserve">s467727</t>
  </si>
  <si>
    <t xml:space="preserve">Denis Tkachev</t>
  </si>
  <si>
    <t xml:space="preserve">s489380</t>
  </si>
  <si>
    <t xml:space="preserve">Egor Bandurin</t>
  </si>
  <si>
    <t xml:space="preserve">s465870</t>
  </si>
  <si>
    <t xml:space="preserve">Egor Erokhin</t>
  </si>
  <si>
    <t xml:space="preserve">s467306</t>
  </si>
  <si>
    <t xml:space="preserve">Grigorii Riazanov</t>
  </si>
  <si>
    <t xml:space="preserve">s465746</t>
  </si>
  <si>
    <t xml:space="preserve">Ilia Derenovskii</t>
  </si>
  <si>
    <t xml:space="preserve">s466127</t>
  </si>
  <si>
    <t xml:space="preserve">Maksim Karnazhitckii</t>
  </si>
  <si>
    <t xml:space="preserve">s466363</t>
  </si>
  <si>
    <t xml:space="preserve">Mikhail Krul</t>
  </si>
  <si>
    <t xml:space="preserve">s419310</t>
  </si>
  <si>
    <t xml:space="preserve">Miroslav Naumov</t>
  </si>
  <si>
    <t xml:space="preserve">s472094</t>
  </si>
  <si>
    <t xml:space="preserve">Sergei Krambalev</t>
  </si>
  <si>
    <t xml:space="preserve">s466114</t>
  </si>
  <si>
    <t xml:space="preserve">Aleksandr Karasev</t>
  </si>
  <si>
    <t xml:space="preserve">s465917</t>
  </si>
  <si>
    <t xml:space="preserve">Aleksandr Zagolovich</t>
  </si>
  <si>
    <t xml:space="preserve">s466217</t>
  </si>
  <si>
    <t xml:space="preserve">Danil Kozachenko</t>
  </si>
  <si>
    <t xml:space="preserve">s466828</t>
  </si>
  <si>
    <t xml:space="preserve">Egor Nazaikin</t>
  </si>
  <si>
    <t xml:space="preserve">s465561</t>
  </si>
  <si>
    <t xml:space="preserve">Elena Goikhman</t>
  </si>
  <si>
    <t xml:space="preserve">s466752</t>
  </si>
  <si>
    <t xml:space="preserve">Fedor Molokov</t>
  </si>
  <si>
    <t xml:space="preserve">s465211</t>
  </si>
  <si>
    <t xml:space="preserve">Grigorii Berdyshev</t>
  </si>
  <si>
    <t xml:space="preserve">s466650</t>
  </si>
  <si>
    <t xml:space="preserve">Grigorii Marin</t>
  </si>
  <si>
    <t xml:space="preserve">s467731</t>
  </si>
  <si>
    <t xml:space="preserve">Igor Tolmachev</t>
  </si>
  <si>
    <t xml:space="preserve">s465987</t>
  </si>
  <si>
    <t xml:space="preserve">Iuliia Zubulina</t>
  </si>
  <si>
    <t xml:space="preserve">s466495</t>
  </si>
  <si>
    <t xml:space="preserve">Nikita Lezhnev</t>
  </si>
  <si>
    <t xml:space="preserve">s467132</t>
  </si>
  <si>
    <t xml:space="preserve">Nikolai Polishchenko</t>
  </si>
  <si>
    <t xml:space="preserve">s467342</t>
  </si>
  <si>
    <t xml:space="preserve">Timur Salomakhin</t>
  </si>
  <si>
    <t xml:space="preserve">s467432</t>
  </si>
  <si>
    <t xml:space="preserve">Veronika Sereda</t>
  </si>
  <si>
    <t xml:space="preserve">s467109</t>
  </si>
  <si>
    <t xml:space="preserve">Aleksandr Pliushchev</t>
  </si>
  <si>
    <t xml:space="preserve">s466082</t>
  </si>
  <si>
    <t xml:space="preserve">Aleksandra Kaigorodova</t>
  </si>
  <si>
    <t xml:space="preserve">s475186</t>
  </si>
  <si>
    <t xml:space="preserve">Aleksei Reznikov</t>
  </si>
  <si>
    <t xml:space="preserve">s465945</t>
  </si>
  <si>
    <t xml:space="preserve">Aleksei Zapadovnikov</t>
  </si>
  <si>
    <t xml:space="preserve">s467507</t>
  </si>
  <si>
    <t xml:space="preserve">Andrei Smirnov</t>
  </si>
  <si>
    <t xml:space="preserve">s472157</t>
  </si>
  <si>
    <t xml:space="preserve">Arina Leonteva</t>
  </si>
  <si>
    <t xml:space="preserve">s467579</t>
  </si>
  <si>
    <t xml:space="preserve">Arsenii Starikov</t>
  </si>
  <si>
    <t xml:space="preserve">s468198</t>
  </si>
  <si>
    <t xml:space="preserve">Artem Iasakov</t>
  </si>
  <si>
    <t xml:space="preserve">s466560</t>
  </si>
  <si>
    <t xml:space="preserve">Elizaveta Lvova</t>
  </si>
  <si>
    <t xml:space="preserve">s467039</t>
  </si>
  <si>
    <t xml:space="preserve">Ignat Pakhomov</t>
  </si>
  <si>
    <t xml:space="preserve">s465544</t>
  </si>
  <si>
    <t xml:space="preserve">Ivan Gladyshev</t>
  </si>
  <si>
    <t xml:space="preserve">s467242</t>
  </si>
  <si>
    <t xml:space="preserve">Mariia Rogovich</t>
  </si>
  <si>
    <t xml:space="preserve">s466497</t>
  </si>
  <si>
    <t xml:space="preserve">Nikita Leikovskii</t>
  </si>
  <si>
    <t xml:space="preserve">s467363</t>
  </si>
  <si>
    <t xml:space="preserve">Timur Sarvarov</t>
  </si>
  <si>
    <t xml:space="preserve">s467463</t>
  </si>
  <si>
    <t xml:space="preserve">Alena Simakova</t>
  </si>
  <si>
    <t xml:space="preserve">s466423</t>
  </si>
  <si>
    <t xml:space="preserve">Anastasiia Kuragina</t>
  </si>
  <si>
    <t xml:space="preserve">s465951</t>
  </si>
  <si>
    <t xml:space="preserve">Andrei Zakharchenko</t>
  </si>
  <si>
    <t xml:space="preserve">s466140</t>
  </si>
  <si>
    <t xml:space="preserve">Askar Kasimov</t>
  </si>
  <si>
    <t xml:space="preserve">s468030</t>
  </si>
  <si>
    <t xml:space="preserve">Ivan Chuprov</t>
  </si>
  <si>
    <t xml:space="preserve">s472196</t>
  </si>
  <si>
    <t xml:space="preserve">Matvei Makarov</t>
  </si>
  <si>
    <t xml:space="preserve">s466873</t>
  </si>
  <si>
    <t xml:space="preserve">Matvei Nikitenko</t>
  </si>
  <si>
    <t xml:space="preserve">s399913</t>
  </si>
  <si>
    <t xml:space="preserve">Milana Aleksandrova</t>
  </si>
  <si>
    <t xml:space="preserve">s466501</t>
  </si>
  <si>
    <t xml:space="preserve">Vladimir Lesnikov</t>
  </si>
  <si>
    <t xml:space="preserve">s466513</t>
  </si>
  <si>
    <t xml:space="preserve">Akim Lineiskii</t>
  </si>
  <si>
    <t xml:space="preserve">s465259</t>
  </si>
  <si>
    <t xml:space="preserve">Andrei Bondarenko</t>
  </si>
  <si>
    <t xml:space="preserve">s467018</t>
  </si>
  <si>
    <t xml:space="preserve">Anton Panchenko</t>
  </si>
  <si>
    <t xml:space="preserve">s467944</t>
  </si>
  <si>
    <t xml:space="preserve">Artem Khrabrov</t>
  </si>
  <si>
    <t xml:space="preserve">s408417</t>
  </si>
  <si>
    <t xml:space="preserve">Ekaterina Galak</t>
  </si>
  <si>
    <t xml:space="preserve">s467593</t>
  </si>
  <si>
    <t xml:space="preserve">Ilia Stepanov</t>
  </si>
  <si>
    <t xml:space="preserve">s467740</t>
  </si>
  <si>
    <t xml:space="preserve">Ilia Torbin</t>
  </si>
  <si>
    <t xml:space="preserve">s467213</t>
  </si>
  <si>
    <t xml:space="preserve">Kirill Razygraev</t>
  </si>
  <si>
    <t xml:space="preserve">s466890</t>
  </si>
  <si>
    <t xml:space="preserve">Maksim Nikolenko</t>
  </si>
  <si>
    <t xml:space="preserve">s465967</t>
  </si>
  <si>
    <t xml:space="preserve">Pavel Zenchenkov</t>
  </si>
  <si>
    <t xml:space="preserve">s466662</t>
  </si>
  <si>
    <t xml:space="preserve">Polina Matveeva</t>
  </si>
  <si>
    <t xml:space="preserve">s467525</t>
  </si>
  <si>
    <t xml:space="preserve">Stanislav Snagin</t>
  </si>
  <si>
    <t xml:space="preserve">s408931</t>
  </si>
  <si>
    <t xml:space="preserve">Tatiana Kudriashova</t>
  </si>
  <si>
    <t xml:space="preserve">s407893</t>
  </si>
  <si>
    <t xml:space="preserve">Anastasiia Rovkova</t>
  </si>
  <si>
    <t xml:space="preserve">s465635</t>
  </si>
  <si>
    <t xml:space="preserve">Daniil Grigorev</t>
  </si>
  <si>
    <t xml:space="preserve">s467037</t>
  </si>
  <si>
    <t xml:space="preserve">Daniil Pakhomov</t>
  </si>
  <si>
    <t xml:space="preserve">s472464</t>
  </si>
  <si>
    <t xml:space="preserve">Egor Semenov</t>
  </si>
  <si>
    <t xml:space="preserve">s465244</t>
  </si>
  <si>
    <t xml:space="preserve">Georgii Boiko</t>
  </si>
  <si>
    <t xml:space="preserve">s466344</t>
  </si>
  <si>
    <t xml:space="preserve">Iuliia Krasnoshtanova</t>
  </si>
  <si>
    <t xml:space="preserve">s407960</t>
  </si>
  <si>
    <t xml:space="preserve">Khaolin Chen</t>
  </si>
  <si>
    <t xml:space="preserve">s466537</t>
  </si>
  <si>
    <t xml:space="preserve">Prokhor Loskutov</t>
  </si>
  <si>
    <t xml:space="preserve">s468045</t>
  </si>
  <si>
    <t xml:space="preserve">Viktoriia Shaikina</t>
  </si>
  <si>
    <t xml:space="preserve">s465224</t>
  </si>
  <si>
    <t xml:space="preserve">Vladislav Bibikov</t>
  </si>
  <si>
    <t xml:space="preserve">s466207</t>
  </si>
  <si>
    <t xml:space="preserve">Aleksandr Kovyrshin</t>
  </si>
  <si>
    <t xml:space="preserve">s467647</t>
  </si>
  <si>
    <t xml:space="preserve">Aleksandr Sushko</t>
  </si>
  <si>
    <t xml:space="preserve">s467353</t>
  </si>
  <si>
    <t xml:space="preserve">Dmitrii Sanatin</t>
  </si>
  <si>
    <t xml:space="preserve">s489406</t>
  </si>
  <si>
    <t xml:space="preserve">German Izaak</t>
  </si>
  <si>
    <t xml:space="preserve">s489568</t>
  </si>
  <si>
    <t xml:space="preserve">Irina Makhneva</t>
  </si>
  <si>
    <t xml:space="preserve">s466985</t>
  </si>
  <si>
    <t xml:space="preserve">Ivan Pavlenko</t>
  </si>
  <si>
    <t xml:space="preserve">s467467</t>
  </si>
  <si>
    <t xml:space="preserve">Lev Simonov</t>
  </si>
  <si>
    <t xml:space="preserve">s465887</t>
  </si>
  <si>
    <t xml:space="preserve">Mikhail Zherebtcov</t>
  </si>
  <si>
    <t xml:space="preserve">s467969</t>
  </si>
  <si>
    <t xml:space="preserve">Nikita Chaikovskii</t>
  </si>
  <si>
    <t xml:space="preserve">s466823</t>
  </si>
  <si>
    <t xml:space="preserve">Nikolai Nagornyi</t>
  </si>
  <si>
    <t xml:space="preserve">s466339</t>
  </si>
  <si>
    <t xml:space="preserve">Aleksei Krasnov</t>
  </si>
  <si>
    <t xml:space="preserve">s466938</t>
  </si>
  <si>
    <t xml:space="preserve">Danil Ovchinnikov</t>
  </si>
  <si>
    <t xml:space="preserve">s466549</t>
  </si>
  <si>
    <t xml:space="preserve">Dmitrii Lukoshnikov</t>
  </si>
  <si>
    <t xml:space="preserve">s468018</t>
  </si>
  <si>
    <t xml:space="preserve">Ekaterina Chistiakova</t>
  </si>
  <si>
    <t xml:space="preserve">s465457</t>
  </si>
  <si>
    <t xml:space="preserve">Gleb Vokhrameev</t>
  </si>
  <si>
    <t xml:space="preserve">s466595</t>
  </si>
  <si>
    <t xml:space="preserve">Iaroslav Makogon</t>
  </si>
  <si>
    <t xml:space="preserve">s467092</t>
  </si>
  <si>
    <t xml:space="preserve">Liliia Pingacheva</t>
  </si>
  <si>
    <t xml:space="preserve">s409053</t>
  </si>
  <si>
    <t xml:space="preserve">Nikita Makogon</t>
  </si>
  <si>
    <t xml:space="preserve">s465745</t>
  </si>
  <si>
    <t xml:space="preserve">Vladimir Derevianko</t>
  </si>
  <si>
    <t xml:space="preserve">s465029</t>
  </si>
  <si>
    <t xml:space="preserve">Andrei Anufriev</t>
  </si>
  <si>
    <t xml:space="preserve">s434931</t>
  </si>
  <si>
    <t xml:space="preserve">Daniil Mantush</t>
  </si>
  <si>
    <t xml:space="preserve">s464905</t>
  </si>
  <si>
    <t xml:space="preserve">Egor Abramov</t>
  </si>
  <si>
    <t xml:space="preserve">s471733</t>
  </si>
  <si>
    <t xml:space="preserve">Fedor Begun</t>
  </si>
  <si>
    <t xml:space="preserve">s467742</t>
  </si>
  <si>
    <t xml:space="preserve">Pavel Toropov</t>
  </si>
  <si>
    <t xml:space="preserve">s467088</t>
  </si>
  <si>
    <t xml:space="preserve">Ruslan Piliarov</t>
  </si>
  <si>
    <t xml:space="preserve">s467509</t>
  </si>
  <si>
    <t xml:space="preserve">Vadim Smirnov</t>
  </si>
  <si>
    <t xml:space="preserve">s466972</t>
  </si>
  <si>
    <t xml:space="preserve">Viacheslav Osipov</t>
  </si>
  <si>
    <t xml:space="preserve">s467667</t>
  </si>
  <si>
    <t xml:space="preserve">Vladislav Tarasov</t>
  </si>
  <si>
    <t xml:space="preserve">s471658</t>
  </si>
  <si>
    <t xml:space="preserve">Aisel Agalarova</t>
  </si>
  <si>
    <t xml:space="preserve">s467549</t>
  </si>
  <si>
    <t xml:space="preserve">Aleksei Solovev</t>
  </si>
  <si>
    <t xml:space="preserve">s368999</t>
  </si>
  <si>
    <t xml:space="preserve">Andrei Khomenkov</t>
  </si>
  <si>
    <t xml:space="preserve">s466309</t>
  </si>
  <si>
    <t xml:space="preserve">Artem Kosov</t>
  </si>
  <si>
    <t xml:space="preserve">s408184</t>
  </si>
  <si>
    <t xml:space="preserve">Dana Ashralieva</t>
  </si>
  <si>
    <t xml:space="preserve">s465903</t>
  </si>
  <si>
    <t xml:space="preserve">Iaroslav Zhuravlev</t>
  </si>
  <si>
    <t xml:space="preserve">s467586</t>
  </si>
  <si>
    <t xml:space="preserve">Aleksandr Starchenko</t>
  </si>
  <si>
    <t xml:space="preserve">s470162</t>
  </si>
  <si>
    <t xml:space="preserve">Anton Serov</t>
  </si>
  <si>
    <t xml:space="preserve">s471783</t>
  </si>
  <si>
    <t xml:space="preserve">Boris Bushkov</t>
  </si>
  <si>
    <t xml:space="preserve">s467318</t>
  </si>
  <si>
    <t xml:space="preserve">Dmitrii Savinov</t>
  </si>
  <si>
    <t xml:space="preserve">s407885</t>
  </si>
  <si>
    <t xml:space="preserve">Enokh Asante Larbi</t>
  </si>
  <si>
    <t xml:space="preserve">s407868</t>
  </si>
  <si>
    <t xml:space="preserve">Khiui Khoang Din</t>
  </si>
  <si>
    <t xml:space="preserve">s466449</t>
  </si>
  <si>
    <t xml:space="preserve">Makar Labin</t>
  </si>
  <si>
    <t xml:space="preserve">s467244</t>
  </si>
  <si>
    <t xml:space="preserve">Maksim Rodionov</t>
  </si>
  <si>
    <t xml:space="preserve">s409658</t>
  </si>
  <si>
    <t xml:space="preserve">Nikita Syshchikov</t>
  </si>
  <si>
    <t xml:space="preserve">s467783</t>
  </si>
  <si>
    <t xml:space="preserve">Nikita Turygin</t>
  </si>
  <si>
    <t xml:space="preserve">s467082</t>
  </si>
  <si>
    <t xml:space="preserve">Roman Pivovarov</t>
  </si>
  <si>
    <t xml:space="preserve">s467288</t>
  </si>
  <si>
    <t xml:space="preserve">Roman Rutman</t>
  </si>
  <si>
    <t xml:space="preserve">s465346</t>
  </si>
  <si>
    <t xml:space="preserve">Ruslan Valiev</t>
  </si>
  <si>
    <t xml:space="preserve">s465824</t>
  </si>
  <si>
    <t xml:space="preserve">Vladislav Diadev</t>
  </si>
  <si>
    <t xml:space="preserve">s466385</t>
  </si>
  <si>
    <t xml:space="preserve">s466629</t>
  </si>
  <si>
    <t xml:space="preserve">Andrei Marennikov</t>
  </si>
  <si>
    <t xml:space="preserve">s465026</t>
  </si>
  <si>
    <t xml:space="preserve">Anna Antonova</t>
  </si>
  <si>
    <t xml:space="preserve">s466298</t>
  </si>
  <si>
    <t xml:space="preserve">Artem Korkhonen</t>
  </si>
  <si>
    <t xml:space="preserve">s475247</t>
  </si>
  <si>
    <t xml:space="preserve">Elizaveta Shmidko</t>
  </si>
  <si>
    <t xml:space="preserve">s463226</t>
  </si>
  <si>
    <t xml:space="preserve">Genri Agada Udzhakh</t>
  </si>
  <si>
    <t xml:space="preserve">s465727</t>
  </si>
  <si>
    <t xml:space="preserve">Iliana Dediukieva</t>
  </si>
  <si>
    <t xml:space="preserve">s465676</t>
  </si>
  <si>
    <t xml:space="preserve">Imron Gulakhmadzoda</t>
  </si>
  <si>
    <t xml:space="preserve">s431831</t>
  </si>
  <si>
    <t xml:space="preserve">Ivan Bushchik</t>
  </si>
  <si>
    <t xml:space="preserve">s466472</t>
  </si>
  <si>
    <t xml:space="preserve">Ivan Lariutin</t>
  </si>
  <si>
    <t xml:space="preserve">s408078</t>
  </si>
  <si>
    <t xml:space="preserve">Khamza Iuksel</t>
  </si>
  <si>
    <t xml:space="preserve">s471855</t>
  </si>
  <si>
    <t xml:space="preserve">Leonid Grebeniuk</t>
  </si>
  <si>
    <t xml:space="preserve">s467676</t>
  </si>
  <si>
    <t xml:space="preserve">Maksim Tarnopolskii</t>
  </si>
  <si>
    <t xml:space="preserve">s381731</t>
  </si>
  <si>
    <t xml:space="preserve">Mariia Zhukova</t>
  </si>
  <si>
    <t xml:space="preserve">s467282</t>
  </si>
  <si>
    <t xml:space="preserve">Sergei Rusanov</t>
  </si>
  <si>
    <t xml:space="preserve">s466546</t>
  </si>
  <si>
    <t xml:space="preserve">Tatiana Lukina</t>
  </si>
  <si>
    <t xml:space="preserve">s435169</t>
  </si>
  <si>
    <t xml:space="preserve">Timur Guzalov</t>
  </si>
  <si>
    <t xml:space="preserve">s467898</t>
  </si>
  <si>
    <t xml:space="preserve">Timur Khabirov</t>
  </si>
  <si>
    <t xml:space="preserve">s415129</t>
  </si>
  <si>
    <t xml:space="preserve">Tkhe Vet Khoang</t>
  </si>
  <si>
    <t xml:space="preserve">s465602</t>
  </si>
  <si>
    <t xml:space="preserve">Vladislav Gorshenin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</si>
</sst>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#,##0.0"/>
    <numFmt numFmtId="167" formatCode="dd\.mm"/>
    <numFmt numFmtId="168" formatCode="#,##0.00"/>
    <numFmt numFmtId="169" formatCode="d\-m"/>
    <numFmt numFmtId="170" formatCode="0%"/>
    <numFmt numFmtId="171" formatCode="dd/mm"/>
    <numFmt numFmtId="172" formatCode="dd/mm/yyyy"/>
    <numFmt numFmtId="173" formatCode="dd/mm/yy"/>
    <numFmt numFmtId="174" formatCode="yyyy/m"/>
    <numFmt numFmtId="175" formatCode="dd\ mm"/>
    <numFmt numFmtId="176" formatCode="m\ yyyy"/>
    <numFmt numFmtId="177" formatCode="mm\ yyyy"/>
    <numFmt numFmtId="178" formatCode="dd/mm/"/>
    <numFmt numFmtId="179" formatCode="0.0"/>
    <numFmt numFmtId="180" formatCode="d/m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Roboto"/>
      <family val="0"/>
      <charset val="1"/>
    </font>
    <font>
      <b val="true"/>
      <sz val="14"/>
      <color theme="1"/>
      <name val="Roboto"/>
      <family val="0"/>
      <charset val="1"/>
    </font>
    <font>
      <sz val="14"/>
      <color theme="1"/>
      <name val="Roboto"/>
      <family val="0"/>
      <charset val="1"/>
    </font>
    <font>
      <sz val="14"/>
      <color rgb="FF000000"/>
      <name val="Roboto"/>
      <family val="0"/>
      <charset val="1"/>
    </font>
    <font>
      <sz val="14"/>
      <color rgb="FF1F1F1F"/>
      <name val="Roboto"/>
      <family val="0"/>
      <charset val="1"/>
    </font>
    <font>
      <b val="true"/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rgb="FFFFFFFF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8"/>
      <color theme="1"/>
      <name val="Arial"/>
      <family val="0"/>
      <charset val="1"/>
    </font>
    <font>
      <strike val="true"/>
      <sz val="10"/>
      <color theme="1"/>
      <name val="Arial"/>
      <family val="0"/>
      <charset val="1"/>
    </font>
    <font>
      <b val="true"/>
      <strike val="true"/>
      <sz val="10"/>
      <color theme="1"/>
      <name val="Arial"/>
      <family val="0"/>
      <charset val="1"/>
    </font>
    <font>
      <sz val="9"/>
      <color theme="1"/>
      <name val="Arial"/>
      <family val="0"/>
      <charset val="1"/>
    </font>
    <font>
      <sz val="10"/>
      <name val="Arial"/>
      <family val="2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b val="true"/>
      <sz val="10"/>
      <color theme="1"/>
      <name val="Times New Roman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theme="4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3C4043"/>
      <name val="Arial"/>
      <family val="0"/>
      <charset val="1"/>
    </font>
    <font>
      <sz val="12"/>
      <color rgb="FF202122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CCCCCC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CFE2F3"/>
      </patternFill>
    </fill>
    <fill>
      <patternFill patternType="solid">
        <fgColor rgb="FFD5A6BD"/>
        <bgColor rgb="FFEA9999"/>
      </patternFill>
    </fill>
    <fill>
      <patternFill patternType="solid">
        <fgColor rgb="FFF4C7C3"/>
        <bgColor rgb="FFF4CCCC"/>
      </patternFill>
    </fill>
    <fill>
      <patternFill patternType="solid">
        <fgColor rgb="FFFF9900"/>
        <bgColor rgb="FFE69138"/>
      </patternFill>
    </fill>
    <fill>
      <patternFill patternType="solid">
        <fgColor rgb="FFFF0000"/>
        <bgColor rgb="FFC53929"/>
      </patternFill>
    </fill>
    <fill>
      <patternFill patternType="solid">
        <fgColor rgb="FFFFFF00"/>
        <bgColor rgb="FFFFE599"/>
      </patternFill>
    </fill>
    <fill>
      <patternFill patternType="solid">
        <fgColor rgb="FFF8F9FA"/>
        <bgColor rgb="FFF3F3F3"/>
      </patternFill>
    </fill>
    <fill>
      <patternFill patternType="solid">
        <fgColor rgb="FFFFE599"/>
        <bgColor rgb="FFFCE8B2"/>
      </patternFill>
    </fill>
    <fill>
      <patternFill patternType="solid">
        <fgColor rgb="FFEA9999"/>
        <bgColor rgb="FFD5A6BD"/>
      </patternFill>
    </fill>
    <fill>
      <patternFill patternType="solid">
        <fgColor rgb="FFCFE2F3"/>
        <bgColor rgb="FFD9D9D9"/>
      </patternFill>
    </fill>
    <fill>
      <patternFill patternType="solid">
        <fgColor rgb="FFF4CCCC"/>
        <bgColor rgb="FFF4C7C3"/>
      </patternFill>
    </fill>
    <fill>
      <patternFill patternType="solid">
        <fgColor rgb="FFFFF2CC"/>
        <bgColor rgb="FFFCE8B2"/>
      </patternFill>
    </fill>
    <fill>
      <patternFill patternType="solid">
        <fgColor rgb="FFA2C4C9"/>
        <bgColor rgb="FFA2A9B1"/>
      </patternFill>
    </fill>
    <fill>
      <patternFill patternType="solid">
        <fgColor rgb="FFE06666"/>
        <bgColor rgb="FFE6913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3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1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30" fillId="1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30" fillId="1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1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>
          <bgColor rgb="FFFCE8B2"/>
        </patternFill>
      </fill>
    </dxf>
    <dxf>
      <fill>
        <patternFill>
          <bgColor rgb="FFFF0000"/>
        </patternFill>
      </fill>
    </dxf>
    <dxf>
      <font>
        <color rgb="FFC53929"/>
      </font>
      <fill>
        <patternFill/>
      </fill>
    </dxf>
    <dxf>
      <font>
        <color rgb="FFC53929"/>
      </font>
      <fill>
        <patternFill>
          <bgColor rgb="FFF3F3F3"/>
        </patternFill>
      </fill>
    </dxf>
    <dxf>
      <font>
        <color rgb="FF34A853"/>
      </font>
      <fill>
        <patternFill>
          <bgColor rgb="FFF3F3F3"/>
        </patternFill>
      </fill>
    </dxf>
    <dxf>
      <fill>
        <patternFill>
          <bgColor rgb="FFF4C7C3"/>
        </patternFill>
      </fill>
    </dxf>
    <dxf>
      <fill>
        <patternFill>
          <bgColor rgb="FFC3EFDA"/>
        </patternFill>
      </fill>
    </dxf>
    <dxf>
      <font>
        <color rgb="FF1F1F1F"/>
      </font>
      <fill>
        <patternFill>
          <bgColor rgb="FFF4C7C3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7E1CD"/>
          <bgColor rgb="FF000000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A775"/>
      <rgbColor rgb="FFCCCCCC"/>
      <rgbColor rgb="FF808080"/>
      <rgbColor rgb="FFB7E1CD"/>
      <rgbColor rgb="FF993366"/>
      <rgbColor rgb="FFFFF2CC"/>
      <rgbColor rgb="FFEFEFEF"/>
      <rgbColor rgb="FF660066"/>
      <rgbColor rgb="FFE06666"/>
      <rgbColor rgb="FF1155CC"/>
      <rgbColor rgb="FFCFE2F3"/>
      <rgbColor rgb="FF000080"/>
      <rgbColor rgb="FFFF00FF"/>
      <rgbColor rgb="FFF4CCCC"/>
      <rgbColor rgb="FF00FFFF"/>
      <rgbColor rgb="FF800080"/>
      <rgbColor rgb="FF800000"/>
      <rgbColor rgb="FF008080"/>
      <rgbColor rgb="FF0000FF"/>
      <rgbColor rgb="FF00CCFF"/>
      <rgbColor rgb="FFF3F3F3"/>
      <rgbColor rgb="FFC3EFDA"/>
      <rgbColor rgb="FFFCE8B2"/>
      <rgbColor rgb="FFA2C4C9"/>
      <rgbColor rgb="FFEA9999"/>
      <rgbColor rgb="FFD5A6BD"/>
      <rgbColor rgb="FFF4C7C3"/>
      <rgbColor rgb="FF4285F4"/>
      <rgbColor rgb="FFF8F9FA"/>
      <rgbColor rgb="FFD9D9D9"/>
      <rgbColor rgb="FFFFE599"/>
      <rgbColor rgb="FFFF9900"/>
      <rgbColor rgb="FFE69138"/>
      <rgbColor rgb="FF674EA7"/>
      <rgbColor rgb="FFA2A9B1"/>
      <rgbColor rgb="FF003366"/>
      <rgbColor rgb="FF34A853"/>
      <rgbColor rgb="FF1F1F1F"/>
      <rgbColor rgb="FF202122"/>
      <rgbColor rgb="FFC53929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7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8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hyperlink" Target="https://isu.ifmo.ru/pls/apex/f?p=2143:PERSON:109526819429069::NO:RP:PID:464917" TargetMode="External"/><Relationship Id="rId3" Type="http://schemas.openxmlformats.org/officeDocument/2006/relationships/hyperlink" Target="https://isu.ifmo.ru/pls/apex/f?p=2143:PERSON:109526819429069::NO:RP:PID:465355" TargetMode="External"/><Relationship Id="rId4" Type="http://schemas.openxmlformats.org/officeDocument/2006/relationships/hyperlink" Target="https://isu.ifmo.ru/pls/apex/f?p=2143:PERSON:109526819429069::NO:RP:PID:465951" TargetMode="External"/><Relationship Id="rId5" Type="http://schemas.openxmlformats.org/officeDocument/2006/relationships/hyperlink" Target="https://isu.ifmo.ru/pls/apex/f?p=2143:PERSON:109526819429069::NO:RP:PID:466140" TargetMode="External"/><Relationship Id="rId6" Type="http://schemas.openxmlformats.org/officeDocument/2006/relationships/hyperlink" Target="https://isu.ifmo.ru/pls/apex/f?p=2143:PERSON:109526819429069::NO:RP:PID:466423" TargetMode="External"/><Relationship Id="rId7" Type="http://schemas.openxmlformats.org/officeDocument/2006/relationships/hyperlink" Target="https://isu.ifmo.ru/pls/apex/f?p=2143:PERSON:109526819429069::NO:RP:PID:472196" TargetMode="External"/><Relationship Id="rId8" Type="http://schemas.openxmlformats.org/officeDocument/2006/relationships/hyperlink" Target="https://isu.ifmo.ru/pls/apex/f?p=2143:PERSON:109526819429069::NO:RP:PID:466873" TargetMode="External"/><Relationship Id="rId9" Type="http://schemas.openxmlformats.org/officeDocument/2006/relationships/hyperlink" Target="https://isu.ifmo.ru/pls/apex/f?p=2143:PERSON:109526819429069::NO:RP:PID:466961" TargetMode="External"/><Relationship Id="rId10" Type="http://schemas.openxmlformats.org/officeDocument/2006/relationships/hyperlink" Target="https://isu.ifmo.ru/pls/apex/f?p=2143:PERSON:109526819429069::NO:RP:PID:467027" TargetMode="External"/><Relationship Id="rId11" Type="http://schemas.openxmlformats.org/officeDocument/2006/relationships/hyperlink" Target="https://isu.ifmo.ru/pls/apex/f?p=2143:PERSON:109526819429069::NO:RP:PID:467388" TargetMode="External"/><Relationship Id="rId12" Type="http://schemas.openxmlformats.org/officeDocument/2006/relationships/hyperlink" Target="https://isu.ifmo.ru/pls/apex/f?p=2143:PERSON:109526819429069::NO:RP:PID:467463" TargetMode="External"/><Relationship Id="rId13" Type="http://schemas.openxmlformats.org/officeDocument/2006/relationships/hyperlink" Target="https://isu.ifmo.ru/pls/apex/f?p=2143:PERSON:109526819429069::NO:RP:PID:467738" TargetMode="External"/><Relationship Id="rId14" Type="http://schemas.openxmlformats.org/officeDocument/2006/relationships/hyperlink" Target="https://isu.ifmo.ru/pls/apex/f?p=2143:PERSON:109526819429069::NO:RP:PID:468030" TargetMode="External"/><Relationship Id="rId15" Type="http://schemas.openxmlformats.org/officeDocument/2006/relationships/hyperlink" Target="https://isu.ifmo.ru/pls/apex/f?p=2143:PERSON:102479547831717::NO:RP:PID:489451" TargetMode="External"/><Relationship Id="rId16" Type="http://schemas.openxmlformats.org/officeDocument/2006/relationships/vmlDrawing" Target="../drawings/vmlDrawing9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0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1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2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3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4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5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16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su.ifmo.ru/pls/apex/f?p=2143:PERSON:102479547831717::NO:RP:PID:489451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isu.ifmo.ru/pls/apex/f?p=2143:PERSON:109526819429069::NO:RP:PID:465774" TargetMode="External"/><Relationship Id="rId3" Type="http://schemas.openxmlformats.org/officeDocument/2006/relationships/hyperlink" Target="https://isu.ifmo.ru/pls/apex/f?p=2143:PERSON:109526819429069::NO:RP:PID:466179" TargetMode="External"/><Relationship Id="rId4" Type="http://schemas.openxmlformats.org/officeDocument/2006/relationships/hyperlink" Target="https://isu.ifmo.ru/pls/apex/f?p=2143:PERSON:109526819429069::NO:RP:PID:466272" TargetMode="External"/><Relationship Id="rId5" Type="http://schemas.openxmlformats.org/officeDocument/2006/relationships/hyperlink" Target="https://isu.ifmo.ru/pls/apex/f?p=2143:PERSON:109526819429069::NO:RP:PID:466376" TargetMode="External"/><Relationship Id="rId6" Type="http://schemas.openxmlformats.org/officeDocument/2006/relationships/hyperlink" Target="https://isu.ifmo.ru/pls/apex/f?p=2143:PERSON:109526819429069::NO:RP:PID:466520" TargetMode="External"/><Relationship Id="rId7" Type="http://schemas.openxmlformats.org/officeDocument/2006/relationships/hyperlink" Target="https://isu.ifmo.ru/pls/apex/f?p=2143:PERSON:109526819429069::NO:RP:PID:373256" TargetMode="External"/><Relationship Id="rId8" Type="http://schemas.openxmlformats.org/officeDocument/2006/relationships/hyperlink" Target="https://isu.ifmo.ru/pls/apex/f?p=2143:PERSON:109526819429069::NO:RP:PID:335003" TargetMode="External"/><Relationship Id="rId9" Type="http://schemas.openxmlformats.org/officeDocument/2006/relationships/hyperlink" Target="https://isu.ifmo.ru/pls/apex/f?p=2143:PERSON:109526819429069::NO:RP:PID:463222" TargetMode="External"/><Relationship Id="rId10" Type="http://schemas.openxmlformats.org/officeDocument/2006/relationships/hyperlink" Target="https://isu.ifmo.ru/pls/apex/f?p=2143:PERSON:109526819429069::NO:RP:PID:466852" TargetMode="External"/><Relationship Id="rId11" Type="http://schemas.openxmlformats.org/officeDocument/2006/relationships/hyperlink" Target="https://isu.ifmo.ru/pls/apex/f?p=2143:PERSON:109526819429069::NO:RP:PID:467205" TargetMode="External"/><Relationship Id="rId12" Type="http://schemas.openxmlformats.org/officeDocument/2006/relationships/hyperlink" Target="https://isu.ifmo.ru/pls/apex/f?p=2143:PERSON:109526819429069::NO:RP:PID:472395" TargetMode="External"/><Relationship Id="rId13" Type="http://schemas.openxmlformats.org/officeDocument/2006/relationships/hyperlink" Target="https://isu.ifmo.ru/pls/apex/f?p=2143:PERSON:109526819429069::NO:RP:PID:467307" TargetMode="External"/><Relationship Id="rId14" Type="http://schemas.openxmlformats.org/officeDocument/2006/relationships/hyperlink" Target="https://isu.ifmo.ru/pls/apex/f?p=2143:PERSON:109526819429069::NO:RP:PID:467570" TargetMode="External"/><Relationship Id="rId15" Type="http://schemas.openxmlformats.org/officeDocument/2006/relationships/hyperlink" Target="https://isu.ifmo.ru/pls/apex/f?p=2143:PERSON:109526819429069::NO:RP:PID:467675" TargetMode="External"/><Relationship Id="rId16" Type="http://schemas.openxmlformats.org/officeDocument/2006/relationships/hyperlink" Target="https://isu.ifmo.ru/pls/apex/f?p=2143:PERSON:109526819429069::NO:RP:PID:467937" TargetMode="External"/><Relationship Id="rId17" Type="http://schemas.openxmlformats.org/officeDocument/2006/relationships/hyperlink" Target="https://isu.ifmo.ru/pls/apex/f?p=2143:PERSON:109526819429069::NO:RP:PID:468100" TargetMode="External"/><Relationship Id="rId18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M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88"/>
    <col collapsed="false" customWidth="true" hidden="false" outlineLevel="0" max="2" min="2" style="0" width="8.88"/>
    <col collapsed="false" customWidth="true" hidden="false" outlineLevel="0" max="3" min="3" style="0" width="53"/>
    <col collapsed="false" customWidth="true" hidden="false" outlineLevel="0" max="5" min="5" style="0" width="15.63"/>
    <col collapsed="false" customWidth="true" hidden="false" outlineLevel="0" max="8" min="8" style="0" width="7.63"/>
    <col collapsed="false" customWidth="true" hidden="false" outlineLevel="0" max="9" min="9" style="0" width="2.38"/>
    <col collapsed="false" customWidth="true" hidden="false" outlineLevel="0" max="10" min="10" style="0" width="2.5"/>
    <col collapsed="false" customWidth="true" hidden="false" outlineLevel="0" max="11" min="11" style="0" width="4.25"/>
    <col collapsed="false" customWidth="true" hidden="false" outlineLevel="0" max="12" min="12" style="0" width="3.25"/>
    <col collapsed="false" customWidth="true" hidden="false" outlineLevel="0" max="13" min="13" style="0" width="4.25"/>
    <col collapsed="false" customWidth="true" hidden="false" outlineLevel="0" max="14" min="14" style="0" width="4.38"/>
    <col collapsed="false" customWidth="true" hidden="false" outlineLevel="0" max="15" min="15" style="0" width="4.13"/>
    <col collapsed="false" customWidth="true" hidden="false" outlineLevel="0" max="17" min="16" style="0" width="4.25"/>
    <col collapsed="false" customWidth="true" hidden="false" outlineLevel="0" max="18" min="18" style="0" width="4"/>
    <col collapsed="false" customWidth="true" hidden="false" outlineLevel="0" max="20" min="19" style="0" width="4.63"/>
    <col collapsed="false" customWidth="true" hidden="false" outlineLevel="0" max="25" min="21" style="0" width="5.38"/>
    <col collapsed="false" customWidth="true" hidden="false" outlineLevel="0" max="27" min="26" style="0" width="5.88"/>
    <col collapsed="false" customWidth="true" hidden="false" outlineLevel="0" max="28" min="28" style="0" width="7.88"/>
    <col collapsed="false" customWidth="true" hidden="false" outlineLevel="0" max="29" min="29" style="0" width="10.63"/>
    <col collapsed="false" customWidth="true" hidden="false" outlineLevel="0" max="30" min="30" style="0" width="5.38"/>
    <col collapsed="false" customWidth="true" hidden="false" outlineLevel="0" max="31" min="31" style="0" width="7.38"/>
  </cols>
  <sheetData>
    <row r="1" customFormat="false" ht="52.9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 t="s">
        <v>8</v>
      </c>
      <c r="V1" s="9" t="s">
        <v>9</v>
      </c>
      <c r="W1" s="9" t="s">
        <v>10</v>
      </c>
      <c r="X1" s="9" t="s">
        <v>11</v>
      </c>
      <c r="Y1" s="9" t="s">
        <v>12</v>
      </c>
      <c r="Z1" s="9" t="s">
        <v>13</v>
      </c>
      <c r="AA1" s="9" t="s">
        <v>14</v>
      </c>
      <c r="AB1" s="9" t="s">
        <v>15</v>
      </c>
      <c r="AC1" s="9" t="s">
        <v>16</v>
      </c>
      <c r="AD1" s="10" t="s">
        <v>17</v>
      </c>
      <c r="AE1" s="11" t="s">
        <v>18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</row>
    <row r="2" customFormat="false" ht="18.65" hidden="false" customHeight="false" outlineLevel="0" collapsed="false">
      <c r="A2" s="13" t="n">
        <v>1</v>
      </c>
      <c r="B2" s="14" t="s">
        <v>19</v>
      </c>
      <c r="C2" s="15" t="s">
        <v>20</v>
      </c>
      <c r="D2" s="16" t="s">
        <v>21</v>
      </c>
      <c r="E2" s="16" t="s">
        <v>21</v>
      </c>
      <c r="F2" s="16" t="str">
        <f aca="false">REPLACE(E2, 1, 3, "")</f>
        <v>32</v>
      </c>
      <c r="G2" s="17" t="str">
        <f aca="true">IFERROR(VLOOKUP(B2,INDIRECT("'"&amp;F2&amp;"'!D3:D"),1,FALSE()), "Not found")</f>
        <v>Not found</v>
      </c>
      <c r="H2" s="18" t="n">
        <f aca="true">INDIRECT("'"&amp;F2&amp;"'!D1")</f>
        <v>0</v>
      </c>
      <c r="I2" s="18" t="str">
        <f aca="false">IFERROR(__xludf.dummyfunction("REGEXEXTRACT(ADDRESS(ROW(), 24+$H2), ""[A-Z]+"")"),"X")</f>
        <v>X</v>
      </c>
      <c r="J2" s="18" t="str">
        <f aca="false">IFERROR(__xludf.dummyfunction("REGEXEXTRACT(ADDRESS(ROW(), 30+$H2), ""[A-Z]+"")"),"AD")</f>
        <v>AD</v>
      </c>
      <c r="K2" s="18" t="str">
        <f aca="false">IFERROR(__xludf.dummyfunction("REGEXEXTRACT(ADDRESS(ROW(), 36+$H2), ""[A-Z]+"")"),"AJ")</f>
        <v>AJ</v>
      </c>
      <c r="L2" s="18" t="str">
        <f aca="false">IFERROR(__xludf.dummyfunction("REGEXEXTRACT(ADDRESS(ROW(), 42+$H2), ""[A-Z]+"")"),"AP")</f>
        <v>AP</v>
      </c>
      <c r="M2" s="18" t="str">
        <f aca="false">IFERROR(__xludf.dummyfunction("REGEXEXTRACT(ADDRESS(ROW(), 48+$H2), ""[A-Z]+"")"),"AV")</f>
        <v>AV</v>
      </c>
      <c r="N2" s="18" t="str">
        <f aca="false">IFERROR(__xludf.dummyfunction("REGEXEXTRACT(ADDRESS(ROW(), 50+$H2), ""[A-Z]+"")"),"AX")</f>
        <v>AX</v>
      </c>
      <c r="O2" s="18" t="str">
        <f aca="false">IFERROR(__xludf.dummyfunction("REGEXEXTRACT(ADDRESS(ROW(), 51+$H2), ""[A-Z]+"")"),"AY")</f>
        <v>AY</v>
      </c>
      <c r="P2" s="18" t="str">
        <f aca="false">IFERROR(__xludf.dummyfunction("REGEXEXTRACT(ADDRESS(ROW(), 54+$H2), ""[A-Z]+"")"),"BB")</f>
        <v>BB</v>
      </c>
      <c r="Q2" s="18" t="str">
        <f aca="false">IFERROR(__xludf.dummyfunction("REGEXEXTRACT(ADDRESS(ROW(), 59+$H2), ""[A-Z]+"")"),"BG")</f>
        <v>BG</v>
      </c>
      <c r="R2" s="18" t="str">
        <f aca="false">IFERROR(__xludf.dummyfunction("REGEXEXTRACT(ADDRESS(ROW(), 60+$H2), ""[A-Z]+"")"),"BH")</f>
        <v>BH</v>
      </c>
      <c r="S2" s="18" t="str">
        <f aca="false">IFERROR(__xludf.dummyfunction("REGEXEXTRACT(ADDRESS(ROW(), 62+$H2), ""[A-Z]+"")"),"BJ")</f>
        <v>BJ</v>
      </c>
      <c r="T2" s="18" t="str">
        <f aca="false">IFERROR(__xludf.dummyfunction("REGEXEXTRACT(ADDRESS(ROW(), 63+$H2), ""[A-Z]+"")"),"BK")</f>
        <v>BK</v>
      </c>
      <c r="U2" s="19" t="str">
        <f aca="false">IFERROR(__xludf.dummyfunction("IFERROR(QUERY(INDIRECT(""'""&amp;F2&amp;""'!C3:""&amp;T2&amp;""""), ""SELECT ""&amp;I2&amp;"", ""&amp;J2&amp;"", ""&amp;K2&amp;"", ""&amp;L2&amp;"", ""&amp;M2&amp;"", ""&amp;N2&amp;"", ""&amp;O2&amp;"", ""&amp;P2&amp;"", ""&amp;Q2&amp;"", ""&amp;R2&amp;"", ""&amp;S2&amp;"" WHERE '""&amp;B2&amp;""' = D"", 0), """")"),"")</f>
        <v/>
      </c>
      <c r="V2" s="19"/>
      <c r="W2" s="19"/>
      <c r="X2" s="19"/>
      <c r="Y2" s="19" t="n">
        <f aca="false">IFERROR(__xludf.dummyfunction("""COMPUTED_VALUE"""),0)</f>
        <v>0</v>
      </c>
      <c r="Z2" s="19"/>
      <c r="AA2" s="19"/>
      <c r="AB2" s="19"/>
      <c r="AC2" s="19"/>
      <c r="AD2" s="20"/>
      <c r="AE2" s="21" t="n">
        <f aca="false">IFERROR(__xludf.dummyfunction("""COMPUTED_VALUE"""),0)</f>
        <v>0</v>
      </c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customFormat="false" ht="18.65" hidden="false" customHeight="false" outlineLevel="0" collapsed="false">
      <c r="A3" s="13" t="n">
        <v>2</v>
      </c>
      <c r="B3" s="14" t="s">
        <v>22</v>
      </c>
      <c r="C3" s="15" t="s">
        <v>23</v>
      </c>
      <c r="D3" s="16" t="s">
        <v>24</v>
      </c>
      <c r="E3" s="16" t="s">
        <v>24</v>
      </c>
      <c r="F3" s="16" t="str">
        <f aca="false">REPLACE(E3, 1, 3, "")</f>
        <v>30</v>
      </c>
      <c r="G3" s="17" t="str">
        <f aca="true">IFERROR(VLOOKUP(B3,INDIRECT("'"&amp;F3&amp;"'!D3:D"),1,FALSE()), "Not found")</f>
        <v>Not found</v>
      </c>
      <c r="H3" s="18" t="n">
        <f aca="true">INDIRECT("'"&amp;F3&amp;"'!D1")</f>
        <v>0</v>
      </c>
      <c r="I3" s="18" t="str">
        <f aca="false">IFERROR(__xludf.dummyfunction("REGEXEXTRACT(ADDRESS(ROW(), 24+$H3), ""[A-Z]+"")"),"X")</f>
        <v>X</v>
      </c>
      <c r="J3" s="18" t="str">
        <f aca="false">IFERROR(__xludf.dummyfunction("REGEXEXTRACT(ADDRESS(ROW(), 30+$H3), ""[A-Z]+"")"),"AD")</f>
        <v>AD</v>
      </c>
      <c r="K3" s="18" t="str">
        <f aca="false">IFERROR(__xludf.dummyfunction("REGEXEXTRACT(ADDRESS(ROW(), 36+$H3), ""[A-Z]+"")"),"AJ")</f>
        <v>AJ</v>
      </c>
      <c r="L3" s="18" t="str">
        <f aca="false">IFERROR(__xludf.dummyfunction("REGEXEXTRACT(ADDRESS(ROW(), 42+$H3), ""[A-Z]+"")"),"AP")</f>
        <v>AP</v>
      </c>
      <c r="M3" s="18" t="str">
        <f aca="false">IFERROR(__xludf.dummyfunction("REGEXEXTRACT(ADDRESS(ROW(), 48+$H3), ""[A-Z]+"")"),"AV")</f>
        <v>AV</v>
      </c>
      <c r="N3" s="18" t="str">
        <f aca="false">IFERROR(__xludf.dummyfunction("REGEXEXTRACT(ADDRESS(ROW(), 50+$H3), ""[A-Z]+"")"),"AX")</f>
        <v>AX</v>
      </c>
      <c r="O3" s="18" t="str">
        <f aca="false">IFERROR(__xludf.dummyfunction("REGEXEXTRACT(ADDRESS(ROW(), 51+$H3), ""[A-Z]+"")"),"AY")</f>
        <v>AY</v>
      </c>
      <c r="P3" s="18" t="str">
        <f aca="false">IFERROR(__xludf.dummyfunction("REGEXEXTRACT(ADDRESS(ROW(), 54+$H3), ""[A-Z]+"")"),"BB")</f>
        <v>BB</v>
      </c>
      <c r="Q3" s="18" t="str">
        <f aca="false">IFERROR(__xludf.dummyfunction("REGEXEXTRACT(ADDRESS(ROW(), 59+$H3), ""[A-Z]+"")"),"BG")</f>
        <v>BG</v>
      </c>
      <c r="R3" s="18" t="str">
        <f aca="false">IFERROR(__xludf.dummyfunction("REGEXEXTRACT(ADDRESS(ROW(), 60+$H3), ""[A-Z]+"")"),"BH")</f>
        <v>BH</v>
      </c>
      <c r="S3" s="18" t="str">
        <f aca="false">IFERROR(__xludf.dummyfunction("REGEXEXTRACT(ADDRESS(ROW(), 62+$H3), ""[A-Z]+"")"),"BJ")</f>
        <v>BJ</v>
      </c>
      <c r="T3" s="18" t="str">
        <f aca="false">IFERROR(__xludf.dummyfunction("REGEXEXTRACT(ADDRESS(ROW(), 63+$H3), ""[A-Z]+"")"),"BK")</f>
        <v>BK</v>
      </c>
      <c r="U3" s="19" t="n">
        <f aca="false">IFERROR(__xludf.dummyfunction("IFERROR(QUERY(INDIRECT(""'""&amp;F3&amp;""'!C3:""&amp;T3&amp;""""), ""SELECT ""&amp;I3&amp;"", ""&amp;J3&amp;"", ""&amp;K3&amp;"", ""&amp;L3&amp;"", ""&amp;M3&amp;"", ""&amp;N3&amp;"", ""&amp;O3&amp;"", ""&amp;P3&amp;"", ""&amp;Q3&amp;"", ""&amp;R3&amp;"", ""&amp;S3&amp;"" WHERE '""&amp;B3&amp;""' = D"", 0), """")"),9.5)</f>
        <v>9.5</v>
      </c>
      <c r="V3" s="22" t="n">
        <f aca="false">IFERROR(__xludf.dummyfunction("""COMPUTED_VALUE"""),7)</f>
        <v>7</v>
      </c>
      <c r="W3" s="22" t="n">
        <f aca="false">IFERROR(__xludf.dummyfunction("""COMPUTED_VALUE"""),9)</f>
        <v>9</v>
      </c>
      <c r="X3" s="22" t="n">
        <f aca="false">IFERROR(__xludf.dummyfunction("""COMPUTED_VALUE"""),8.5)</f>
        <v>8.5</v>
      </c>
      <c r="Y3" s="22" t="n">
        <f aca="false">IFERROR(__xludf.dummyfunction("""COMPUTED_VALUE"""),0)</f>
        <v>0</v>
      </c>
      <c r="Z3" s="22" t="n">
        <f aca="false">IFERROR(__xludf.dummyfunction("""COMPUTED_VALUE"""),0)</f>
        <v>0</v>
      </c>
      <c r="AA3" s="22" t="n">
        <f aca="false">IFERROR(__xludf.dummyfunction("""COMPUTED_VALUE"""),2)</f>
        <v>2</v>
      </c>
      <c r="AB3" s="22" t="n">
        <f aca="false">IFERROR(__xludf.dummyfunction("""COMPUTED_VALUE"""),0.1)</f>
        <v>0.1</v>
      </c>
      <c r="AC3" s="22"/>
      <c r="AD3" s="23"/>
      <c r="AE3" s="24" t="n">
        <f aca="false">IFERROR(__xludf.dummyfunction("""COMPUTED_VALUE"""),36.1)</f>
        <v>36.1</v>
      </c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</row>
    <row r="4" customFormat="false" ht="18.65" hidden="false" customHeight="false" outlineLevel="0" collapsed="false">
      <c r="A4" s="13" t="n">
        <v>3</v>
      </c>
      <c r="B4" s="14" t="s">
        <v>25</v>
      </c>
      <c r="C4" s="15" t="s">
        <v>26</v>
      </c>
      <c r="D4" s="16" t="s">
        <v>21</v>
      </c>
      <c r="E4" s="16" t="s">
        <v>21</v>
      </c>
      <c r="F4" s="16" t="str">
        <f aca="false">REPLACE(E4, 1, 3, "")</f>
        <v>32</v>
      </c>
      <c r="G4" s="17" t="str">
        <f aca="true">IFERROR(VLOOKUP(B4,INDIRECT("'"&amp;F4&amp;"'!D3:D"),1,FALSE()), "Not found")</f>
        <v>465026</v>
      </c>
      <c r="H4" s="18" t="n">
        <f aca="true">INDIRECT("'"&amp;F4&amp;"'!D1")</f>
        <v>0</v>
      </c>
      <c r="I4" s="18" t="str">
        <f aca="false">IFERROR(__xludf.dummyfunction("REGEXEXTRACT(ADDRESS(ROW(), 24+$H4), ""[A-Z]+"")"),"X")</f>
        <v>X</v>
      </c>
      <c r="J4" s="18" t="str">
        <f aca="false">IFERROR(__xludf.dummyfunction("REGEXEXTRACT(ADDRESS(ROW(), 30+$H4), ""[A-Z]+"")"),"AD")</f>
        <v>AD</v>
      </c>
      <c r="K4" s="18" t="str">
        <f aca="false">IFERROR(__xludf.dummyfunction("REGEXEXTRACT(ADDRESS(ROW(), 36+$H4), ""[A-Z]+"")"),"AJ")</f>
        <v>AJ</v>
      </c>
      <c r="L4" s="18" t="str">
        <f aca="false">IFERROR(__xludf.dummyfunction("REGEXEXTRACT(ADDRESS(ROW(), 42+$H4), ""[A-Z]+"")"),"AP")</f>
        <v>AP</v>
      </c>
      <c r="M4" s="18" t="str">
        <f aca="false">IFERROR(__xludf.dummyfunction("REGEXEXTRACT(ADDRESS(ROW(), 48+$H4), ""[A-Z]+"")"),"AV")</f>
        <v>AV</v>
      </c>
      <c r="N4" s="18" t="str">
        <f aca="false">IFERROR(__xludf.dummyfunction("REGEXEXTRACT(ADDRESS(ROW(), 50+$H4), ""[A-Z]+"")"),"AX")</f>
        <v>AX</v>
      </c>
      <c r="O4" s="18" t="str">
        <f aca="false">IFERROR(__xludf.dummyfunction("REGEXEXTRACT(ADDRESS(ROW(), 51+$H4), ""[A-Z]+"")"),"AY")</f>
        <v>AY</v>
      </c>
      <c r="P4" s="18" t="str">
        <f aca="false">IFERROR(__xludf.dummyfunction("REGEXEXTRACT(ADDRESS(ROW(), 54+$H4), ""[A-Z]+"")"),"BB")</f>
        <v>BB</v>
      </c>
      <c r="Q4" s="18" t="str">
        <f aca="false">IFERROR(__xludf.dummyfunction("REGEXEXTRACT(ADDRESS(ROW(), 59+$H4), ""[A-Z]+"")"),"BG")</f>
        <v>BG</v>
      </c>
      <c r="R4" s="18" t="str">
        <f aca="false">IFERROR(__xludf.dummyfunction("REGEXEXTRACT(ADDRESS(ROW(), 60+$H4), ""[A-Z]+"")"),"BH")</f>
        <v>BH</v>
      </c>
      <c r="S4" s="18" t="str">
        <f aca="false">IFERROR(__xludf.dummyfunction("REGEXEXTRACT(ADDRESS(ROW(), 62+$H4), ""[A-Z]+"")"),"BJ")</f>
        <v>BJ</v>
      </c>
      <c r="T4" s="18" t="str">
        <f aca="false">IFERROR(__xludf.dummyfunction("REGEXEXTRACT(ADDRESS(ROW(), 63+$H4), ""[A-Z]+"")"),"BK")</f>
        <v>BK</v>
      </c>
      <c r="U4" s="19" t="n">
        <f aca="false">IFERROR(__xludf.dummyfunction("IFERROR(QUERY(INDIRECT(""'""&amp;F4&amp;""'!C3:""&amp;T4&amp;""""), ""SELECT ""&amp;I4&amp;"", ""&amp;J4&amp;"", ""&amp;K4&amp;"", ""&amp;L4&amp;"", ""&amp;M4&amp;"", ""&amp;N4&amp;"", ""&amp;O4&amp;"", ""&amp;P4&amp;"", ""&amp;Q4&amp;"", ""&amp;R4&amp;"", ""&amp;S4&amp;"" WHERE '""&amp;B4&amp;""' = D"", 0), """")"),9.5)</f>
        <v>9.5</v>
      </c>
      <c r="V4" s="22" t="n">
        <f aca="false">IFERROR(__xludf.dummyfunction("""COMPUTED_VALUE"""),10)</f>
        <v>10</v>
      </c>
      <c r="W4" s="22" t="n">
        <f aca="false">IFERROR(__xludf.dummyfunction("""COMPUTED_VALUE"""),10)</f>
        <v>10</v>
      </c>
      <c r="X4" s="22" t="n">
        <f aca="false">IFERROR(__xludf.dummyfunction("""COMPUTED_VALUE"""),10)</f>
        <v>10</v>
      </c>
      <c r="Y4" s="22" t="n">
        <f aca="false">IFERROR(__xludf.dummyfunction("""COMPUTED_VALUE"""),10)</f>
        <v>10</v>
      </c>
      <c r="Z4" s="22" t="n">
        <f aca="false">IFERROR(__xludf.dummyfunction("""COMPUTED_VALUE"""),0)</f>
        <v>0</v>
      </c>
      <c r="AA4" s="22"/>
      <c r="AB4" s="22" t="n">
        <f aca="false">IFERROR(__xludf.dummyfunction("""COMPUTED_VALUE"""),6)</f>
        <v>6</v>
      </c>
      <c r="AC4" s="22"/>
      <c r="AD4" s="23"/>
      <c r="AE4" s="24" t="n">
        <f aca="false">IFERROR(__xludf.dummyfunction("""COMPUTED_VALUE"""),55.5)</f>
        <v>55.5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customFormat="false" ht="18.65" hidden="false" customHeight="false" outlineLevel="0" collapsed="false">
      <c r="A5" s="13" t="n">
        <v>4</v>
      </c>
      <c r="B5" s="14" t="s">
        <v>27</v>
      </c>
      <c r="C5" s="15" t="s">
        <v>28</v>
      </c>
      <c r="D5" s="16" t="s">
        <v>24</v>
      </c>
      <c r="E5" s="16" t="s">
        <v>24</v>
      </c>
      <c r="F5" s="16" t="str">
        <f aca="false">REPLACE(E5, 1, 3, "")</f>
        <v>30</v>
      </c>
      <c r="G5" s="17" t="str">
        <f aca="true">IFERROR(VLOOKUP(B5,INDIRECT("'"&amp;F5&amp;"'!D3:D"),1,FALSE()), "Not found")</f>
        <v>Not found</v>
      </c>
      <c r="H5" s="18" t="n">
        <f aca="true">INDIRECT("'"&amp;F5&amp;"'!D1")</f>
        <v>0</v>
      </c>
      <c r="I5" s="18" t="str">
        <f aca="false">IFERROR(__xludf.dummyfunction("REGEXEXTRACT(ADDRESS(ROW(), 24+$H5), ""[A-Z]+"")"),"X")</f>
        <v>X</v>
      </c>
      <c r="J5" s="18" t="str">
        <f aca="false">IFERROR(__xludf.dummyfunction("REGEXEXTRACT(ADDRESS(ROW(), 30+$H5), ""[A-Z]+"")"),"AD")</f>
        <v>AD</v>
      </c>
      <c r="K5" s="18" t="str">
        <f aca="false">IFERROR(__xludf.dummyfunction("REGEXEXTRACT(ADDRESS(ROW(), 36+$H5), ""[A-Z]+"")"),"AJ")</f>
        <v>AJ</v>
      </c>
      <c r="L5" s="18" t="str">
        <f aca="false">IFERROR(__xludf.dummyfunction("REGEXEXTRACT(ADDRESS(ROW(), 42+$H5), ""[A-Z]+"")"),"AP")</f>
        <v>AP</v>
      </c>
      <c r="M5" s="18" t="str">
        <f aca="false">IFERROR(__xludf.dummyfunction("REGEXEXTRACT(ADDRESS(ROW(), 48+$H5), ""[A-Z]+"")"),"AV")</f>
        <v>AV</v>
      </c>
      <c r="N5" s="18" t="str">
        <f aca="false">IFERROR(__xludf.dummyfunction("REGEXEXTRACT(ADDRESS(ROW(), 50+$H5), ""[A-Z]+"")"),"AX")</f>
        <v>AX</v>
      </c>
      <c r="O5" s="18" t="str">
        <f aca="false">IFERROR(__xludf.dummyfunction("REGEXEXTRACT(ADDRESS(ROW(), 51+$H5), ""[A-Z]+"")"),"AY")</f>
        <v>AY</v>
      </c>
      <c r="P5" s="18" t="str">
        <f aca="false">IFERROR(__xludf.dummyfunction("REGEXEXTRACT(ADDRESS(ROW(), 54+$H5), ""[A-Z]+"")"),"BB")</f>
        <v>BB</v>
      </c>
      <c r="Q5" s="18" t="str">
        <f aca="false">IFERROR(__xludf.dummyfunction("REGEXEXTRACT(ADDRESS(ROW(), 59+$H5), ""[A-Z]+"")"),"BG")</f>
        <v>BG</v>
      </c>
      <c r="R5" s="18" t="str">
        <f aca="false">IFERROR(__xludf.dummyfunction("REGEXEXTRACT(ADDRESS(ROW(), 60+$H5), ""[A-Z]+"")"),"BH")</f>
        <v>BH</v>
      </c>
      <c r="S5" s="18" t="str">
        <f aca="false">IFERROR(__xludf.dummyfunction("REGEXEXTRACT(ADDRESS(ROW(), 62+$H5), ""[A-Z]+"")"),"BJ")</f>
        <v>BJ</v>
      </c>
      <c r="T5" s="18" t="str">
        <f aca="false">IFERROR(__xludf.dummyfunction("REGEXEXTRACT(ADDRESS(ROW(), 63+$H5), ""[A-Z]+"")"),"BK")</f>
        <v>BK</v>
      </c>
      <c r="U5" s="19" t="n">
        <f aca="false">IFERROR(__xludf.dummyfunction("IFERROR(QUERY(INDIRECT(""'""&amp;F5&amp;""'!C3:""&amp;T5&amp;""""), ""SELECT ""&amp;I5&amp;"", ""&amp;J5&amp;"", ""&amp;K5&amp;"", ""&amp;L5&amp;"", ""&amp;M5&amp;"", ""&amp;N5&amp;"", ""&amp;O5&amp;"", ""&amp;P5&amp;"", ""&amp;Q5&amp;"", ""&amp;R5&amp;"", ""&amp;S5&amp;"" WHERE '""&amp;B5&amp;""' = D"", 0), """")"),8)</f>
        <v>8</v>
      </c>
      <c r="V5" s="22"/>
      <c r="W5" s="22"/>
      <c r="X5" s="22"/>
      <c r="Y5" s="22" t="n">
        <f aca="false">IFERROR(__xludf.dummyfunction("""COMPUTED_VALUE"""),0)</f>
        <v>0</v>
      </c>
      <c r="Z5" s="22"/>
      <c r="AA5" s="22"/>
      <c r="AB5" s="22"/>
      <c r="AC5" s="22"/>
      <c r="AD5" s="23"/>
      <c r="AE5" s="24" t="n">
        <f aca="false">IFERROR(__xludf.dummyfunction("""COMPUTED_VALUE"""),8)</f>
        <v>8</v>
      </c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customFormat="false" ht="18.65" hidden="false" customHeight="false" outlineLevel="0" collapsed="false">
      <c r="A6" s="13" t="n">
        <v>5</v>
      </c>
      <c r="B6" s="14" t="s">
        <v>29</v>
      </c>
      <c r="C6" s="15" t="s">
        <v>30</v>
      </c>
      <c r="D6" s="16" t="s">
        <v>24</v>
      </c>
      <c r="E6" s="16" t="s">
        <v>24</v>
      </c>
      <c r="F6" s="16" t="str">
        <f aca="false">REPLACE(E6, 1, 3, "")</f>
        <v>30</v>
      </c>
      <c r="G6" s="17" t="str">
        <f aca="true">IFERROR(VLOOKUP(B6,INDIRECT("'"&amp;F6&amp;"'!D3:D"),1,FALSE()), "Not found")</f>
        <v>Not found</v>
      </c>
      <c r="H6" s="18" t="n">
        <f aca="true">INDIRECT("'"&amp;F6&amp;"'!D1")</f>
        <v>0</v>
      </c>
      <c r="I6" s="18" t="str">
        <f aca="false">IFERROR(__xludf.dummyfunction("REGEXEXTRACT(ADDRESS(ROW(), 24+$H6), ""[A-Z]+"")"),"X")</f>
        <v>X</v>
      </c>
      <c r="J6" s="18" t="str">
        <f aca="false">IFERROR(__xludf.dummyfunction("REGEXEXTRACT(ADDRESS(ROW(), 30+$H6), ""[A-Z]+"")"),"AD")</f>
        <v>AD</v>
      </c>
      <c r="K6" s="18" t="str">
        <f aca="false">IFERROR(__xludf.dummyfunction("REGEXEXTRACT(ADDRESS(ROW(), 36+$H6), ""[A-Z]+"")"),"AJ")</f>
        <v>AJ</v>
      </c>
      <c r="L6" s="18" t="str">
        <f aca="false">IFERROR(__xludf.dummyfunction("REGEXEXTRACT(ADDRESS(ROW(), 42+$H6), ""[A-Z]+"")"),"AP")</f>
        <v>AP</v>
      </c>
      <c r="M6" s="18" t="str">
        <f aca="false">IFERROR(__xludf.dummyfunction("REGEXEXTRACT(ADDRESS(ROW(), 48+$H6), ""[A-Z]+"")"),"AV")</f>
        <v>AV</v>
      </c>
      <c r="N6" s="18" t="str">
        <f aca="false">IFERROR(__xludf.dummyfunction("REGEXEXTRACT(ADDRESS(ROW(), 50+$H6), ""[A-Z]+"")"),"AX")</f>
        <v>AX</v>
      </c>
      <c r="O6" s="18" t="str">
        <f aca="false">IFERROR(__xludf.dummyfunction("REGEXEXTRACT(ADDRESS(ROW(), 51+$H6), ""[A-Z]+"")"),"AY")</f>
        <v>AY</v>
      </c>
      <c r="P6" s="18" t="str">
        <f aca="false">IFERROR(__xludf.dummyfunction("REGEXEXTRACT(ADDRESS(ROW(), 54+$H6), ""[A-Z]+"")"),"BB")</f>
        <v>BB</v>
      </c>
      <c r="Q6" s="18" t="str">
        <f aca="false">IFERROR(__xludf.dummyfunction("REGEXEXTRACT(ADDRESS(ROW(), 59+$H6), ""[A-Z]+"")"),"BG")</f>
        <v>BG</v>
      </c>
      <c r="R6" s="18" t="str">
        <f aca="false">IFERROR(__xludf.dummyfunction("REGEXEXTRACT(ADDRESS(ROW(), 60+$H6), ""[A-Z]+"")"),"BH")</f>
        <v>BH</v>
      </c>
      <c r="S6" s="18" t="str">
        <f aca="false">IFERROR(__xludf.dummyfunction("REGEXEXTRACT(ADDRESS(ROW(), 62+$H6), ""[A-Z]+"")"),"BJ")</f>
        <v>BJ</v>
      </c>
      <c r="T6" s="18" t="str">
        <f aca="false">IFERROR(__xludf.dummyfunction("REGEXEXTRACT(ADDRESS(ROW(), 63+$H6), ""[A-Z]+"")"),"BK")</f>
        <v>BK</v>
      </c>
      <c r="U6" s="19" t="n">
        <f aca="false">IFERROR(__xludf.dummyfunction("IFERROR(QUERY(INDIRECT(""'""&amp;F6&amp;""'!C3:""&amp;T6&amp;""""), ""SELECT ""&amp;I6&amp;"", ""&amp;J6&amp;"", ""&amp;K6&amp;"", ""&amp;L6&amp;"", ""&amp;M6&amp;"", ""&amp;N6&amp;"", ""&amp;O6&amp;"", ""&amp;P6&amp;"", ""&amp;Q6&amp;"", ""&amp;R6&amp;"", ""&amp;S6&amp;"" WHERE '""&amp;B6&amp;""' = D"", 0), """")"),7)</f>
        <v>7</v>
      </c>
      <c r="V6" s="22" t="n">
        <f aca="false">IFERROR(__xludf.dummyfunction("""COMPUTED_VALUE"""),8.5)</f>
        <v>8.5</v>
      </c>
      <c r="W6" s="22" t="n">
        <f aca="false">IFERROR(__xludf.dummyfunction("""COMPUTED_VALUE"""),6)</f>
        <v>6</v>
      </c>
      <c r="X6" s="22" t="n">
        <f aca="false">IFERROR(__xludf.dummyfunction("""COMPUTED_VALUE"""),8.5)</f>
        <v>8.5</v>
      </c>
      <c r="Y6" s="22" t="n">
        <f aca="false">IFERROR(__xludf.dummyfunction("""COMPUTED_VALUE"""),0)</f>
        <v>0</v>
      </c>
      <c r="Z6" s="22" t="n">
        <f aca="false">IFERROR(__xludf.dummyfunction("""COMPUTED_VALUE"""),0)</f>
        <v>0</v>
      </c>
      <c r="AA6" s="22" t="n">
        <f aca="false">IFERROR(__xludf.dummyfunction("""COMPUTED_VALUE"""),2)</f>
        <v>2</v>
      </c>
      <c r="AB6" s="22" t="n">
        <f aca="false">IFERROR(__xludf.dummyfunction("""COMPUTED_VALUE"""),0.1)</f>
        <v>0.1</v>
      </c>
      <c r="AC6" s="22"/>
      <c r="AD6" s="23"/>
      <c r="AE6" s="24" t="n">
        <f aca="false">IFERROR(__xludf.dummyfunction("""COMPUTED_VALUE"""),32.1)</f>
        <v>32.1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</row>
    <row r="7" customFormat="false" ht="18.65" hidden="false" customHeight="false" outlineLevel="0" collapsed="false">
      <c r="A7" s="13" t="n">
        <v>6</v>
      </c>
      <c r="B7" s="14" t="s">
        <v>31</v>
      </c>
      <c r="C7" s="15" t="s">
        <v>32</v>
      </c>
      <c r="D7" s="16" t="s">
        <v>24</v>
      </c>
      <c r="E7" s="16" t="s">
        <v>24</v>
      </c>
      <c r="F7" s="16" t="str">
        <f aca="false">REPLACE(E7, 1, 3, "")</f>
        <v>30</v>
      </c>
      <c r="G7" s="17" t="str">
        <f aca="true">IFERROR(VLOOKUP(B7,INDIRECT("'"&amp;F7&amp;"'!D3:D"),1,FALSE()), "Not found")</f>
        <v>Not found</v>
      </c>
      <c r="H7" s="18" t="n">
        <f aca="true">INDIRECT("'"&amp;F7&amp;"'!D1")</f>
        <v>0</v>
      </c>
      <c r="I7" s="18" t="str">
        <f aca="false">IFERROR(__xludf.dummyfunction("REGEXEXTRACT(ADDRESS(ROW(), 24+$H7), ""[A-Z]+"")"),"X")</f>
        <v>X</v>
      </c>
      <c r="J7" s="18" t="str">
        <f aca="false">IFERROR(__xludf.dummyfunction("REGEXEXTRACT(ADDRESS(ROW(), 30+$H7), ""[A-Z]+"")"),"AD")</f>
        <v>AD</v>
      </c>
      <c r="K7" s="18" t="str">
        <f aca="false">IFERROR(__xludf.dummyfunction("REGEXEXTRACT(ADDRESS(ROW(), 36+$H7), ""[A-Z]+"")"),"AJ")</f>
        <v>AJ</v>
      </c>
      <c r="L7" s="18" t="str">
        <f aca="false">IFERROR(__xludf.dummyfunction("REGEXEXTRACT(ADDRESS(ROW(), 42+$H7), ""[A-Z]+"")"),"AP")</f>
        <v>AP</v>
      </c>
      <c r="M7" s="18" t="str">
        <f aca="false">IFERROR(__xludf.dummyfunction("REGEXEXTRACT(ADDRESS(ROW(), 48+$H7), ""[A-Z]+"")"),"AV")</f>
        <v>AV</v>
      </c>
      <c r="N7" s="18" t="str">
        <f aca="false">IFERROR(__xludf.dummyfunction("REGEXEXTRACT(ADDRESS(ROW(), 50+$H7), ""[A-Z]+"")"),"AX")</f>
        <v>AX</v>
      </c>
      <c r="O7" s="18" t="str">
        <f aca="false">IFERROR(__xludf.dummyfunction("REGEXEXTRACT(ADDRESS(ROW(), 51+$H7), ""[A-Z]+"")"),"AY")</f>
        <v>AY</v>
      </c>
      <c r="P7" s="18" t="str">
        <f aca="false">IFERROR(__xludf.dummyfunction("REGEXEXTRACT(ADDRESS(ROW(), 54+$H7), ""[A-Z]+"")"),"BB")</f>
        <v>BB</v>
      </c>
      <c r="Q7" s="18" t="str">
        <f aca="false">IFERROR(__xludf.dummyfunction("REGEXEXTRACT(ADDRESS(ROW(), 59+$H7), ""[A-Z]+"")"),"BG")</f>
        <v>BG</v>
      </c>
      <c r="R7" s="18" t="str">
        <f aca="false">IFERROR(__xludf.dummyfunction("REGEXEXTRACT(ADDRESS(ROW(), 60+$H7), ""[A-Z]+"")"),"BH")</f>
        <v>BH</v>
      </c>
      <c r="S7" s="18" t="str">
        <f aca="false">IFERROR(__xludf.dummyfunction("REGEXEXTRACT(ADDRESS(ROW(), 62+$H7), ""[A-Z]+"")"),"BJ")</f>
        <v>BJ</v>
      </c>
      <c r="T7" s="18" t="str">
        <f aca="false">IFERROR(__xludf.dummyfunction("REGEXEXTRACT(ADDRESS(ROW(), 63+$H7), ""[A-Z]+"")"),"BK")</f>
        <v>BK</v>
      </c>
      <c r="U7" s="19" t="n">
        <f aca="false">IFERROR(__xludf.dummyfunction("IFERROR(QUERY(INDIRECT(""'""&amp;F7&amp;""'!C3:""&amp;T7&amp;""""), ""SELECT ""&amp;I7&amp;"", ""&amp;J7&amp;"", ""&amp;K7&amp;"", ""&amp;L7&amp;"", ""&amp;M7&amp;"", ""&amp;N7&amp;"", ""&amp;O7&amp;"", ""&amp;P7&amp;"", ""&amp;Q7&amp;"", ""&amp;R7&amp;"", ""&amp;S7&amp;"" WHERE '""&amp;B7&amp;""' = D"", 0), """")"),8.5)</f>
        <v>8.5</v>
      </c>
      <c r="V7" s="22" t="n">
        <f aca="false">IFERROR(__xludf.dummyfunction("""COMPUTED_VALUE"""),9)</f>
        <v>9</v>
      </c>
      <c r="W7" s="22" t="n">
        <f aca="false">IFERROR(__xludf.dummyfunction("""COMPUTED_VALUE"""),9)</f>
        <v>9</v>
      </c>
      <c r="X7" s="22" t="n">
        <f aca="false">IFERROR(__xludf.dummyfunction("""COMPUTED_VALUE"""),10)</f>
        <v>10</v>
      </c>
      <c r="Y7" s="22" t="n">
        <f aca="false">IFERROR(__xludf.dummyfunction("""COMPUTED_VALUE"""),0)</f>
        <v>0</v>
      </c>
      <c r="Z7" s="22"/>
      <c r="AA7" s="22"/>
      <c r="AB7" s="22" t="n">
        <f aca="false">IFERROR(__xludf.dummyfunction("""COMPUTED_VALUE"""),8)</f>
        <v>8</v>
      </c>
      <c r="AC7" s="22" t="n">
        <f aca="false">IFERROR(__xludf.dummyfunction("""COMPUTED_VALUE"""),25)</f>
        <v>25</v>
      </c>
      <c r="AD7" s="23"/>
      <c r="AE7" s="24" t="n">
        <f aca="false">IFERROR(__xludf.dummyfunction("""COMPUTED_VALUE"""),69.5)</f>
        <v>69.5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 customFormat="false" ht="18.65" hidden="false" customHeight="false" outlineLevel="0" collapsed="false">
      <c r="A8" s="13" t="n">
        <v>7</v>
      </c>
      <c r="B8" s="14" t="s">
        <v>33</v>
      </c>
      <c r="C8" s="15" t="s">
        <v>34</v>
      </c>
      <c r="D8" s="16" t="s">
        <v>21</v>
      </c>
      <c r="E8" s="16" t="s">
        <v>21</v>
      </c>
      <c r="F8" s="16" t="str">
        <f aca="false">REPLACE(E8, 1, 3, "")</f>
        <v>32</v>
      </c>
      <c r="G8" s="17" t="str">
        <f aca="true">IFERROR(VLOOKUP(B8,INDIRECT("'"&amp;F8&amp;"'!D3:D"),1,FALSE()), "Not found")</f>
        <v>Not found</v>
      </c>
      <c r="H8" s="18" t="n">
        <f aca="true">INDIRECT("'"&amp;F8&amp;"'!D1")</f>
        <v>0</v>
      </c>
      <c r="I8" s="18" t="str">
        <f aca="false">IFERROR(__xludf.dummyfunction("REGEXEXTRACT(ADDRESS(ROW(), 24+$H8), ""[A-Z]+"")"),"X")</f>
        <v>X</v>
      </c>
      <c r="J8" s="18" t="str">
        <f aca="false">IFERROR(__xludf.dummyfunction("REGEXEXTRACT(ADDRESS(ROW(), 30+$H8), ""[A-Z]+"")"),"AD")</f>
        <v>AD</v>
      </c>
      <c r="K8" s="18" t="str">
        <f aca="false">IFERROR(__xludf.dummyfunction("REGEXEXTRACT(ADDRESS(ROW(), 36+$H8), ""[A-Z]+"")"),"AJ")</f>
        <v>AJ</v>
      </c>
      <c r="L8" s="18" t="str">
        <f aca="false">IFERROR(__xludf.dummyfunction("REGEXEXTRACT(ADDRESS(ROW(), 42+$H8), ""[A-Z]+"")"),"AP")</f>
        <v>AP</v>
      </c>
      <c r="M8" s="18" t="str">
        <f aca="false">IFERROR(__xludf.dummyfunction("REGEXEXTRACT(ADDRESS(ROW(), 48+$H8), ""[A-Z]+"")"),"AV")</f>
        <v>AV</v>
      </c>
      <c r="N8" s="18" t="str">
        <f aca="false">IFERROR(__xludf.dummyfunction("REGEXEXTRACT(ADDRESS(ROW(), 50+$H8), ""[A-Z]+"")"),"AX")</f>
        <v>AX</v>
      </c>
      <c r="O8" s="18" t="str">
        <f aca="false">IFERROR(__xludf.dummyfunction("REGEXEXTRACT(ADDRESS(ROW(), 51+$H8), ""[A-Z]+"")"),"AY")</f>
        <v>AY</v>
      </c>
      <c r="P8" s="18" t="str">
        <f aca="false">IFERROR(__xludf.dummyfunction("REGEXEXTRACT(ADDRESS(ROW(), 54+$H8), ""[A-Z]+"")"),"BB")</f>
        <v>BB</v>
      </c>
      <c r="Q8" s="18" t="str">
        <f aca="false">IFERROR(__xludf.dummyfunction("REGEXEXTRACT(ADDRESS(ROW(), 59+$H8), ""[A-Z]+"")"),"BG")</f>
        <v>BG</v>
      </c>
      <c r="R8" s="18" t="str">
        <f aca="false">IFERROR(__xludf.dummyfunction("REGEXEXTRACT(ADDRESS(ROW(), 60+$H8), ""[A-Z]+"")"),"BH")</f>
        <v>BH</v>
      </c>
      <c r="S8" s="18" t="str">
        <f aca="false">IFERROR(__xludf.dummyfunction("REGEXEXTRACT(ADDRESS(ROW(), 62+$H8), ""[A-Z]+"")"),"BJ")</f>
        <v>BJ</v>
      </c>
      <c r="T8" s="18" t="str">
        <f aca="false">IFERROR(__xludf.dummyfunction("REGEXEXTRACT(ADDRESS(ROW(), 63+$H8), ""[A-Z]+"")"),"BK")</f>
        <v>BK</v>
      </c>
      <c r="U8" s="19" t="str">
        <f aca="false">IFERROR(__xludf.dummyfunction("IFERROR(QUERY(INDIRECT(""'""&amp;F8&amp;""'!C3:""&amp;T8&amp;""""), ""SELECT ""&amp;I8&amp;"", ""&amp;J8&amp;"", ""&amp;K8&amp;"", ""&amp;L8&amp;"", ""&amp;M8&amp;"", ""&amp;N8&amp;"", ""&amp;O8&amp;"", ""&amp;P8&amp;"", ""&amp;Q8&amp;"", ""&amp;R8&amp;"", ""&amp;S8&amp;"" WHERE '""&amp;B8&amp;""' = D"", 0), """")"),"")</f>
        <v/>
      </c>
      <c r="V8" s="22"/>
      <c r="W8" s="22"/>
      <c r="X8" s="22"/>
      <c r="Y8" s="22" t="n">
        <f aca="false">IFERROR(__xludf.dummyfunction("""COMPUTED_VALUE"""),0)</f>
        <v>0</v>
      </c>
      <c r="Z8" s="22"/>
      <c r="AA8" s="22"/>
      <c r="AB8" s="22" t="n">
        <f aca="false">IFERROR(__xludf.dummyfunction("""COMPUTED_VALUE"""),0.01)</f>
        <v>0.01</v>
      </c>
      <c r="AC8" s="22"/>
      <c r="AD8" s="23"/>
      <c r="AE8" s="24" t="n">
        <f aca="false">IFERROR(__xludf.dummyfunction("""COMPUTED_VALUE"""),0.01)</f>
        <v>0.01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customFormat="false" ht="18.65" hidden="false" customHeight="false" outlineLevel="0" collapsed="false">
      <c r="A9" s="13" t="n">
        <v>8</v>
      </c>
      <c r="B9" s="14" t="s">
        <v>35</v>
      </c>
      <c r="C9" s="15" t="s">
        <v>36</v>
      </c>
      <c r="D9" s="16" t="s">
        <v>21</v>
      </c>
      <c r="E9" s="16" t="s">
        <v>21</v>
      </c>
      <c r="F9" s="16" t="str">
        <f aca="false">REPLACE(E9, 1, 3, "")</f>
        <v>32</v>
      </c>
      <c r="G9" s="17" t="str">
        <f aca="true">IFERROR(VLOOKUP(B9,INDIRECT("'"&amp;F9&amp;"'!D3:D"),1,FALSE()), "Not found")</f>
        <v>Not found</v>
      </c>
      <c r="H9" s="18" t="n">
        <f aca="true">INDIRECT("'"&amp;F9&amp;"'!D1")</f>
        <v>0</v>
      </c>
      <c r="I9" s="18" t="str">
        <f aca="false">IFERROR(__xludf.dummyfunction("REGEXEXTRACT(ADDRESS(ROW(), 24+$H9), ""[A-Z]+"")"),"X")</f>
        <v>X</v>
      </c>
      <c r="J9" s="18" t="str">
        <f aca="false">IFERROR(__xludf.dummyfunction("REGEXEXTRACT(ADDRESS(ROW(), 30+$H9), ""[A-Z]+"")"),"AD")</f>
        <v>AD</v>
      </c>
      <c r="K9" s="18" t="str">
        <f aca="false">IFERROR(__xludf.dummyfunction("REGEXEXTRACT(ADDRESS(ROW(), 36+$H9), ""[A-Z]+"")"),"AJ")</f>
        <v>AJ</v>
      </c>
      <c r="L9" s="18" t="str">
        <f aca="false">IFERROR(__xludf.dummyfunction("REGEXEXTRACT(ADDRESS(ROW(), 42+$H9), ""[A-Z]+"")"),"AP")</f>
        <v>AP</v>
      </c>
      <c r="M9" s="18" t="str">
        <f aca="false">IFERROR(__xludf.dummyfunction("REGEXEXTRACT(ADDRESS(ROW(), 48+$H9), ""[A-Z]+"")"),"AV")</f>
        <v>AV</v>
      </c>
      <c r="N9" s="18" t="str">
        <f aca="false">IFERROR(__xludf.dummyfunction("REGEXEXTRACT(ADDRESS(ROW(), 50+$H9), ""[A-Z]+"")"),"AX")</f>
        <v>AX</v>
      </c>
      <c r="O9" s="18" t="str">
        <f aca="false">IFERROR(__xludf.dummyfunction("REGEXEXTRACT(ADDRESS(ROW(), 51+$H9), ""[A-Z]+"")"),"AY")</f>
        <v>AY</v>
      </c>
      <c r="P9" s="18" t="str">
        <f aca="false">IFERROR(__xludf.dummyfunction("REGEXEXTRACT(ADDRESS(ROW(), 54+$H9), ""[A-Z]+"")"),"BB")</f>
        <v>BB</v>
      </c>
      <c r="Q9" s="18" t="str">
        <f aca="false">IFERROR(__xludf.dummyfunction("REGEXEXTRACT(ADDRESS(ROW(), 59+$H9), ""[A-Z]+"")"),"BG")</f>
        <v>BG</v>
      </c>
      <c r="R9" s="18" t="str">
        <f aca="false">IFERROR(__xludf.dummyfunction("REGEXEXTRACT(ADDRESS(ROW(), 60+$H9), ""[A-Z]+"")"),"BH")</f>
        <v>BH</v>
      </c>
      <c r="S9" s="18" t="str">
        <f aca="false">IFERROR(__xludf.dummyfunction("REGEXEXTRACT(ADDRESS(ROW(), 62+$H9), ""[A-Z]+"")"),"BJ")</f>
        <v>BJ</v>
      </c>
      <c r="T9" s="18" t="str">
        <f aca="false">IFERROR(__xludf.dummyfunction("REGEXEXTRACT(ADDRESS(ROW(), 63+$H9), ""[A-Z]+"")"),"BK")</f>
        <v>BK</v>
      </c>
      <c r="U9" s="19" t="n">
        <f aca="false">IFERROR(__xludf.dummyfunction("IFERROR(QUERY(INDIRECT(""'""&amp;F9&amp;""'!C3:""&amp;T9&amp;""""), ""SELECT ""&amp;I9&amp;"", ""&amp;J9&amp;"", ""&amp;K9&amp;"", ""&amp;L9&amp;"", ""&amp;M9&amp;"", ""&amp;N9&amp;"", ""&amp;O9&amp;"", ""&amp;P9&amp;"", ""&amp;Q9&amp;"", ""&amp;R9&amp;"", ""&amp;S9&amp;"" WHERE '""&amp;B9&amp;""' = D"", 0), """")"),9.7)</f>
        <v>9.7</v>
      </c>
      <c r="V9" s="22" t="n">
        <f aca="false">IFERROR(__xludf.dummyfunction("""COMPUTED_VALUE"""),9.6)</f>
        <v>9.6</v>
      </c>
      <c r="W9" s="22" t="n">
        <f aca="false">IFERROR(__xludf.dummyfunction("""COMPUTED_VALUE"""),9.7)</f>
        <v>9.7</v>
      </c>
      <c r="X9" s="22" t="n">
        <f aca="false">IFERROR(__xludf.dummyfunction("""COMPUTED_VALUE"""),9.7)</f>
        <v>9.7</v>
      </c>
      <c r="Y9" s="22" t="n">
        <f aca="false">IFERROR(__xludf.dummyfunction("""COMPUTED_VALUE"""),0)</f>
        <v>0</v>
      </c>
      <c r="Z9" s="22" t="n">
        <f aca="false">IFERROR(__xludf.dummyfunction("""COMPUTED_VALUE"""),3)</f>
        <v>3</v>
      </c>
      <c r="AA9" s="22" t="n">
        <f aca="false">IFERROR(__xludf.dummyfunction("""COMPUTED_VALUE"""),1)</f>
        <v>1</v>
      </c>
      <c r="AB9" s="22" t="n">
        <f aca="false">IFERROR(__xludf.dummyfunction("""COMPUTED_VALUE"""),8.5)</f>
        <v>8.5</v>
      </c>
      <c r="AC9" s="22" t="n">
        <f aca="false">IFERROR(__xludf.dummyfunction("""COMPUTED_VALUE"""),18)</f>
        <v>18</v>
      </c>
      <c r="AD9" s="23"/>
      <c r="AE9" s="24" t="n">
        <f aca="false">IFERROR(__xludf.dummyfunction("""COMPUTED_VALUE"""),69.2)</f>
        <v>69.2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customFormat="false" ht="18.65" hidden="false" customHeight="false" outlineLevel="0" collapsed="false">
      <c r="A10" s="13" t="n">
        <v>9</v>
      </c>
      <c r="B10" s="14" t="s">
        <v>37</v>
      </c>
      <c r="C10" s="15" t="s">
        <v>38</v>
      </c>
      <c r="D10" s="16" t="s">
        <v>39</v>
      </c>
      <c r="E10" s="16" t="s">
        <v>39</v>
      </c>
      <c r="F10" s="16" t="str">
        <f aca="false">REPLACE(E10, 1, 3, "")</f>
        <v>31</v>
      </c>
      <c r="G10" s="17" t="str">
        <f aca="true">IFERROR(VLOOKUP(B10,INDIRECT("'"&amp;F10&amp;"'!D3:D"),1,FALSE()), "Not found")</f>
        <v>Not found</v>
      </c>
      <c r="H10" s="18" t="n">
        <f aca="true">INDIRECT("'"&amp;F10&amp;"'!D1")</f>
        <v>0</v>
      </c>
      <c r="I10" s="18" t="str">
        <f aca="false">IFERROR(__xludf.dummyfunction("REGEXEXTRACT(ADDRESS(ROW(), 24+$H10), ""[A-Z]+"")"),"X")</f>
        <v>X</v>
      </c>
      <c r="J10" s="18" t="str">
        <f aca="false">IFERROR(__xludf.dummyfunction("REGEXEXTRACT(ADDRESS(ROW(), 30+$H10), ""[A-Z]+"")"),"AD")</f>
        <v>AD</v>
      </c>
      <c r="K10" s="18" t="str">
        <f aca="false">IFERROR(__xludf.dummyfunction("REGEXEXTRACT(ADDRESS(ROW(), 36+$H10), ""[A-Z]+"")"),"AJ")</f>
        <v>AJ</v>
      </c>
      <c r="L10" s="18" t="str">
        <f aca="false">IFERROR(__xludf.dummyfunction("REGEXEXTRACT(ADDRESS(ROW(), 42+$H10), ""[A-Z]+"")"),"AP")</f>
        <v>AP</v>
      </c>
      <c r="M10" s="18" t="str">
        <f aca="false">IFERROR(__xludf.dummyfunction("REGEXEXTRACT(ADDRESS(ROW(), 48+$H10), ""[A-Z]+"")"),"AV")</f>
        <v>AV</v>
      </c>
      <c r="N10" s="18" t="str">
        <f aca="false">IFERROR(__xludf.dummyfunction("REGEXEXTRACT(ADDRESS(ROW(), 50+$H10), ""[A-Z]+"")"),"AX")</f>
        <v>AX</v>
      </c>
      <c r="O10" s="18" t="str">
        <f aca="false">IFERROR(__xludf.dummyfunction("REGEXEXTRACT(ADDRESS(ROW(), 51+$H10), ""[A-Z]+"")"),"AY")</f>
        <v>AY</v>
      </c>
      <c r="P10" s="18" t="str">
        <f aca="false">IFERROR(__xludf.dummyfunction("REGEXEXTRACT(ADDRESS(ROW(), 54+$H10), ""[A-Z]+"")"),"BB")</f>
        <v>BB</v>
      </c>
      <c r="Q10" s="18" t="str">
        <f aca="false">IFERROR(__xludf.dummyfunction("REGEXEXTRACT(ADDRESS(ROW(), 59+$H10), ""[A-Z]+"")"),"BG")</f>
        <v>BG</v>
      </c>
      <c r="R10" s="18" t="str">
        <f aca="false">IFERROR(__xludf.dummyfunction("REGEXEXTRACT(ADDRESS(ROW(), 60+$H10), ""[A-Z]+"")"),"BH")</f>
        <v>BH</v>
      </c>
      <c r="S10" s="18" t="str">
        <f aca="false">IFERROR(__xludf.dummyfunction("REGEXEXTRACT(ADDRESS(ROW(), 62+$H10), ""[A-Z]+"")"),"BJ")</f>
        <v>BJ</v>
      </c>
      <c r="T10" s="18" t="str">
        <f aca="false">IFERROR(__xludf.dummyfunction("REGEXEXTRACT(ADDRESS(ROW(), 63+$H10), ""[A-Z]+"")"),"BK")</f>
        <v>BK</v>
      </c>
      <c r="U10" s="19" t="n">
        <f aca="false">IFERROR(__xludf.dummyfunction("IFERROR(QUERY(INDIRECT(""'""&amp;F10&amp;""'!C3:""&amp;T10&amp;""""), ""SELECT ""&amp;I10&amp;"", ""&amp;J10&amp;"", ""&amp;K10&amp;"", ""&amp;L10&amp;"", ""&amp;M10&amp;"", ""&amp;N10&amp;"", ""&amp;O10&amp;"", ""&amp;P10&amp;"", ""&amp;Q10&amp;"", ""&amp;R10&amp;"", ""&amp;S10&amp;"" WHERE '""&amp;B10&amp;""' = D"", 0), """")"),10)</f>
        <v>10</v>
      </c>
      <c r="V10" s="22" t="n">
        <f aca="false">IFERROR(__xludf.dummyfunction("""COMPUTED_VALUE"""),9.5)</f>
        <v>9.5</v>
      </c>
      <c r="W10" s="22" t="n">
        <f aca="false">IFERROR(__xludf.dummyfunction("""COMPUTED_VALUE"""),9.5)</f>
        <v>9.5</v>
      </c>
      <c r="X10" s="22" t="n">
        <f aca="false">IFERROR(__xludf.dummyfunction("""COMPUTED_VALUE"""),10)</f>
        <v>10</v>
      </c>
      <c r="Y10" s="22" t="n">
        <f aca="false">IFERROR(__xludf.dummyfunction("""COMPUTED_VALUE"""),0)</f>
        <v>0</v>
      </c>
      <c r="Z10" s="22" t="n">
        <f aca="false">IFERROR(__xludf.dummyfunction("""COMPUTED_VALUE"""),0)</f>
        <v>0</v>
      </c>
      <c r="AA10" s="22"/>
      <c r="AB10" s="22" t="n">
        <f aca="false">IFERROR(__xludf.dummyfunction("""COMPUTED_VALUE"""),7)</f>
        <v>7</v>
      </c>
      <c r="AC10" s="22" t="n">
        <f aca="false">IFERROR(__xludf.dummyfunction("""COMPUTED_VALUE"""),29)</f>
        <v>29</v>
      </c>
      <c r="AD10" s="23"/>
      <c r="AE10" s="24" t="n">
        <f aca="false">IFERROR(__xludf.dummyfunction("""COMPUTED_VALUE"""),75)</f>
        <v>75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customFormat="false" ht="18.65" hidden="false" customHeight="false" outlineLevel="0" collapsed="false">
      <c r="A11" s="13" t="n">
        <v>10</v>
      </c>
      <c r="B11" s="14" t="s">
        <v>40</v>
      </c>
      <c r="C11" s="15" t="s">
        <v>41</v>
      </c>
      <c r="D11" s="16" t="s">
        <v>24</v>
      </c>
      <c r="E11" s="16" t="s">
        <v>24</v>
      </c>
      <c r="F11" s="16" t="str">
        <f aca="false">REPLACE(E11, 1, 3, "")</f>
        <v>30</v>
      </c>
      <c r="G11" s="17" t="str">
        <f aca="true">IFERROR(VLOOKUP(B11,INDIRECT("'"&amp;F11&amp;"'!D3:D"),1,FALSE()), "Not found")</f>
        <v>Not found</v>
      </c>
      <c r="H11" s="18" t="n">
        <f aca="true">INDIRECT("'"&amp;F11&amp;"'!D1")</f>
        <v>0</v>
      </c>
      <c r="I11" s="18" t="str">
        <f aca="false">IFERROR(__xludf.dummyfunction("REGEXEXTRACT(ADDRESS(ROW(), 24+$H11), ""[A-Z]+"")"),"X")</f>
        <v>X</v>
      </c>
      <c r="J11" s="18" t="str">
        <f aca="false">IFERROR(__xludf.dummyfunction("REGEXEXTRACT(ADDRESS(ROW(), 30+$H11), ""[A-Z]+"")"),"AD")</f>
        <v>AD</v>
      </c>
      <c r="K11" s="18" t="str">
        <f aca="false">IFERROR(__xludf.dummyfunction("REGEXEXTRACT(ADDRESS(ROW(), 36+$H11), ""[A-Z]+"")"),"AJ")</f>
        <v>AJ</v>
      </c>
      <c r="L11" s="18" t="str">
        <f aca="false">IFERROR(__xludf.dummyfunction("REGEXEXTRACT(ADDRESS(ROW(), 42+$H11), ""[A-Z]+"")"),"AP")</f>
        <v>AP</v>
      </c>
      <c r="M11" s="18" t="str">
        <f aca="false">IFERROR(__xludf.dummyfunction("REGEXEXTRACT(ADDRESS(ROW(), 48+$H11), ""[A-Z]+"")"),"AV")</f>
        <v>AV</v>
      </c>
      <c r="N11" s="18" t="str">
        <f aca="false">IFERROR(__xludf.dummyfunction("REGEXEXTRACT(ADDRESS(ROW(), 50+$H11), ""[A-Z]+"")"),"AX")</f>
        <v>AX</v>
      </c>
      <c r="O11" s="18" t="str">
        <f aca="false">IFERROR(__xludf.dummyfunction("REGEXEXTRACT(ADDRESS(ROW(), 51+$H11), ""[A-Z]+"")"),"AY")</f>
        <v>AY</v>
      </c>
      <c r="P11" s="18" t="str">
        <f aca="false">IFERROR(__xludf.dummyfunction("REGEXEXTRACT(ADDRESS(ROW(), 54+$H11), ""[A-Z]+"")"),"BB")</f>
        <v>BB</v>
      </c>
      <c r="Q11" s="18" t="str">
        <f aca="false">IFERROR(__xludf.dummyfunction("REGEXEXTRACT(ADDRESS(ROW(), 59+$H11), ""[A-Z]+"")"),"BG")</f>
        <v>BG</v>
      </c>
      <c r="R11" s="18" t="str">
        <f aca="false">IFERROR(__xludf.dummyfunction("REGEXEXTRACT(ADDRESS(ROW(), 60+$H11), ""[A-Z]+"")"),"BH")</f>
        <v>BH</v>
      </c>
      <c r="S11" s="18" t="str">
        <f aca="false">IFERROR(__xludf.dummyfunction("REGEXEXTRACT(ADDRESS(ROW(), 62+$H11), ""[A-Z]+"")"),"BJ")</f>
        <v>BJ</v>
      </c>
      <c r="T11" s="18" t="str">
        <f aca="false">IFERROR(__xludf.dummyfunction("REGEXEXTRACT(ADDRESS(ROW(), 63+$H11), ""[A-Z]+"")"),"BK")</f>
        <v>BK</v>
      </c>
      <c r="U11" s="19" t="n">
        <f aca="false">IFERROR(__xludf.dummyfunction("IFERROR(QUERY(INDIRECT(""'""&amp;F11&amp;""'!C3:""&amp;T11&amp;""""), ""SELECT ""&amp;I11&amp;"", ""&amp;J11&amp;"", ""&amp;K11&amp;"", ""&amp;L11&amp;"", ""&amp;M11&amp;"", ""&amp;N11&amp;"", ""&amp;O11&amp;"", ""&amp;P11&amp;"", ""&amp;Q11&amp;"", ""&amp;R11&amp;"", ""&amp;S11&amp;"" WHERE '""&amp;B11&amp;""' = D"", 0), """")"),8.5)</f>
        <v>8.5</v>
      </c>
      <c r="V11" s="22" t="n">
        <f aca="false">IFERROR(__xludf.dummyfunction("""COMPUTED_VALUE"""),10)</f>
        <v>10</v>
      </c>
      <c r="W11" s="22" t="n">
        <f aca="false">IFERROR(__xludf.dummyfunction("""COMPUTED_VALUE"""),9)</f>
        <v>9</v>
      </c>
      <c r="X11" s="22" t="n">
        <f aca="false">IFERROR(__xludf.dummyfunction("""COMPUTED_VALUE"""),8.5)</f>
        <v>8.5</v>
      </c>
      <c r="Y11" s="22" t="n">
        <f aca="false">IFERROR(__xludf.dummyfunction("""COMPUTED_VALUE"""),0)</f>
        <v>0</v>
      </c>
      <c r="Z11" s="22"/>
      <c r="AA11" s="22"/>
      <c r="AB11" s="22" t="n">
        <f aca="false">IFERROR(__xludf.dummyfunction("""COMPUTED_VALUE"""),6)</f>
        <v>6</v>
      </c>
      <c r="AC11" s="22" t="n">
        <f aca="false">IFERROR(__xludf.dummyfunction("""COMPUTED_VALUE"""),18)</f>
        <v>18</v>
      </c>
      <c r="AD11" s="23"/>
      <c r="AE11" s="24" t="n">
        <f aca="false">IFERROR(__xludf.dummyfunction("""COMPUTED_VALUE"""),60)</f>
        <v>60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customFormat="false" ht="18.65" hidden="false" customHeight="false" outlineLevel="0" collapsed="false">
      <c r="A12" s="13" t="n">
        <v>11</v>
      </c>
      <c r="B12" s="14" t="s">
        <v>42</v>
      </c>
      <c r="C12" s="15" t="s">
        <v>43</v>
      </c>
      <c r="D12" s="16" t="s">
        <v>24</v>
      </c>
      <c r="E12" s="16" t="s">
        <v>24</v>
      </c>
      <c r="F12" s="16" t="str">
        <f aca="false">REPLACE(E12, 1, 3, "")</f>
        <v>30</v>
      </c>
      <c r="G12" s="17" t="str">
        <f aca="true">IFERROR(VLOOKUP(B12,INDIRECT("'"&amp;F12&amp;"'!D3:D"),1,FALSE()), "Not found")</f>
        <v>Not found</v>
      </c>
      <c r="H12" s="18" t="n">
        <f aca="true">INDIRECT("'"&amp;F12&amp;"'!D1")</f>
        <v>0</v>
      </c>
      <c r="I12" s="18" t="str">
        <f aca="false">IFERROR(__xludf.dummyfunction("REGEXEXTRACT(ADDRESS(ROW(), 24+$H12), ""[A-Z]+"")"),"X")</f>
        <v>X</v>
      </c>
      <c r="J12" s="18" t="str">
        <f aca="false">IFERROR(__xludf.dummyfunction("REGEXEXTRACT(ADDRESS(ROW(), 30+$H12), ""[A-Z]+"")"),"AD")</f>
        <v>AD</v>
      </c>
      <c r="K12" s="18" t="str">
        <f aca="false">IFERROR(__xludf.dummyfunction("REGEXEXTRACT(ADDRESS(ROW(), 36+$H12), ""[A-Z]+"")"),"AJ")</f>
        <v>AJ</v>
      </c>
      <c r="L12" s="18" t="str">
        <f aca="false">IFERROR(__xludf.dummyfunction("REGEXEXTRACT(ADDRESS(ROW(), 42+$H12), ""[A-Z]+"")"),"AP")</f>
        <v>AP</v>
      </c>
      <c r="M12" s="18" t="str">
        <f aca="false">IFERROR(__xludf.dummyfunction("REGEXEXTRACT(ADDRESS(ROW(), 48+$H12), ""[A-Z]+"")"),"AV")</f>
        <v>AV</v>
      </c>
      <c r="N12" s="18" t="str">
        <f aca="false">IFERROR(__xludf.dummyfunction("REGEXEXTRACT(ADDRESS(ROW(), 50+$H12), ""[A-Z]+"")"),"AX")</f>
        <v>AX</v>
      </c>
      <c r="O12" s="18" t="str">
        <f aca="false">IFERROR(__xludf.dummyfunction("REGEXEXTRACT(ADDRESS(ROW(), 51+$H12), ""[A-Z]+"")"),"AY")</f>
        <v>AY</v>
      </c>
      <c r="P12" s="18" t="str">
        <f aca="false">IFERROR(__xludf.dummyfunction("REGEXEXTRACT(ADDRESS(ROW(), 54+$H12), ""[A-Z]+"")"),"BB")</f>
        <v>BB</v>
      </c>
      <c r="Q12" s="18" t="str">
        <f aca="false">IFERROR(__xludf.dummyfunction("REGEXEXTRACT(ADDRESS(ROW(), 59+$H12), ""[A-Z]+"")"),"BG")</f>
        <v>BG</v>
      </c>
      <c r="R12" s="18" t="str">
        <f aca="false">IFERROR(__xludf.dummyfunction("REGEXEXTRACT(ADDRESS(ROW(), 60+$H12), ""[A-Z]+"")"),"BH")</f>
        <v>BH</v>
      </c>
      <c r="S12" s="18" t="str">
        <f aca="false">IFERROR(__xludf.dummyfunction("REGEXEXTRACT(ADDRESS(ROW(), 62+$H12), ""[A-Z]+"")"),"BJ")</f>
        <v>BJ</v>
      </c>
      <c r="T12" s="18" t="str">
        <f aca="false">IFERROR(__xludf.dummyfunction("REGEXEXTRACT(ADDRESS(ROW(), 63+$H12), ""[A-Z]+"")"),"BK")</f>
        <v>BK</v>
      </c>
      <c r="U12" s="19" t="n">
        <f aca="false">IFERROR(__xludf.dummyfunction("IFERROR(QUERY(INDIRECT(""'""&amp;F12&amp;""'!C3:""&amp;T12&amp;""""), ""SELECT ""&amp;I12&amp;"", ""&amp;J12&amp;"", ""&amp;K12&amp;"", ""&amp;L12&amp;"", ""&amp;M12&amp;"", ""&amp;N12&amp;"", ""&amp;O12&amp;"", ""&amp;P12&amp;"", ""&amp;Q12&amp;"", ""&amp;R12&amp;"", ""&amp;S12&amp;"" WHERE '""&amp;B12&amp;""' = D"", 0), """")"),8.5)</f>
        <v>8.5</v>
      </c>
      <c r="V12" s="22" t="n">
        <f aca="false">IFERROR(__xludf.dummyfunction("""COMPUTED_VALUE"""),8)</f>
        <v>8</v>
      </c>
      <c r="W12" s="22" t="n">
        <f aca="false">IFERROR(__xludf.dummyfunction("""COMPUTED_VALUE"""),9)</f>
        <v>9</v>
      </c>
      <c r="X12" s="22" t="n">
        <f aca="false">IFERROR(__xludf.dummyfunction("""COMPUTED_VALUE"""),8.5)</f>
        <v>8.5</v>
      </c>
      <c r="Y12" s="22" t="n">
        <f aca="false">IFERROR(__xludf.dummyfunction("""COMPUTED_VALUE"""),0)</f>
        <v>0</v>
      </c>
      <c r="Z12" s="22"/>
      <c r="AA12" s="22"/>
      <c r="AB12" s="22" t="n">
        <f aca="false">IFERROR(__xludf.dummyfunction("""COMPUTED_VALUE"""),7)</f>
        <v>7</v>
      </c>
      <c r="AC12" s="22" t="n">
        <f aca="false">IFERROR(__xludf.dummyfunction("""COMPUTED_VALUE"""),26)</f>
        <v>26</v>
      </c>
      <c r="AD12" s="23" t="n">
        <f aca="false">IFERROR(__xludf.dummyfunction("""COMPUTED_VALUE"""),1)</f>
        <v>1</v>
      </c>
      <c r="AE12" s="24" t="n">
        <f aca="false">IFERROR(__xludf.dummyfunction("""COMPUTED_VALUE"""),68)</f>
        <v>68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customFormat="false" ht="18.65" hidden="false" customHeight="false" outlineLevel="0" collapsed="false">
      <c r="A13" s="13" t="n">
        <v>12</v>
      </c>
      <c r="B13" s="14" t="s">
        <v>44</v>
      </c>
      <c r="C13" s="15" t="s">
        <v>45</v>
      </c>
      <c r="D13" s="16" t="s">
        <v>21</v>
      </c>
      <c r="E13" s="16" t="s">
        <v>21</v>
      </c>
      <c r="F13" s="16" t="str">
        <f aca="false">REPLACE(E13, 1, 3, "")</f>
        <v>32</v>
      </c>
      <c r="G13" s="17" t="str">
        <f aca="true">IFERROR(VLOOKUP(B13,INDIRECT("'"&amp;F13&amp;"'!D3:D"),1,FALSE()), "Not found")</f>
        <v>Not found</v>
      </c>
      <c r="H13" s="18" t="n">
        <f aca="true">INDIRECT("'"&amp;F13&amp;"'!D1")</f>
        <v>0</v>
      </c>
      <c r="I13" s="18" t="str">
        <f aca="false">IFERROR(__xludf.dummyfunction("REGEXEXTRACT(ADDRESS(ROW(), 24+$H13), ""[A-Z]+"")"),"X")</f>
        <v>X</v>
      </c>
      <c r="J13" s="18" t="str">
        <f aca="false">IFERROR(__xludf.dummyfunction("REGEXEXTRACT(ADDRESS(ROW(), 30+$H13), ""[A-Z]+"")"),"AD")</f>
        <v>AD</v>
      </c>
      <c r="K13" s="18" t="str">
        <f aca="false">IFERROR(__xludf.dummyfunction("REGEXEXTRACT(ADDRESS(ROW(), 36+$H13), ""[A-Z]+"")"),"AJ")</f>
        <v>AJ</v>
      </c>
      <c r="L13" s="18" t="str">
        <f aca="false">IFERROR(__xludf.dummyfunction("REGEXEXTRACT(ADDRESS(ROW(), 42+$H13), ""[A-Z]+"")"),"AP")</f>
        <v>AP</v>
      </c>
      <c r="M13" s="18" t="str">
        <f aca="false">IFERROR(__xludf.dummyfunction("REGEXEXTRACT(ADDRESS(ROW(), 48+$H13), ""[A-Z]+"")"),"AV")</f>
        <v>AV</v>
      </c>
      <c r="N13" s="18" t="str">
        <f aca="false">IFERROR(__xludf.dummyfunction("REGEXEXTRACT(ADDRESS(ROW(), 50+$H13), ""[A-Z]+"")"),"AX")</f>
        <v>AX</v>
      </c>
      <c r="O13" s="18" t="str">
        <f aca="false">IFERROR(__xludf.dummyfunction("REGEXEXTRACT(ADDRESS(ROW(), 51+$H13), ""[A-Z]+"")"),"AY")</f>
        <v>AY</v>
      </c>
      <c r="P13" s="18" t="str">
        <f aca="false">IFERROR(__xludf.dummyfunction("REGEXEXTRACT(ADDRESS(ROW(), 54+$H13), ""[A-Z]+"")"),"BB")</f>
        <v>BB</v>
      </c>
      <c r="Q13" s="18" t="str">
        <f aca="false">IFERROR(__xludf.dummyfunction("REGEXEXTRACT(ADDRESS(ROW(), 59+$H13), ""[A-Z]+"")"),"BG")</f>
        <v>BG</v>
      </c>
      <c r="R13" s="18" t="str">
        <f aca="false">IFERROR(__xludf.dummyfunction("REGEXEXTRACT(ADDRESS(ROW(), 60+$H13), ""[A-Z]+"")"),"BH")</f>
        <v>BH</v>
      </c>
      <c r="S13" s="18" t="str">
        <f aca="false">IFERROR(__xludf.dummyfunction("REGEXEXTRACT(ADDRESS(ROW(), 62+$H13), ""[A-Z]+"")"),"BJ")</f>
        <v>BJ</v>
      </c>
      <c r="T13" s="18" t="str">
        <f aca="false">IFERROR(__xludf.dummyfunction("REGEXEXTRACT(ADDRESS(ROW(), 63+$H13), ""[A-Z]+"")"),"BK")</f>
        <v>BK</v>
      </c>
      <c r="U13" s="19" t="n">
        <f aca="false">IFERROR(__xludf.dummyfunction("IFERROR(QUERY(INDIRECT(""'""&amp;F13&amp;""'!C3:""&amp;T13&amp;""""), ""SELECT ""&amp;I13&amp;"", ""&amp;J13&amp;"", ""&amp;K13&amp;"", ""&amp;L13&amp;"", ""&amp;M13&amp;"", ""&amp;N13&amp;"", ""&amp;O13&amp;"", ""&amp;P13&amp;"", ""&amp;Q13&amp;"", ""&amp;R13&amp;"", ""&amp;S13&amp;"" WHERE '""&amp;B13&amp;""' = D"", 0), """")"),9.5)</f>
        <v>9.5</v>
      </c>
      <c r="V13" s="22"/>
      <c r="W13" s="22"/>
      <c r="X13" s="22"/>
      <c r="Y13" s="22" t="n">
        <f aca="false">IFERROR(__xludf.dummyfunction("""COMPUTED_VALUE"""),0)</f>
        <v>0</v>
      </c>
      <c r="Z13" s="22"/>
      <c r="AA13" s="22"/>
      <c r="AB13" s="22" t="n">
        <f aca="false">IFERROR(__xludf.dummyfunction("""COMPUTED_VALUE"""),0)</f>
        <v>0</v>
      </c>
      <c r="AC13" s="22"/>
      <c r="AD13" s="23"/>
      <c r="AE13" s="24" t="n">
        <f aca="false">IFERROR(__xludf.dummyfunction("""COMPUTED_VALUE"""),9.5)</f>
        <v>9.5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customFormat="false" ht="18.65" hidden="false" customHeight="false" outlineLevel="0" collapsed="false">
      <c r="A14" s="13" t="n">
        <v>13</v>
      </c>
      <c r="B14" s="14" t="s">
        <v>46</v>
      </c>
      <c r="C14" s="15" t="s">
        <v>47</v>
      </c>
      <c r="D14" s="16" t="s">
        <v>21</v>
      </c>
      <c r="E14" s="16" t="s">
        <v>21</v>
      </c>
      <c r="F14" s="16" t="str">
        <f aca="false">REPLACE(E14, 1, 3, "")</f>
        <v>32</v>
      </c>
      <c r="G14" s="17" t="str">
        <f aca="true">IFERROR(VLOOKUP(B14,INDIRECT("'"&amp;F14&amp;"'!D3:D"),1,FALSE()), "Not found")</f>
        <v>Not found</v>
      </c>
      <c r="H14" s="18" t="n">
        <f aca="true">INDIRECT("'"&amp;F14&amp;"'!D1")</f>
        <v>0</v>
      </c>
      <c r="I14" s="18" t="str">
        <f aca="false">IFERROR(__xludf.dummyfunction("REGEXEXTRACT(ADDRESS(ROW(), 24+$H14), ""[A-Z]+"")"),"X")</f>
        <v>X</v>
      </c>
      <c r="J14" s="18" t="str">
        <f aca="false">IFERROR(__xludf.dummyfunction("REGEXEXTRACT(ADDRESS(ROW(), 30+$H14), ""[A-Z]+"")"),"AD")</f>
        <v>AD</v>
      </c>
      <c r="K14" s="18" t="str">
        <f aca="false">IFERROR(__xludf.dummyfunction("REGEXEXTRACT(ADDRESS(ROW(), 36+$H14), ""[A-Z]+"")"),"AJ")</f>
        <v>AJ</v>
      </c>
      <c r="L14" s="18" t="str">
        <f aca="false">IFERROR(__xludf.dummyfunction("REGEXEXTRACT(ADDRESS(ROW(), 42+$H14), ""[A-Z]+"")"),"AP")</f>
        <v>AP</v>
      </c>
      <c r="M14" s="18" t="str">
        <f aca="false">IFERROR(__xludf.dummyfunction("REGEXEXTRACT(ADDRESS(ROW(), 48+$H14), ""[A-Z]+"")"),"AV")</f>
        <v>AV</v>
      </c>
      <c r="N14" s="18" t="str">
        <f aca="false">IFERROR(__xludf.dummyfunction("REGEXEXTRACT(ADDRESS(ROW(), 50+$H14), ""[A-Z]+"")"),"AX")</f>
        <v>AX</v>
      </c>
      <c r="O14" s="18" t="str">
        <f aca="false">IFERROR(__xludf.dummyfunction("REGEXEXTRACT(ADDRESS(ROW(), 51+$H14), ""[A-Z]+"")"),"AY")</f>
        <v>AY</v>
      </c>
      <c r="P14" s="18" t="str">
        <f aca="false">IFERROR(__xludf.dummyfunction("REGEXEXTRACT(ADDRESS(ROW(), 54+$H14), ""[A-Z]+"")"),"BB")</f>
        <v>BB</v>
      </c>
      <c r="Q14" s="18" t="str">
        <f aca="false">IFERROR(__xludf.dummyfunction("REGEXEXTRACT(ADDRESS(ROW(), 59+$H14), ""[A-Z]+"")"),"BG")</f>
        <v>BG</v>
      </c>
      <c r="R14" s="18" t="str">
        <f aca="false">IFERROR(__xludf.dummyfunction("REGEXEXTRACT(ADDRESS(ROW(), 60+$H14), ""[A-Z]+"")"),"BH")</f>
        <v>BH</v>
      </c>
      <c r="S14" s="18" t="str">
        <f aca="false">IFERROR(__xludf.dummyfunction("REGEXEXTRACT(ADDRESS(ROW(), 62+$H14), ""[A-Z]+"")"),"BJ")</f>
        <v>BJ</v>
      </c>
      <c r="T14" s="18" t="str">
        <f aca="false">IFERROR(__xludf.dummyfunction("REGEXEXTRACT(ADDRESS(ROW(), 63+$H14), ""[A-Z]+"")"),"BK")</f>
        <v>BK</v>
      </c>
      <c r="U14" s="19" t="n">
        <f aca="false">IFERROR(__xludf.dummyfunction("IFERROR(QUERY(INDIRECT(""'""&amp;F14&amp;""'!C3:""&amp;T14&amp;""""), ""SELECT ""&amp;I14&amp;"", ""&amp;J14&amp;"", ""&amp;K14&amp;"", ""&amp;L14&amp;"", ""&amp;M14&amp;"", ""&amp;N14&amp;"", ""&amp;O14&amp;"", ""&amp;P14&amp;"", ""&amp;Q14&amp;"", ""&amp;R14&amp;"", ""&amp;S14&amp;"" WHERE '""&amp;B14&amp;""' = D"", 0), """")"),9.3)</f>
        <v>9.3</v>
      </c>
      <c r="V14" s="22" t="n">
        <f aca="false">IFERROR(__xludf.dummyfunction("""COMPUTED_VALUE"""),9.4)</f>
        <v>9.4</v>
      </c>
      <c r="W14" s="22" t="n">
        <f aca="false">IFERROR(__xludf.dummyfunction("""COMPUTED_VALUE"""),9.3)</f>
        <v>9.3</v>
      </c>
      <c r="X14" s="22"/>
      <c r="Y14" s="22" t="n">
        <f aca="false">IFERROR(__xludf.dummyfunction("""COMPUTED_VALUE"""),0)</f>
        <v>0</v>
      </c>
      <c r="Z14" s="22" t="n">
        <f aca="false">IFERROR(__xludf.dummyfunction("""COMPUTED_VALUE"""),1)</f>
        <v>1</v>
      </c>
      <c r="AA14" s="22" t="n">
        <f aca="false">IFERROR(__xludf.dummyfunction("""COMPUTED_VALUE"""),0)</f>
        <v>0</v>
      </c>
      <c r="AB14" s="22" t="n">
        <f aca="false">IFERROR(__xludf.dummyfunction("""COMPUTED_VALUE"""),0)</f>
        <v>0</v>
      </c>
      <c r="AC14" s="22"/>
      <c r="AD14" s="23"/>
      <c r="AE14" s="24" t="n">
        <f aca="false">IFERROR(__xludf.dummyfunction("""COMPUTED_VALUE"""),29)</f>
        <v>29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customFormat="false" ht="18.65" hidden="false" customHeight="false" outlineLevel="0" collapsed="false">
      <c r="A15" s="13" t="n">
        <v>14</v>
      </c>
      <c r="B15" s="14" t="s">
        <v>48</v>
      </c>
      <c r="C15" s="15" t="s">
        <v>49</v>
      </c>
      <c r="D15" s="16" t="s">
        <v>21</v>
      </c>
      <c r="E15" s="16" t="s">
        <v>21</v>
      </c>
      <c r="F15" s="16" t="str">
        <f aca="false">REPLACE(E15, 1, 3, "")</f>
        <v>32</v>
      </c>
      <c r="G15" s="17" t="str">
        <f aca="true">IFERROR(VLOOKUP(B15,INDIRECT("'"&amp;F15&amp;"'!D3:D"),1,FALSE()), "Not found")</f>
        <v>Not found</v>
      </c>
      <c r="H15" s="18" t="n">
        <f aca="true">INDIRECT("'"&amp;F15&amp;"'!D1")</f>
        <v>0</v>
      </c>
      <c r="I15" s="18" t="str">
        <f aca="false">IFERROR(__xludf.dummyfunction("REGEXEXTRACT(ADDRESS(ROW(), 24+$H15), ""[A-Z]+"")"),"X")</f>
        <v>X</v>
      </c>
      <c r="J15" s="18" t="str">
        <f aca="false">IFERROR(__xludf.dummyfunction("REGEXEXTRACT(ADDRESS(ROW(), 30+$H15), ""[A-Z]+"")"),"AD")</f>
        <v>AD</v>
      </c>
      <c r="K15" s="18" t="str">
        <f aca="false">IFERROR(__xludf.dummyfunction("REGEXEXTRACT(ADDRESS(ROW(), 36+$H15), ""[A-Z]+"")"),"AJ")</f>
        <v>AJ</v>
      </c>
      <c r="L15" s="18" t="str">
        <f aca="false">IFERROR(__xludf.dummyfunction("REGEXEXTRACT(ADDRESS(ROW(), 42+$H15), ""[A-Z]+"")"),"AP")</f>
        <v>AP</v>
      </c>
      <c r="M15" s="18" t="str">
        <f aca="false">IFERROR(__xludf.dummyfunction("REGEXEXTRACT(ADDRESS(ROW(), 48+$H15), ""[A-Z]+"")"),"AV")</f>
        <v>AV</v>
      </c>
      <c r="N15" s="18" t="str">
        <f aca="false">IFERROR(__xludf.dummyfunction("REGEXEXTRACT(ADDRESS(ROW(), 50+$H15), ""[A-Z]+"")"),"AX")</f>
        <v>AX</v>
      </c>
      <c r="O15" s="18" t="str">
        <f aca="false">IFERROR(__xludf.dummyfunction("REGEXEXTRACT(ADDRESS(ROW(), 51+$H15), ""[A-Z]+"")"),"AY")</f>
        <v>AY</v>
      </c>
      <c r="P15" s="18" t="str">
        <f aca="false">IFERROR(__xludf.dummyfunction("REGEXEXTRACT(ADDRESS(ROW(), 54+$H15), ""[A-Z]+"")"),"BB")</f>
        <v>BB</v>
      </c>
      <c r="Q15" s="18" t="str">
        <f aca="false">IFERROR(__xludf.dummyfunction("REGEXEXTRACT(ADDRESS(ROW(), 59+$H15), ""[A-Z]+"")"),"BG")</f>
        <v>BG</v>
      </c>
      <c r="R15" s="18" t="str">
        <f aca="false">IFERROR(__xludf.dummyfunction("REGEXEXTRACT(ADDRESS(ROW(), 60+$H15), ""[A-Z]+"")"),"BH")</f>
        <v>BH</v>
      </c>
      <c r="S15" s="18" t="str">
        <f aca="false">IFERROR(__xludf.dummyfunction("REGEXEXTRACT(ADDRESS(ROW(), 62+$H15), ""[A-Z]+"")"),"BJ")</f>
        <v>BJ</v>
      </c>
      <c r="T15" s="18" t="str">
        <f aca="false">IFERROR(__xludf.dummyfunction("REGEXEXTRACT(ADDRESS(ROW(), 63+$H15), ""[A-Z]+"")"),"BK")</f>
        <v>BK</v>
      </c>
      <c r="U15" s="19" t="n">
        <f aca="false">IFERROR(__xludf.dummyfunction("IFERROR(QUERY(INDIRECT(""'""&amp;F15&amp;""'!C3:""&amp;T15&amp;""""), ""SELECT ""&amp;I15&amp;"", ""&amp;J15&amp;"", ""&amp;K15&amp;"", ""&amp;L15&amp;"", ""&amp;M15&amp;"", ""&amp;N15&amp;"", ""&amp;O15&amp;"", ""&amp;P15&amp;"", ""&amp;Q15&amp;"", ""&amp;R15&amp;"", ""&amp;S15&amp;"" WHERE '""&amp;B15&amp;""' = D"", 0), """")"),8.5)</f>
        <v>8.5</v>
      </c>
      <c r="V15" s="22" t="n">
        <f aca="false">IFERROR(__xludf.dummyfunction("""COMPUTED_VALUE"""),10)</f>
        <v>10</v>
      </c>
      <c r="W15" s="22" t="n">
        <f aca="false">IFERROR(__xludf.dummyfunction("""COMPUTED_VALUE"""),9)</f>
        <v>9</v>
      </c>
      <c r="X15" s="22" t="n">
        <f aca="false">IFERROR(__xludf.dummyfunction("""COMPUTED_VALUE"""),8.5)</f>
        <v>8.5</v>
      </c>
      <c r="Y15" s="22" t="n">
        <f aca="false">IFERROR(__xludf.dummyfunction("""COMPUTED_VALUE"""),0)</f>
        <v>0</v>
      </c>
      <c r="Z15" s="22" t="n">
        <f aca="false">IFERROR(__xludf.dummyfunction("""COMPUTED_VALUE"""),2)</f>
        <v>2</v>
      </c>
      <c r="AA15" s="22" t="n">
        <f aca="false">IFERROR(__xludf.dummyfunction("""COMPUTED_VALUE"""),1)</f>
        <v>1</v>
      </c>
      <c r="AB15" s="22" t="n">
        <f aca="false">IFERROR(__xludf.dummyfunction("""COMPUTED_VALUE"""),7)</f>
        <v>7</v>
      </c>
      <c r="AC15" s="22" t="n">
        <f aca="false">IFERROR(__xludf.dummyfunction("""COMPUTED_VALUE"""),18)</f>
        <v>18</v>
      </c>
      <c r="AD15" s="23"/>
      <c r="AE15" s="24" t="n">
        <f aca="false">IFERROR(__xludf.dummyfunction("""COMPUTED_VALUE"""),64)</f>
        <v>64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customFormat="false" ht="18.65" hidden="false" customHeight="false" outlineLevel="0" collapsed="false">
      <c r="A16" s="13" t="n">
        <v>15</v>
      </c>
      <c r="B16" s="14" t="s">
        <v>50</v>
      </c>
      <c r="C16" s="15" t="s">
        <v>51</v>
      </c>
      <c r="D16" s="16" t="s">
        <v>21</v>
      </c>
      <c r="E16" s="16" t="s">
        <v>21</v>
      </c>
      <c r="F16" s="16" t="str">
        <f aca="false">REPLACE(E16, 1, 3, "")</f>
        <v>32</v>
      </c>
      <c r="G16" s="17" t="str">
        <f aca="true">IFERROR(VLOOKUP(B16,INDIRECT("'"&amp;F16&amp;"'!D3:D"),1,FALSE()), "Not found")</f>
        <v>Not found</v>
      </c>
      <c r="H16" s="18" t="n">
        <f aca="true">INDIRECT("'"&amp;F16&amp;"'!D1")</f>
        <v>0</v>
      </c>
      <c r="I16" s="18" t="str">
        <f aca="false">IFERROR(__xludf.dummyfunction("REGEXEXTRACT(ADDRESS(ROW(), 24+$H16), ""[A-Z]+"")"),"X")</f>
        <v>X</v>
      </c>
      <c r="J16" s="18" t="str">
        <f aca="false">IFERROR(__xludf.dummyfunction("REGEXEXTRACT(ADDRESS(ROW(), 30+$H16), ""[A-Z]+"")"),"AD")</f>
        <v>AD</v>
      </c>
      <c r="K16" s="18" t="str">
        <f aca="false">IFERROR(__xludf.dummyfunction("REGEXEXTRACT(ADDRESS(ROW(), 36+$H16), ""[A-Z]+"")"),"AJ")</f>
        <v>AJ</v>
      </c>
      <c r="L16" s="18" t="str">
        <f aca="false">IFERROR(__xludf.dummyfunction("REGEXEXTRACT(ADDRESS(ROW(), 42+$H16), ""[A-Z]+"")"),"AP")</f>
        <v>AP</v>
      </c>
      <c r="M16" s="18" t="str">
        <f aca="false">IFERROR(__xludf.dummyfunction("REGEXEXTRACT(ADDRESS(ROW(), 48+$H16), ""[A-Z]+"")"),"AV")</f>
        <v>AV</v>
      </c>
      <c r="N16" s="18" t="str">
        <f aca="false">IFERROR(__xludf.dummyfunction("REGEXEXTRACT(ADDRESS(ROW(), 50+$H16), ""[A-Z]+"")"),"AX")</f>
        <v>AX</v>
      </c>
      <c r="O16" s="18" t="str">
        <f aca="false">IFERROR(__xludf.dummyfunction("REGEXEXTRACT(ADDRESS(ROW(), 51+$H16), ""[A-Z]+"")"),"AY")</f>
        <v>AY</v>
      </c>
      <c r="P16" s="18" t="str">
        <f aca="false">IFERROR(__xludf.dummyfunction("REGEXEXTRACT(ADDRESS(ROW(), 54+$H16), ""[A-Z]+"")"),"BB")</f>
        <v>BB</v>
      </c>
      <c r="Q16" s="18" t="str">
        <f aca="false">IFERROR(__xludf.dummyfunction("REGEXEXTRACT(ADDRESS(ROW(), 59+$H16), ""[A-Z]+"")"),"BG")</f>
        <v>BG</v>
      </c>
      <c r="R16" s="18" t="str">
        <f aca="false">IFERROR(__xludf.dummyfunction("REGEXEXTRACT(ADDRESS(ROW(), 60+$H16), ""[A-Z]+"")"),"BH")</f>
        <v>BH</v>
      </c>
      <c r="S16" s="18" t="str">
        <f aca="false">IFERROR(__xludf.dummyfunction("REGEXEXTRACT(ADDRESS(ROW(), 62+$H16), ""[A-Z]+"")"),"BJ")</f>
        <v>BJ</v>
      </c>
      <c r="T16" s="18" t="str">
        <f aca="false">IFERROR(__xludf.dummyfunction("REGEXEXTRACT(ADDRESS(ROW(), 63+$H16), ""[A-Z]+"")"),"BK")</f>
        <v>BK</v>
      </c>
      <c r="U16" s="19" t="n">
        <f aca="false">IFERROR(__xludf.dummyfunction("IFERROR(QUERY(INDIRECT(""'""&amp;F16&amp;""'!C3:""&amp;T16&amp;""""), ""SELECT ""&amp;I16&amp;"", ""&amp;J16&amp;"", ""&amp;K16&amp;"", ""&amp;L16&amp;"", ""&amp;M16&amp;"", ""&amp;N16&amp;"", ""&amp;O16&amp;"", ""&amp;P16&amp;"", ""&amp;Q16&amp;"", ""&amp;R16&amp;"", ""&amp;S16&amp;"" WHERE '""&amp;B16&amp;""' = D"", 0), """")"),10)</f>
        <v>10</v>
      </c>
      <c r="V16" s="22" t="n">
        <f aca="false">IFERROR(__xludf.dummyfunction("""COMPUTED_VALUE"""),10)</f>
        <v>10</v>
      </c>
      <c r="W16" s="22" t="n">
        <f aca="false">IFERROR(__xludf.dummyfunction("""COMPUTED_VALUE"""),10)</f>
        <v>10</v>
      </c>
      <c r="X16" s="22" t="n">
        <f aca="false">IFERROR(__xludf.dummyfunction("""COMPUTED_VALUE"""),10)</f>
        <v>10</v>
      </c>
      <c r="Y16" s="22" t="n">
        <f aca="false">IFERROR(__xludf.dummyfunction("""COMPUTED_VALUE"""),10)</f>
        <v>10</v>
      </c>
      <c r="Z16" s="22" t="n">
        <f aca="false">IFERROR(__xludf.dummyfunction("""COMPUTED_VALUE"""),2)</f>
        <v>2</v>
      </c>
      <c r="AA16" s="22" t="n">
        <f aca="false">IFERROR(__xludf.dummyfunction("""COMPUTED_VALUE"""),1)</f>
        <v>1</v>
      </c>
      <c r="AB16" s="22" t="n">
        <f aca="false">IFERROR(__xludf.dummyfunction("""COMPUTED_VALUE"""),10)</f>
        <v>10</v>
      </c>
      <c r="AC16" s="22" t="n">
        <f aca="false">IFERROR(__xludf.dummyfunction("""COMPUTED_VALUE"""),26)</f>
        <v>26</v>
      </c>
      <c r="AD16" s="23" t="n">
        <f aca="false">IFERROR(__xludf.dummyfunction("""COMPUTED_VALUE"""),2)</f>
        <v>2</v>
      </c>
      <c r="AE16" s="24" t="n">
        <f aca="false">IFERROR(__xludf.dummyfunction("""COMPUTED_VALUE"""),91)</f>
        <v>91</v>
      </c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customFormat="false" ht="18.65" hidden="false" customHeight="false" outlineLevel="0" collapsed="false">
      <c r="A17" s="13" t="n">
        <v>16</v>
      </c>
      <c r="B17" s="14" t="s">
        <v>52</v>
      </c>
      <c r="C17" s="15" t="s">
        <v>53</v>
      </c>
      <c r="D17" s="16" t="s">
        <v>21</v>
      </c>
      <c r="E17" s="16" t="s">
        <v>21</v>
      </c>
      <c r="F17" s="16" t="str">
        <f aca="false">REPLACE(E17, 1, 3, "")</f>
        <v>32</v>
      </c>
      <c r="G17" s="17" t="str">
        <f aca="true">IFERROR(VLOOKUP(B17,INDIRECT("'"&amp;F17&amp;"'!D3:D"),1,FALSE()), "Not found")</f>
        <v>Not found</v>
      </c>
      <c r="H17" s="18" t="n">
        <f aca="true">INDIRECT("'"&amp;F17&amp;"'!D1")</f>
        <v>0</v>
      </c>
      <c r="I17" s="18" t="str">
        <f aca="false">IFERROR(__xludf.dummyfunction("REGEXEXTRACT(ADDRESS(ROW(), 24+$H17), ""[A-Z]+"")"),"X")</f>
        <v>X</v>
      </c>
      <c r="J17" s="18" t="str">
        <f aca="false">IFERROR(__xludf.dummyfunction("REGEXEXTRACT(ADDRESS(ROW(), 30+$H17), ""[A-Z]+"")"),"AD")</f>
        <v>AD</v>
      </c>
      <c r="K17" s="18" t="str">
        <f aca="false">IFERROR(__xludf.dummyfunction("REGEXEXTRACT(ADDRESS(ROW(), 36+$H17), ""[A-Z]+"")"),"AJ")</f>
        <v>AJ</v>
      </c>
      <c r="L17" s="18" t="str">
        <f aca="false">IFERROR(__xludf.dummyfunction("REGEXEXTRACT(ADDRESS(ROW(), 42+$H17), ""[A-Z]+"")"),"AP")</f>
        <v>AP</v>
      </c>
      <c r="M17" s="18" t="str">
        <f aca="false">IFERROR(__xludf.dummyfunction("REGEXEXTRACT(ADDRESS(ROW(), 48+$H17), ""[A-Z]+"")"),"AV")</f>
        <v>AV</v>
      </c>
      <c r="N17" s="18" t="str">
        <f aca="false">IFERROR(__xludf.dummyfunction("REGEXEXTRACT(ADDRESS(ROW(), 50+$H17), ""[A-Z]+"")"),"AX")</f>
        <v>AX</v>
      </c>
      <c r="O17" s="18" t="str">
        <f aca="false">IFERROR(__xludf.dummyfunction("REGEXEXTRACT(ADDRESS(ROW(), 51+$H17), ""[A-Z]+"")"),"AY")</f>
        <v>AY</v>
      </c>
      <c r="P17" s="18" t="str">
        <f aca="false">IFERROR(__xludf.dummyfunction("REGEXEXTRACT(ADDRESS(ROW(), 54+$H17), ""[A-Z]+"")"),"BB")</f>
        <v>BB</v>
      </c>
      <c r="Q17" s="18" t="str">
        <f aca="false">IFERROR(__xludf.dummyfunction("REGEXEXTRACT(ADDRESS(ROW(), 59+$H17), ""[A-Z]+"")"),"BG")</f>
        <v>BG</v>
      </c>
      <c r="R17" s="18" t="str">
        <f aca="false">IFERROR(__xludf.dummyfunction("REGEXEXTRACT(ADDRESS(ROW(), 60+$H17), ""[A-Z]+"")"),"BH")</f>
        <v>BH</v>
      </c>
      <c r="S17" s="18" t="str">
        <f aca="false">IFERROR(__xludf.dummyfunction("REGEXEXTRACT(ADDRESS(ROW(), 62+$H17), ""[A-Z]+"")"),"BJ")</f>
        <v>BJ</v>
      </c>
      <c r="T17" s="18" t="str">
        <f aca="false">IFERROR(__xludf.dummyfunction("REGEXEXTRACT(ADDRESS(ROW(), 63+$H17), ""[A-Z]+"")"),"BK")</f>
        <v>BK</v>
      </c>
      <c r="U17" s="19" t="n">
        <f aca="false">IFERROR(__xludf.dummyfunction("IFERROR(QUERY(INDIRECT(""'""&amp;F17&amp;""'!C3:""&amp;T17&amp;""""), ""SELECT ""&amp;I17&amp;"", ""&amp;J17&amp;"", ""&amp;K17&amp;"", ""&amp;L17&amp;"", ""&amp;M17&amp;"", ""&amp;N17&amp;"", ""&amp;O17&amp;"", ""&amp;P17&amp;"", ""&amp;Q17&amp;"", ""&amp;R17&amp;"", ""&amp;S17&amp;"" WHERE '""&amp;B17&amp;""' = D"", 0), """")"),8)</f>
        <v>8</v>
      </c>
      <c r="V17" s="22" t="n">
        <f aca="false">IFERROR(__xludf.dummyfunction("""COMPUTED_VALUE"""),8)</f>
        <v>8</v>
      </c>
      <c r="W17" s="22" t="n">
        <f aca="false">IFERROR(__xludf.dummyfunction("""COMPUTED_VALUE"""),8)</f>
        <v>8</v>
      </c>
      <c r="X17" s="22" t="n">
        <f aca="false">IFERROR(__xludf.dummyfunction("""COMPUTED_VALUE"""),8)</f>
        <v>8</v>
      </c>
      <c r="Y17" s="22" t="n">
        <f aca="false">IFERROR(__xludf.dummyfunction("""COMPUTED_VALUE"""),0)</f>
        <v>0</v>
      </c>
      <c r="Z17" s="22" t="n">
        <f aca="false">IFERROR(__xludf.dummyfunction("""COMPUTED_VALUE"""),0)</f>
        <v>0</v>
      </c>
      <c r="AA17" s="22"/>
      <c r="AB17" s="22" t="n">
        <f aca="false">IFERROR(__xludf.dummyfunction("""COMPUTED_VALUE"""),6)</f>
        <v>6</v>
      </c>
      <c r="AC17" s="22" t="n">
        <f aca="false">IFERROR(__xludf.dummyfunction("""COMPUTED_VALUE"""),0)</f>
        <v>0</v>
      </c>
      <c r="AD17" s="23"/>
      <c r="AE17" s="24" t="n">
        <f aca="false">IFERROR(__xludf.dummyfunction("""COMPUTED_VALUE"""),38)</f>
        <v>38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customFormat="false" ht="18.65" hidden="false" customHeight="false" outlineLevel="0" collapsed="false">
      <c r="A18" s="13" t="n">
        <v>17</v>
      </c>
      <c r="B18" s="14" t="s">
        <v>54</v>
      </c>
      <c r="C18" s="15" t="s">
        <v>55</v>
      </c>
      <c r="D18" s="16" t="s">
        <v>24</v>
      </c>
      <c r="E18" s="16" t="s">
        <v>24</v>
      </c>
      <c r="F18" s="16" t="str">
        <f aca="false">REPLACE(E18, 1, 3, "")</f>
        <v>30</v>
      </c>
      <c r="G18" s="17" t="str">
        <f aca="true">IFERROR(VLOOKUP(B18,INDIRECT("'"&amp;F18&amp;"'!D3:D"),1,FALSE()), "Not found")</f>
        <v>Not found</v>
      </c>
      <c r="H18" s="18" t="n">
        <f aca="true">INDIRECT("'"&amp;F18&amp;"'!D1")</f>
        <v>0</v>
      </c>
      <c r="I18" s="18" t="str">
        <f aca="false">IFERROR(__xludf.dummyfunction("REGEXEXTRACT(ADDRESS(ROW(), 24+$H18), ""[A-Z]+"")"),"X")</f>
        <v>X</v>
      </c>
      <c r="J18" s="18" t="str">
        <f aca="false">IFERROR(__xludf.dummyfunction("REGEXEXTRACT(ADDRESS(ROW(), 30+$H18), ""[A-Z]+"")"),"AD")</f>
        <v>AD</v>
      </c>
      <c r="K18" s="18" t="str">
        <f aca="false">IFERROR(__xludf.dummyfunction("REGEXEXTRACT(ADDRESS(ROW(), 36+$H18), ""[A-Z]+"")"),"AJ")</f>
        <v>AJ</v>
      </c>
      <c r="L18" s="18" t="str">
        <f aca="false">IFERROR(__xludf.dummyfunction("REGEXEXTRACT(ADDRESS(ROW(), 42+$H18), ""[A-Z]+"")"),"AP")</f>
        <v>AP</v>
      </c>
      <c r="M18" s="18" t="str">
        <f aca="false">IFERROR(__xludf.dummyfunction("REGEXEXTRACT(ADDRESS(ROW(), 48+$H18), ""[A-Z]+"")"),"AV")</f>
        <v>AV</v>
      </c>
      <c r="N18" s="18" t="str">
        <f aca="false">IFERROR(__xludf.dummyfunction("REGEXEXTRACT(ADDRESS(ROW(), 50+$H18), ""[A-Z]+"")"),"AX")</f>
        <v>AX</v>
      </c>
      <c r="O18" s="18" t="str">
        <f aca="false">IFERROR(__xludf.dummyfunction("REGEXEXTRACT(ADDRESS(ROW(), 51+$H18), ""[A-Z]+"")"),"AY")</f>
        <v>AY</v>
      </c>
      <c r="P18" s="18" t="str">
        <f aca="false">IFERROR(__xludf.dummyfunction("REGEXEXTRACT(ADDRESS(ROW(), 54+$H18), ""[A-Z]+"")"),"BB")</f>
        <v>BB</v>
      </c>
      <c r="Q18" s="18" t="str">
        <f aca="false">IFERROR(__xludf.dummyfunction("REGEXEXTRACT(ADDRESS(ROW(), 59+$H18), ""[A-Z]+"")"),"BG")</f>
        <v>BG</v>
      </c>
      <c r="R18" s="18" t="str">
        <f aca="false">IFERROR(__xludf.dummyfunction("REGEXEXTRACT(ADDRESS(ROW(), 60+$H18), ""[A-Z]+"")"),"BH")</f>
        <v>BH</v>
      </c>
      <c r="S18" s="18" t="str">
        <f aca="false">IFERROR(__xludf.dummyfunction("REGEXEXTRACT(ADDRESS(ROW(), 62+$H18), ""[A-Z]+"")"),"BJ")</f>
        <v>BJ</v>
      </c>
      <c r="T18" s="18" t="str">
        <f aca="false">IFERROR(__xludf.dummyfunction("REGEXEXTRACT(ADDRESS(ROW(), 63+$H18), ""[A-Z]+"")"),"BK")</f>
        <v>BK</v>
      </c>
      <c r="U18" s="19" t="n">
        <f aca="false">IFERROR(__xludf.dummyfunction("IFERROR(QUERY(INDIRECT(""'""&amp;F18&amp;""'!C3:""&amp;T18&amp;""""), ""SELECT ""&amp;I18&amp;"", ""&amp;J18&amp;"", ""&amp;K18&amp;"", ""&amp;L18&amp;"", ""&amp;M18&amp;"", ""&amp;N18&amp;"", ""&amp;O18&amp;"", ""&amp;P18&amp;"", ""&amp;Q18&amp;"", ""&amp;R18&amp;"", ""&amp;S18&amp;"" WHERE '""&amp;B18&amp;""' = D"", 0), """")"),8)</f>
        <v>8</v>
      </c>
      <c r="V18" s="22" t="n">
        <f aca="false">IFERROR(__xludf.dummyfunction("""COMPUTED_VALUE"""),8)</f>
        <v>8</v>
      </c>
      <c r="W18" s="22" t="n">
        <f aca="false">IFERROR(__xludf.dummyfunction("""COMPUTED_VALUE"""),9)</f>
        <v>9</v>
      </c>
      <c r="X18" s="22" t="n">
        <f aca="false">IFERROR(__xludf.dummyfunction("""COMPUTED_VALUE"""),8.5)</f>
        <v>8.5</v>
      </c>
      <c r="Y18" s="22" t="n">
        <f aca="false">IFERROR(__xludf.dummyfunction("""COMPUTED_VALUE"""),0)</f>
        <v>0</v>
      </c>
      <c r="Z18" s="22"/>
      <c r="AA18" s="22"/>
      <c r="AB18" s="22" t="n">
        <f aca="false">IFERROR(__xludf.dummyfunction("""COMPUTED_VALUE"""),7)</f>
        <v>7</v>
      </c>
      <c r="AC18" s="22" t="n">
        <f aca="false">IFERROR(__xludf.dummyfunction("""COMPUTED_VALUE"""),25)</f>
        <v>25</v>
      </c>
      <c r="AD18" s="23" t="n">
        <f aca="false">IFERROR(__xludf.dummyfunction("""COMPUTED_VALUE"""),2)</f>
        <v>2</v>
      </c>
      <c r="AE18" s="24" t="n">
        <f aca="false">IFERROR(__xludf.dummyfunction("""COMPUTED_VALUE"""),67.5)</f>
        <v>67.5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customFormat="false" ht="18.65" hidden="false" customHeight="false" outlineLevel="0" collapsed="false">
      <c r="A19" s="13" t="n">
        <v>18</v>
      </c>
      <c r="B19" s="14" t="s">
        <v>56</v>
      </c>
      <c r="C19" s="15" t="s">
        <v>57</v>
      </c>
      <c r="D19" s="16" t="s">
        <v>21</v>
      </c>
      <c r="E19" s="16" t="s">
        <v>21</v>
      </c>
      <c r="F19" s="16" t="str">
        <f aca="false">REPLACE(E19, 1, 3, "")</f>
        <v>32</v>
      </c>
      <c r="G19" s="17" t="str">
        <f aca="true">IFERROR(VLOOKUP(B19,INDIRECT("'"&amp;F19&amp;"'!D3:D"),1,FALSE()), "Not found")</f>
        <v>Not found</v>
      </c>
      <c r="H19" s="18" t="n">
        <f aca="true">INDIRECT("'"&amp;F19&amp;"'!D1")</f>
        <v>0</v>
      </c>
      <c r="I19" s="18" t="str">
        <f aca="false">IFERROR(__xludf.dummyfunction("REGEXEXTRACT(ADDRESS(ROW(), 24+$H19), ""[A-Z]+"")"),"X")</f>
        <v>X</v>
      </c>
      <c r="J19" s="18" t="str">
        <f aca="false">IFERROR(__xludf.dummyfunction("REGEXEXTRACT(ADDRESS(ROW(), 30+$H19), ""[A-Z]+"")"),"AD")</f>
        <v>AD</v>
      </c>
      <c r="K19" s="18" t="str">
        <f aca="false">IFERROR(__xludf.dummyfunction("REGEXEXTRACT(ADDRESS(ROW(), 36+$H19), ""[A-Z]+"")"),"AJ")</f>
        <v>AJ</v>
      </c>
      <c r="L19" s="18" t="str">
        <f aca="false">IFERROR(__xludf.dummyfunction("REGEXEXTRACT(ADDRESS(ROW(), 42+$H19), ""[A-Z]+"")"),"AP")</f>
        <v>AP</v>
      </c>
      <c r="M19" s="18" t="str">
        <f aca="false">IFERROR(__xludf.dummyfunction("REGEXEXTRACT(ADDRESS(ROW(), 48+$H19), ""[A-Z]+"")"),"AV")</f>
        <v>AV</v>
      </c>
      <c r="N19" s="18" t="str">
        <f aca="false">IFERROR(__xludf.dummyfunction("REGEXEXTRACT(ADDRESS(ROW(), 50+$H19), ""[A-Z]+"")"),"AX")</f>
        <v>AX</v>
      </c>
      <c r="O19" s="18" t="str">
        <f aca="false">IFERROR(__xludf.dummyfunction("REGEXEXTRACT(ADDRESS(ROW(), 51+$H19), ""[A-Z]+"")"),"AY")</f>
        <v>AY</v>
      </c>
      <c r="P19" s="18" t="str">
        <f aca="false">IFERROR(__xludf.dummyfunction("REGEXEXTRACT(ADDRESS(ROW(), 54+$H19), ""[A-Z]+"")"),"BB")</f>
        <v>BB</v>
      </c>
      <c r="Q19" s="18" t="str">
        <f aca="false">IFERROR(__xludf.dummyfunction("REGEXEXTRACT(ADDRESS(ROW(), 59+$H19), ""[A-Z]+"")"),"BG")</f>
        <v>BG</v>
      </c>
      <c r="R19" s="18" t="str">
        <f aca="false">IFERROR(__xludf.dummyfunction("REGEXEXTRACT(ADDRESS(ROW(), 60+$H19), ""[A-Z]+"")"),"BH")</f>
        <v>BH</v>
      </c>
      <c r="S19" s="18" t="str">
        <f aca="false">IFERROR(__xludf.dummyfunction("REGEXEXTRACT(ADDRESS(ROW(), 62+$H19), ""[A-Z]+"")"),"BJ")</f>
        <v>BJ</v>
      </c>
      <c r="T19" s="18" t="str">
        <f aca="false">IFERROR(__xludf.dummyfunction("REGEXEXTRACT(ADDRESS(ROW(), 63+$H19), ""[A-Z]+"")"),"BK")</f>
        <v>BK</v>
      </c>
      <c r="U19" s="19" t="str">
        <f aca="false">IFERROR(__xludf.dummyfunction("IFERROR(QUERY(INDIRECT(""'""&amp;F19&amp;""'!C3:""&amp;T19&amp;""""), ""SELECT ""&amp;I19&amp;"", ""&amp;J19&amp;"", ""&amp;K19&amp;"", ""&amp;L19&amp;"", ""&amp;M19&amp;"", ""&amp;N19&amp;"", ""&amp;O19&amp;"", ""&amp;P19&amp;"", ""&amp;Q19&amp;"", ""&amp;R19&amp;"", ""&amp;S19&amp;"" WHERE '""&amp;B19&amp;""' = D"", 0), """")"),"")</f>
        <v/>
      </c>
      <c r="V19" s="22"/>
      <c r="W19" s="22"/>
      <c r="X19" s="22"/>
      <c r="Y19" s="22" t="n">
        <f aca="false">IFERROR(__xludf.dummyfunction("""COMPUTED_VALUE"""),0)</f>
        <v>0</v>
      </c>
      <c r="Z19" s="22" t="n">
        <f aca="false">IFERROR(__xludf.dummyfunction("""COMPUTED_VALUE"""),0)</f>
        <v>0</v>
      </c>
      <c r="AA19" s="22"/>
      <c r="AB19" s="22" t="n">
        <f aca="false">IFERROR(__xludf.dummyfunction("""COMPUTED_VALUE"""),0)</f>
        <v>0</v>
      </c>
      <c r="AC19" s="22"/>
      <c r="AD19" s="23"/>
      <c r="AE19" s="24" t="n">
        <f aca="false">IFERROR(__xludf.dummyfunction("""COMPUTED_VALUE"""),0)</f>
        <v>0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customFormat="false" ht="18.65" hidden="false" customHeight="false" outlineLevel="0" collapsed="false">
      <c r="A20" s="13" t="n">
        <v>19</v>
      </c>
      <c r="B20" s="14" t="s">
        <v>58</v>
      </c>
      <c r="C20" s="15" t="s">
        <v>59</v>
      </c>
      <c r="D20" s="16" t="s">
        <v>21</v>
      </c>
      <c r="E20" s="16" t="s">
        <v>21</v>
      </c>
      <c r="F20" s="16" t="str">
        <f aca="false">REPLACE(E20, 1, 3, "")</f>
        <v>32</v>
      </c>
      <c r="G20" s="17" t="str">
        <f aca="true">IFERROR(VLOOKUP(B20,INDIRECT("'"&amp;F20&amp;"'!D3:D"),1,FALSE()), "Not found")</f>
        <v>Not found</v>
      </c>
      <c r="H20" s="18" t="n">
        <f aca="true">INDIRECT("'"&amp;F20&amp;"'!D1")</f>
        <v>0</v>
      </c>
      <c r="I20" s="18" t="str">
        <f aca="false">IFERROR(__xludf.dummyfunction("REGEXEXTRACT(ADDRESS(ROW(), 24+$H20), ""[A-Z]+"")"),"X")</f>
        <v>X</v>
      </c>
      <c r="J20" s="18" t="str">
        <f aca="false">IFERROR(__xludf.dummyfunction("REGEXEXTRACT(ADDRESS(ROW(), 30+$H20), ""[A-Z]+"")"),"AD")</f>
        <v>AD</v>
      </c>
      <c r="K20" s="18" t="str">
        <f aca="false">IFERROR(__xludf.dummyfunction("REGEXEXTRACT(ADDRESS(ROW(), 36+$H20), ""[A-Z]+"")"),"AJ")</f>
        <v>AJ</v>
      </c>
      <c r="L20" s="18" t="str">
        <f aca="false">IFERROR(__xludf.dummyfunction("REGEXEXTRACT(ADDRESS(ROW(), 42+$H20), ""[A-Z]+"")"),"AP")</f>
        <v>AP</v>
      </c>
      <c r="M20" s="18" t="str">
        <f aca="false">IFERROR(__xludf.dummyfunction("REGEXEXTRACT(ADDRESS(ROW(), 48+$H20), ""[A-Z]+"")"),"AV")</f>
        <v>AV</v>
      </c>
      <c r="N20" s="18" t="str">
        <f aca="false">IFERROR(__xludf.dummyfunction("REGEXEXTRACT(ADDRESS(ROW(), 50+$H20), ""[A-Z]+"")"),"AX")</f>
        <v>AX</v>
      </c>
      <c r="O20" s="18" t="str">
        <f aca="false">IFERROR(__xludf.dummyfunction("REGEXEXTRACT(ADDRESS(ROW(), 51+$H20), ""[A-Z]+"")"),"AY")</f>
        <v>AY</v>
      </c>
      <c r="P20" s="18" t="str">
        <f aca="false">IFERROR(__xludf.dummyfunction("REGEXEXTRACT(ADDRESS(ROW(), 54+$H20), ""[A-Z]+"")"),"BB")</f>
        <v>BB</v>
      </c>
      <c r="Q20" s="18" t="str">
        <f aca="false">IFERROR(__xludf.dummyfunction("REGEXEXTRACT(ADDRESS(ROW(), 59+$H20), ""[A-Z]+"")"),"BG")</f>
        <v>BG</v>
      </c>
      <c r="R20" s="18" t="str">
        <f aca="false">IFERROR(__xludf.dummyfunction("REGEXEXTRACT(ADDRESS(ROW(), 60+$H20), ""[A-Z]+"")"),"BH")</f>
        <v>BH</v>
      </c>
      <c r="S20" s="18" t="str">
        <f aca="false">IFERROR(__xludf.dummyfunction("REGEXEXTRACT(ADDRESS(ROW(), 62+$H20), ""[A-Z]+"")"),"BJ")</f>
        <v>BJ</v>
      </c>
      <c r="T20" s="18" t="str">
        <f aca="false">IFERROR(__xludf.dummyfunction("REGEXEXTRACT(ADDRESS(ROW(), 63+$H20), ""[A-Z]+"")"),"BK")</f>
        <v>BK</v>
      </c>
      <c r="U20" s="19" t="n">
        <f aca="false">IFERROR(__xludf.dummyfunction("IFERROR(QUERY(INDIRECT(""'""&amp;F20&amp;""'!C3:""&amp;T20&amp;""""), ""SELECT ""&amp;I20&amp;"", ""&amp;J20&amp;"", ""&amp;K20&amp;"", ""&amp;L20&amp;"", ""&amp;M20&amp;"", ""&amp;N20&amp;"", ""&amp;O20&amp;"", ""&amp;P20&amp;"", ""&amp;Q20&amp;"", ""&amp;R20&amp;"", ""&amp;S20&amp;"" WHERE '""&amp;B20&amp;""' = D"", 0), """")"),8.5)</f>
        <v>8.5</v>
      </c>
      <c r="V20" s="22"/>
      <c r="W20" s="22"/>
      <c r="X20" s="22"/>
      <c r="Y20" s="22" t="n">
        <f aca="false">IFERROR(__xludf.dummyfunction("""COMPUTED_VALUE"""),0)</f>
        <v>0</v>
      </c>
      <c r="Z20" s="22"/>
      <c r="AA20" s="22"/>
      <c r="AB20" s="22" t="n">
        <f aca="false">IFERROR(__xludf.dummyfunction("""COMPUTED_VALUE"""),0)</f>
        <v>0</v>
      </c>
      <c r="AC20" s="22"/>
      <c r="AD20" s="23"/>
      <c r="AE20" s="24" t="n">
        <f aca="false">IFERROR(__xludf.dummyfunction("""COMPUTED_VALUE"""),8.5)</f>
        <v>8.5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customFormat="false" ht="18.65" hidden="false" customHeight="false" outlineLevel="0" collapsed="false">
      <c r="A21" s="13" t="n">
        <v>20</v>
      </c>
      <c r="B21" s="14" t="s">
        <v>60</v>
      </c>
      <c r="C21" s="15" t="s">
        <v>61</v>
      </c>
      <c r="D21" s="16" t="s">
        <v>39</v>
      </c>
      <c r="E21" s="16" t="s">
        <v>39</v>
      </c>
      <c r="F21" s="16" t="str">
        <f aca="false">REPLACE(E21, 1, 3, "")</f>
        <v>31</v>
      </c>
      <c r="G21" s="17" t="str">
        <f aca="true">IFERROR(VLOOKUP(B21,INDIRECT("'"&amp;F21&amp;"'!D3:D"),1,FALSE()), "Not found")</f>
        <v>Not found</v>
      </c>
      <c r="H21" s="18" t="n">
        <f aca="true">INDIRECT("'"&amp;F21&amp;"'!D1")</f>
        <v>0</v>
      </c>
      <c r="I21" s="18" t="str">
        <f aca="false">IFERROR(__xludf.dummyfunction("REGEXEXTRACT(ADDRESS(ROW(), 24+$H21), ""[A-Z]+"")"),"X")</f>
        <v>X</v>
      </c>
      <c r="J21" s="18" t="str">
        <f aca="false">IFERROR(__xludf.dummyfunction("REGEXEXTRACT(ADDRESS(ROW(), 30+$H21), ""[A-Z]+"")"),"AD")</f>
        <v>AD</v>
      </c>
      <c r="K21" s="18" t="str">
        <f aca="false">IFERROR(__xludf.dummyfunction("REGEXEXTRACT(ADDRESS(ROW(), 36+$H21), ""[A-Z]+"")"),"AJ")</f>
        <v>AJ</v>
      </c>
      <c r="L21" s="18" t="str">
        <f aca="false">IFERROR(__xludf.dummyfunction("REGEXEXTRACT(ADDRESS(ROW(), 42+$H21), ""[A-Z]+"")"),"AP")</f>
        <v>AP</v>
      </c>
      <c r="M21" s="18" t="str">
        <f aca="false">IFERROR(__xludf.dummyfunction("REGEXEXTRACT(ADDRESS(ROW(), 48+$H21), ""[A-Z]+"")"),"AV")</f>
        <v>AV</v>
      </c>
      <c r="N21" s="18" t="str">
        <f aca="false">IFERROR(__xludf.dummyfunction("REGEXEXTRACT(ADDRESS(ROW(), 50+$H21), ""[A-Z]+"")"),"AX")</f>
        <v>AX</v>
      </c>
      <c r="O21" s="18" t="str">
        <f aca="false">IFERROR(__xludf.dummyfunction("REGEXEXTRACT(ADDRESS(ROW(), 51+$H21), ""[A-Z]+"")"),"AY")</f>
        <v>AY</v>
      </c>
      <c r="P21" s="18" t="str">
        <f aca="false">IFERROR(__xludf.dummyfunction("REGEXEXTRACT(ADDRESS(ROW(), 54+$H21), ""[A-Z]+"")"),"BB")</f>
        <v>BB</v>
      </c>
      <c r="Q21" s="18" t="str">
        <f aca="false">IFERROR(__xludf.dummyfunction("REGEXEXTRACT(ADDRESS(ROW(), 59+$H21), ""[A-Z]+"")"),"BG")</f>
        <v>BG</v>
      </c>
      <c r="R21" s="18" t="str">
        <f aca="false">IFERROR(__xludf.dummyfunction("REGEXEXTRACT(ADDRESS(ROW(), 60+$H21), ""[A-Z]+"")"),"BH")</f>
        <v>BH</v>
      </c>
      <c r="S21" s="18" t="str">
        <f aca="false">IFERROR(__xludf.dummyfunction("REGEXEXTRACT(ADDRESS(ROW(), 62+$H21), ""[A-Z]+"")"),"BJ")</f>
        <v>BJ</v>
      </c>
      <c r="T21" s="18" t="str">
        <f aca="false">IFERROR(__xludf.dummyfunction("REGEXEXTRACT(ADDRESS(ROW(), 63+$H21), ""[A-Z]+"")"),"BK")</f>
        <v>BK</v>
      </c>
      <c r="U21" s="19" t="n">
        <f aca="false">IFERROR(__xludf.dummyfunction("IFERROR(QUERY(INDIRECT(""'""&amp;F21&amp;""'!C3:""&amp;T21&amp;""""), ""SELECT ""&amp;I21&amp;"", ""&amp;J21&amp;"", ""&amp;K21&amp;"", ""&amp;L21&amp;"", ""&amp;M21&amp;"", ""&amp;N21&amp;"", ""&amp;O21&amp;"", ""&amp;P21&amp;"", ""&amp;Q21&amp;"", ""&amp;R21&amp;"", ""&amp;S21&amp;"" WHERE '""&amp;B21&amp;""' = D"", 0), """")"),10)</f>
        <v>10</v>
      </c>
      <c r="V21" s="22" t="n">
        <f aca="false">IFERROR(__xludf.dummyfunction("""COMPUTED_VALUE"""),9.5)</f>
        <v>9.5</v>
      </c>
      <c r="W21" s="22" t="n">
        <f aca="false">IFERROR(__xludf.dummyfunction("""COMPUTED_VALUE"""),10)</f>
        <v>10</v>
      </c>
      <c r="X21" s="22" t="n">
        <f aca="false">IFERROR(__xludf.dummyfunction("""COMPUTED_VALUE"""),9.5)</f>
        <v>9.5</v>
      </c>
      <c r="Y21" s="22" t="n">
        <f aca="false">IFERROR(__xludf.dummyfunction("""COMPUTED_VALUE"""),0)</f>
        <v>0</v>
      </c>
      <c r="Z21" s="22" t="n">
        <f aca="false">IFERROR(__xludf.dummyfunction("""COMPUTED_VALUE"""),0)</f>
        <v>0</v>
      </c>
      <c r="AA21" s="22" t="n">
        <f aca="false">IFERROR(__xludf.dummyfunction("""COMPUTED_VALUE"""),0)</f>
        <v>0</v>
      </c>
      <c r="AB21" s="22" t="n">
        <f aca="false">IFERROR(__xludf.dummyfunction("""COMPUTED_VALUE"""),6)</f>
        <v>6</v>
      </c>
      <c r="AC21" s="22" t="n">
        <f aca="false">IFERROR(__xludf.dummyfunction("""COMPUTED_VALUE"""),0)</f>
        <v>0</v>
      </c>
      <c r="AD21" s="23"/>
      <c r="AE21" s="24" t="n">
        <f aca="false">IFERROR(__xludf.dummyfunction("""COMPUTED_VALUE"""),45)</f>
        <v>45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customFormat="false" ht="18.65" hidden="false" customHeight="false" outlineLevel="0" collapsed="false">
      <c r="A22" s="13" t="n">
        <v>21</v>
      </c>
      <c r="B22" s="14" t="s">
        <v>62</v>
      </c>
      <c r="C22" s="15" t="s">
        <v>63</v>
      </c>
      <c r="D22" s="16" t="s">
        <v>39</v>
      </c>
      <c r="E22" s="16" t="s">
        <v>39</v>
      </c>
      <c r="F22" s="16" t="str">
        <f aca="false">REPLACE(E22, 1, 3, "")</f>
        <v>31</v>
      </c>
      <c r="G22" s="17" t="str">
        <f aca="true">IFERROR(VLOOKUP(B22,INDIRECT("'"&amp;F22&amp;"'!D3:D"),1,FALSE()), "Not found")</f>
        <v>Not found</v>
      </c>
      <c r="H22" s="18" t="n">
        <f aca="true">INDIRECT("'"&amp;F22&amp;"'!D1")</f>
        <v>0</v>
      </c>
      <c r="I22" s="18" t="str">
        <f aca="false">IFERROR(__xludf.dummyfunction("REGEXEXTRACT(ADDRESS(ROW(), 24+$H22), ""[A-Z]+"")"),"X")</f>
        <v>X</v>
      </c>
      <c r="J22" s="18" t="str">
        <f aca="false">IFERROR(__xludf.dummyfunction("REGEXEXTRACT(ADDRESS(ROW(), 30+$H22), ""[A-Z]+"")"),"AD")</f>
        <v>AD</v>
      </c>
      <c r="K22" s="18" t="str">
        <f aca="false">IFERROR(__xludf.dummyfunction("REGEXEXTRACT(ADDRESS(ROW(), 36+$H22), ""[A-Z]+"")"),"AJ")</f>
        <v>AJ</v>
      </c>
      <c r="L22" s="18" t="str">
        <f aca="false">IFERROR(__xludf.dummyfunction("REGEXEXTRACT(ADDRESS(ROW(), 42+$H22), ""[A-Z]+"")"),"AP")</f>
        <v>AP</v>
      </c>
      <c r="M22" s="18" t="str">
        <f aca="false">IFERROR(__xludf.dummyfunction("REGEXEXTRACT(ADDRESS(ROW(), 48+$H22), ""[A-Z]+"")"),"AV")</f>
        <v>AV</v>
      </c>
      <c r="N22" s="18" t="str">
        <f aca="false">IFERROR(__xludf.dummyfunction("REGEXEXTRACT(ADDRESS(ROW(), 50+$H22), ""[A-Z]+"")"),"AX")</f>
        <v>AX</v>
      </c>
      <c r="O22" s="18" t="str">
        <f aca="false">IFERROR(__xludf.dummyfunction("REGEXEXTRACT(ADDRESS(ROW(), 51+$H22), ""[A-Z]+"")"),"AY")</f>
        <v>AY</v>
      </c>
      <c r="P22" s="18" t="str">
        <f aca="false">IFERROR(__xludf.dummyfunction("REGEXEXTRACT(ADDRESS(ROW(), 54+$H22), ""[A-Z]+"")"),"BB")</f>
        <v>BB</v>
      </c>
      <c r="Q22" s="18" t="str">
        <f aca="false">IFERROR(__xludf.dummyfunction("REGEXEXTRACT(ADDRESS(ROW(), 59+$H22), ""[A-Z]+"")"),"BG")</f>
        <v>BG</v>
      </c>
      <c r="R22" s="18" t="str">
        <f aca="false">IFERROR(__xludf.dummyfunction("REGEXEXTRACT(ADDRESS(ROW(), 60+$H22), ""[A-Z]+"")"),"BH")</f>
        <v>BH</v>
      </c>
      <c r="S22" s="18" t="str">
        <f aca="false">IFERROR(__xludf.dummyfunction("REGEXEXTRACT(ADDRESS(ROW(), 62+$H22), ""[A-Z]+"")"),"BJ")</f>
        <v>BJ</v>
      </c>
      <c r="T22" s="18" t="str">
        <f aca="false">IFERROR(__xludf.dummyfunction("REGEXEXTRACT(ADDRESS(ROW(), 63+$H22), ""[A-Z]+"")"),"BK")</f>
        <v>BK</v>
      </c>
      <c r="U22" s="19" t="n">
        <f aca="false">IFERROR(__xludf.dummyfunction("IFERROR(QUERY(INDIRECT(""'""&amp;F22&amp;""'!C3:""&amp;T22&amp;""""), ""SELECT ""&amp;I22&amp;"", ""&amp;J22&amp;"", ""&amp;K22&amp;"", ""&amp;L22&amp;"", ""&amp;M22&amp;"", ""&amp;N22&amp;"", ""&amp;O22&amp;"", ""&amp;P22&amp;"", ""&amp;Q22&amp;"", ""&amp;R22&amp;"", ""&amp;S22&amp;"" WHERE '""&amp;B22&amp;""' = D"", 0), """")"),10)</f>
        <v>10</v>
      </c>
      <c r="V22" s="22" t="n">
        <f aca="false">IFERROR(__xludf.dummyfunction("""COMPUTED_VALUE"""),10)</f>
        <v>10</v>
      </c>
      <c r="W22" s="22" t="n">
        <f aca="false">IFERROR(__xludf.dummyfunction("""COMPUTED_VALUE"""),10)</f>
        <v>10</v>
      </c>
      <c r="X22" s="22" t="n">
        <f aca="false">IFERROR(__xludf.dummyfunction("""COMPUTED_VALUE"""),10)</f>
        <v>10</v>
      </c>
      <c r="Y22" s="22" t="n">
        <f aca="false">IFERROR(__xludf.dummyfunction("""COMPUTED_VALUE"""),10)</f>
        <v>10</v>
      </c>
      <c r="Z22" s="22" t="n">
        <f aca="false">IFERROR(__xludf.dummyfunction("""COMPUTED_VALUE"""),1)</f>
        <v>1</v>
      </c>
      <c r="AA22" s="22" t="n">
        <f aca="false">IFERROR(__xludf.dummyfunction("""COMPUTED_VALUE"""),1)</f>
        <v>1</v>
      </c>
      <c r="AB22" s="22" t="n">
        <f aca="false">IFERROR(__xludf.dummyfunction("""COMPUTED_VALUE"""),6)</f>
        <v>6</v>
      </c>
      <c r="AC22" s="22" t="n">
        <f aca="false">IFERROR(__xludf.dummyfunction("""COMPUTED_VALUE"""),30)</f>
        <v>30</v>
      </c>
      <c r="AD22" s="23" t="n">
        <f aca="false">IFERROR(__xludf.dummyfunction("""COMPUTED_VALUE"""),3)</f>
        <v>3</v>
      </c>
      <c r="AE22" s="24" t="n">
        <f aca="false">IFERROR(__xludf.dummyfunction("""COMPUTED_VALUE"""),91)</f>
        <v>91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customFormat="false" ht="18.65" hidden="false" customHeight="false" outlineLevel="0" collapsed="false">
      <c r="A23" s="13" t="n">
        <v>22</v>
      </c>
      <c r="B23" s="14" t="s">
        <v>64</v>
      </c>
      <c r="C23" s="15" t="s">
        <v>65</v>
      </c>
      <c r="D23" s="16" t="s">
        <v>24</v>
      </c>
      <c r="E23" s="16" t="s">
        <v>24</v>
      </c>
      <c r="F23" s="16" t="str">
        <f aca="false">REPLACE(E23, 1, 3, "")</f>
        <v>30</v>
      </c>
      <c r="G23" s="17" t="str">
        <f aca="true">IFERROR(VLOOKUP(B23,INDIRECT("'"&amp;F23&amp;"'!D3:D"),1,FALSE()), "Not found")</f>
        <v>Not found</v>
      </c>
      <c r="H23" s="18" t="n">
        <f aca="true">INDIRECT("'"&amp;F23&amp;"'!D1")</f>
        <v>0</v>
      </c>
      <c r="I23" s="18" t="str">
        <f aca="false">IFERROR(__xludf.dummyfunction("REGEXEXTRACT(ADDRESS(ROW(), 24+$H23), ""[A-Z]+"")"),"X")</f>
        <v>X</v>
      </c>
      <c r="J23" s="18" t="str">
        <f aca="false">IFERROR(__xludf.dummyfunction("REGEXEXTRACT(ADDRESS(ROW(), 30+$H23), ""[A-Z]+"")"),"AD")</f>
        <v>AD</v>
      </c>
      <c r="K23" s="18" t="str">
        <f aca="false">IFERROR(__xludf.dummyfunction("REGEXEXTRACT(ADDRESS(ROW(), 36+$H23), ""[A-Z]+"")"),"AJ")</f>
        <v>AJ</v>
      </c>
      <c r="L23" s="18" t="str">
        <f aca="false">IFERROR(__xludf.dummyfunction("REGEXEXTRACT(ADDRESS(ROW(), 42+$H23), ""[A-Z]+"")"),"AP")</f>
        <v>AP</v>
      </c>
      <c r="M23" s="18" t="str">
        <f aca="false">IFERROR(__xludf.dummyfunction("REGEXEXTRACT(ADDRESS(ROW(), 48+$H23), ""[A-Z]+"")"),"AV")</f>
        <v>AV</v>
      </c>
      <c r="N23" s="18" t="str">
        <f aca="false">IFERROR(__xludf.dummyfunction("REGEXEXTRACT(ADDRESS(ROW(), 50+$H23), ""[A-Z]+"")"),"AX")</f>
        <v>AX</v>
      </c>
      <c r="O23" s="18" t="str">
        <f aca="false">IFERROR(__xludf.dummyfunction("REGEXEXTRACT(ADDRESS(ROW(), 51+$H23), ""[A-Z]+"")"),"AY")</f>
        <v>AY</v>
      </c>
      <c r="P23" s="18" t="str">
        <f aca="false">IFERROR(__xludf.dummyfunction("REGEXEXTRACT(ADDRESS(ROW(), 54+$H23), ""[A-Z]+"")"),"BB")</f>
        <v>BB</v>
      </c>
      <c r="Q23" s="18" t="str">
        <f aca="false">IFERROR(__xludf.dummyfunction("REGEXEXTRACT(ADDRESS(ROW(), 59+$H23), ""[A-Z]+"")"),"BG")</f>
        <v>BG</v>
      </c>
      <c r="R23" s="18" t="str">
        <f aca="false">IFERROR(__xludf.dummyfunction("REGEXEXTRACT(ADDRESS(ROW(), 60+$H23), ""[A-Z]+"")"),"BH")</f>
        <v>BH</v>
      </c>
      <c r="S23" s="18" t="str">
        <f aca="false">IFERROR(__xludf.dummyfunction("REGEXEXTRACT(ADDRESS(ROW(), 62+$H23), ""[A-Z]+"")"),"BJ")</f>
        <v>BJ</v>
      </c>
      <c r="T23" s="18" t="str">
        <f aca="false">IFERROR(__xludf.dummyfunction("REGEXEXTRACT(ADDRESS(ROW(), 63+$H23), ""[A-Z]+"")"),"BK")</f>
        <v>BK</v>
      </c>
      <c r="U23" s="19" t="n">
        <f aca="false">IFERROR(__xludf.dummyfunction("IFERROR(QUERY(INDIRECT(""'""&amp;F23&amp;""'!C3:""&amp;T23&amp;""""), ""SELECT ""&amp;I23&amp;"", ""&amp;J23&amp;"", ""&amp;K23&amp;"", ""&amp;L23&amp;"", ""&amp;M23&amp;"", ""&amp;N23&amp;"", ""&amp;O23&amp;"", ""&amp;P23&amp;"", ""&amp;Q23&amp;"", ""&amp;R23&amp;"", ""&amp;S23&amp;"" WHERE '""&amp;B23&amp;""' = D"", 0), """")"),7)</f>
        <v>7</v>
      </c>
      <c r="V23" s="22" t="n">
        <f aca="false">IFERROR(__xludf.dummyfunction("""COMPUTED_VALUE"""),6.5)</f>
        <v>6.5</v>
      </c>
      <c r="W23" s="22" t="n">
        <f aca="false">IFERROR(__xludf.dummyfunction("""COMPUTED_VALUE"""),8.5)</f>
        <v>8.5</v>
      </c>
      <c r="X23" s="22" t="n">
        <f aca="false">IFERROR(__xludf.dummyfunction("""COMPUTED_VALUE"""),8.5)</f>
        <v>8.5</v>
      </c>
      <c r="Y23" s="22" t="n">
        <f aca="false">IFERROR(__xludf.dummyfunction("""COMPUTED_VALUE"""),0)</f>
        <v>0</v>
      </c>
      <c r="Z23" s="22"/>
      <c r="AA23" s="22" t="n">
        <f aca="false">IFERROR(__xludf.dummyfunction("""COMPUTED_VALUE"""),1)</f>
        <v>1</v>
      </c>
      <c r="AB23" s="22" t="n">
        <f aca="false">IFERROR(__xludf.dummyfunction("""COMPUTED_VALUE"""),6)</f>
        <v>6</v>
      </c>
      <c r="AC23" s="22" t="n">
        <f aca="false">IFERROR(__xludf.dummyfunction("""COMPUTED_VALUE"""),29)</f>
        <v>29</v>
      </c>
      <c r="AD23" s="23" t="n">
        <f aca="false">IFERROR(__xludf.dummyfunction("""COMPUTED_VALUE"""),1)</f>
        <v>1</v>
      </c>
      <c r="AE23" s="24" t="n">
        <f aca="false">IFERROR(__xludf.dummyfunction("""COMPUTED_VALUE"""),67.5)</f>
        <v>67.5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customFormat="false" ht="18.65" hidden="false" customHeight="false" outlineLevel="0" collapsed="false">
      <c r="A24" s="13" t="n">
        <v>23</v>
      </c>
      <c r="B24" s="14" t="s">
        <v>66</v>
      </c>
      <c r="C24" s="15" t="s">
        <v>67</v>
      </c>
      <c r="D24" s="16" t="s">
        <v>39</v>
      </c>
      <c r="E24" s="16" t="s">
        <v>39</v>
      </c>
      <c r="F24" s="16" t="str">
        <f aca="false">REPLACE(E24, 1, 3, "")</f>
        <v>31</v>
      </c>
      <c r="G24" s="17" t="str">
        <f aca="true">IFERROR(VLOOKUP(B24,INDIRECT("'"&amp;F24&amp;"'!D3:D"),1,FALSE()), "Not found")</f>
        <v>Not found</v>
      </c>
      <c r="H24" s="18" t="n">
        <f aca="true">INDIRECT("'"&amp;F24&amp;"'!D1")</f>
        <v>0</v>
      </c>
      <c r="I24" s="18" t="str">
        <f aca="false">IFERROR(__xludf.dummyfunction("REGEXEXTRACT(ADDRESS(ROW(), 24+$H24), ""[A-Z]+"")"),"X")</f>
        <v>X</v>
      </c>
      <c r="J24" s="18" t="str">
        <f aca="false">IFERROR(__xludf.dummyfunction("REGEXEXTRACT(ADDRESS(ROW(), 30+$H24), ""[A-Z]+"")"),"AD")</f>
        <v>AD</v>
      </c>
      <c r="K24" s="18" t="str">
        <f aca="false">IFERROR(__xludf.dummyfunction("REGEXEXTRACT(ADDRESS(ROW(), 36+$H24), ""[A-Z]+"")"),"AJ")</f>
        <v>AJ</v>
      </c>
      <c r="L24" s="18" t="str">
        <f aca="false">IFERROR(__xludf.dummyfunction("REGEXEXTRACT(ADDRESS(ROW(), 42+$H24), ""[A-Z]+"")"),"AP")</f>
        <v>AP</v>
      </c>
      <c r="M24" s="18" t="str">
        <f aca="false">IFERROR(__xludf.dummyfunction("REGEXEXTRACT(ADDRESS(ROW(), 48+$H24), ""[A-Z]+"")"),"AV")</f>
        <v>AV</v>
      </c>
      <c r="N24" s="18" t="str">
        <f aca="false">IFERROR(__xludf.dummyfunction("REGEXEXTRACT(ADDRESS(ROW(), 50+$H24), ""[A-Z]+"")"),"AX")</f>
        <v>AX</v>
      </c>
      <c r="O24" s="18" t="str">
        <f aca="false">IFERROR(__xludf.dummyfunction("REGEXEXTRACT(ADDRESS(ROW(), 51+$H24), ""[A-Z]+"")"),"AY")</f>
        <v>AY</v>
      </c>
      <c r="P24" s="18" t="str">
        <f aca="false">IFERROR(__xludf.dummyfunction("REGEXEXTRACT(ADDRESS(ROW(), 54+$H24), ""[A-Z]+"")"),"BB")</f>
        <v>BB</v>
      </c>
      <c r="Q24" s="18" t="str">
        <f aca="false">IFERROR(__xludf.dummyfunction("REGEXEXTRACT(ADDRESS(ROW(), 59+$H24), ""[A-Z]+"")"),"BG")</f>
        <v>BG</v>
      </c>
      <c r="R24" s="18" t="str">
        <f aca="false">IFERROR(__xludf.dummyfunction("REGEXEXTRACT(ADDRESS(ROW(), 60+$H24), ""[A-Z]+"")"),"BH")</f>
        <v>BH</v>
      </c>
      <c r="S24" s="18" t="str">
        <f aca="false">IFERROR(__xludf.dummyfunction("REGEXEXTRACT(ADDRESS(ROW(), 62+$H24), ""[A-Z]+"")"),"BJ")</f>
        <v>BJ</v>
      </c>
      <c r="T24" s="18" t="str">
        <f aca="false">IFERROR(__xludf.dummyfunction("REGEXEXTRACT(ADDRESS(ROW(), 63+$H24), ""[A-Z]+"")"),"BK")</f>
        <v>BK</v>
      </c>
      <c r="U24" s="19" t="str">
        <f aca="false">IFERROR(__xludf.dummyfunction("IFERROR(QUERY(INDIRECT(""'""&amp;F24&amp;""'!C3:""&amp;T24&amp;""""), ""SELECT ""&amp;I24&amp;"", ""&amp;J24&amp;"", ""&amp;K24&amp;"", ""&amp;L24&amp;"", ""&amp;M24&amp;"", ""&amp;N24&amp;"", ""&amp;O24&amp;"", ""&amp;P24&amp;"", ""&amp;Q24&amp;"", ""&amp;R24&amp;"", ""&amp;S24&amp;"" WHERE '""&amp;B24&amp;""' = D"", 0), """")"),"")</f>
        <v/>
      </c>
      <c r="V24" s="22"/>
      <c r="W24" s="22"/>
      <c r="X24" s="22"/>
      <c r="Y24" s="22" t="n">
        <f aca="false">IFERROR(__xludf.dummyfunction("""COMPUTED_VALUE"""),0)</f>
        <v>0</v>
      </c>
      <c r="Z24" s="22"/>
      <c r="AA24" s="22"/>
      <c r="AB24" s="22"/>
      <c r="AC24" s="22"/>
      <c r="AD24" s="23"/>
      <c r="AE24" s="24" t="n">
        <f aca="false">IFERROR(__xludf.dummyfunction("""COMPUTED_VALUE"""),0)</f>
        <v>0</v>
      </c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customFormat="false" ht="18.65" hidden="false" customHeight="false" outlineLevel="0" collapsed="false">
      <c r="A25" s="13" t="n">
        <v>24</v>
      </c>
      <c r="B25" s="14" t="s">
        <v>68</v>
      </c>
      <c r="C25" s="15" t="s">
        <v>69</v>
      </c>
      <c r="D25" s="16" t="s">
        <v>39</v>
      </c>
      <c r="E25" s="16" t="s">
        <v>39</v>
      </c>
      <c r="F25" s="16" t="str">
        <f aca="false">REPLACE(E25, 1, 3, "")</f>
        <v>31</v>
      </c>
      <c r="G25" s="17" t="str">
        <f aca="true">IFERROR(VLOOKUP(B25,INDIRECT("'"&amp;F25&amp;"'!D3:D"),1,FALSE()), "Not found")</f>
        <v>Not found</v>
      </c>
      <c r="H25" s="18" t="n">
        <f aca="true">INDIRECT("'"&amp;F25&amp;"'!D1")</f>
        <v>0</v>
      </c>
      <c r="I25" s="18" t="str">
        <f aca="false">IFERROR(__xludf.dummyfunction("REGEXEXTRACT(ADDRESS(ROW(), 24+$H25), ""[A-Z]+"")"),"X")</f>
        <v>X</v>
      </c>
      <c r="J25" s="18" t="str">
        <f aca="false">IFERROR(__xludf.dummyfunction("REGEXEXTRACT(ADDRESS(ROW(), 30+$H25), ""[A-Z]+"")"),"AD")</f>
        <v>AD</v>
      </c>
      <c r="K25" s="18" t="str">
        <f aca="false">IFERROR(__xludf.dummyfunction("REGEXEXTRACT(ADDRESS(ROW(), 36+$H25), ""[A-Z]+"")"),"AJ")</f>
        <v>AJ</v>
      </c>
      <c r="L25" s="18" t="str">
        <f aca="false">IFERROR(__xludf.dummyfunction("REGEXEXTRACT(ADDRESS(ROW(), 42+$H25), ""[A-Z]+"")"),"AP")</f>
        <v>AP</v>
      </c>
      <c r="M25" s="18" t="str">
        <f aca="false">IFERROR(__xludf.dummyfunction("REGEXEXTRACT(ADDRESS(ROW(), 48+$H25), ""[A-Z]+"")"),"AV")</f>
        <v>AV</v>
      </c>
      <c r="N25" s="18" t="str">
        <f aca="false">IFERROR(__xludf.dummyfunction("REGEXEXTRACT(ADDRESS(ROW(), 50+$H25), ""[A-Z]+"")"),"AX")</f>
        <v>AX</v>
      </c>
      <c r="O25" s="18" t="str">
        <f aca="false">IFERROR(__xludf.dummyfunction("REGEXEXTRACT(ADDRESS(ROW(), 51+$H25), ""[A-Z]+"")"),"AY")</f>
        <v>AY</v>
      </c>
      <c r="P25" s="18" t="str">
        <f aca="false">IFERROR(__xludf.dummyfunction("REGEXEXTRACT(ADDRESS(ROW(), 54+$H25), ""[A-Z]+"")"),"BB")</f>
        <v>BB</v>
      </c>
      <c r="Q25" s="18" t="str">
        <f aca="false">IFERROR(__xludf.dummyfunction("REGEXEXTRACT(ADDRESS(ROW(), 59+$H25), ""[A-Z]+"")"),"BG")</f>
        <v>BG</v>
      </c>
      <c r="R25" s="18" t="str">
        <f aca="false">IFERROR(__xludf.dummyfunction("REGEXEXTRACT(ADDRESS(ROW(), 60+$H25), ""[A-Z]+"")"),"BH")</f>
        <v>BH</v>
      </c>
      <c r="S25" s="18" t="str">
        <f aca="false">IFERROR(__xludf.dummyfunction("REGEXEXTRACT(ADDRESS(ROW(), 62+$H25), ""[A-Z]+"")"),"BJ")</f>
        <v>BJ</v>
      </c>
      <c r="T25" s="18" t="str">
        <f aca="false">IFERROR(__xludf.dummyfunction("REGEXEXTRACT(ADDRESS(ROW(), 63+$H25), ""[A-Z]+"")"),"BK")</f>
        <v>BK</v>
      </c>
      <c r="U25" s="19" t="n">
        <f aca="false">IFERROR(__xludf.dummyfunction("IFERROR(QUERY(INDIRECT(""'""&amp;F25&amp;""'!C3:""&amp;T25&amp;""""), ""SELECT ""&amp;I25&amp;"", ""&amp;J25&amp;"", ""&amp;K25&amp;"", ""&amp;L25&amp;"", ""&amp;M25&amp;"", ""&amp;N25&amp;"", ""&amp;O25&amp;"", ""&amp;P25&amp;"", ""&amp;Q25&amp;"", ""&amp;R25&amp;"", ""&amp;S25&amp;"" WHERE '""&amp;B25&amp;""' = D"", 0), """")"),8)</f>
        <v>8</v>
      </c>
      <c r="V25" s="22" t="n">
        <f aca="false">IFERROR(__xludf.dummyfunction("""COMPUTED_VALUE"""),10)</f>
        <v>10</v>
      </c>
      <c r="W25" s="22" t="n">
        <f aca="false">IFERROR(__xludf.dummyfunction("""COMPUTED_VALUE"""),8)</f>
        <v>8</v>
      </c>
      <c r="X25" s="22" t="n">
        <f aca="false">IFERROR(__xludf.dummyfunction("""COMPUTED_VALUE"""),6)</f>
        <v>6</v>
      </c>
      <c r="Y25" s="22" t="n">
        <f aca="false">IFERROR(__xludf.dummyfunction("""COMPUTED_VALUE"""),0)</f>
        <v>0</v>
      </c>
      <c r="Z25" s="22"/>
      <c r="AA25" s="22"/>
      <c r="AB25" s="22" t="n">
        <f aca="false">IFERROR(__xludf.dummyfunction("""COMPUTED_VALUE"""),7)</f>
        <v>7</v>
      </c>
      <c r="AC25" s="22" t="n">
        <f aca="false">IFERROR(__xludf.dummyfunction("""COMPUTED_VALUE"""),29)</f>
        <v>29</v>
      </c>
      <c r="AD25" s="23"/>
      <c r="AE25" s="24" t="n">
        <f aca="false">IFERROR(__xludf.dummyfunction("""COMPUTED_VALUE"""),68)</f>
        <v>68</v>
      </c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customFormat="false" ht="18.65" hidden="false" customHeight="false" outlineLevel="0" collapsed="false">
      <c r="A26" s="13" t="n">
        <v>25</v>
      </c>
      <c r="B26" s="14" t="s">
        <v>70</v>
      </c>
      <c r="C26" s="15" t="s">
        <v>71</v>
      </c>
      <c r="D26" s="16" t="s">
        <v>21</v>
      </c>
      <c r="E26" s="16" t="s">
        <v>21</v>
      </c>
      <c r="F26" s="16" t="str">
        <f aca="false">REPLACE(E26, 1, 3, "")</f>
        <v>32</v>
      </c>
      <c r="G26" s="17" t="str">
        <f aca="true">IFERROR(VLOOKUP(B26,INDIRECT("'"&amp;F26&amp;"'!D3:D"),1,FALSE()), "Not found")</f>
        <v>Not found</v>
      </c>
      <c r="H26" s="18" t="n">
        <f aca="true">INDIRECT("'"&amp;F26&amp;"'!D1")</f>
        <v>0</v>
      </c>
      <c r="I26" s="18" t="str">
        <f aca="false">IFERROR(__xludf.dummyfunction("REGEXEXTRACT(ADDRESS(ROW(), 24+$H26), ""[A-Z]+"")"),"X")</f>
        <v>X</v>
      </c>
      <c r="J26" s="18" t="str">
        <f aca="false">IFERROR(__xludf.dummyfunction("REGEXEXTRACT(ADDRESS(ROW(), 30+$H26), ""[A-Z]+"")"),"AD")</f>
        <v>AD</v>
      </c>
      <c r="K26" s="18" t="str">
        <f aca="false">IFERROR(__xludf.dummyfunction("REGEXEXTRACT(ADDRESS(ROW(), 36+$H26), ""[A-Z]+"")"),"AJ")</f>
        <v>AJ</v>
      </c>
      <c r="L26" s="18" t="str">
        <f aca="false">IFERROR(__xludf.dummyfunction("REGEXEXTRACT(ADDRESS(ROW(), 42+$H26), ""[A-Z]+"")"),"AP")</f>
        <v>AP</v>
      </c>
      <c r="M26" s="18" t="str">
        <f aca="false">IFERROR(__xludf.dummyfunction("REGEXEXTRACT(ADDRESS(ROW(), 48+$H26), ""[A-Z]+"")"),"AV")</f>
        <v>AV</v>
      </c>
      <c r="N26" s="18" t="str">
        <f aca="false">IFERROR(__xludf.dummyfunction("REGEXEXTRACT(ADDRESS(ROW(), 50+$H26), ""[A-Z]+"")"),"AX")</f>
        <v>AX</v>
      </c>
      <c r="O26" s="18" t="str">
        <f aca="false">IFERROR(__xludf.dummyfunction("REGEXEXTRACT(ADDRESS(ROW(), 51+$H26), ""[A-Z]+"")"),"AY")</f>
        <v>AY</v>
      </c>
      <c r="P26" s="18" t="str">
        <f aca="false">IFERROR(__xludf.dummyfunction("REGEXEXTRACT(ADDRESS(ROW(), 54+$H26), ""[A-Z]+"")"),"BB")</f>
        <v>BB</v>
      </c>
      <c r="Q26" s="18" t="str">
        <f aca="false">IFERROR(__xludf.dummyfunction("REGEXEXTRACT(ADDRESS(ROW(), 59+$H26), ""[A-Z]+"")"),"BG")</f>
        <v>BG</v>
      </c>
      <c r="R26" s="18" t="str">
        <f aca="false">IFERROR(__xludf.dummyfunction("REGEXEXTRACT(ADDRESS(ROW(), 60+$H26), ""[A-Z]+"")"),"BH")</f>
        <v>BH</v>
      </c>
      <c r="S26" s="18" t="str">
        <f aca="false">IFERROR(__xludf.dummyfunction("REGEXEXTRACT(ADDRESS(ROW(), 62+$H26), ""[A-Z]+"")"),"BJ")</f>
        <v>BJ</v>
      </c>
      <c r="T26" s="18" t="str">
        <f aca="false">IFERROR(__xludf.dummyfunction("REGEXEXTRACT(ADDRESS(ROW(), 63+$H26), ""[A-Z]+"")"),"BK")</f>
        <v>BK</v>
      </c>
      <c r="U26" s="19" t="n">
        <f aca="false">IFERROR(__xludf.dummyfunction("IFERROR(QUERY(INDIRECT(""'""&amp;F26&amp;""'!C3:""&amp;T26&amp;""""), ""SELECT ""&amp;I26&amp;"", ""&amp;J26&amp;"", ""&amp;K26&amp;"", ""&amp;L26&amp;"", ""&amp;M26&amp;"", ""&amp;N26&amp;"", ""&amp;O26&amp;"", ""&amp;P26&amp;"", ""&amp;Q26&amp;"", ""&amp;R26&amp;"", ""&amp;S26&amp;"" WHERE '""&amp;B26&amp;""' = D"", 0), """")"),8)</f>
        <v>8</v>
      </c>
      <c r="V26" s="22" t="n">
        <f aca="false">IFERROR(__xludf.dummyfunction("""COMPUTED_VALUE"""),10)</f>
        <v>10</v>
      </c>
      <c r="W26" s="22" t="n">
        <f aca="false">IFERROR(__xludf.dummyfunction("""COMPUTED_VALUE"""),10)</f>
        <v>10</v>
      </c>
      <c r="X26" s="22" t="n">
        <f aca="false">IFERROR(__xludf.dummyfunction("""COMPUTED_VALUE"""),9)</f>
        <v>9</v>
      </c>
      <c r="Y26" s="22" t="n">
        <f aca="false">IFERROR(__xludf.dummyfunction("""COMPUTED_VALUE"""),0)</f>
        <v>0</v>
      </c>
      <c r="Z26" s="22" t="n">
        <f aca="false">IFERROR(__xludf.dummyfunction("""COMPUTED_VALUE"""),0)</f>
        <v>0</v>
      </c>
      <c r="AA26" s="22"/>
      <c r="AB26" s="22" t="n">
        <f aca="false">IFERROR(__xludf.dummyfunction("""COMPUTED_VALUE"""),6)</f>
        <v>6</v>
      </c>
      <c r="AC26" s="22"/>
      <c r="AD26" s="23"/>
      <c r="AE26" s="24" t="n">
        <f aca="false">IFERROR(__xludf.dummyfunction("""COMPUTED_VALUE"""),43)</f>
        <v>43</v>
      </c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customFormat="false" ht="18.65" hidden="false" customHeight="false" outlineLevel="0" collapsed="false">
      <c r="A27" s="13" t="n">
        <v>26</v>
      </c>
      <c r="B27" s="14" t="s">
        <v>72</v>
      </c>
      <c r="C27" s="15" t="s">
        <v>73</v>
      </c>
      <c r="D27" s="16" t="s">
        <v>24</v>
      </c>
      <c r="E27" s="16" t="s">
        <v>24</v>
      </c>
      <c r="F27" s="16" t="str">
        <f aca="false">REPLACE(E27, 1, 3, "")</f>
        <v>30</v>
      </c>
      <c r="G27" s="17" t="str">
        <f aca="true">IFERROR(VLOOKUP(B27,INDIRECT("'"&amp;F27&amp;"'!D3:D"),1,FALSE()), "Not found")</f>
        <v>Not found</v>
      </c>
      <c r="H27" s="18" t="n">
        <f aca="true">INDIRECT("'"&amp;F27&amp;"'!D1")</f>
        <v>0</v>
      </c>
      <c r="I27" s="18" t="str">
        <f aca="false">IFERROR(__xludf.dummyfunction("REGEXEXTRACT(ADDRESS(ROW(), 24+$H27), ""[A-Z]+"")"),"X")</f>
        <v>X</v>
      </c>
      <c r="J27" s="18" t="str">
        <f aca="false">IFERROR(__xludf.dummyfunction("REGEXEXTRACT(ADDRESS(ROW(), 30+$H27), ""[A-Z]+"")"),"AD")</f>
        <v>AD</v>
      </c>
      <c r="K27" s="18" t="str">
        <f aca="false">IFERROR(__xludf.dummyfunction("REGEXEXTRACT(ADDRESS(ROW(), 36+$H27), ""[A-Z]+"")"),"AJ")</f>
        <v>AJ</v>
      </c>
      <c r="L27" s="18" t="str">
        <f aca="false">IFERROR(__xludf.dummyfunction("REGEXEXTRACT(ADDRESS(ROW(), 42+$H27), ""[A-Z]+"")"),"AP")</f>
        <v>AP</v>
      </c>
      <c r="M27" s="18" t="str">
        <f aca="false">IFERROR(__xludf.dummyfunction("REGEXEXTRACT(ADDRESS(ROW(), 48+$H27), ""[A-Z]+"")"),"AV")</f>
        <v>AV</v>
      </c>
      <c r="N27" s="18" t="str">
        <f aca="false">IFERROR(__xludf.dummyfunction("REGEXEXTRACT(ADDRESS(ROW(), 50+$H27), ""[A-Z]+"")"),"AX")</f>
        <v>AX</v>
      </c>
      <c r="O27" s="18" t="str">
        <f aca="false">IFERROR(__xludf.dummyfunction("REGEXEXTRACT(ADDRESS(ROW(), 51+$H27), ""[A-Z]+"")"),"AY")</f>
        <v>AY</v>
      </c>
      <c r="P27" s="18" t="str">
        <f aca="false">IFERROR(__xludf.dummyfunction("REGEXEXTRACT(ADDRESS(ROW(), 54+$H27), ""[A-Z]+"")"),"BB")</f>
        <v>BB</v>
      </c>
      <c r="Q27" s="18" t="str">
        <f aca="false">IFERROR(__xludf.dummyfunction("REGEXEXTRACT(ADDRESS(ROW(), 59+$H27), ""[A-Z]+"")"),"BG")</f>
        <v>BG</v>
      </c>
      <c r="R27" s="18" t="str">
        <f aca="false">IFERROR(__xludf.dummyfunction("REGEXEXTRACT(ADDRESS(ROW(), 60+$H27), ""[A-Z]+"")"),"BH")</f>
        <v>BH</v>
      </c>
      <c r="S27" s="18" t="str">
        <f aca="false">IFERROR(__xludf.dummyfunction("REGEXEXTRACT(ADDRESS(ROW(), 62+$H27), ""[A-Z]+"")"),"BJ")</f>
        <v>BJ</v>
      </c>
      <c r="T27" s="18" t="str">
        <f aca="false">IFERROR(__xludf.dummyfunction("REGEXEXTRACT(ADDRESS(ROW(), 63+$H27), ""[A-Z]+"")"),"BK")</f>
        <v>BK</v>
      </c>
      <c r="U27" s="19" t="n">
        <f aca="false">IFERROR(__xludf.dummyfunction("IFERROR(QUERY(INDIRECT(""'""&amp;F27&amp;""'!C3:""&amp;T27&amp;""""), ""SELECT ""&amp;I27&amp;"", ""&amp;J27&amp;"", ""&amp;K27&amp;"", ""&amp;L27&amp;"", ""&amp;M27&amp;"", ""&amp;N27&amp;"", ""&amp;O27&amp;"", ""&amp;P27&amp;"", ""&amp;Q27&amp;"", ""&amp;R27&amp;"", ""&amp;S27&amp;"" WHERE '""&amp;B27&amp;""' = D"", 0), """")"),10)</f>
        <v>10</v>
      </c>
      <c r="V27" s="22" t="n">
        <f aca="false">IFERROR(__xludf.dummyfunction("""COMPUTED_VALUE"""),9.5)</f>
        <v>9.5</v>
      </c>
      <c r="W27" s="22" t="n">
        <f aca="false">IFERROR(__xludf.dummyfunction("""COMPUTED_VALUE"""),10)</f>
        <v>10</v>
      </c>
      <c r="X27" s="22" t="n">
        <f aca="false">IFERROR(__xludf.dummyfunction("""COMPUTED_VALUE"""),10)</f>
        <v>10</v>
      </c>
      <c r="Y27" s="22" t="n">
        <f aca="false">IFERROR(__xludf.dummyfunction("""COMPUTED_VALUE"""),10)</f>
        <v>10</v>
      </c>
      <c r="Z27" s="22" t="n">
        <f aca="false">IFERROR(__xludf.dummyfunction("""COMPUTED_VALUE"""),4)</f>
        <v>4</v>
      </c>
      <c r="AA27" s="22" t="n">
        <f aca="false">IFERROR(__xludf.dummyfunction("""COMPUTED_VALUE"""),2)</f>
        <v>2</v>
      </c>
      <c r="AB27" s="22" t="n">
        <f aca="false">IFERROR(__xludf.dummyfunction("""COMPUTED_VALUE"""),10)</f>
        <v>10</v>
      </c>
      <c r="AC27" s="22" t="n">
        <f aca="false">IFERROR(__xludf.dummyfunction("""COMPUTED_VALUE"""),27)</f>
        <v>27</v>
      </c>
      <c r="AD27" s="23"/>
      <c r="AE27" s="24" t="n">
        <f aca="false">IFERROR(__xludf.dummyfunction("""COMPUTED_VALUE"""),92.5)</f>
        <v>92.5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customFormat="false" ht="18.65" hidden="false" customHeight="false" outlineLevel="0" collapsed="false">
      <c r="A28" s="13" t="n">
        <v>27</v>
      </c>
      <c r="B28" s="14" t="s">
        <v>74</v>
      </c>
      <c r="C28" s="15" t="s">
        <v>75</v>
      </c>
      <c r="D28" s="16" t="s">
        <v>24</v>
      </c>
      <c r="E28" s="16" t="s">
        <v>24</v>
      </c>
      <c r="F28" s="16" t="str">
        <f aca="false">REPLACE(E28, 1, 3, "")</f>
        <v>30</v>
      </c>
      <c r="G28" s="17" t="str">
        <f aca="true">IFERROR(VLOOKUP(B28,INDIRECT("'"&amp;F28&amp;"'!D3:D"),1,FALSE()), "Not found")</f>
        <v>Not found</v>
      </c>
      <c r="H28" s="18" t="n">
        <f aca="true">INDIRECT("'"&amp;F28&amp;"'!D1")</f>
        <v>0</v>
      </c>
      <c r="I28" s="18" t="str">
        <f aca="false">IFERROR(__xludf.dummyfunction("REGEXEXTRACT(ADDRESS(ROW(), 24+$H28), ""[A-Z]+"")"),"X")</f>
        <v>X</v>
      </c>
      <c r="J28" s="18" t="str">
        <f aca="false">IFERROR(__xludf.dummyfunction("REGEXEXTRACT(ADDRESS(ROW(), 30+$H28), ""[A-Z]+"")"),"AD")</f>
        <v>AD</v>
      </c>
      <c r="K28" s="18" t="str">
        <f aca="false">IFERROR(__xludf.dummyfunction("REGEXEXTRACT(ADDRESS(ROW(), 36+$H28), ""[A-Z]+"")"),"AJ")</f>
        <v>AJ</v>
      </c>
      <c r="L28" s="18" t="str">
        <f aca="false">IFERROR(__xludf.dummyfunction("REGEXEXTRACT(ADDRESS(ROW(), 42+$H28), ""[A-Z]+"")"),"AP")</f>
        <v>AP</v>
      </c>
      <c r="M28" s="18" t="str">
        <f aca="false">IFERROR(__xludf.dummyfunction("REGEXEXTRACT(ADDRESS(ROW(), 48+$H28), ""[A-Z]+"")"),"AV")</f>
        <v>AV</v>
      </c>
      <c r="N28" s="18" t="str">
        <f aca="false">IFERROR(__xludf.dummyfunction("REGEXEXTRACT(ADDRESS(ROW(), 50+$H28), ""[A-Z]+"")"),"AX")</f>
        <v>AX</v>
      </c>
      <c r="O28" s="18" t="str">
        <f aca="false">IFERROR(__xludf.dummyfunction("REGEXEXTRACT(ADDRESS(ROW(), 51+$H28), ""[A-Z]+"")"),"AY")</f>
        <v>AY</v>
      </c>
      <c r="P28" s="18" t="str">
        <f aca="false">IFERROR(__xludf.dummyfunction("REGEXEXTRACT(ADDRESS(ROW(), 54+$H28), ""[A-Z]+"")"),"BB")</f>
        <v>BB</v>
      </c>
      <c r="Q28" s="18" t="str">
        <f aca="false">IFERROR(__xludf.dummyfunction("REGEXEXTRACT(ADDRESS(ROW(), 59+$H28), ""[A-Z]+"")"),"BG")</f>
        <v>BG</v>
      </c>
      <c r="R28" s="18" t="str">
        <f aca="false">IFERROR(__xludf.dummyfunction("REGEXEXTRACT(ADDRESS(ROW(), 60+$H28), ""[A-Z]+"")"),"BH")</f>
        <v>BH</v>
      </c>
      <c r="S28" s="18" t="str">
        <f aca="false">IFERROR(__xludf.dummyfunction("REGEXEXTRACT(ADDRESS(ROW(), 62+$H28), ""[A-Z]+"")"),"BJ")</f>
        <v>BJ</v>
      </c>
      <c r="T28" s="18" t="str">
        <f aca="false">IFERROR(__xludf.dummyfunction("REGEXEXTRACT(ADDRESS(ROW(), 63+$H28), ""[A-Z]+"")"),"BK")</f>
        <v>BK</v>
      </c>
      <c r="U28" s="19" t="n">
        <f aca="false">IFERROR(__xludf.dummyfunction("IFERROR(QUERY(INDIRECT(""'""&amp;F28&amp;""'!C3:""&amp;T28&amp;""""), ""SELECT ""&amp;I28&amp;"", ""&amp;J28&amp;"", ""&amp;K28&amp;"", ""&amp;L28&amp;"", ""&amp;M28&amp;"", ""&amp;N28&amp;"", ""&amp;O28&amp;"", ""&amp;P28&amp;"", ""&amp;Q28&amp;"", ""&amp;R28&amp;"", ""&amp;S28&amp;"" WHERE '""&amp;B28&amp;""' = D"", 0), """")"),9)</f>
        <v>9</v>
      </c>
      <c r="V28" s="22" t="n">
        <f aca="false">IFERROR(__xludf.dummyfunction("""COMPUTED_VALUE"""),10)</f>
        <v>10</v>
      </c>
      <c r="W28" s="22" t="n">
        <f aca="false">IFERROR(__xludf.dummyfunction("""COMPUTED_VALUE"""),6)</f>
        <v>6</v>
      </c>
      <c r="X28" s="22" t="n">
        <f aca="false">IFERROR(__xludf.dummyfunction("""COMPUTED_VALUE"""),9.5)</f>
        <v>9.5</v>
      </c>
      <c r="Y28" s="22" t="n">
        <f aca="false">IFERROR(__xludf.dummyfunction("""COMPUTED_VALUE"""),0)</f>
        <v>0</v>
      </c>
      <c r="Z28" s="22"/>
      <c r="AA28" s="22"/>
      <c r="AB28" s="22" t="n">
        <f aca="false">IFERROR(__xludf.dummyfunction("""COMPUTED_VALUE"""),9)</f>
        <v>9</v>
      </c>
      <c r="AC28" s="22" t="n">
        <f aca="false">IFERROR(__xludf.dummyfunction("""COMPUTED_VALUE"""),18)</f>
        <v>18</v>
      </c>
      <c r="AD28" s="23"/>
      <c r="AE28" s="24" t="n">
        <f aca="false">IFERROR(__xludf.dummyfunction("""COMPUTED_VALUE"""),61.5)</f>
        <v>61.5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customFormat="false" ht="18.65" hidden="false" customHeight="false" outlineLevel="0" collapsed="false">
      <c r="A29" s="13" t="n">
        <v>28</v>
      </c>
      <c r="B29" s="14" t="s">
        <v>76</v>
      </c>
      <c r="C29" s="15" t="s">
        <v>77</v>
      </c>
      <c r="D29" s="16" t="s">
        <v>39</v>
      </c>
      <c r="E29" s="16" t="s">
        <v>39</v>
      </c>
      <c r="F29" s="16" t="str">
        <f aca="false">REPLACE(E29, 1, 3, "")</f>
        <v>31</v>
      </c>
      <c r="G29" s="17" t="str">
        <f aca="true">IFERROR(VLOOKUP(B29,INDIRECT("'"&amp;F29&amp;"'!D3:D"),1,FALSE()), "Not found")</f>
        <v>Not found</v>
      </c>
      <c r="H29" s="18" t="n">
        <f aca="true">INDIRECT("'"&amp;F29&amp;"'!D1")</f>
        <v>0</v>
      </c>
      <c r="I29" s="18" t="str">
        <f aca="false">IFERROR(__xludf.dummyfunction("REGEXEXTRACT(ADDRESS(ROW(), 24+$H29), ""[A-Z]+"")"),"X")</f>
        <v>X</v>
      </c>
      <c r="J29" s="18" t="str">
        <f aca="false">IFERROR(__xludf.dummyfunction("REGEXEXTRACT(ADDRESS(ROW(), 30+$H29), ""[A-Z]+"")"),"AD")</f>
        <v>AD</v>
      </c>
      <c r="K29" s="18" t="str">
        <f aca="false">IFERROR(__xludf.dummyfunction("REGEXEXTRACT(ADDRESS(ROW(), 36+$H29), ""[A-Z]+"")"),"AJ")</f>
        <v>AJ</v>
      </c>
      <c r="L29" s="18" t="str">
        <f aca="false">IFERROR(__xludf.dummyfunction("REGEXEXTRACT(ADDRESS(ROW(), 42+$H29), ""[A-Z]+"")"),"AP")</f>
        <v>AP</v>
      </c>
      <c r="M29" s="18" t="str">
        <f aca="false">IFERROR(__xludf.dummyfunction("REGEXEXTRACT(ADDRESS(ROW(), 48+$H29), ""[A-Z]+"")"),"AV")</f>
        <v>AV</v>
      </c>
      <c r="N29" s="18" t="str">
        <f aca="false">IFERROR(__xludf.dummyfunction("REGEXEXTRACT(ADDRESS(ROW(), 50+$H29), ""[A-Z]+"")"),"AX")</f>
        <v>AX</v>
      </c>
      <c r="O29" s="18" t="str">
        <f aca="false">IFERROR(__xludf.dummyfunction("REGEXEXTRACT(ADDRESS(ROW(), 51+$H29), ""[A-Z]+"")"),"AY")</f>
        <v>AY</v>
      </c>
      <c r="P29" s="18" t="str">
        <f aca="false">IFERROR(__xludf.dummyfunction("REGEXEXTRACT(ADDRESS(ROW(), 54+$H29), ""[A-Z]+"")"),"BB")</f>
        <v>BB</v>
      </c>
      <c r="Q29" s="18" t="str">
        <f aca="false">IFERROR(__xludf.dummyfunction("REGEXEXTRACT(ADDRESS(ROW(), 59+$H29), ""[A-Z]+"")"),"BG")</f>
        <v>BG</v>
      </c>
      <c r="R29" s="18" t="str">
        <f aca="false">IFERROR(__xludf.dummyfunction("REGEXEXTRACT(ADDRESS(ROW(), 60+$H29), ""[A-Z]+"")"),"BH")</f>
        <v>BH</v>
      </c>
      <c r="S29" s="18" t="str">
        <f aca="false">IFERROR(__xludf.dummyfunction("REGEXEXTRACT(ADDRESS(ROW(), 62+$H29), ""[A-Z]+"")"),"BJ")</f>
        <v>BJ</v>
      </c>
      <c r="T29" s="18" t="str">
        <f aca="false">IFERROR(__xludf.dummyfunction("REGEXEXTRACT(ADDRESS(ROW(), 63+$H29), ""[A-Z]+"")"),"BK")</f>
        <v>BK</v>
      </c>
      <c r="U29" s="19" t="n">
        <f aca="false">IFERROR(__xludf.dummyfunction("IFERROR(QUERY(INDIRECT(""'""&amp;F29&amp;""'!C3:""&amp;T29&amp;""""), ""SELECT ""&amp;I29&amp;"", ""&amp;J29&amp;"", ""&amp;K29&amp;"", ""&amp;L29&amp;"", ""&amp;M29&amp;"", ""&amp;N29&amp;"", ""&amp;O29&amp;"", ""&amp;P29&amp;"", ""&amp;Q29&amp;"", ""&amp;R29&amp;"", ""&amp;S29&amp;"" WHERE '""&amp;B29&amp;""' = D"", 0), """")"),7)</f>
        <v>7</v>
      </c>
      <c r="V29" s="22" t="n">
        <f aca="false">IFERROR(__xludf.dummyfunction("""COMPUTED_VALUE"""),7.5)</f>
        <v>7.5</v>
      </c>
      <c r="W29" s="22"/>
      <c r="X29" s="22"/>
      <c r="Y29" s="22" t="n">
        <f aca="false">IFERROR(__xludf.dummyfunction("""COMPUTED_VALUE"""),0)</f>
        <v>0</v>
      </c>
      <c r="Z29" s="22"/>
      <c r="AA29" s="22"/>
      <c r="AB29" s="22" t="n">
        <f aca="false">IFERROR(__xludf.dummyfunction("""COMPUTED_VALUE"""),7)</f>
        <v>7</v>
      </c>
      <c r="AC29" s="22"/>
      <c r="AD29" s="23"/>
      <c r="AE29" s="24" t="n">
        <f aca="false">IFERROR(__xludf.dummyfunction("""COMPUTED_VALUE"""),21.5)</f>
        <v>21.5</v>
      </c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customFormat="false" ht="18.65" hidden="false" customHeight="false" outlineLevel="0" collapsed="false">
      <c r="A30" s="13" t="n">
        <v>29</v>
      </c>
      <c r="B30" s="14" t="s">
        <v>78</v>
      </c>
      <c r="C30" s="15" t="s">
        <v>79</v>
      </c>
      <c r="D30" s="16" t="s">
        <v>39</v>
      </c>
      <c r="E30" s="16" t="s">
        <v>39</v>
      </c>
      <c r="F30" s="16" t="str">
        <f aca="false">REPLACE(E30, 1, 3, "")</f>
        <v>31</v>
      </c>
      <c r="G30" s="17" t="str">
        <f aca="true">IFERROR(VLOOKUP(B30,INDIRECT("'"&amp;F30&amp;"'!D3:D"),1,FALSE()), "Not found")</f>
        <v>Not found</v>
      </c>
      <c r="H30" s="18" t="n">
        <f aca="true">INDIRECT("'"&amp;F30&amp;"'!D1")</f>
        <v>0</v>
      </c>
      <c r="I30" s="18" t="str">
        <f aca="false">IFERROR(__xludf.dummyfunction("REGEXEXTRACT(ADDRESS(ROW(), 24+$H30), ""[A-Z]+"")"),"X")</f>
        <v>X</v>
      </c>
      <c r="J30" s="18" t="str">
        <f aca="false">IFERROR(__xludf.dummyfunction("REGEXEXTRACT(ADDRESS(ROW(), 30+$H30), ""[A-Z]+"")"),"AD")</f>
        <v>AD</v>
      </c>
      <c r="K30" s="18" t="str">
        <f aca="false">IFERROR(__xludf.dummyfunction("REGEXEXTRACT(ADDRESS(ROW(), 36+$H30), ""[A-Z]+"")"),"AJ")</f>
        <v>AJ</v>
      </c>
      <c r="L30" s="18" t="str">
        <f aca="false">IFERROR(__xludf.dummyfunction("REGEXEXTRACT(ADDRESS(ROW(), 42+$H30), ""[A-Z]+"")"),"AP")</f>
        <v>AP</v>
      </c>
      <c r="M30" s="18" t="str">
        <f aca="false">IFERROR(__xludf.dummyfunction("REGEXEXTRACT(ADDRESS(ROW(), 48+$H30), ""[A-Z]+"")"),"AV")</f>
        <v>AV</v>
      </c>
      <c r="N30" s="18" t="str">
        <f aca="false">IFERROR(__xludf.dummyfunction("REGEXEXTRACT(ADDRESS(ROW(), 50+$H30), ""[A-Z]+"")"),"AX")</f>
        <v>AX</v>
      </c>
      <c r="O30" s="18" t="str">
        <f aca="false">IFERROR(__xludf.dummyfunction("REGEXEXTRACT(ADDRESS(ROW(), 51+$H30), ""[A-Z]+"")"),"AY")</f>
        <v>AY</v>
      </c>
      <c r="P30" s="18" t="str">
        <f aca="false">IFERROR(__xludf.dummyfunction("REGEXEXTRACT(ADDRESS(ROW(), 54+$H30), ""[A-Z]+"")"),"BB")</f>
        <v>BB</v>
      </c>
      <c r="Q30" s="18" t="str">
        <f aca="false">IFERROR(__xludf.dummyfunction("REGEXEXTRACT(ADDRESS(ROW(), 59+$H30), ""[A-Z]+"")"),"BG")</f>
        <v>BG</v>
      </c>
      <c r="R30" s="18" t="str">
        <f aca="false">IFERROR(__xludf.dummyfunction("REGEXEXTRACT(ADDRESS(ROW(), 60+$H30), ""[A-Z]+"")"),"BH")</f>
        <v>BH</v>
      </c>
      <c r="S30" s="18" t="str">
        <f aca="false">IFERROR(__xludf.dummyfunction("REGEXEXTRACT(ADDRESS(ROW(), 62+$H30), ""[A-Z]+"")"),"BJ")</f>
        <v>BJ</v>
      </c>
      <c r="T30" s="18" t="str">
        <f aca="false">IFERROR(__xludf.dummyfunction("REGEXEXTRACT(ADDRESS(ROW(), 63+$H30), ""[A-Z]+"")"),"BK")</f>
        <v>BK</v>
      </c>
      <c r="U30" s="19" t="n">
        <f aca="false">IFERROR(__xludf.dummyfunction("IFERROR(QUERY(INDIRECT(""'""&amp;F30&amp;""'!C3:""&amp;T30&amp;""""), ""SELECT ""&amp;I30&amp;"", ""&amp;J30&amp;"", ""&amp;K30&amp;"", ""&amp;L30&amp;"", ""&amp;M30&amp;"", ""&amp;N30&amp;"", ""&amp;O30&amp;"", ""&amp;P30&amp;"", ""&amp;Q30&amp;"", ""&amp;R30&amp;"", ""&amp;S30&amp;"" WHERE '""&amp;B30&amp;""' = D"", 0), """")"),7.5)</f>
        <v>7.5</v>
      </c>
      <c r="V30" s="22" t="n">
        <f aca="false">IFERROR(__xludf.dummyfunction("""COMPUTED_VALUE"""),9)</f>
        <v>9</v>
      </c>
      <c r="W30" s="22" t="n">
        <f aca="false">IFERROR(__xludf.dummyfunction("""COMPUTED_VALUE"""),8)</f>
        <v>8</v>
      </c>
      <c r="X30" s="22"/>
      <c r="Y30" s="22" t="n">
        <f aca="false">IFERROR(__xludf.dummyfunction("""COMPUTED_VALUE"""),0)</f>
        <v>0</v>
      </c>
      <c r="Z30" s="22"/>
      <c r="AA30" s="22"/>
      <c r="AB30" s="22" t="n">
        <f aca="false">IFERROR(__xludf.dummyfunction("""COMPUTED_VALUE"""),6)</f>
        <v>6</v>
      </c>
      <c r="AC30" s="22"/>
      <c r="AD30" s="23"/>
      <c r="AE30" s="24" t="n">
        <f aca="false">IFERROR(__xludf.dummyfunction("""COMPUTED_VALUE"""),30.5)</f>
        <v>30.5</v>
      </c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customFormat="false" ht="18.65" hidden="false" customHeight="false" outlineLevel="0" collapsed="false">
      <c r="A31" s="13" t="n">
        <v>30</v>
      </c>
      <c r="B31" s="14" t="s">
        <v>80</v>
      </c>
      <c r="C31" s="15" t="s">
        <v>81</v>
      </c>
      <c r="D31" s="16" t="s">
        <v>24</v>
      </c>
      <c r="E31" s="16" t="s">
        <v>24</v>
      </c>
      <c r="F31" s="16" t="str">
        <f aca="false">REPLACE(E31, 1, 3, "")</f>
        <v>30</v>
      </c>
      <c r="G31" s="17" t="str">
        <f aca="true">IFERROR(VLOOKUP(B31,INDIRECT("'"&amp;F31&amp;"'!D3:D"),1,FALSE()), "Not found")</f>
        <v>Not found</v>
      </c>
      <c r="H31" s="18" t="n">
        <f aca="true">INDIRECT("'"&amp;F31&amp;"'!D1")</f>
        <v>0</v>
      </c>
      <c r="I31" s="18" t="str">
        <f aca="false">IFERROR(__xludf.dummyfunction("REGEXEXTRACT(ADDRESS(ROW(), 24+$H31), ""[A-Z]+"")"),"X")</f>
        <v>X</v>
      </c>
      <c r="J31" s="18" t="str">
        <f aca="false">IFERROR(__xludf.dummyfunction("REGEXEXTRACT(ADDRESS(ROW(), 30+$H31), ""[A-Z]+"")"),"AD")</f>
        <v>AD</v>
      </c>
      <c r="K31" s="18" t="str">
        <f aca="false">IFERROR(__xludf.dummyfunction("REGEXEXTRACT(ADDRESS(ROW(), 36+$H31), ""[A-Z]+"")"),"AJ")</f>
        <v>AJ</v>
      </c>
      <c r="L31" s="18" t="str">
        <f aca="false">IFERROR(__xludf.dummyfunction("REGEXEXTRACT(ADDRESS(ROW(), 42+$H31), ""[A-Z]+"")"),"AP")</f>
        <v>AP</v>
      </c>
      <c r="M31" s="18" t="str">
        <f aca="false">IFERROR(__xludf.dummyfunction("REGEXEXTRACT(ADDRESS(ROW(), 48+$H31), ""[A-Z]+"")"),"AV")</f>
        <v>AV</v>
      </c>
      <c r="N31" s="18" t="str">
        <f aca="false">IFERROR(__xludf.dummyfunction("REGEXEXTRACT(ADDRESS(ROW(), 50+$H31), ""[A-Z]+"")"),"AX")</f>
        <v>AX</v>
      </c>
      <c r="O31" s="18" t="str">
        <f aca="false">IFERROR(__xludf.dummyfunction("REGEXEXTRACT(ADDRESS(ROW(), 51+$H31), ""[A-Z]+"")"),"AY")</f>
        <v>AY</v>
      </c>
      <c r="P31" s="18" t="str">
        <f aca="false">IFERROR(__xludf.dummyfunction("REGEXEXTRACT(ADDRESS(ROW(), 54+$H31), ""[A-Z]+"")"),"BB")</f>
        <v>BB</v>
      </c>
      <c r="Q31" s="18" t="str">
        <f aca="false">IFERROR(__xludf.dummyfunction("REGEXEXTRACT(ADDRESS(ROW(), 59+$H31), ""[A-Z]+"")"),"BG")</f>
        <v>BG</v>
      </c>
      <c r="R31" s="18" t="str">
        <f aca="false">IFERROR(__xludf.dummyfunction("REGEXEXTRACT(ADDRESS(ROW(), 60+$H31), ""[A-Z]+"")"),"BH")</f>
        <v>BH</v>
      </c>
      <c r="S31" s="18" t="str">
        <f aca="false">IFERROR(__xludf.dummyfunction("REGEXEXTRACT(ADDRESS(ROW(), 62+$H31), ""[A-Z]+"")"),"BJ")</f>
        <v>BJ</v>
      </c>
      <c r="T31" s="18" t="str">
        <f aca="false">IFERROR(__xludf.dummyfunction("REGEXEXTRACT(ADDRESS(ROW(), 63+$H31), ""[A-Z]+"")"),"BK")</f>
        <v>BK</v>
      </c>
      <c r="U31" s="19" t="n">
        <f aca="false">IFERROR(__xludf.dummyfunction("IFERROR(QUERY(INDIRECT(""'""&amp;F31&amp;""'!C3:""&amp;T31&amp;""""), ""SELECT ""&amp;I31&amp;"", ""&amp;J31&amp;"", ""&amp;K31&amp;"", ""&amp;L31&amp;"", ""&amp;M31&amp;"", ""&amp;N31&amp;"", ""&amp;O31&amp;"", ""&amp;P31&amp;"", ""&amp;Q31&amp;"", ""&amp;R31&amp;"", ""&amp;S31&amp;"" WHERE '""&amp;B31&amp;""' = D"", 0), """")"),6.5)</f>
        <v>6.5</v>
      </c>
      <c r="V31" s="22" t="n">
        <f aca="false">IFERROR(__xludf.dummyfunction("""COMPUTED_VALUE"""),7.5)</f>
        <v>7.5</v>
      </c>
      <c r="W31" s="22"/>
      <c r="X31" s="22"/>
      <c r="Y31" s="22" t="n">
        <f aca="false">IFERROR(__xludf.dummyfunction("""COMPUTED_VALUE"""),0)</f>
        <v>0</v>
      </c>
      <c r="Z31" s="22"/>
      <c r="AA31" s="22"/>
      <c r="AB31" s="22" t="n">
        <f aca="false">IFERROR(__xludf.dummyfunction("""COMPUTED_VALUE"""),6)</f>
        <v>6</v>
      </c>
      <c r="AC31" s="22"/>
      <c r="AD31" s="23"/>
      <c r="AE31" s="24" t="n">
        <f aca="false">IFERROR(__xludf.dummyfunction("""COMPUTED_VALUE"""),20)</f>
        <v>20</v>
      </c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customFormat="false" ht="18.65" hidden="false" customHeight="false" outlineLevel="0" collapsed="false">
      <c r="A32" s="13" t="n">
        <v>31</v>
      </c>
      <c r="B32" s="14" t="s">
        <v>82</v>
      </c>
      <c r="C32" s="15" t="s">
        <v>83</v>
      </c>
      <c r="D32" s="16" t="s">
        <v>21</v>
      </c>
      <c r="E32" s="16" t="s">
        <v>21</v>
      </c>
      <c r="F32" s="16" t="str">
        <f aca="false">REPLACE(E32, 1, 3, "")</f>
        <v>32</v>
      </c>
      <c r="G32" s="17" t="str">
        <f aca="true">IFERROR(VLOOKUP(B32,INDIRECT("'"&amp;F32&amp;"'!D3:D"),1,FALSE()), "Not found")</f>
        <v>Not found</v>
      </c>
      <c r="H32" s="18" t="n">
        <f aca="true">INDIRECT("'"&amp;F32&amp;"'!D1")</f>
        <v>0</v>
      </c>
      <c r="I32" s="18" t="str">
        <f aca="false">IFERROR(__xludf.dummyfunction("REGEXEXTRACT(ADDRESS(ROW(), 24+$H32), ""[A-Z]+"")"),"X")</f>
        <v>X</v>
      </c>
      <c r="J32" s="18" t="str">
        <f aca="false">IFERROR(__xludf.dummyfunction("REGEXEXTRACT(ADDRESS(ROW(), 30+$H32), ""[A-Z]+"")"),"AD")</f>
        <v>AD</v>
      </c>
      <c r="K32" s="18" t="str">
        <f aca="false">IFERROR(__xludf.dummyfunction("REGEXEXTRACT(ADDRESS(ROW(), 36+$H32), ""[A-Z]+"")"),"AJ")</f>
        <v>AJ</v>
      </c>
      <c r="L32" s="18" t="str">
        <f aca="false">IFERROR(__xludf.dummyfunction("REGEXEXTRACT(ADDRESS(ROW(), 42+$H32), ""[A-Z]+"")"),"AP")</f>
        <v>AP</v>
      </c>
      <c r="M32" s="18" t="str">
        <f aca="false">IFERROR(__xludf.dummyfunction("REGEXEXTRACT(ADDRESS(ROW(), 48+$H32), ""[A-Z]+"")"),"AV")</f>
        <v>AV</v>
      </c>
      <c r="N32" s="18" t="str">
        <f aca="false">IFERROR(__xludf.dummyfunction("REGEXEXTRACT(ADDRESS(ROW(), 50+$H32), ""[A-Z]+"")"),"AX")</f>
        <v>AX</v>
      </c>
      <c r="O32" s="18" t="str">
        <f aca="false">IFERROR(__xludf.dummyfunction("REGEXEXTRACT(ADDRESS(ROW(), 51+$H32), ""[A-Z]+"")"),"AY")</f>
        <v>AY</v>
      </c>
      <c r="P32" s="18" t="str">
        <f aca="false">IFERROR(__xludf.dummyfunction("REGEXEXTRACT(ADDRESS(ROW(), 54+$H32), ""[A-Z]+"")"),"BB")</f>
        <v>BB</v>
      </c>
      <c r="Q32" s="18" t="str">
        <f aca="false">IFERROR(__xludf.dummyfunction("REGEXEXTRACT(ADDRESS(ROW(), 59+$H32), ""[A-Z]+"")"),"BG")</f>
        <v>BG</v>
      </c>
      <c r="R32" s="18" t="str">
        <f aca="false">IFERROR(__xludf.dummyfunction("REGEXEXTRACT(ADDRESS(ROW(), 60+$H32), ""[A-Z]+"")"),"BH")</f>
        <v>BH</v>
      </c>
      <c r="S32" s="18" t="str">
        <f aca="false">IFERROR(__xludf.dummyfunction("REGEXEXTRACT(ADDRESS(ROW(), 62+$H32), ""[A-Z]+"")"),"BJ")</f>
        <v>BJ</v>
      </c>
      <c r="T32" s="18" t="str">
        <f aca="false">IFERROR(__xludf.dummyfunction("REGEXEXTRACT(ADDRESS(ROW(), 63+$H32), ""[A-Z]+"")"),"BK")</f>
        <v>BK</v>
      </c>
      <c r="U32" s="19" t="n">
        <f aca="false">IFERROR(__xludf.dummyfunction("IFERROR(QUERY(INDIRECT(""'""&amp;F32&amp;""'!C3:""&amp;T32&amp;""""), ""SELECT ""&amp;I32&amp;"", ""&amp;J32&amp;"", ""&amp;K32&amp;"", ""&amp;L32&amp;"", ""&amp;M32&amp;"", ""&amp;N32&amp;"", ""&amp;O32&amp;"", ""&amp;P32&amp;"", ""&amp;Q32&amp;"", ""&amp;R32&amp;"", ""&amp;S32&amp;"" WHERE '""&amp;B32&amp;""' = D"", 0), """")"),10)</f>
        <v>10</v>
      </c>
      <c r="V32" s="22" t="n">
        <f aca="false">IFERROR(__xludf.dummyfunction("""COMPUTED_VALUE"""),10)</f>
        <v>10</v>
      </c>
      <c r="W32" s="22" t="n">
        <f aca="false">IFERROR(__xludf.dummyfunction("""COMPUTED_VALUE"""),8)</f>
        <v>8</v>
      </c>
      <c r="X32" s="22" t="n">
        <f aca="false">IFERROR(__xludf.dummyfunction("""COMPUTED_VALUE"""),8)</f>
        <v>8</v>
      </c>
      <c r="Y32" s="22" t="n">
        <f aca="false">IFERROR(__xludf.dummyfunction("""COMPUTED_VALUE"""),0)</f>
        <v>0</v>
      </c>
      <c r="Z32" s="22"/>
      <c r="AA32" s="22" t="n">
        <f aca="false">IFERROR(__xludf.dummyfunction("""COMPUTED_VALUE"""),1)</f>
        <v>1</v>
      </c>
      <c r="AB32" s="22" t="n">
        <f aca="false">IFERROR(__xludf.dummyfunction("""COMPUTED_VALUE"""),8)</f>
        <v>8</v>
      </c>
      <c r="AC32" s="22" t="n">
        <f aca="false">IFERROR(__xludf.dummyfunction("""COMPUTED_VALUE"""),0)</f>
        <v>0</v>
      </c>
      <c r="AD32" s="23"/>
      <c r="AE32" s="24" t="n">
        <f aca="false">IFERROR(__xludf.dummyfunction("""COMPUTED_VALUE"""),45)</f>
        <v>45</v>
      </c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customFormat="false" ht="18.65" hidden="false" customHeight="false" outlineLevel="0" collapsed="false">
      <c r="A33" s="13" t="n">
        <v>32</v>
      </c>
      <c r="B33" s="14" t="s">
        <v>84</v>
      </c>
      <c r="C33" s="15" t="s">
        <v>85</v>
      </c>
      <c r="D33" s="16" t="s">
        <v>39</v>
      </c>
      <c r="E33" s="16" t="s">
        <v>39</v>
      </c>
      <c r="F33" s="16" t="str">
        <f aca="false">REPLACE(E33, 1, 3, "")</f>
        <v>31</v>
      </c>
      <c r="G33" s="17" t="str">
        <f aca="true">IFERROR(VLOOKUP(B33,INDIRECT("'"&amp;F33&amp;"'!D3:D"),1,FALSE()), "Not found")</f>
        <v>Not found</v>
      </c>
      <c r="H33" s="18" t="n">
        <f aca="true">INDIRECT("'"&amp;F33&amp;"'!D1")</f>
        <v>0</v>
      </c>
      <c r="I33" s="18" t="str">
        <f aca="false">IFERROR(__xludf.dummyfunction("REGEXEXTRACT(ADDRESS(ROW(), 24+$H33), ""[A-Z]+"")"),"X")</f>
        <v>X</v>
      </c>
      <c r="J33" s="18" t="str">
        <f aca="false">IFERROR(__xludf.dummyfunction("REGEXEXTRACT(ADDRESS(ROW(), 30+$H33), ""[A-Z]+"")"),"AD")</f>
        <v>AD</v>
      </c>
      <c r="K33" s="18" t="str">
        <f aca="false">IFERROR(__xludf.dummyfunction("REGEXEXTRACT(ADDRESS(ROW(), 36+$H33), ""[A-Z]+"")"),"AJ")</f>
        <v>AJ</v>
      </c>
      <c r="L33" s="18" t="str">
        <f aca="false">IFERROR(__xludf.dummyfunction("REGEXEXTRACT(ADDRESS(ROW(), 42+$H33), ""[A-Z]+"")"),"AP")</f>
        <v>AP</v>
      </c>
      <c r="M33" s="18" t="str">
        <f aca="false">IFERROR(__xludf.dummyfunction("REGEXEXTRACT(ADDRESS(ROW(), 48+$H33), ""[A-Z]+"")"),"AV")</f>
        <v>AV</v>
      </c>
      <c r="N33" s="18" t="str">
        <f aca="false">IFERROR(__xludf.dummyfunction("REGEXEXTRACT(ADDRESS(ROW(), 50+$H33), ""[A-Z]+"")"),"AX")</f>
        <v>AX</v>
      </c>
      <c r="O33" s="18" t="str">
        <f aca="false">IFERROR(__xludf.dummyfunction("REGEXEXTRACT(ADDRESS(ROW(), 51+$H33), ""[A-Z]+"")"),"AY")</f>
        <v>AY</v>
      </c>
      <c r="P33" s="18" t="str">
        <f aca="false">IFERROR(__xludf.dummyfunction("REGEXEXTRACT(ADDRESS(ROW(), 54+$H33), ""[A-Z]+"")"),"BB")</f>
        <v>BB</v>
      </c>
      <c r="Q33" s="18" t="str">
        <f aca="false">IFERROR(__xludf.dummyfunction("REGEXEXTRACT(ADDRESS(ROW(), 59+$H33), ""[A-Z]+"")"),"BG")</f>
        <v>BG</v>
      </c>
      <c r="R33" s="18" t="str">
        <f aca="false">IFERROR(__xludf.dummyfunction("REGEXEXTRACT(ADDRESS(ROW(), 60+$H33), ""[A-Z]+"")"),"BH")</f>
        <v>BH</v>
      </c>
      <c r="S33" s="18" t="str">
        <f aca="false">IFERROR(__xludf.dummyfunction("REGEXEXTRACT(ADDRESS(ROW(), 62+$H33), ""[A-Z]+"")"),"BJ")</f>
        <v>BJ</v>
      </c>
      <c r="T33" s="18" t="str">
        <f aca="false">IFERROR(__xludf.dummyfunction("REGEXEXTRACT(ADDRESS(ROW(), 63+$H33), ""[A-Z]+"")"),"BK")</f>
        <v>BK</v>
      </c>
      <c r="U33" s="19" t="n">
        <f aca="false">IFERROR(__xludf.dummyfunction("IFERROR(QUERY(INDIRECT(""'""&amp;F33&amp;""'!C3:""&amp;T33&amp;""""), ""SELECT ""&amp;I33&amp;"", ""&amp;J33&amp;"", ""&amp;K33&amp;"", ""&amp;L33&amp;"", ""&amp;M33&amp;"", ""&amp;N33&amp;"", ""&amp;O33&amp;"", ""&amp;P33&amp;"", ""&amp;Q33&amp;"", ""&amp;R33&amp;"", ""&amp;S33&amp;"" WHERE '""&amp;B33&amp;""' = D"", 0), """")"),10)</f>
        <v>10</v>
      </c>
      <c r="V33" s="22" t="n">
        <f aca="false">IFERROR(__xludf.dummyfunction("""COMPUTED_VALUE"""),8)</f>
        <v>8</v>
      </c>
      <c r="W33" s="22"/>
      <c r="X33" s="22"/>
      <c r="Y33" s="22" t="n">
        <f aca="false">IFERROR(__xludf.dummyfunction("""COMPUTED_VALUE"""),0)</f>
        <v>0</v>
      </c>
      <c r="Z33" s="22"/>
      <c r="AA33" s="22"/>
      <c r="AB33" s="22"/>
      <c r="AC33" s="22"/>
      <c r="AD33" s="23"/>
      <c r="AE33" s="24" t="n">
        <f aca="false">IFERROR(__xludf.dummyfunction("""COMPUTED_VALUE"""),18)</f>
        <v>18</v>
      </c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customFormat="false" ht="18.65" hidden="false" customHeight="false" outlineLevel="0" collapsed="false">
      <c r="A34" s="13" t="n">
        <v>33</v>
      </c>
      <c r="B34" s="14" t="s">
        <v>86</v>
      </c>
      <c r="C34" s="15" t="s">
        <v>87</v>
      </c>
      <c r="D34" s="16" t="s">
        <v>21</v>
      </c>
      <c r="E34" s="16" t="s">
        <v>21</v>
      </c>
      <c r="F34" s="16" t="str">
        <f aca="false">REPLACE(E34, 1, 3, "")</f>
        <v>32</v>
      </c>
      <c r="G34" s="17" t="str">
        <f aca="true">IFERROR(VLOOKUP(B34,INDIRECT("'"&amp;F34&amp;"'!D3:D"),1,FALSE()), "Not found")</f>
        <v>Not found</v>
      </c>
      <c r="H34" s="18" t="n">
        <f aca="true">INDIRECT("'"&amp;F34&amp;"'!D1")</f>
        <v>0</v>
      </c>
      <c r="I34" s="18" t="str">
        <f aca="false">IFERROR(__xludf.dummyfunction("REGEXEXTRACT(ADDRESS(ROW(), 24+$H34), ""[A-Z]+"")"),"X")</f>
        <v>X</v>
      </c>
      <c r="J34" s="18" t="str">
        <f aca="false">IFERROR(__xludf.dummyfunction("REGEXEXTRACT(ADDRESS(ROW(), 30+$H34), ""[A-Z]+"")"),"AD")</f>
        <v>AD</v>
      </c>
      <c r="K34" s="18" t="str">
        <f aca="false">IFERROR(__xludf.dummyfunction("REGEXEXTRACT(ADDRESS(ROW(), 36+$H34), ""[A-Z]+"")"),"AJ")</f>
        <v>AJ</v>
      </c>
      <c r="L34" s="18" t="str">
        <f aca="false">IFERROR(__xludf.dummyfunction("REGEXEXTRACT(ADDRESS(ROW(), 42+$H34), ""[A-Z]+"")"),"AP")</f>
        <v>AP</v>
      </c>
      <c r="M34" s="18" t="str">
        <f aca="false">IFERROR(__xludf.dummyfunction("REGEXEXTRACT(ADDRESS(ROW(), 48+$H34), ""[A-Z]+"")"),"AV")</f>
        <v>AV</v>
      </c>
      <c r="N34" s="18" t="str">
        <f aca="false">IFERROR(__xludf.dummyfunction("REGEXEXTRACT(ADDRESS(ROW(), 50+$H34), ""[A-Z]+"")"),"AX")</f>
        <v>AX</v>
      </c>
      <c r="O34" s="18" t="str">
        <f aca="false">IFERROR(__xludf.dummyfunction("REGEXEXTRACT(ADDRESS(ROW(), 51+$H34), ""[A-Z]+"")"),"AY")</f>
        <v>AY</v>
      </c>
      <c r="P34" s="18" t="str">
        <f aca="false">IFERROR(__xludf.dummyfunction("REGEXEXTRACT(ADDRESS(ROW(), 54+$H34), ""[A-Z]+"")"),"BB")</f>
        <v>BB</v>
      </c>
      <c r="Q34" s="18" t="str">
        <f aca="false">IFERROR(__xludf.dummyfunction("REGEXEXTRACT(ADDRESS(ROW(), 59+$H34), ""[A-Z]+"")"),"BG")</f>
        <v>BG</v>
      </c>
      <c r="R34" s="18" t="str">
        <f aca="false">IFERROR(__xludf.dummyfunction("REGEXEXTRACT(ADDRESS(ROW(), 60+$H34), ""[A-Z]+"")"),"BH")</f>
        <v>BH</v>
      </c>
      <c r="S34" s="18" t="str">
        <f aca="false">IFERROR(__xludf.dummyfunction("REGEXEXTRACT(ADDRESS(ROW(), 62+$H34), ""[A-Z]+"")"),"BJ")</f>
        <v>BJ</v>
      </c>
      <c r="T34" s="18" t="str">
        <f aca="false">IFERROR(__xludf.dummyfunction("REGEXEXTRACT(ADDRESS(ROW(), 63+$H34), ""[A-Z]+"")"),"BK")</f>
        <v>BK</v>
      </c>
      <c r="U34" s="19" t="n">
        <f aca="false">IFERROR(__xludf.dummyfunction("IFERROR(QUERY(INDIRECT(""'""&amp;F34&amp;""'!C3:""&amp;T34&amp;""""), ""SELECT ""&amp;I34&amp;"", ""&amp;J34&amp;"", ""&amp;K34&amp;"", ""&amp;L34&amp;"", ""&amp;M34&amp;"", ""&amp;N34&amp;"", ""&amp;O34&amp;"", ""&amp;P34&amp;"", ""&amp;Q34&amp;"", ""&amp;R34&amp;"", ""&amp;S34&amp;"" WHERE '""&amp;B34&amp;""' = D"", 0), """")"),9.2)</f>
        <v>9.2</v>
      </c>
      <c r="V34" s="22" t="n">
        <f aca="false">IFERROR(__xludf.dummyfunction("""COMPUTED_VALUE"""),9.3)</f>
        <v>9.3</v>
      </c>
      <c r="W34" s="22" t="n">
        <f aca="false">IFERROR(__xludf.dummyfunction("""COMPUTED_VALUE"""),9.4)</f>
        <v>9.4</v>
      </c>
      <c r="X34" s="22" t="n">
        <f aca="false">IFERROR(__xludf.dummyfunction("""COMPUTED_VALUE"""),9.4)</f>
        <v>9.4</v>
      </c>
      <c r="Y34" s="22" t="n">
        <f aca="false">IFERROR(__xludf.dummyfunction("""COMPUTED_VALUE"""),0)</f>
        <v>0</v>
      </c>
      <c r="Z34" s="22" t="n">
        <f aca="false">IFERROR(__xludf.dummyfunction("""COMPUTED_VALUE"""),1)</f>
        <v>1</v>
      </c>
      <c r="AA34" s="22"/>
      <c r="AB34" s="22" t="n">
        <f aca="false">IFERROR(__xludf.dummyfunction("""COMPUTED_VALUE"""),8.5)</f>
        <v>8.5</v>
      </c>
      <c r="AC34" s="22" t="n">
        <f aca="false">IFERROR(__xludf.dummyfunction("""COMPUTED_VALUE"""),0)</f>
        <v>0</v>
      </c>
      <c r="AD34" s="23"/>
      <c r="AE34" s="24" t="n">
        <f aca="false">IFERROR(__xludf.dummyfunction("""COMPUTED_VALUE"""),46.8)</f>
        <v>46.8</v>
      </c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customFormat="false" ht="18.65" hidden="false" customHeight="false" outlineLevel="0" collapsed="false">
      <c r="A35" s="13" t="n">
        <v>34</v>
      </c>
      <c r="B35" s="14" t="s">
        <v>88</v>
      </c>
      <c r="C35" s="15" t="s">
        <v>89</v>
      </c>
      <c r="D35" s="16" t="s">
        <v>24</v>
      </c>
      <c r="E35" s="16" t="s">
        <v>24</v>
      </c>
      <c r="F35" s="16" t="str">
        <f aca="false">REPLACE(E35, 1, 3, "")</f>
        <v>30</v>
      </c>
      <c r="G35" s="17" t="str">
        <f aca="true">IFERROR(VLOOKUP(B35,INDIRECT("'"&amp;F35&amp;"'!D3:D"),1,FALSE()), "Not found")</f>
        <v>Not found</v>
      </c>
      <c r="H35" s="18" t="n">
        <f aca="true">INDIRECT("'"&amp;F35&amp;"'!D1")</f>
        <v>0</v>
      </c>
      <c r="I35" s="18" t="str">
        <f aca="false">IFERROR(__xludf.dummyfunction("REGEXEXTRACT(ADDRESS(ROW(), 24+$H35), ""[A-Z]+"")"),"X")</f>
        <v>X</v>
      </c>
      <c r="J35" s="18" t="str">
        <f aca="false">IFERROR(__xludf.dummyfunction("REGEXEXTRACT(ADDRESS(ROW(), 30+$H35), ""[A-Z]+"")"),"AD")</f>
        <v>AD</v>
      </c>
      <c r="K35" s="18" t="str">
        <f aca="false">IFERROR(__xludf.dummyfunction("REGEXEXTRACT(ADDRESS(ROW(), 36+$H35), ""[A-Z]+"")"),"AJ")</f>
        <v>AJ</v>
      </c>
      <c r="L35" s="18" t="str">
        <f aca="false">IFERROR(__xludf.dummyfunction("REGEXEXTRACT(ADDRESS(ROW(), 42+$H35), ""[A-Z]+"")"),"AP")</f>
        <v>AP</v>
      </c>
      <c r="M35" s="18" t="str">
        <f aca="false">IFERROR(__xludf.dummyfunction("REGEXEXTRACT(ADDRESS(ROW(), 48+$H35), ""[A-Z]+"")"),"AV")</f>
        <v>AV</v>
      </c>
      <c r="N35" s="18" t="str">
        <f aca="false">IFERROR(__xludf.dummyfunction("REGEXEXTRACT(ADDRESS(ROW(), 50+$H35), ""[A-Z]+"")"),"AX")</f>
        <v>AX</v>
      </c>
      <c r="O35" s="18" t="str">
        <f aca="false">IFERROR(__xludf.dummyfunction("REGEXEXTRACT(ADDRESS(ROW(), 51+$H35), ""[A-Z]+"")"),"AY")</f>
        <v>AY</v>
      </c>
      <c r="P35" s="18" t="str">
        <f aca="false">IFERROR(__xludf.dummyfunction("REGEXEXTRACT(ADDRESS(ROW(), 54+$H35), ""[A-Z]+"")"),"BB")</f>
        <v>BB</v>
      </c>
      <c r="Q35" s="18" t="str">
        <f aca="false">IFERROR(__xludf.dummyfunction("REGEXEXTRACT(ADDRESS(ROW(), 59+$H35), ""[A-Z]+"")"),"BG")</f>
        <v>BG</v>
      </c>
      <c r="R35" s="18" t="str">
        <f aca="false">IFERROR(__xludf.dummyfunction("REGEXEXTRACT(ADDRESS(ROW(), 60+$H35), ""[A-Z]+"")"),"BH")</f>
        <v>BH</v>
      </c>
      <c r="S35" s="18" t="str">
        <f aca="false">IFERROR(__xludf.dummyfunction("REGEXEXTRACT(ADDRESS(ROW(), 62+$H35), ""[A-Z]+"")"),"BJ")</f>
        <v>BJ</v>
      </c>
      <c r="T35" s="18" t="str">
        <f aca="false">IFERROR(__xludf.dummyfunction("REGEXEXTRACT(ADDRESS(ROW(), 63+$H35), ""[A-Z]+"")"),"BK")</f>
        <v>BK</v>
      </c>
      <c r="U35" s="19" t="n">
        <f aca="false">IFERROR(__xludf.dummyfunction("IFERROR(QUERY(INDIRECT(""'""&amp;F35&amp;""'!C3:""&amp;T35&amp;""""), ""SELECT ""&amp;I35&amp;"", ""&amp;J35&amp;"", ""&amp;K35&amp;"", ""&amp;L35&amp;"", ""&amp;M35&amp;"", ""&amp;N35&amp;"", ""&amp;O35&amp;"", ""&amp;P35&amp;"", ""&amp;Q35&amp;"", ""&amp;R35&amp;"", ""&amp;S35&amp;"" WHERE '""&amp;B35&amp;""' = D"", 0), """")"),9)</f>
        <v>9</v>
      </c>
      <c r="V35" s="22" t="n">
        <f aca="false">IFERROR(__xludf.dummyfunction("""COMPUTED_VALUE"""),7.5)</f>
        <v>7.5</v>
      </c>
      <c r="W35" s="22" t="n">
        <f aca="false">IFERROR(__xludf.dummyfunction("""COMPUTED_VALUE"""),9)</f>
        <v>9</v>
      </c>
      <c r="X35" s="22" t="n">
        <f aca="false">IFERROR(__xludf.dummyfunction("""COMPUTED_VALUE"""),9.5)</f>
        <v>9.5</v>
      </c>
      <c r="Y35" s="22" t="n">
        <f aca="false">IFERROR(__xludf.dummyfunction("""COMPUTED_VALUE"""),10)</f>
        <v>10</v>
      </c>
      <c r="Z35" s="22" t="n">
        <f aca="false">IFERROR(__xludf.dummyfunction("""COMPUTED_VALUE"""),1)</f>
        <v>1</v>
      </c>
      <c r="AA35" s="22" t="n">
        <f aca="false">IFERROR(__xludf.dummyfunction("""COMPUTED_VALUE"""),2)</f>
        <v>2</v>
      </c>
      <c r="AB35" s="22" t="n">
        <f aca="false">IFERROR(__xludf.dummyfunction("""COMPUTED_VALUE"""),9)</f>
        <v>9</v>
      </c>
      <c r="AC35" s="22" t="n">
        <f aca="false">IFERROR(__xludf.dummyfunction("""COMPUTED_VALUE"""),29)</f>
        <v>29</v>
      </c>
      <c r="AD35" s="23"/>
      <c r="AE35" s="24" t="n">
        <f aca="false">IFERROR(__xludf.dummyfunction("""COMPUTED_VALUE"""),86)</f>
        <v>86</v>
      </c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6" customFormat="false" ht="18.65" hidden="false" customHeight="false" outlineLevel="0" collapsed="false">
      <c r="A36" s="13" t="n">
        <v>35</v>
      </c>
      <c r="B36" s="14" t="s">
        <v>90</v>
      </c>
      <c r="C36" s="15" t="s">
        <v>91</v>
      </c>
      <c r="D36" s="16" t="s">
        <v>21</v>
      </c>
      <c r="E36" s="16" t="s">
        <v>21</v>
      </c>
      <c r="F36" s="16" t="str">
        <f aca="false">REPLACE(E36, 1, 3, "")</f>
        <v>32</v>
      </c>
      <c r="G36" s="17" t="str">
        <f aca="true">IFERROR(VLOOKUP(B36,INDIRECT("'"&amp;F36&amp;"'!D3:D"),1,FALSE()), "Not found")</f>
        <v>Not found</v>
      </c>
      <c r="H36" s="18" t="n">
        <f aca="true">INDIRECT("'"&amp;F36&amp;"'!D1")</f>
        <v>0</v>
      </c>
      <c r="I36" s="18" t="str">
        <f aca="false">IFERROR(__xludf.dummyfunction("REGEXEXTRACT(ADDRESS(ROW(), 24+$H36), ""[A-Z]+"")"),"X")</f>
        <v>X</v>
      </c>
      <c r="J36" s="18" t="str">
        <f aca="false">IFERROR(__xludf.dummyfunction("REGEXEXTRACT(ADDRESS(ROW(), 30+$H36), ""[A-Z]+"")"),"AD")</f>
        <v>AD</v>
      </c>
      <c r="K36" s="18" t="str">
        <f aca="false">IFERROR(__xludf.dummyfunction("REGEXEXTRACT(ADDRESS(ROW(), 36+$H36), ""[A-Z]+"")"),"AJ")</f>
        <v>AJ</v>
      </c>
      <c r="L36" s="18" t="str">
        <f aca="false">IFERROR(__xludf.dummyfunction("REGEXEXTRACT(ADDRESS(ROW(), 42+$H36), ""[A-Z]+"")"),"AP")</f>
        <v>AP</v>
      </c>
      <c r="M36" s="18" t="str">
        <f aca="false">IFERROR(__xludf.dummyfunction("REGEXEXTRACT(ADDRESS(ROW(), 48+$H36), ""[A-Z]+"")"),"AV")</f>
        <v>AV</v>
      </c>
      <c r="N36" s="18" t="str">
        <f aca="false">IFERROR(__xludf.dummyfunction("REGEXEXTRACT(ADDRESS(ROW(), 50+$H36), ""[A-Z]+"")"),"AX")</f>
        <v>AX</v>
      </c>
      <c r="O36" s="18" t="str">
        <f aca="false">IFERROR(__xludf.dummyfunction("REGEXEXTRACT(ADDRESS(ROW(), 51+$H36), ""[A-Z]+"")"),"AY")</f>
        <v>AY</v>
      </c>
      <c r="P36" s="18" t="str">
        <f aca="false">IFERROR(__xludf.dummyfunction("REGEXEXTRACT(ADDRESS(ROW(), 54+$H36), ""[A-Z]+"")"),"BB")</f>
        <v>BB</v>
      </c>
      <c r="Q36" s="18" t="str">
        <f aca="false">IFERROR(__xludf.dummyfunction("REGEXEXTRACT(ADDRESS(ROW(), 59+$H36), ""[A-Z]+"")"),"BG")</f>
        <v>BG</v>
      </c>
      <c r="R36" s="18" t="str">
        <f aca="false">IFERROR(__xludf.dummyfunction("REGEXEXTRACT(ADDRESS(ROW(), 60+$H36), ""[A-Z]+"")"),"BH")</f>
        <v>BH</v>
      </c>
      <c r="S36" s="18" t="str">
        <f aca="false">IFERROR(__xludf.dummyfunction("REGEXEXTRACT(ADDRESS(ROW(), 62+$H36), ""[A-Z]+"")"),"BJ")</f>
        <v>BJ</v>
      </c>
      <c r="T36" s="18" t="str">
        <f aca="false">IFERROR(__xludf.dummyfunction("REGEXEXTRACT(ADDRESS(ROW(), 63+$H36), ""[A-Z]+"")"),"BK")</f>
        <v>BK</v>
      </c>
      <c r="U36" s="19" t="str">
        <f aca="false">IFERROR(__xludf.dummyfunction("IFERROR(QUERY(INDIRECT(""'""&amp;F36&amp;""'!C3:""&amp;T36&amp;""""), ""SELECT ""&amp;I36&amp;"", ""&amp;J36&amp;"", ""&amp;K36&amp;"", ""&amp;L36&amp;"", ""&amp;M36&amp;"", ""&amp;N36&amp;"", ""&amp;O36&amp;"", ""&amp;P36&amp;"", ""&amp;Q36&amp;"", ""&amp;R36&amp;"", ""&amp;S36&amp;"" WHERE '""&amp;B36&amp;""' = D"", 0), """")"),"")</f>
        <v/>
      </c>
      <c r="V36" s="22"/>
      <c r="W36" s="22"/>
      <c r="X36" s="22"/>
      <c r="Y36" s="22"/>
      <c r="Z36" s="22"/>
      <c r="AA36" s="22"/>
      <c r="AB36" s="22"/>
      <c r="AC36" s="22"/>
      <c r="AD36" s="23"/>
      <c r="AE36" s="24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</row>
    <row r="37" customFormat="false" ht="18.65" hidden="false" customHeight="false" outlineLevel="0" collapsed="false">
      <c r="A37" s="13" t="n">
        <v>36</v>
      </c>
      <c r="B37" s="14" t="s">
        <v>92</v>
      </c>
      <c r="C37" s="15" t="s">
        <v>93</v>
      </c>
      <c r="D37" s="16" t="s">
        <v>21</v>
      </c>
      <c r="E37" s="16" t="s">
        <v>21</v>
      </c>
      <c r="F37" s="16" t="str">
        <f aca="false">REPLACE(E37, 1, 3, "")</f>
        <v>32</v>
      </c>
      <c r="G37" s="17" t="str">
        <f aca="true">IFERROR(VLOOKUP(B37,INDIRECT("'"&amp;F37&amp;"'!D3:D"),1,FALSE()), "Not found")</f>
        <v>Not found</v>
      </c>
      <c r="H37" s="18" t="n">
        <f aca="true">INDIRECT("'"&amp;F37&amp;"'!D1")</f>
        <v>0</v>
      </c>
      <c r="I37" s="18" t="str">
        <f aca="false">IFERROR(__xludf.dummyfunction("REGEXEXTRACT(ADDRESS(ROW(), 24+$H37), ""[A-Z]+"")"),"X")</f>
        <v>X</v>
      </c>
      <c r="J37" s="18" t="str">
        <f aca="false">IFERROR(__xludf.dummyfunction("REGEXEXTRACT(ADDRESS(ROW(), 30+$H37), ""[A-Z]+"")"),"AD")</f>
        <v>AD</v>
      </c>
      <c r="K37" s="18" t="str">
        <f aca="false">IFERROR(__xludf.dummyfunction("REGEXEXTRACT(ADDRESS(ROW(), 36+$H37), ""[A-Z]+"")"),"AJ")</f>
        <v>AJ</v>
      </c>
      <c r="L37" s="18" t="str">
        <f aca="false">IFERROR(__xludf.dummyfunction("REGEXEXTRACT(ADDRESS(ROW(), 42+$H37), ""[A-Z]+"")"),"AP")</f>
        <v>AP</v>
      </c>
      <c r="M37" s="18" t="str">
        <f aca="false">IFERROR(__xludf.dummyfunction("REGEXEXTRACT(ADDRESS(ROW(), 48+$H37), ""[A-Z]+"")"),"AV")</f>
        <v>AV</v>
      </c>
      <c r="N37" s="18" t="str">
        <f aca="false">IFERROR(__xludf.dummyfunction("REGEXEXTRACT(ADDRESS(ROW(), 50+$H37), ""[A-Z]+"")"),"AX")</f>
        <v>AX</v>
      </c>
      <c r="O37" s="18" t="str">
        <f aca="false">IFERROR(__xludf.dummyfunction("REGEXEXTRACT(ADDRESS(ROW(), 51+$H37), ""[A-Z]+"")"),"AY")</f>
        <v>AY</v>
      </c>
      <c r="P37" s="18" t="str">
        <f aca="false">IFERROR(__xludf.dummyfunction("REGEXEXTRACT(ADDRESS(ROW(), 54+$H37), ""[A-Z]+"")"),"BB")</f>
        <v>BB</v>
      </c>
      <c r="Q37" s="18" t="str">
        <f aca="false">IFERROR(__xludf.dummyfunction("REGEXEXTRACT(ADDRESS(ROW(), 59+$H37), ""[A-Z]+"")"),"BG")</f>
        <v>BG</v>
      </c>
      <c r="R37" s="18" t="str">
        <f aca="false">IFERROR(__xludf.dummyfunction("REGEXEXTRACT(ADDRESS(ROW(), 60+$H37), ""[A-Z]+"")"),"BH")</f>
        <v>BH</v>
      </c>
      <c r="S37" s="18" t="str">
        <f aca="false">IFERROR(__xludf.dummyfunction("REGEXEXTRACT(ADDRESS(ROW(), 62+$H37), ""[A-Z]+"")"),"BJ")</f>
        <v>BJ</v>
      </c>
      <c r="T37" s="18" t="str">
        <f aca="false">IFERROR(__xludf.dummyfunction("REGEXEXTRACT(ADDRESS(ROW(), 63+$H37), ""[A-Z]+"")"),"BK")</f>
        <v>BK</v>
      </c>
      <c r="U37" s="19" t="n">
        <f aca="false">IFERROR(__xludf.dummyfunction("IFERROR(QUERY(INDIRECT(""'""&amp;F37&amp;""'!C3:""&amp;T37&amp;""""), ""SELECT ""&amp;I37&amp;"", ""&amp;J37&amp;"", ""&amp;K37&amp;"", ""&amp;L37&amp;"", ""&amp;M37&amp;"", ""&amp;N37&amp;"", ""&amp;O37&amp;"", ""&amp;P37&amp;"", ""&amp;Q37&amp;"", ""&amp;R37&amp;"", ""&amp;S37&amp;"" WHERE '""&amp;B37&amp;""' = D"", 0), """")"),9.3)</f>
        <v>9.3</v>
      </c>
      <c r="V37" s="22" t="n">
        <f aca="false">IFERROR(__xludf.dummyfunction("""COMPUTED_VALUE"""),8.4)</f>
        <v>8.4</v>
      </c>
      <c r="W37" s="22" t="n">
        <f aca="false">IFERROR(__xludf.dummyfunction("""COMPUTED_VALUE"""),8.3)</f>
        <v>8.3</v>
      </c>
      <c r="X37" s="22" t="n">
        <f aca="false">IFERROR(__xludf.dummyfunction("""COMPUTED_VALUE"""),8.3)</f>
        <v>8.3</v>
      </c>
      <c r="Y37" s="22" t="n">
        <f aca="false">IFERROR(__xludf.dummyfunction("""COMPUTED_VALUE"""),7)</f>
        <v>7</v>
      </c>
      <c r="Z37" s="22" t="n">
        <f aca="false">IFERROR(__xludf.dummyfunction("""COMPUTED_VALUE"""),2)</f>
        <v>2</v>
      </c>
      <c r="AA37" s="22" t="n">
        <f aca="false">IFERROR(__xludf.dummyfunction("""COMPUTED_VALUE"""),0)</f>
        <v>0</v>
      </c>
      <c r="AB37" s="22" t="n">
        <f aca="false">IFERROR(__xludf.dummyfunction("""COMPUTED_VALUE"""),6)</f>
        <v>6</v>
      </c>
      <c r="AC37" s="22" t="n">
        <f aca="false">IFERROR(__xludf.dummyfunction("""COMPUTED_VALUE"""),20)</f>
        <v>20</v>
      </c>
      <c r="AD37" s="23"/>
      <c r="AE37" s="24" t="n">
        <f aca="false">IFERROR(__xludf.dummyfunction("""COMPUTED_VALUE"""),69.3)</f>
        <v>69.3</v>
      </c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</row>
    <row r="38" customFormat="false" ht="18.65" hidden="false" customHeight="false" outlineLevel="0" collapsed="false">
      <c r="A38" s="13" t="n">
        <v>37</v>
      </c>
      <c r="B38" s="14" t="s">
        <v>94</v>
      </c>
      <c r="C38" s="15" t="s">
        <v>95</v>
      </c>
      <c r="D38" s="16" t="s">
        <v>24</v>
      </c>
      <c r="E38" s="16" t="s">
        <v>24</v>
      </c>
      <c r="F38" s="16" t="str">
        <f aca="false">REPLACE(E38, 1, 3, "")</f>
        <v>30</v>
      </c>
      <c r="G38" s="17" t="str">
        <f aca="true">IFERROR(VLOOKUP(B38,INDIRECT("'"&amp;F38&amp;"'!D3:D"),1,FALSE()), "Not found")</f>
        <v>Not found</v>
      </c>
      <c r="H38" s="18" t="n">
        <f aca="true">INDIRECT("'"&amp;F38&amp;"'!D1")</f>
        <v>0</v>
      </c>
      <c r="I38" s="18" t="str">
        <f aca="false">IFERROR(__xludf.dummyfunction("REGEXEXTRACT(ADDRESS(ROW(), 24+$H38), ""[A-Z]+"")"),"X")</f>
        <v>X</v>
      </c>
      <c r="J38" s="18" t="str">
        <f aca="false">IFERROR(__xludf.dummyfunction("REGEXEXTRACT(ADDRESS(ROW(), 30+$H38), ""[A-Z]+"")"),"AD")</f>
        <v>AD</v>
      </c>
      <c r="K38" s="18" t="str">
        <f aca="false">IFERROR(__xludf.dummyfunction("REGEXEXTRACT(ADDRESS(ROW(), 36+$H38), ""[A-Z]+"")"),"AJ")</f>
        <v>AJ</v>
      </c>
      <c r="L38" s="18" t="str">
        <f aca="false">IFERROR(__xludf.dummyfunction("REGEXEXTRACT(ADDRESS(ROW(), 42+$H38), ""[A-Z]+"")"),"AP")</f>
        <v>AP</v>
      </c>
      <c r="M38" s="18" t="str">
        <f aca="false">IFERROR(__xludf.dummyfunction("REGEXEXTRACT(ADDRESS(ROW(), 48+$H38), ""[A-Z]+"")"),"AV")</f>
        <v>AV</v>
      </c>
      <c r="N38" s="18" t="str">
        <f aca="false">IFERROR(__xludf.dummyfunction("REGEXEXTRACT(ADDRESS(ROW(), 50+$H38), ""[A-Z]+"")"),"AX")</f>
        <v>AX</v>
      </c>
      <c r="O38" s="18" t="str">
        <f aca="false">IFERROR(__xludf.dummyfunction("REGEXEXTRACT(ADDRESS(ROW(), 51+$H38), ""[A-Z]+"")"),"AY")</f>
        <v>AY</v>
      </c>
      <c r="P38" s="18" t="str">
        <f aca="false">IFERROR(__xludf.dummyfunction("REGEXEXTRACT(ADDRESS(ROW(), 54+$H38), ""[A-Z]+"")"),"BB")</f>
        <v>BB</v>
      </c>
      <c r="Q38" s="18" t="str">
        <f aca="false">IFERROR(__xludf.dummyfunction("REGEXEXTRACT(ADDRESS(ROW(), 59+$H38), ""[A-Z]+"")"),"BG")</f>
        <v>BG</v>
      </c>
      <c r="R38" s="18" t="str">
        <f aca="false">IFERROR(__xludf.dummyfunction("REGEXEXTRACT(ADDRESS(ROW(), 60+$H38), ""[A-Z]+"")"),"BH")</f>
        <v>BH</v>
      </c>
      <c r="S38" s="18" t="str">
        <f aca="false">IFERROR(__xludf.dummyfunction("REGEXEXTRACT(ADDRESS(ROW(), 62+$H38), ""[A-Z]+"")"),"BJ")</f>
        <v>BJ</v>
      </c>
      <c r="T38" s="18" t="str">
        <f aca="false">IFERROR(__xludf.dummyfunction("REGEXEXTRACT(ADDRESS(ROW(), 63+$H38), ""[A-Z]+"")"),"BK")</f>
        <v>BK</v>
      </c>
      <c r="U38" s="19" t="n">
        <f aca="false">IFERROR(__xludf.dummyfunction("IFERROR(QUERY(INDIRECT(""'""&amp;F38&amp;""'!C3:""&amp;T38&amp;""""), ""SELECT ""&amp;I38&amp;"", ""&amp;J38&amp;"", ""&amp;K38&amp;"", ""&amp;L38&amp;"", ""&amp;M38&amp;"", ""&amp;N38&amp;"", ""&amp;O38&amp;"", ""&amp;P38&amp;"", ""&amp;Q38&amp;"", ""&amp;R38&amp;"", ""&amp;S38&amp;"" WHERE '""&amp;B38&amp;""' = D"", 0), """")"),7.5)</f>
        <v>7.5</v>
      </c>
      <c r="V38" s="22" t="n">
        <f aca="false">IFERROR(__xludf.dummyfunction("""COMPUTED_VALUE"""),9.5)</f>
        <v>9.5</v>
      </c>
      <c r="W38" s="22" t="n">
        <f aca="false">IFERROR(__xludf.dummyfunction("""COMPUTED_VALUE"""),8.5)</f>
        <v>8.5</v>
      </c>
      <c r="X38" s="22" t="n">
        <f aca="false">IFERROR(__xludf.dummyfunction("""COMPUTED_VALUE"""),10)</f>
        <v>10</v>
      </c>
      <c r="Y38" s="22" t="n">
        <f aca="false">IFERROR(__xludf.dummyfunction("""COMPUTED_VALUE"""),0)</f>
        <v>0</v>
      </c>
      <c r="Z38" s="22"/>
      <c r="AA38" s="22"/>
      <c r="AB38" s="22" t="n">
        <f aca="false">IFERROR(__xludf.dummyfunction("""COMPUTED_VALUE"""),7)</f>
        <v>7</v>
      </c>
      <c r="AC38" s="22" t="n">
        <f aca="false">IFERROR(__xludf.dummyfunction("""COMPUTED_VALUE"""),29)</f>
        <v>29</v>
      </c>
      <c r="AD38" s="23" t="n">
        <f aca="false">IFERROR(__xludf.dummyfunction("""COMPUTED_VALUE"""),3)</f>
        <v>3</v>
      </c>
      <c r="AE38" s="24" t="n">
        <f aca="false">IFERROR(__xludf.dummyfunction("""COMPUTED_VALUE"""),74.5)</f>
        <v>74.5</v>
      </c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</row>
    <row r="39" customFormat="false" ht="18.65" hidden="false" customHeight="false" outlineLevel="0" collapsed="false">
      <c r="A39" s="13" t="n">
        <v>38</v>
      </c>
      <c r="B39" s="14" t="s">
        <v>96</v>
      </c>
      <c r="C39" s="15" t="s">
        <v>97</v>
      </c>
      <c r="D39" s="16" t="s">
        <v>39</v>
      </c>
      <c r="E39" s="16" t="s">
        <v>39</v>
      </c>
      <c r="F39" s="16" t="str">
        <f aca="false">REPLACE(E39, 1, 3, "")</f>
        <v>31</v>
      </c>
      <c r="G39" s="17" t="str">
        <f aca="true">IFERROR(VLOOKUP(B39,INDIRECT("'"&amp;F39&amp;"'!D3:D"),1,FALSE()), "Not found")</f>
        <v>Not found</v>
      </c>
      <c r="H39" s="18" t="n">
        <f aca="true">INDIRECT("'"&amp;F39&amp;"'!D1")</f>
        <v>0</v>
      </c>
      <c r="I39" s="18" t="str">
        <f aca="false">IFERROR(__xludf.dummyfunction("REGEXEXTRACT(ADDRESS(ROW(), 24+$H39), ""[A-Z]+"")"),"X")</f>
        <v>X</v>
      </c>
      <c r="J39" s="18" t="str">
        <f aca="false">IFERROR(__xludf.dummyfunction("REGEXEXTRACT(ADDRESS(ROW(), 30+$H39), ""[A-Z]+"")"),"AD")</f>
        <v>AD</v>
      </c>
      <c r="K39" s="18" t="str">
        <f aca="false">IFERROR(__xludf.dummyfunction("REGEXEXTRACT(ADDRESS(ROW(), 36+$H39), ""[A-Z]+"")"),"AJ")</f>
        <v>AJ</v>
      </c>
      <c r="L39" s="18" t="str">
        <f aca="false">IFERROR(__xludf.dummyfunction("REGEXEXTRACT(ADDRESS(ROW(), 42+$H39), ""[A-Z]+"")"),"AP")</f>
        <v>AP</v>
      </c>
      <c r="M39" s="18" t="str">
        <f aca="false">IFERROR(__xludf.dummyfunction("REGEXEXTRACT(ADDRESS(ROW(), 48+$H39), ""[A-Z]+"")"),"AV")</f>
        <v>AV</v>
      </c>
      <c r="N39" s="18" t="str">
        <f aca="false">IFERROR(__xludf.dummyfunction("REGEXEXTRACT(ADDRESS(ROW(), 50+$H39), ""[A-Z]+"")"),"AX")</f>
        <v>AX</v>
      </c>
      <c r="O39" s="18" t="str">
        <f aca="false">IFERROR(__xludf.dummyfunction("REGEXEXTRACT(ADDRESS(ROW(), 51+$H39), ""[A-Z]+"")"),"AY")</f>
        <v>AY</v>
      </c>
      <c r="P39" s="18" t="str">
        <f aca="false">IFERROR(__xludf.dummyfunction("REGEXEXTRACT(ADDRESS(ROW(), 54+$H39), ""[A-Z]+"")"),"BB")</f>
        <v>BB</v>
      </c>
      <c r="Q39" s="18" t="str">
        <f aca="false">IFERROR(__xludf.dummyfunction("REGEXEXTRACT(ADDRESS(ROW(), 59+$H39), ""[A-Z]+"")"),"BG")</f>
        <v>BG</v>
      </c>
      <c r="R39" s="18" t="str">
        <f aca="false">IFERROR(__xludf.dummyfunction("REGEXEXTRACT(ADDRESS(ROW(), 60+$H39), ""[A-Z]+"")"),"BH")</f>
        <v>BH</v>
      </c>
      <c r="S39" s="18" t="str">
        <f aca="false">IFERROR(__xludf.dummyfunction("REGEXEXTRACT(ADDRESS(ROW(), 62+$H39), ""[A-Z]+"")"),"BJ")</f>
        <v>BJ</v>
      </c>
      <c r="T39" s="18" t="str">
        <f aca="false">IFERROR(__xludf.dummyfunction("REGEXEXTRACT(ADDRESS(ROW(), 63+$H39), ""[A-Z]+"")"),"BK")</f>
        <v>BK</v>
      </c>
      <c r="U39" s="19" t="n">
        <f aca="false">IFERROR(__xludf.dummyfunction("IFERROR(QUERY(INDIRECT(""'""&amp;F39&amp;""'!C3:""&amp;T39&amp;""""), ""SELECT ""&amp;I39&amp;"", ""&amp;J39&amp;"", ""&amp;K39&amp;"", ""&amp;L39&amp;"", ""&amp;M39&amp;"", ""&amp;N39&amp;"", ""&amp;O39&amp;"", ""&amp;P39&amp;"", ""&amp;Q39&amp;"", ""&amp;R39&amp;"", ""&amp;S39&amp;"" WHERE '""&amp;B39&amp;""' = D"", 0), """")"),10)</f>
        <v>10</v>
      </c>
      <c r="V39" s="22" t="n">
        <f aca="false">IFERROR(__xludf.dummyfunction("""COMPUTED_VALUE"""),10)</f>
        <v>10</v>
      </c>
      <c r="W39" s="22" t="n">
        <f aca="false">IFERROR(__xludf.dummyfunction("""COMPUTED_VALUE"""),10)</f>
        <v>10</v>
      </c>
      <c r="X39" s="22" t="n">
        <f aca="false">IFERROR(__xludf.dummyfunction("""COMPUTED_VALUE"""),10)</f>
        <v>10</v>
      </c>
      <c r="Y39" s="22" t="n">
        <f aca="false">IFERROR(__xludf.dummyfunction("""COMPUTED_VALUE"""),10)</f>
        <v>10</v>
      </c>
      <c r="Z39" s="22" t="n">
        <f aca="false">IFERROR(__xludf.dummyfunction("""COMPUTED_VALUE"""),0)</f>
        <v>0</v>
      </c>
      <c r="AA39" s="22" t="n">
        <f aca="false">IFERROR(__xludf.dummyfunction("""COMPUTED_VALUE"""),1)</f>
        <v>1</v>
      </c>
      <c r="AB39" s="22" t="n">
        <f aca="false">IFERROR(__xludf.dummyfunction("""COMPUTED_VALUE"""),7.5)</f>
        <v>7.5</v>
      </c>
      <c r="AC39" s="22" t="n">
        <f aca="false">IFERROR(__xludf.dummyfunction("""COMPUTED_VALUE"""),29)</f>
        <v>29</v>
      </c>
      <c r="AD39" s="23" t="n">
        <f aca="false">IFERROR(__xludf.dummyfunction("""COMPUTED_VALUE"""),3)</f>
        <v>3</v>
      </c>
      <c r="AE39" s="24" t="n">
        <f aca="false">IFERROR(__xludf.dummyfunction("""COMPUTED_VALUE"""),90.5)</f>
        <v>90.5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</row>
    <row r="40" customFormat="false" ht="18.65" hidden="false" customHeight="false" outlineLevel="0" collapsed="false">
      <c r="A40" s="13" t="n">
        <v>39</v>
      </c>
      <c r="B40" s="14" t="s">
        <v>98</v>
      </c>
      <c r="C40" s="15" t="s">
        <v>99</v>
      </c>
      <c r="D40" s="16" t="s">
        <v>39</v>
      </c>
      <c r="E40" s="16" t="s">
        <v>39</v>
      </c>
      <c r="F40" s="16" t="str">
        <f aca="false">REPLACE(E40, 1, 3, "")</f>
        <v>31</v>
      </c>
      <c r="G40" s="17" t="str">
        <f aca="true">IFERROR(VLOOKUP(B40,INDIRECT("'"&amp;F40&amp;"'!D3:D"),1,FALSE()), "Not found")</f>
        <v>Not found</v>
      </c>
      <c r="H40" s="18" t="n">
        <f aca="true">INDIRECT("'"&amp;F40&amp;"'!D1")</f>
        <v>0</v>
      </c>
      <c r="I40" s="18" t="str">
        <f aca="false">IFERROR(__xludf.dummyfunction("REGEXEXTRACT(ADDRESS(ROW(), 24+$H40), ""[A-Z]+"")"),"X")</f>
        <v>X</v>
      </c>
      <c r="J40" s="18" t="str">
        <f aca="false">IFERROR(__xludf.dummyfunction("REGEXEXTRACT(ADDRESS(ROW(), 30+$H40), ""[A-Z]+"")"),"AD")</f>
        <v>AD</v>
      </c>
      <c r="K40" s="18" t="str">
        <f aca="false">IFERROR(__xludf.dummyfunction("REGEXEXTRACT(ADDRESS(ROW(), 36+$H40), ""[A-Z]+"")"),"AJ")</f>
        <v>AJ</v>
      </c>
      <c r="L40" s="18" t="str">
        <f aca="false">IFERROR(__xludf.dummyfunction("REGEXEXTRACT(ADDRESS(ROW(), 42+$H40), ""[A-Z]+"")"),"AP")</f>
        <v>AP</v>
      </c>
      <c r="M40" s="18" t="str">
        <f aca="false">IFERROR(__xludf.dummyfunction("REGEXEXTRACT(ADDRESS(ROW(), 48+$H40), ""[A-Z]+"")"),"AV")</f>
        <v>AV</v>
      </c>
      <c r="N40" s="18" t="str">
        <f aca="false">IFERROR(__xludf.dummyfunction("REGEXEXTRACT(ADDRESS(ROW(), 50+$H40), ""[A-Z]+"")"),"AX")</f>
        <v>AX</v>
      </c>
      <c r="O40" s="18" t="str">
        <f aca="false">IFERROR(__xludf.dummyfunction("REGEXEXTRACT(ADDRESS(ROW(), 51+$H40), ""[A-Z]+"")"),"AY")</f>
        <v>AY</v>
      </c>
      <c r="P40" s="18" t="str">
        <f aca="false">IFERROR(__xludf.dummyfunction("REGEXEXTRACT(ADDRESS(ROW(), 54+$H40), ""[A-Z]+"")"),"BB")</f>
        <v>BB</v>
      </c>
      <c r="Q40" s="18" t="str">
        <f aca="false">IFERROR(__xludf.dummyfunction("REGEXEXTRACT(ADDRESS(ROW(), 59+$H40), ""[A-Z]+"")"),"BG")</f>
        <v>BG</v>
      </c>
      <c r="R40" s="18" t="str">
        <f aca="false">IFERROR(__xludf.dummyfunction("REGEXEXTRACT(ADDRESS(ROW(), 60+$H40), ""[A-Z]+"")"),"BH")</f>
        <v>BH</v>
      </c>
      <c r="S40" s="18" t="str">
        <f aca="false">IFERROR(__xludf.dummyfunction("REGEXEXTRACT(ADDRESS(ROW(), 62+$H40), ""[A-Z]+"")"),"BJ")</f>
        <v>BJ</v>
      </c>
      <c r="T40" s="18" t="str">
        <f aca="false">IFERROR(__xludf.dummyfunction("REGEXEXTRACT(ADDRESS(ROW(), 63+$H40), ""[A-Z]+"")"),"BK")</f>
        <v>BK</v>
      </c>
      <c r="U40" s="19" t="n">
        <f aca="false">IFERROR(__xludf.dummyfunction("IFERROR(QUERY(INDIRECT(""'""&amp;F40&amp;""'!C3:""&amp;T40&amp;""""), ""SELECT ""&amp;I40&amp;"", ""&amp;J40&amp;"", ""&amp;K40&amp;"", ""&amp;L40&amp;"", ""&amp;M40&amp;"", ""&amp;N40&amp;"", ""&amp;O40&amp;"", ""&amp;P40&amp;"", ""&amp;Q40&amp;"", ""&amp;R40&amp;"", ""&amp;S40&amp;"" WHERE '""&amp;B40&amp;""' = D"", 0), """")"),7)</f>
        <v>7</v>
      </c>
      <c r="V40" s="22" t="n">
        <f aca="false">IFERROR(__xludf.dummyfunction("""COMPUTED_VALUE"""),8)</f>
        <v>8</v>
      </c>
      <c r="W40" s="22"/>
      <c r="X40" s="22"/>
      <c r="Y40" s="22" t="n">
        <f aca="false">IFERROR(__xludf.dummyfunction("""COMPUTED_VALUE"""),0)</f>
        <v>0</v>
      </c>
      <c r="Z40" s="22" t="n">
        <f aca="false">IFERROR(__xludf.dummyfunction("""COMPUTED_VALUE"""),1)</f>
        <v>1</v>
      </c>
      <c r="AA40" s="22"/>
      <c r="AB40" s="22" t="n">
        <f aca="false">IFERROR(__xludf.dummyfunction("""COMPUTED_VALUE"""),0)</f>
        <v>0</v>
      </c>
      <c r="AC40" s="22"/>
      <c r="AD40" s="23"/>
      <c r="AE40" s="24" t="n">
        <f aca="false">IFERROR(__xludf.dummyfunction("""COMPUTED_VALUE"""),16)</f>
        <v>16</v>
      </c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</row>
    <row r="41" customFormat="false" ht="18.65" hidden="false" customHeight="false" outlineLevel="0" collapsed="false">
      <c r="A41" s="13" t="n">
        <v>40</v>
      </c>
      <c r="B41" s="14" t="s">
        <v>100</v>
      </c>
      <c r="C41" s="15" t="s">
        <v>101</v>
      </c>
      <c r="D41" s="16" t="s">
        <v>21</v>
      </c>
      <c r="E41" s="16" t="s">
        <v>21</v>
      </c>
      <c r="F41" s="16" t="str">
        <f aca="false">REPLACE(E41, 1, 3, "")</f>
        <v>32</v>
      </c>
      <c r="G41" s="17" t="str">
        <f aca="true">IFERROR(VLOOKUP(B41,INDIRECT("'"&amp;F41&amp;"'!D3:D"),1,FALSE()), "Not found")</f>
        <v>Not found</v>
      </c>
      <c r="H41" s="18" t="n">
        <f aca="true">INDIRECT("'"&amp;F41&amp;"'!D1")</f>
        <v>0</v>
      </c>
      <c r="I41" s="18" t="str">
        <f aca="false">IFERROR(__xludf.dummyfunction("REGEXEXTRACT(ADDRESS(ROW(), 24+$H41), ""[A-Z]+"")"),"X")</f>
        <v>X</v>
      </c>
      <c r="J41" s="18" t="str">
        <f aca="false">IFERROR(__xludf.dummyfunction("REGEXEXTRACT(ADDRESS(ROW(), 30+$H41), ""[A-Z]+"")"),"AD")</f>
        <v>AD</v>
      </c>
      <c r="K41" s="18" t="str">
        <f aca="false">IFERROR(__xludf.dummyfunction("REGEXEXTRACT(ADDRESS(ROW(), 36+$H41), ""[A-Z]+"")"),"AJ")</f>
        <v>AJ</v>
      </c>
      <c r="L41" s="18" t="str">
        <f aca="false">IFERROR(__xludf.dummyfunction("REGEXEXTRACT(ADDRESS(ROW(), 42+$H41), ""[A-Z]+"")"),"AP")</f>
        <v>AP</v>
      </c>
      <c r="M41" s="18" t="str">
        <f aca="false">IFERROR(__xludf.dummyfunction("REGEXEXTRACT(ADDRESS(ROW(), 48+$H41), ""[A-Z]+"")"),"AV")</f>
        <v>AV</v>
      </c>
      <c r="N41" s="18" t="str">
        <f aca="false">IFERROR(__xludf.dummyfunction("REGEXEXTRACT(ADDRESS(ROW(), 50+$H41), ""[A-Z]+"")"),"AX")</f>
        <v>AX</v>
      </c>
      <c r="O41" s="18" t="str">
        <f aca="false">IFERROR(__xludf.dummyfunction("REGEXEXTRACT(ADDRESS(ROW(), 51+$H41), ""[A-Z]+"")"),"AY")</f>
        <v>AY</v>
      </c>
      <c r="P41" s="18" t="str">
        <f aca="false">IFERROR(__xludf.dummyfunction("REGEXEXTRACT(ADDRESS(ROW(), 54+$H41), ""[A-Z]+"")"),"BB")</f>
        <v>BB</v>
      </c>
      <c r="Q41" s="18" t="str">
        <f aca="false">IFERROR(__xludf.dummyfunction("REGEXEXTRACT(ADDRESS(ROW(), 59+$H41), ""[A-Z]+"")"),"BG")</f>
        <v>BG</v>
      </c>
      <c r="R41" s="18" t="str">
        <f aca="false">IFERROR(__xludf.dummyfunction("REGEXEXTRACT(ADDRESS(ROW(), 60+$H41), ""[A-Z]+"")"),"BH")</f>
        <v>BH</v>
      </c>
      <c r="S41" s="18" t="str">
        <f aca="false">IFERROR(__xludf.dummyfunction("REGEXEXTRACT(ADDRESS(ROW(), 62+$H41), ""[A-Z]+"")"),"BJ")</f>
        <v>BJ</v>
      </c>
      <c r="T41" s="18" t="str">
        <f aca="false">IFERROR(__xludf.dummyfunction("REGEXEXTRACT(ADDRESS(ROW(), 63+$H41), ""[A-Z]+"")"),"BK")</f>
        <v>BK</v>
      </c>
      <c r="U41" s="19" t="n">
        <f aca="false">IFERROR(__xludf.dummyfunction("IFERROR(QUERY(INDIRECT(""'""&amp;F41&amp;""'!C3:""&amp;T41&amp;""""), ""SELECT ""&amp;I41&amp;"", ""&amp;J41&amp;"", ""&amp;K41&amp;"", ""&amp;L41&amp;"", ""&amp;M41&amp;"", ""&amp;N41&amp;"", ""&amp;O41&amp;"", ""&amp;P41&amp;"", ""&amp;Q41&amp;"", ""&amp;R41&amp;"", ""&amp;S41&amp;"" WHERE '""&amp;B41&amp;""' = D"", 0), """")"),9.6)</f>
        <v>9.6</v>
      </c>
      <c r="V41" s="22" t="n">
        <f aca="false">IFERROR(__xludf.dummyfunction("""COMPUTED_VALUE"""),9.5)</f>
        <v>9.5</v>
      </c>
      <c r="W41" s="22" t="n">
        <f aca="false">IFERROR(__xludf.dummyfunction("""COMPUTED_VALUE"""),9.5)</f>
        <v>9.5</v>
      </c>
      <c r="X41" s="22" t="n">
        <f aca="false">IFERROR(__xludf.dummyfunction("""COMPUTED_VALUE"""),9.6)</f>
        <v>9.6</v>
      </c>
      <c r="Y41" s="22" t="n">
        <f aca="false">IFERROR(__xludf.dummyfunction("""COMPUTED_VALUE"""),0)</f>
        <v>0</v>
      </c>
      <c r="Z41" s="22" t="n">
        <f aca="false">IFERROR(__xludf.dummyfunction("""COMPUTED_VALUE"""),0)</f>
        <v>0</v>
      </c>
      <c r="AA41" s="22"/>
      <c r="AB41" s="22" t="n">
        <f aca="false">IFERROR(__xludf.dummyfunction("""COMPUTED_VALUE"""),6)</f>
        <v>6</v>
      </c>
      <c r="AC41" s="22" t="n">
        <f aca="false">IFERROR(__xludf.dummyfunction("""COMPUTED_VALUE"""),22)</f>
        <v>22</v>
      </c>
      <c r="AD41" s="23" t="n">
        <f aca="false">IFERROR(__xludf.dummyfunction("""COMPUTED_VALUE"""),1)</f>
        <v>1</v>
      </c>
      <c r="AE41" s="24" t="n">
        <f aca="false">IFERROR(__xludf.dummyfunction("""COMPUTED_VALUE"""),67.2)</f>
        <v>67.2</v>
      </c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</row>
    <row r="42" customFormat="false" ht="18.65" hidden="false" customHeight="false" outlineLevel="0" collapsed="false">
      <c r="A42" s="13" t="n">
        <v>41</v>
      </c>
      <c r="B42" s="14" t="s">
        <v>102</v>
      </c>
      <c r="C42" s="15" t="s">
        <v>103</v>
      </c>
      <c r="D42" s="16" t="s">
        <v>21</v>
      </c>
      <c r="E42" s="16" t="s">
        <v>21</v>
      </c>
      <c r="F42" s="16" t="str">
        <f aca="false">REPLACE(E42, 1, 3, "")</f>
        <v>32</v>
      </c>
      <c r="G42" s="17" t="str">
        <f aca="true">IFERROR(VLOOKUP(B42,INDIRECT("'"&amp;F42&amp;"'!D3:D"),1,FALSE()), "Not found")</f>
        <v>Not found</v>
      </c>
      <c r="H42" s="18" t="n">
        <f aca="true">INDIRECT("'"&amp;F42&amp;"'!D1")</f>
        <v>0</v>
      </c>
      <c r="I42" s="18" t="str">
        <f aca="false">IFERROR(__xludf.dummyfunction("REGEXEXTRACT(ADDRESS(ROW(), 24+$H42), ""[A-Z]+"")"),"X")</f>
        <v>X</v>
      </c>
      <c r="J42" s="18" t="str">
        <f aca="false">IFERROR(__xludf.dummyfunction("REGEXEXTRACT(ADDRESS(ROW(), 30+$H42), ""[A-Z]+"")"),"AD")</f>
        <v>AD</v>
      </c>
      <c r="K42" s="18" t="str">
        <f aca="false">IFERROR(__xludf.dummyfunction("REGEXEXTRACT(ADDRESS(ROW(), 36+$H42), ""[A-Z]+"")"),"AJ")</f>
        <v>AJ</v>
      </c>
      <c r="L42" s="18" t="str">
        <f aca="false">IFERROR(__xludf.dummyfunction("REGEXEXTRACT(ADDRESS(ROW(), 42+$H42), ""[A-Z]+"")"),"AP")</f>
        <v>AP</v>
      </c>
      <c r="M42" s="18" t="str">
        <f aca="false">IFERROR(__xludf.dummyfunction("REGEXEXTRACT(ADDRESS(ROW(), 48+$H42), ""[A-Z]+"")"),"AV")</f>
        <v>AV</v>
      </c>
      <c r="N42" s="18" t="str">
        <f aca="false">IFERROR(__xludf.dummyfunction("REGEXEXTRACT(ADDRESS(ROW(), 50+$H42), ""[A-Z]+"")"),"AX")</f>
        <v>AX</v>
      </c>
      <c r="O42" s="18" t="str">
        <f aca="false">IFERROR(__xludf.dummyfunction("REGEXEXTRACT(ADDRESS(ROW(), 51+$H42), ""[A-Z]+"")"),"AY")</f>
        <v>AY</v>
      </c>
      <c r="P42" s="18" t="str">
        <f aca="false">IFERROR(__xludf.dummyfunction("REGEXEXTRACT(ADDRESS(ROW(), 54+$H42), ""[A-Z]+"")"),"BB")</f>
        <v>BB</v>
      </c>
      <c r="Q42" s="18" t="str">
        <f aca="false">IFERROR(__xludf.dummyfunction("REGEXEXTRACT(ADDRESS(ROW(), 59+$H42), ""[A-Z]+"")"),"BG")</f>
        <v>BG</v>
      </c>
      <c r="R42" s="18" t="str">
        <f aca="false">IFERROR(__xludf.dummyfunction("REGEXEXTRACT(ADDRESS(ROW(), 60+$H42), ""[A-Z]+"")"),"BH")</f>
        <v>BH</v>
      </c>
      <c r="S42" s="18" t="str">
        <f aca="false">IFERROR(__xludf.dummyfunction("REGEXEXTRACT(ADDRESS(ROW(), 62+$H42), ""[A-Z]+"")"),"BJ")</f>
        <v>BJ</v>
      </c>
      <c r="T42" s="18" t="str">
        <f aca="false">IFERROR(__xludf.dummyfunction("REGEXEXTRACT(ADDRESS(ROW(), 63+$H42), ""[A-Z]+"")"),"BK")</f>
        <v>BK</v>
      </c>
      <c r="U42" s="19" t="n">
        <f aca="false">IFERROR(__xludf.dummyfunction("IFERROR(QUERY(INDIRECT(""'""&amp;F42&amp;""'!C3:""&amp;T42&amp;""""), ""SELECT ""&amp;I42&amp;"", ""&amp;J42&amp;"", ""&amp;K42&amp;"", ""&amp;L42&amp;"", ""&amp;M42&amp;"", ""&amp;N42&amp;"", ""&amp;O42&amp;"", ""&amp;P42&amp;"", ""&amp;Q42&amp;"", ""&amp;R42&amp;"", ""&amp;S42&amp;"" WHERE '""&amp;B42&amp;""' = D"", 0), """")"),8)</f>
        <v>8</v>
      </c>
      <c r="V42" s="22" t="n">
        <f aca="false">IFERROR(__xludf.dummyfunction("""COMPUTED_VALUE"""),10)</f>
        <v>10</v>
      </c>
      <c r="W42" s="22" t="n">
        <f aca="false">IFERROR(__xludf.dummyfunction("""COMPUTED_VALUE"""),10)</f>
        <v>10</v>
      </c>
      <c r="X42" s="22" t="n">
        <f aca="false">IFERROR(__xludf.dummyfunction("""COMPUTED_VALUE"""),8.5)</f>
        <v>8.5</v>
      </c>
      <c r="Y42" s="22" t="n">
        <f aca="false">IFERROR(__xludf.dummyfunction("""COMPUTED_VALUE"""),0)</f>
        <v>0</v>
      </c>
      <c r="Z42" s="22" t="n">
        <f aca="false">IFERROR(__xludf.dummyfunction("""COMPUTED_VALUE"""),0)</f>
        <v>0</v>
      </c>
      <c r="AA42" s="22"/>
      <c r="AB42" s="22" t="n">
        <f aca="false">IFERROR(__xludf.dummyfunction("""COMPUTED_VALUE"""),6)</f>
        <v>6</v>
      </c>
      <c r="AC42" s="22" t="n">
        <f aca="false">IFERROR(__xludf.dummyfunction("""COMPUTED_VALUE"""),0)</f>
        <v>0</v>
      </c>
      <c r="AD42" s="23"/>
      <c r="AE42" s="24" t="n">
        <f aca="false">IFERROR(__xludf.dummyfunction("""COMPUTED_VALUE"""),42.5)</f>
        <v>42.5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</row>
    <row r="43" customFormat="false" ht="18.65" hidden="false" customHeight="false" outlineLevel="0" collapsed="false">
      <c r="A43" s="13" t="n">
        <v>42</v>
      </c>
      <c r="B43" s="14" t="s">
        <v>104</v>
      </c>
      <c r="C43" s="15" t="s">
        <v>105</v>
      </c>
      <c r="D43" s="16" t="s">
        <v>21</v>
      </c>
      <c r="E43" s="16" t="s">
        <v>21</v>
      </c>
      <c r="F43" s="16" t="str">
        <f aca="false">REPLACE(E43, 1, 3, "")</f>
        <v>32</v>
      </c>
      <c r="G43" s="17" t="str">
        <f aca="true">IFERROR(VLOOKUP(B43,INDIRECT("'"&amp;F43&amp;"'!D3:D"),1,FALSE()), "Not found")</f>
        <v>Not found</v>
      </c>
      <c r="H43" s="18" t="n">
        <f aca="true">INDIRECT("'"&amp;F43&amp;"'!D1")</f>
        <v>0</v>
      </c>
      <c r="I43" s="18" t="str">
        <f aca="false">IFERROR(__xludf.dummyfunction("REGEXEXTRACT(ADDRESS(ROW(), 24+$H43), ""[A-Z]+"")"),"X")</f>
        <v>X</v>
      </c>
      <c r="J43" s="18" t="str">
        <f aca="false">IFERROR(__xludf.dummyfunction("REGEXEXTRACT(ADDRESS(ROW(), 30+$H43), ""[A-Z]+"")"),"AD")</f>
        <v>AD</v>
      </c>
      <c r="K43" s="18" t="str">
        <f aca="false">IFERROR(__xludf.dummyfunction("REGEXEXTRACT(ADDRESS(ROW(), 36+$H43), ""[A-Z]+"")"),"AJ")</f>
        <v>AJ</v>
      </c>
      <c r="L43" s="18" t="str">
        <f aca="false">IFERROR(__xludf.dummyfunction("REGEXEXTRACT(ADDRESS(ROW(), 42+$H43), ""[A-Z]+"")"),"AP")</f>
        <v>AP</v>
      </c>
      <c r="M43" s="18" t="str">
        <f aca="false">IFERROR(__xludf.dummyfunction("REGEXEXTRACT(ADDRESS(ROW(), 48+$H43), ""[A-Z]+"")"),"AV")</f>
        <v>AV</v>
      </c>
      <c r="N43" s="18" t="str">
        <f aca="false">IFERROR(__xludf.dummyfunction("REGEXEXTRACT(ADDRESS(ROW(), 50+$H43), ""[A-Z]+"")"),"AX")</f>
        <v>AX</v>
      </c>
      <c r="O43" s="18" t="str">
        <f aca="false">IFERROR(__xludf.dummyfunction("REGEXEXTRACT(ADDRESS(ROW(), 51+$H43), ""[A-Z]+"")"),"AY")</f>
        <v>AY</v>
      </c>
      <c r="P43" s="18" t="str">
        <f aca="false">IFERROR(__xludf.dummyfunction("REGEXEXTRACT(ADDRESS(ROW(), 54+$H43), ""[A-Z]+"")"),"BB")</f>
        <v>BB</v>
      </c>
      <c r="Q43" s="18" t="str">
        <f aca="false">IFERROR(__xludf.dummyfunction("REGEXEXTRACT(ADDRESS(ROW(), 59+$H43), ""[A-Z]+"")"),"BG")</f>
        <v>BG</v>
      </c>
      <c r="R43" s="18" t="str">
        <f aca="false">IFERROR(__xludf.dummyfunction("REGEXEXTRACT(ADDRESS(ROW(), 60+$H43), ""[A-Z]+"")"),"BH")</f>
        <v>BH</v>
      </c>
      <c r="S43" s="18" t="str">
        <f aca="false">IFERROR(__xludf.dummyfunction("REGEXEXTRACT(ADDRESS(ROW(), 62+$H43), ""[A-Z]+"")"),"BJ")</f>
        <v>BJ</v>
      </c>
      <c r="T43" s="18" t="str">
        <f aca="false">IFERROR(__xludf.dummyfunction("REGEXEXTRACT(ADDRESS(ROW(), 63+$H43), ""[A-Z]+"")"),"BK")</f>
        <v>BK</v>
      </c>
      <c r="U43" s="19" t="n">
        <f aca="false">IFERROR(__xludf.dummyfunction("IFERROR(QUERY(INDIRECT(""'""&amp;F43&amp;""'!C3:""&amp;T43&amp;""""), ""SELECT ""&amp;I43&amp;"", ""&amp;J43&amp;"", ""&amp;K43&amp;"", ""&amp;L43&amp;"", ""&amp;M43&amp;"", ""&amp;N43&amp;"", ""&amp;O43&amp;"", ""&amp;P43&amp;"", ""&amp;Q43&amp;"", ""&amp;R43&amp;"", ""&amp;S43&amp;"" WHERE '""&amp;B43&amp;""' = D"", 0), """")"),9.7)</f>
        <v>9.7</v>
      </c>
      <c r="V43" s="22" t="n">
        <f aca="false">IFERROR(__xludf.dummyfunction("""COMPUTED_VALUE"""),9.8)</f>
        <v>9.8</v>
      </c>
      <c r="W43" s="22" t="n">
        <f aca="false">IFERROR(__xludf.dummyfunction("""COMPUTED_VALUE"""),9.8)</f>
        <v>9.8</v>
      </c>
      <c r="X43" s="22" t="n">
        <f aca="false">IFERROR(__xludf.dummyfunction("""COMPUTED_VALUE"""),9.7)</f>
        <v>9.7</v>
      </c>
      <c r="Y43" s="22" t="n">
        <f aca="false">IFERROR(__xludf.dummyfunction("""COMPUTED_VALUE"""),10)</f>
        <v>10</v>
      </c>
      <c r="Z43" s="22" t="n">
        <f aca="false">IFERROR(__xludf.dummyfunction("""COMPUTED_VALUE"""),0)</f>
        <v>0</v>
      </c>
      <c r="AA43" s="22"/>
      <c r="AB43" s="22" t="n">
        <f aca="false">IFERROR(__xludf.dummyfunction("""COMPUTED_VALUE"""),9.5)</f>
        <v>9.5</v>
      </c>
      <c r="AC43" s="22" t="n">
        <f aca="false">IFERROR(__xludf.dummyfunction("""COMPUTED_VALUE"""),20)</f>
        <v>20</v>
      </c>
      <c r="AD43" s="23"/>
      <c r="AE43" s="24" t="n">
        <f aca="false">IFERROR(__xludf.dummyfunction("""COMPUTED_VALUE"""),78.5)</f>
        <v>78.5</v>
      </c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</row>
    <row r="44" customFormat="false" ht="18.65" hidden="false" customHeight="false" outlineLevel="0" collapsed="false">
      <c r="A44" s="13" t="n">
        <v>43</v>
      </c>
      <c r="B44" s="14" t="s">
        <v>106</v>
      </c>
      <c r="C44" s="15" t="s">
        <v>107</v>
      </c>
      <c r="D44" s="16" t="s">
        <v>39</v>
      </c>
      <c r="E44" s="16" t="s">
        <v>39</v>
      </c>
      <c r="F44" s="16" t="str">
        <f aca="false">REPLACE(E44, 1, 3, "")</f>
        <v>31</v>
      </c>
      <c r="G44" s="17" t="str">
        <f aca="true">IFERROR(VLOOKUP(B44,INDIRECT("'"&amp;F44&amp;"'!D3:D"),1,FALSE()), "Not found")</f>
        <v>Not found</v>
      </c>
      <c r="H44" s="18" t="n">
        <f aca="true">INDIRECT("'"&amp;F44&amp;"'!D1")</f>
        <v>0</v>
      </c>
      <c r="I44" s="18" t="str">
        <f aca="false">IFERROR(__xludf.dummyfunction("REGEXEXTRACT(ADDRESS(ROW(), 24+$H44), ""[A-Z]+"")"),"X")</f>
        <v>X</v>
      </c>
      <c r="J44" s="18" t="str">
        <f aca="false">IFERROR(__xludf.dummyfunction("REGEXEXTRACT(ADDRESS(ROW(), 30+$H44), ""[A-Z]+"")"),"AD")</f>
        <v>AD</v>
      </c>
      <c r="K44" s="18" t="str">
        <f aca="false">IFERROR(__xludf.dummyfunction("REGEXEXTRACT(ADDRESS(ROW(), 36+$H44), ""[A-Z]+"")"),"AJ")</f>
        <v>AJ</v>
      </c>
      <c r="L44" s="18" t="str">
        <f aca="false">IFERROR(__xludf.dummyfunction("REGEXEXTRACT(ADDRESS(ROW(), 42+$H44), ""[A-Z]+"")"),"AP")</f>
        <v>AP</v>
      </c>
      <c r="M44" s="18" t="str">
        <f aca="false">IFERROR(__xludf.dummyfunction("REGEXEXTRACT(ADDRESS(ROW(), 48+$H44), ""[A-Z]+"")"),"AV")</f>
        <v>AV</v>
      </c>
      <c r="N44" s="18" t="str">
        <f aca="false">IFERROR(__xludf.dummyfunction("REGEXEXTRACT(ADDRESS(ROW(), 50+$H44), ""[A-Z]+"")"),"AX")</f>
        <v>AX</v>
      </c>
      <c r="O44" s="18" t="str">
        <f aca="false">IFERROR(__xludf.dummyfunction("REGEXEXTRACT(ADDRESS(ROW(), 51+$H44), ""[A-Z]+"")"),"AY")</f>
        <v>AY</v>
      </c>
      <c r="P44" s="18" t="str">
        <f aca="false">IFERROR(__xludf.dummyfunction("REGEXEXTRACT(ADDRESS(ROW(), 54+$H44), ""[A-Z]+"")"),"BB")</f>
        <v>BB</v>
      </c>
      <c r="Q44" s="18" t="str">
        <f aca="false">IFERROR(__xludf.dummyfunction("REGEXEXTRACT(ADDRESS(ROW(), 59+$H44), ""[A-Z]+"")"),"BG")</f>
        <v>BG</v>
      </c>
      <c r="R44" s="18" t="str">
        <f aca="false">IFERROR(__xludf.dummyfunction("REGEXEXTRACT(ADDRESS(ROW(), 60+$H44), ""[A-Z]+"")"),"BH")</f>
        <v>BH</v>
      </c>
      <c r="S44" s="18" t="str">
        <f aca="false">IFERROR(__xludf.dummyfunction("REGEXEXTRACT(ADDRESS(ROW(), 62+$H44), ""[A-Z]+"")"),"BJ")</f>
        <v>BJ</v>
      </c>
      <c r="T44" s="18" t="str">
        <f aca="false">IFERROR(__xludf.dummyfunction("REGEXEXTRACT(ADDRESS(ROW(), 63+$H44), ""[A-Z]+"")"),"BK")</f>
        <v>BK</v>
      </c>
      <c r="U44" s="19" t="n">
        <f aca="false">IFERROR(__xludf.dummyfunction("IFERROR(QUERY(INDIRECT(""'""&amp;F44&amp;""'!C3:""&amp;T44&amp;""""), ""SELECT ""&amp;I44&amp;"", ""&amp;J44&amp;"", ""&amp;K44&amp;"", ""&amp;L44&amp;"", ""&amp;M44&amp;"", ""&amp;N44&amp;"", ""&amp;O44&amp;"", ""&amp;P44&amp;"", ""&amp;Q44&amp;"", ""&amp;R44&amp;"", ""&amp;S44&amp;"" WHERE '""&amp;B44&amp;""' = D"", 0), """")"),10)</f>
        <v>10</v>
      </c>
      <c r="V44" s="22" t="n">
        <f aca="false">IFERROR(__xludf.dummyfunction("""COMPUTED_VALUE"""),9)</f>
        <v>9</v>
      </c>
      <c r="W44" s="22" t="n">
        <f aca="false">IFERROR(__xludf.dummyfunction("""COMPUTED_VALUE"""),10)</f>
        <v>10</v>
      </c>
      <c r="X44" s="22" t="n">
        <f aca="false">IFERROR(__xludf.dummyfunction("""COMPUTED_VALUE"""),10)</f>
        <v>10</v>
      </c>
      <c r="Y44" s="22" t="n">
        <f aca="false">IFERROR(__xludf.dummyfunction("""COMPUTED_VALUE"""),0)</f>
        <v>0</v>
      </c>
      <c r="Z44" s="22"/>
      <c r="AA44" s="22"/>
      <c r="AB44" s="22" t="n">
        <f aca="false">IFERROR(__xludf.dummyfunction("""COMPUTED_VALUE"""),6)</f>
        <v>6</v>
      </c>
      <c r="AC44" s="22" t="n">
        <f aca="false">IFERROR(__xludf.dummyfunction("""COMPUTED_VALUE"""),29)</f>
        <v>29</v>
      </c>
      <c r="AD44" s="23" t="n">
        <f aca="false">IFERROR(__xludf.dummyfunction("""COMPUTED_VALUE"""),1)</f>
        <v>1</v>
      </c>
      <c r="AE44" s="24" t="n">
        <f aca="false">IFERROR(__xludf.dummyfunction("""COMPUTED_VALUE"""),75)</f>
        <v>75</v>
      </c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customFormat="false" ht="18.65" hidden="false" customHeight="false" outlineLevel="0" collapsed="false">
      <c r="A45" s="13" t="n">
        <v>44</v>
      </c>
      <c r="B45" s="14" t="s">
        <v>108</v>
      </c>
      <c r="C45" s="15" t="s">
        <v>109</v>
      </c>
      <c r="D45" s="16" t="s">
        <v>39</v>
      </c>
      <c r="E45" s="16" t="s">
        <v>39</v>
      </c>
      <c r="F45" s="16" t="str">
        <f aca="false">REPLACE(E45, 1, 3, "")</f>
        <v>31</v>
      </c>
      <c r="G45" s="17" t="str">
        <f aca="true">IFERROR(VLOOKUP(B45,INDIRECT("'"&amp;F45&amp;"'!D3:D"),1,FALSE()), "Not found")</f>
        <v>Not found</v>
      </c>
      <c r="H45" s="18" t="n">
        <f aca="true">INDIRECT("'"&amp;F45&amp;"'!D1")</f>
        <v>0</v>
      </c>
      <c r="I45" s="18" t="str">
        <f aca="false">IFERROR(__xludf.dummyfunction("REGEXEXTRACT(ADDRESS(ROW(), 24+$H45), ""[A-Z]+"")"),"X")</f>
        <v>X</v>
      </c>
      <c r="J45" s="18" t="str">
        <f aca="false">IFERROR(__xludf.dummyfunction("REGEXEXTRACT(ADDRESS(ROW(), 30+$H45), ""[A-Z]+"")"),"AD")</f>
        <v>AD</v>
      </c>
      <c r="K45" s="18" t="str">
        <f aca="false">IFERROR(__xludf.dummyfunction("REGEXEXTRACT(ADDRESS(ROW(), 36+$H45), ""[A-Z]+"")"),"AJ")</f>
        <v>AJ</v>
      </c>
      <c r="L45" s="18" t="str">
        <f aca="false">IFERROR(__xludf.dummyfunction("REGEXEXTRACT(ADDRESS(ROW(), 42+$H45), ""[A-Z]+"")"),"AP")</f>
        <v>AP</v>
      </c>
      <c r="M45" s="18" t="str">
        <f aca="false">IFERROR(__xludf.dummyfunction("REGEXEXTRACT(ADDRESS(ROW(), 48+$H45), ""[A-Z]+"")"),"AV")</f>
        <v>AV</v>
      </c>
      <c r="N45" s="18" t="str">
        <f aca="false">IFERROR(__xludf.dummyfunction("REGEXEXTRACT(ADDRESS(ROW(), 50+$H45), ""[A-Z]+"")"),"AX")</f>
        <v>AX</v>
      </c>
      <c r="O45" s="18" t="str">
        <f aca="false">IFERROR(__xludf.dummyfunction("REGEXEXTRACT(ADDRESS(ROW(), 51+$H45), ""[A-Z]+"")"),"AY")</f>
        <v>AY</v>
      </c>
      <c r="P45" s="18" t="str">
        <f aca="false">IFERROR(__xludf.dummyfunction("REGEXEXTRACT(ADDRESS(ROW(), 54+$H45), ""[A-Z]+"")"),"BB")</f>
        <v>BB</v>
      </c>
      <c r="Q45" s="18" t="str">
        <f aca="false">IFERROR(__xludf.dummyfunction("REGEXEXTRACT(ADDRESS(ROW(), 59+$H45), ""[A-Z]+"")"),"BG")</f>
        <v>BG</v>
      </c>
      <c r="R45" s="18" t="str">
        <f aca="false">IFERROR(__xludf.dummyfunction("REGEXEXTRACT(ADDRESS(ROW(), 60+$H45), ""[A-Z]+"")"),"BH")</f>
        <v>BH</v>
      </c>
      <c r="S45" s="18" t="str">
        <f aca="false">IFERROR(__xludf.dummyfunction("REGEXEXTRACT(ADDRESS(ROW(), 62+$H45), ""[A-Z]+"")"),"BJ")</f>
        <v>BJ</v>
      </c>
      <c r="T45" s="18" t="str">
        <f aca="false">IFERROR(__xludf.dummyfunction("REGEXEXTRACT(ADDRESS(ROW(), 63+$H45), ""[A-Z]+"")"),"BK")</f>
        <v>BK</v>
      </c>
      <c r="U45" s="19" t="n">
        <f aca="false">IFERROR(__xludf.dummyfunction("IFERROR(QUERY(INDIRECT(""'""&amp;F45&amp;""'!C3:""&amp;T45&amp;""""), ""SELECT ""&amp;I45&amp;"", ""&amp;J45&amp;"", ""&amp;K45&amp;"", ""&amp;L45&amp;"", ""&amp;M45&amp;"", ""&amp;N45&amp;"", ""&amp;O45&amp;"", ""&amp;P45&amp;"", ""&amp;Q45&amp;"", ""&amp;R45&amp;"", ""&amp;S45&amp;"" WHERE '""&amp;B45&amp;""' = D"", 0), """")"),9.5)</f>
        <v>9.5</v>
      </c>
      <c r="V45" s="22" t="n">
        <f aca="false">IFERROR(__xludf.dummyfunction("""COMPUTED_VALUE"""),10)</f>
        <v>10</v>
      </c>
      <c r="W45" s="22" t="n">
        <f aca="false">IFERROR(__xludf.dummyfunction("""COMPUTED_VALUE"""),10)</f>
        <v>10</v>
      </c>
      <c r="X45" s="22" t="n">
        <f aca="false">IFERROR(__xludf.dummyfunction("""COMPUTED_VALUE"""),9)</f>
        <v>9</v>
      </c>
      <c r="Y45" s="22" t="n">
        <f aca="false">IFERROR(__xludf.dummyfunction("""COMPUTED_VALUE"""),0)</f>
        <v>0</v>
      </c>
      <c r="Z45" s="22"/>
      <c r="AA45" s="22"/>
      <c r="AB45" s="22" t="n">
        <f aca="false">IFERROR(__xludf.dummyfunction("""COMPUTED_VALUE"""),7)</f>
        <v>7</v>
      </c>
      <c r="AC45" s="22"/>
      <c r="AD45" s="23"/>
      <c r="AE45" s="24" t="n">
        <f aca="false">IFERROR(__xludf.dummyfunction("""COMPUTED_VALUE"""),45.5)</f>
        <v>45.5</v>
      </c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</row>
    <row r="46" customFormat="false" ht="18.65" hidden="false" customHeight="false" outlineLevel="0" collapsed="false">
      <c r="A46" s="13" t="n">
        <v>45</v>
      </c>
      <c r="B46" s="14" t="s">
        <v>110</v>
      </c>
      <c r="C46" s="15" t="s">
        <v>111</v>
      </c>
      <c r="D46" s="16" t="s">
        <v>39</v>
      </c>
      <c r="E46" s="16" t="s">
        <v>39</v>
      </c>
      <c r="F46" s="16" t="str">
        <f aca="false">REPLACE(E46, 1, 3, "")</f>
        <v>31</v>
      </c>
      <c r="G46" s="17" t="str">
        <f aca="true">IFERROR(VLOOKUP(B46,INDIRECT("'"&amp;F46&amp;"'!D3:D"),1,FALSE()), "Not found")</f>
        <v>Not found</v>
      </c>
      <c r="H46" s="18" t="n">
        <f aca="true">INDIRECT("'"&amp;F46&amp;"'!D1")</f>
        <v>0</v>
      </c>
      <c r="I46" s="18" t="str">
        <f aca="false">IFERROR(__xludf.dummyfunction("REGEXEXTRACT(ADDRESS(ROW(), 24+$H46), ""[A-Z]+"")"),"X")</f>
        <v>X</v>
      </c>
      <c r="J46" s="18" t="str">
        <f aca="false">IFERROR(__xludf.dummyfunction("REGEXEXTRACT(ADDRESS(ROW(), 30+$H46), ""[A-Z]+"")"),"AD")</f>
        <v>AD</v>
      </c>
      <c r="K46" s="18" t="str">
        <f aca="false">IFERROR(__xludf.dummyfunction("REGEXEXTRACT(ADDRESS(ROW(), 36+$H46), ""[A-Z]+"")"),"AJ")</f>
        <v>AJ</v>
      </c>
      <c r="L46" s="18" t="str">
        <f aca="false">IFERROR(__xludf.dummyfunction("REGEXEXTRACT(ADDRESS(ROW(), 42+$H46), ""[A-Z]+"")"),"AP")</f>
        <v>AP</v>
      </c>
      <c r="M46" s="18" t="str">
        <f aca="false">IFERROR(__xludf.dummyfunction("REGEXEXTRACT(ADDRESS(ROW(), 48+$H46), ""[A-Z]+"")"),"AV")</f>
        <v>AV</v>
      </c>
      <c r="N46" s="18" t="str">
        <f aca="false">IFERROR(__xludf.dummyfunction("REGEXEXTRACT(ADDRESS(ROW(), 50+$H46), ""[A-Z]+"")"),"AX")</f>
        <v>AX</v>
      </c>
      <c r="O46" s="18" t="str">
        <f aca="false">IFERROR(__xludf.dummyfunction("REGEXEXTRACT(ADDRESS(ROW(), 51+$H46), ""[A-Z]+"")"),"AY")</f>
        <v>AY</v>
      </c>
      <c r="P46" s="18" t="str">
        <f aca="false">IFERROR(__xludf.dummyfunction("REGEXEXTRACT(ADDRESS(ROW(), 54+$H46), ""[A-Z]+"")"),"BB")</f>
        <v>BB</v>
      </c>
      <c r="Q46" s="18" t="str">
        <f aca="false">IFERROR(__xludf.dummyfunction("REGEXEXTRACT(ADDRESS(ROW(), 59+$H46), ""[A-Z]+"")"),"BG")</f>
        <v>BG</v>
      </c>
      <c r="R46" s="18" t="str">
        <f aca="false">IFERROR(__xludf.dummyfunction("REGEXEXTRACT(ADDRESS(ROW(), 60+$H46), ""[A-Z]+"")"),"BH")</f>
        <v>BH</v>
      </c>
      <c r="S46" s="18" t="str">
        <f aca="false">IFERROR(__xludf.dummyfunction("REGEXEXTRACT(ADDRESS(ROW(), 62+$H46), ""[A-Z]+"")"),"BJ")</f>
        <v>BJ</v>
      </c>
      <c r="T46" s="18" t="str">
        <f aca="false">IFERROR(__xludf.dummyfunction("REGEXEXTRACT(ADDRESS(ROW(), 63+$H46), ""[A-Z]+"")"),"BK")</f>
        <v>BK</v>
      </c>
      <c r="U46" s="19" t="n">
        <f aca="false">IFERROR(__xludf.dummyfunction("IFERROR(QUERY(INDIRECT(""'""&amp;F46&amp;""'!C3:""&amp;T46&amp;""""), ""SELECT ""&amp;I46&amp;"", ""&amp;J46&amp;"", ""&amp;K46&amp;"", ""&amp;L46&amp;"", ""&amp;M46&amp;"", ""&amp;N46&amp;"", ""&amp;O46&amp;"", ""&amp;P46&amp;"", ""&amp;Q46&amp;"", ""&amp;R46&amp;"", ""&amp;S46&amp;"" WHERE '""&amp;B46&amp;""' = D"", 0), """")"),10)</f>
        <v>10</v>
      </c>
      <c r="V46" s="22" t="n">
        <f aca="false">IFERROR(__xludf.dummyfunction("""COMPUTED_VALUE"""),10)</f>
        <v>10</v>
      </c>
      <c r="W46" s="22" t="n">
        <f aca="false">IFERROR(__xludf.dummyfunction("""COMPUTED_VALUE"""),8)</f>
        <v>8</v>
      </c>
      <c r="X46" s="22" t="n">
        <f aca="false">IFERROR(__xludf.dummyfunction("""COMPUTED_VALUE"""),10)</f>
        <v>10</v>
      </c>
      <c r="Y46" s="22" t="n">
        <f aca="false">IFERROR(__xludf.dummyfunction("""COMPUTED_VALUE"""),10)</f>
        <v>10</v>
      </c>
      <c r="Z46" s="22"/>
      <c r="AA46" s="22"/>
      <c r="AB46" s="22" t="n">
        <f aca="false">IFERROR(__xludf.dummyfunction("""COMPUTED_VALUE"""),7)</f>
        <v>7</v>
      </c>
      <c r="AC46" s="22" t="n">
        <f aca="false">IFERROR(__xludf.dummyfunction("""COMPUTED_VALUE"""),24)</f>
        <v>24</v>
      </c>
      <c r="AD46" s="23"/>
      <c r="AE46" s="24" t="n">
        <f aca="false">IFERROR(__xludf.dummyfunction("""COMPUTED_VALUE"""),79)</f>
        <v>79</v>
      </c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</row>
    <row r="47" customFormat="false" ht="18.65" hidden="false" customHeight="false" outlineLevel="0" collapsed="false">
      <c r="A47" s="13" t="n">
        <v>46</v>
      </c>
      <c r="B47" s="14" t="s">
        <v>112</v>
      </c>
      <c r="C47" s="15" t="s">
        <v>113</v>
      </c>
      <c r="D47" s="16" t="s">
        <v>24</v>
      </c>
      <c r="E47" s="16" t="s">
        <v>24</v>
      </c>
      <c r="F47" s="16" t="str">
        <f aca="false">REPLACE(E47, 1, 3, "")</f>
        <v>30</v>
      </c>
      <c r="G47" s="17" t="str">
        <f aca="true">IFERROR(VLOOKUP(B47,INDIRECT("'"&amp;F47&amp;"'!D3:D"),1,FALSE()), "Not found")</f>
        <v>Not found</v>
      </c>
      <c r="H47" s="18" t="n">
        <f aca="true">INDIRECT("'"&amp;F47&amp;"'!D1")</f>
        <v>0</v>
      </c>
      <c r="I47" s="18" t="str">
        <f aca="false">IFERROR(__xludf.dummyfunction("REGEXEXTRACT(ADDRESS(ROW(), 24+$H47), ""[A-Z]+"")"),"X")</f>
        <v>X</v>
      </c>
      <c r="J47" s="18" t="str">
        <f aca="false">IFERROR(__xludf.dummyfunction("REGEXEXTRACT(ADDRESS(ROW(), 30+$H47), ""[A-Z]+"")"),"AD")</f>
        <v>AD</v>
      </c>
      <c r="K47" s="18" t="str">
        <f aca="false">IFERROR(__xludf.dummyfunction("REGEXEXTRACT(ADDRESS(ROW(), 36+$H47), ""[A-Z]+"")"),"AJ")</f>
        <v>AJ</v>
      </c>
      <c r="L47" s="18" t="str">
        <f aca="false">IFERROR(__xludf.dummyfunction("REGEXEXTRACT(ADDRESS(ROW(), 42+$H47), ""[A-Z]+"")"),"AP")</f>
        <v>AP</v>
      </c>
      <c r="M47" s="18" t="str">
        <f aca="false">IFERROR(__xludf.dummyfunction("REGEXEXTRACT(ADDRESS(ROW(), 48+$H47), ""[A-Z]+"")"),"AV")</f>
        <v>AV</v>
      </c>
      <c r="N47" s="18" t="str">
        <f aca="false">IFERROR(__xludf.dummyfunction("REGEXEXTRACT(ADDRESS(ROW(), 50+$H47), ""[A-Z]+"")"),"AX")</f>
        <v>AX</v>
      </c>
      <c r="O47" s="18" t="str">
        <f aca="false">IFERROR(__xludf.dummyfunction("REGEXEXTRACT(ADDRESS(ROW(), 51+$H47), ""[A-Z]+"")"),"AY")</f>
        <v>AY</v>
      </c>
      <c r="P47" s="18" t="str">
        <f aca="false">IFERROR(__xludf.dummyfunction("REGEXEXTRACT(ADDRESS(ROW(), 54+$H47), ""[A-Z]+"")"),"BB")</f>
        <v>BB</v>
      </c>
      <c r="Q47" s="18" t="str">
        <f aca="false">IFERROR(__xludf.dummyfunction("REGEXEXTRACT(ADDRESS(ROW(), 59+$H47), ""[A-Z]+"")"),"BG")</f>
        <v>BG</v>
      </c>
      <c r="R47" s="18" t="str">
        <f aca="false">IFERROR(__xludf.dummyfunction("REGEXEXTRACT(ADDRESS(ROW(), 60+$H47), ""[A-Z]+"")"),"BH")</f>
        <v>BH</v>
      </c>
      <c r="S47" s="18" t="str">
        <f aca="false">IFERROR(__xludf.dummyfunction("REGEXEXTRACT(ADDRESS(ROW(), 62+$H47), ""[A-Z]+"")"),"BJ")</f>
        <v>BJ</v>
      </c>
      <c r="T47" s="18" t="str">
        <f aca="false">IFERROR(__xludf.dummyfunction("REGEXEXTRACT(ADDRESS(ROW(), 63+$H47), ""[A-Z]+"")"),"BK")</f>
        <v>BK</v>
      </c>
      <c r="U47" s="19" t="n">
        <f aca="false">IFERROR(__xludf.dummyfunction("IFERROR(QUERY(INDIRECT(""'""&amp;F47&amp;""'!C3:""&amp;T47&amp;""""), ""SELECT ""&amp;I47&amp;"", ""&amp;J47&amp;"", ""&amp;K47&amp;"", ""&amp;L47&amp;"", ""&amp;M47&amp;"", ""&amp;N47&amp;"", ""&amp;O47&amp;"", ""&amp;P47&amp;"", ""&amp;Q47&amp;"", ""&amp;R47&amp;"", ""&amp;S47&amp;"" WHERE '""&amp;B47&amp;""' = D"", 0), """")"),6.5)</f>
        <v>6.5</v>
      </c>
      <c r="V47" s="22" t="n">
        <f aca="false">IFERROR(__xludf.dummyfunction("""COMPUTED_VALUE"""),7.5)</f>
        <v>7.5</v>
      </c>
      <c r="W47" s="22" t="n">
        <f aca="false">IFERROR(__xludf.dummyfunction("""COMPUTED_VALUE"""),8)</f>
        <v>8</v>
      </c>
      <c r="X47" s="22" t="n">
        <f aca="false">IFERROR(__xludf.dummyfunction("""COMPUTED_VALUE"""),7)</f>
        <v>7</v>
      </c>
      <c r="Y47" s="22" t="n">
        <f aca="false">IFERROR(__xludf.dummyfunction("""COMPUTED_VALUE"""),0)</f>
        <v>0</v>
      </c>
      <c r="Z47" s="22"/>
      <c r="AA47" s="22"/>
      <c r="AB47" s="22" t="n">
        <f aca="false">IFERROR(__xludf.dummyfunction("""COMPUTED_VALUE"""),7)</f>
        <v>7</v>
      </c>
      <c r="AC47" s="22" t="n">
        <f aca="false">IFERROR(__xludf.dummyfunction("""COMPUTED_VALUE"""),26)</f>
        <v>26</v>
      </c>
      <c r="AD47" s="23"/>
      <c r="AE47" s="24" t="n">
        <f aca="false">IFERROR(__xludf.dummyfunction("""COMPUTED_VALUE"""),62)</f>
        <v>62</v>
      </c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</row>
    <row r="48" customFormat="false" ht="18.65" hidden="false" customHeight="false" outlineLevel="0" collapsed="false">
      <c r="A48" s="13" t="n">
        <v>47</v>
      </c>
      <c r="B48" s="14" t="s">
        <v>114</v>
      </c>
      <c r="C48" s="15" t="s">
        <v>115</v>
      </c>
      <c r="D48" s="16" t="s">
        <v>21</v>
      </c>
      <c r="E48" s="16" t="s">
        <v>21</v>
      </c>
      <c r="F48" s="16" t="str">
        <f aca="false">REPLACE(E48, 1, 3, "")</f>
        <v>32</v>
      </c>
      <c r="G48" s="17" t="str">
        <f aca="true">IFERROR(VLOOKUP(B48,INDIRECT("'"&amp;F48&amp;"'!D3:D"),1,FALSE()), "Not found")</f>
        <v>Not found</v>
      </c>
      <c r="H48" s="18" t="n">
        <f aca="true">INDIRECT("'"&amp;F48&amp;"'!D1")</f>
        <v>0</v>
      </c>
      <c r="I48" s="18" t="str">
        <f aca="false">IFERROR(__xludf.dummyfunction("REGEXEXTRACT(ADDRESS(ROW(), 24+$H48), ""[A-Z]+"")"),"X")</f>
        <v>X</v>
      </c>
      <c r="J48" s="18" t="str">
        <f aca="false">IFERROR(__xludf.dummyfunction("REGEXEXTRACT(ADDRESS(ROW(), 30+$H48), ""[A-Z]+"")"),"AD")</f>
        <v>AD</v>
      </c>
      <c r="K48" s="18" t="str">
        <f aca="false">IFERROR(__xludf.dummyfunction("REGEXEXTRACT(ADDRESS(ROW(), 36+$H48), ""[A-Z]+"")"),"AJ")</f>
        <v>AJ</v>
      </c>
      <c r="L48" s="18" t="str">
        <f aca="false">IFERROR(__xludf.dummyfunction("REGEXEXTRACT(ADDRESS(ROW(), 42+$H48), ""[A-Z]+"")"),"AP")</f>
        <v>AP</v>
      </c>
      <c r="M48" s="18" t="str">
        <f aca="false">IFERROR(__xludf.dummyfunction("REGEXEXTRACT(ADDRESS(ROW(), 48+$H48), ""[A-Z]+"")"),"AV")</f>
        <v>AV</v>
      </c>
      <c r="N48" s="18" t="str">
        <f aca="false">IFERROR(__xludf.dummyfunction("REGEXEXTRACT(ADDRESS(ROW(), 50+$H48), ""[A-Z]+"")"),"AX")</f>
        <v>AX</v>
      </c>
      <c r="O48" s="18" t="str">
        <f aca="false">IFERROR(__xludf.dummyfunction("REGEXEXTRACT(ADDRESS(ROW(), 51+$H48), ""[A-Z]+"")"),"AY")</f>
        <v>AY</v>
      </c>
      <c r="P48" s="18" t="str">
        <f aca="false">IFERROR(__xludf.dummyfunction("REGEXEXTRACT(ADDRESS(ROW(), 54+$H48), ""[A-Z]+"")"),"BB")</f>
        <v>BB</v>
      </c>
      <c r="Q48" s="18" t="str">
        <f aca="false">IFERROR(__xludf.dummyfunction("REGEXEXTRACT(ADDRESS(ROW(), 59+$H48), ""[A-Z]+"")"),"BG")</f>
        <v>BG</v>
      </c>
      <c r="R48" s="18" t="str">
        <f aca="false">IFERROR(__xludf.dummyfunction("REGEXEXTRACT(ADDRESS(ROW(), 60+$H48), ""[A-Z]+"")"),"BH")</f>
        <v>BH</v>
      </c>
      <c r="S48" s="18" t="str">
        <f aca="false">IFERROR(__xludf.dummyfunction("REGEXEXTRACT(ADDRESS(ROW(), 62+$H48), ""[A-Z]+"")"),"BJ")</f>
        <v>BJ</v>
      </c>
      <c r="T48" s="18" t="str">
        <f aca="false">IFERROR(__xludf.dummyfunction("REGEXEXTRACT(ADDRESS(ROW(), 63+$H48), ""[A-Z]+"")"),"BK")</f>
        <v>BK</v>
      </c>
      <c r="U48" s="19" t="str">
        <f aca="false">IFERROR(__xludf.dummyfunction("IFERROR(QUERY(INDIRECT(""'""&amp;F48&amp;""'!C3:""&amp;T48&amp;""""), ""SELECT ""&amp;I48&amp;"", ""&amp;J48&amp;"", ""&amp;K48&amp;"", ""&amp;L48&amp;"", ""&amp;M48&amp;"", ""&amp;N48&amp;"", ""&amp;O48&amp;"", ""&amp;P48&amp;"", ""&amp;Q48&amp;"", ""&amp;R48&amp;"", ""&amp;S48&amp;"" WHERE '""&amp;B48&amp;""' = D"", 0), """")"),"")</f>
        <v/>
      </c>
      <c r="V48" s="22"/>
      <c r="W48" s="22"/>
      <c r="X48" s="22"/>
      <c r="Y48" s="22" t="n">
        <f aca="false">IFERROR(__xludf.dummyfunction("""COMPUTED_VALUE"""),0)</f>
        <v>0</v>
      </c>
      <c r="Z48" s="22"/>
      <c r="AA48" s="22"/>
      <c r="AB48" s="22" t="n">
        <f aca="false">IFERROR(__xludf.dummyfunction("""COMPUTED_VALUE"""),0.01)</f>
        <v>0.01</v>
      </c>
      <c r="AC48" s="22"/>
      <c r="AD48" s="23"/>
      <c r="AE48" s="24" t="n">
        <f aca="false">IFERROR(__xludf.dummyfunction("""COMPUTED_VALUE"""),0.01)</f>
        <v>0.01</v>
      </c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</row>
    <row r="49" customFormat="false" ht="18.65" hidden="false" customHeight="false" outlineLevel="0" collapsed="false">
      <c r="A49" s="13" t="n">
        <v>48</v>
      </c>
      <c r="B49" s="14" t="s">
        <v>116</v>
      </c>
      <c r="C49" s="15" t="s">
        <v>117</v>
      </c>
      <c r="D49" s="16" t="s">
        <v>39</v>
      </c>
      <c r="E49" s="16" t="s">
        <v>39</v>
      </c>
      <c r="F49" s="16" t="str">
        <f aca="false">REPLACE(E49, 1, 3, "")</f>
        <v>31</v>
      </c>
      <c r="G49" s="17" t="str">
        <f aca="true">IFERROR(VLOOKUP(B49,INDIRECT("'"&amp;F49&amp;"'!D3:D"),1,FALSE()), "Not found")</f>
        <v>Not found</v>
      </c>
      <c r="H49" s="18" t="n">
        <f aca="true">INDIRECT("'"&amp;F49&amp;"'!D1")</f>
        <v>0</v>
      </c>
      <c r="I49" s="18" t="str">
        <f aca="false">IFERROR(__xludf.dummyfunction("REGEXEXTRACT(ADDRESS(ROW(), 24+$H49), ""[A-Z]+"")"),"X")</f>
        <v>X</v>
      </c>
      <c r="J49" s="18" t="str">
        <f aca="false">IFERROR(__xludf.dummyfunction("REGEXEXTRACT(ADDRESS(ROW(), 30+$H49), ""[A-Z]+"")"),"AD")</f>
        <v>AD</v>
      </c>
      <c r="K49" s="18" t="str">
        <f aca="false">IFERROR(__xludf.dummyfunction("REGEXEXTRACT(ADDRESS(ROW(), 36+$H49), ""[A-Z]+"")"),"AJ")</f>
        <v>AJ</v>
      </c>
      <c r="L49" s="18" t="str">
        <f aca="false">IFERROR(__xludf.dummyfunction("REGEXEXTRACT(ADDRESS(ROW(), 42+$H49), ""[A-Z]+"")"),"AP")</f>
        <v>AP</v>
      </c>
      <c r="M49" s="18" t="str">
        <f aca="false">IFERROR(__xludf.dummyfunction("REGEXEXTRACT(ADDRESS(ROW(), 48+$H49), ""[A-Z]+"")"),"AV")</f>
        <v>AV</v>
      </c>
      <c r="N49" s="18" t="str">
        <f aca="false">IFERROR(__xludf.dummyfunction("REGEXEXTRACT(ADDRESS(ROW(), 50+$H49), ""[A-Z]+"")"),"AX")</f>
        <v>AX</v>
      </c>
      <c r="O49" s="18" t="str">
        <f aca="false">IFERROR(__xludf.dummyfunction("REGEXEXTRACT(ADDRESS(ROW(), 51+$H49), ""[A-Z]+"")"),"AY")</f>
        <v>AY</v>
      </c>
      <c r="P49" s="18" t="str">
        <f aca="false">IFERROR(__xludf.dummyfunction("REGEXEXTRACT(ADDRESS(ROW(), 54+$H49), ""[A-Z]+"")"),"BB")</f>
        <v>BB</v>
      </c>
      <c r="Q49" s="18" t="str">
        <f aca="false">IFERROR(__xludf.dummyfunction("REGEXEXTRACT(ADDRESS(ROW(), 59+$H49), ""[A-Z]+"")"),"BG")</f>
        <v>BG</v>
      </c>
      <c r="R49" s="18" t="str">
        <f aca="false">IFERROR(__xludf.dummyfunction("REGEXEXTRACT(ADDRESS(ROW(), 60+$H49), ""[A-Z]+"")"),"BH")</f>
        <v>BH</v>
      </c>
      <c r="S49" s="18" t="str">
        <f aca="false">IFERROR(__xludf.dummyfunction("REGEXEXTRACT(ADDRESS(ROW(), 62+$H49), ""[A-Z]+"")"),"BJ")</f>
        <v>BJ</v>
      </c>
      <c r="T49" s="18" t="str">
        <f aca="false">IFERROR(__xludf.dummyfunction("REGEXEXTRACT(ADDRESS(ROW(), 63+$H49), ""[A-Z]+"")"),"BK")</f>
        <v>BK</v>
      </c>
      <c r="U49" s="19" t="n">
        <f aca="false">IFERROR(__xludf.dummyfunction("IFERROR(QUERY(INDIRECT(""'""&amp;F49&amp;""'!C3:""&amp;T49&amp;""""), ""SELECT ""&amp;I49&amp;"", ""&amp;J49&amp;"", ""&amp;K49&amp;"", ""&amp;L49&amp;"", ""&amp;M49&amp;"", ""&amp;N49&amp;"", ""&amp;O49&amp;"", ""&amp;P49&amp;"", ""&amp;Q49&amp;"", ""&amp;R49&amp;"", ""&amp;S49&amp;"" WHERE '""&amp;B49&amp;""' = D"", 0), """")"),9)</f>
        <v>9</v>
      </c>
      <c r="V49" s="22" t="n">
        <f aca="false">IFERROR(__xludf.dummyfunction("""COMPUTED_VALUE"""),9)</f>
        <v>9</v>
      </c>
      <c r="W49" s="22" t="n">
        <f aca="false">IFERROR(__xludf.dummyfunction("""COMPUTED_VALUE"""),9)</f>
        <v>9</v>
      </c>
      <c r="X49" s="22" t="n">
        <f aca="false">IFERROR(__xludf.dummyfunction("""COMPUTED_VALUE"""),6.5)</f>
        <v>6.5</v>
      </c>
      <c r="Y49" s="22" t="n">
        <f aca="false">IFERROR(__xludf.dummyfunction("""COMPUTED_VALUE"""),0)</f>
        <v>0</v>
      </c>
      <c r="Z49" s="22" t="n">
        <f aca="false">IFERROR(__xludf.dummyfunction("""COMPUTED_VALUE"""),0)</f>
        <v>0</v>
      </c>
      <c r="AA49" s="22" t="n">
        <f aca="false">IFERROR(__xludf.dummyfunction("""COMPUTED_VALUE"""),2)</f>
        <v>2</v>
      </c>
      <c r="AB49" s="22" t="n">
        <f aca="false">IFERROR(__xludf.dummyfunction("""COMPUTED_VALUE"""),7)</f>
        <v>7</v>
      </c>
      <c r="AC49" s="22" t="n">
        <f aca="false">IFERROR(__xludf.dummyfunction("""COMPUTED_VALUE"""),25)</f>
        <v>25</v>
      </c>
      <c r="AD49" s="23"/>
      <c r="AE49" s="24" t="n">
        <f aca="false">IFERROR(__xludf.dummyfunction("""COMPUTED_VALUE"""),67.5)</f>
        <v>67.5</v>
      </c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</row>
    <row r="50" customFormat="false" ht="18.65" hidden="false" customHeight="false" outlineLevel="0" collapsed="false">
      <c r="A50" s="13" t="n">
        <v>49</v>
      </c>
      <c r="B50" s="14" t="s">
        <v>118</v>
      </c>
      <c r="C50" s="15" t="s">
        <v>119</v>
      </c>
      <c r="D50" s="16" t="s">
        <v>24</v>
      </c>
      <c r="E50" s="16" t="s">
        <v>24</v>
      </c>
      <c r="F50" s="16" t="str">
        <f aca="false">REPLACE(E50, 1, 3, "")</f>
        <v>30</v>
      </c>
      <c r="G50" s="17" t="str">
        <f aca="true">IFERROR(VLOOKUP(B50,INDIRECT("'"&amp;F50&amp;"'!D3:D"),1,FALSE()), "Not found")</f>
        <v>Not found</v>
      </c>
      <c r="H50" s="18" t="n">
        <f aca="true">INDIRECT("'"&amp;F50&amp;"'!D1")</f>
        <v>0</v>
      </c>
      <c r="I50" s="18" t="str">
        <f aca="false">IFERROR(__xludf.dummyfunction("REGEXEXTRACT(ADDRESS(ROW(), 24+$H50), ""[A-Z]+"")"),"X")</f>
        <v>X</v>
      </c>
      <c r="J50" s="18" t="str">
        <f aca="false">IFERROR(__xludf.dummyfunction("REGEXEXTRACT(ADDRESS(ROW(), 30+$H50), ""[A-Z]+"")"),"AD")</f>
        <v>AD</v>
      </c>
      <c r="K50" s="18" t="str">
        <f aca="false">IFERROR(__xludf.dummyfunction("REGEXEXTRACT(ADDRESS(ROW(), 36+$H50), ""[A-Z]+"")"),"AJ")</f>
        <v>AJ</v>
      </c>
      <c r="L50" s="18" t="str">
        <f aca="false">IFERROR(__xludf.dummyfunction("REGEXEXTRACT(ADDRESS(ROW(), 42+$H50), ""[A-Z]+"")"),"AP")</f>
        <v>AP</v>
      </c>
      <c r="M50" s="18" t="str">
        <f aca="false">IFERROR(__xludf.dummyfunction("REGEXEXTRACT(ADDRESS(ROW(), 48+$H50), ""[A-Z]+"")"),"AV")</f>
        <v>AV</v>
      </c>
      <c r="N50" s="18" t="str">
        <f aca="false">IFERROR(__xludf.dummyfunction("REGEXEXTRACT(ADDRESS(ROW(), 50+$H50), ""[A-Z]+"")"),"AX")</f>
        <v>AX</v>
      </c>
      <c r="O50" s="18" t="str">
        <f aca="false">IFERROR(__xludf.dummyfunction("REGEXEXTRACT(ADDRESS(ROW(), 51+$H50), ""[A-Z]+"")"),"AY")</f>
        <v>AY</v>
      </c>
      <c r="P50" s="18" t="str">
        <f aca="false">IFERROR(__xludf.dummyfunction("REGEXEXTRACT(ADDRESS(ROW(), 54+$H50), ""[A-Z]+"")"),"BB")</f>
        <v>BB</v>
      </c>
      <c r="Q50" s="18" t="str">
        <f aca="false">IFERROR(__xludf.dummyfunction("REGEXEXTRACT(ADDRESS(ROW(), 59+$H50), ""[A-Z]+"")"),"BG")</f>
        <v>BG</v>
      </c>
      <c r="R50" s="18" t="str">
        <f aca="false">IFERROR(__xludf.dummyfunction("REGEXEXTRACT(ADDRESS(ROW(), 60+$H50), ""[A-Z]+"")"),"BH")</f>
        <v>BH</v>
      </c>
      <c r="S50" s="18" t="str">
        <f aca="false">IFERROR(__xludf.dummyfunction("REGEXEXTRACT(ADDRESS(ROW(), 62+$H50), ""[A-Z]+"")"),"BJ")</f>
        <v>BJ</v>
      </c>
      <c r="T50" s="18" t="str">
        <f aca="false">IFERROR(__xludf.dummyfunction("REGEXEXTRACT(ADDRESS(ROW(), 63+$H50), ""[A-Z]+"")"),"BK")</f>
        <v>BK</v>
      </c>
      <c r="U50" s="19" t="n">
        <f aca="false">IFERROR(__xludf.dummyfunction("IFERROR(QUERY(INDIRECT(""'""&amp;F50&amp;""'!C3:""&amp;T50&amp;""""), ""SELECT ""&amp;I50&amp;"", ""&amp;J50&amp;"", ""&amp;K50&amp;"", ""&amp;L50&amp;"", ""&amp;M50&amp;"", ""&amp;N50&amp;"", ""&amp;O50&amp;"", ""&amp;P50&amp;"", ""&amp;Q50&amp;"", ""&amp;R50&amp;"", ""&amp;S50&amp;"" WHERE '""&amp;B50&amp;""' = D"", 0), """")"),8)</f>
        <v>8</v>
      </c>
      <c r="V50" s="22"/>
      <c r="W50" s="22"/>
      <c r="X50" s="22"/>
      <c r="Y50" s="22" t="n">
        <f aca="false">IFERROR(__xludf.dummyfunction("""COMPUTED_VALUE"""),0)</f>
        <v>0</v>
      </c>
      <c r="Z50" s="22"/>
      <c r="AA50" s="22"/>
      <c r="AB50" s="22"/>
      <c r="AC50" s="22"/>
      <c r="AD50" s="23"/>
      <c r="AE50" s="24" t="n">
        <f aca="false">IFERROR(__xludf.dummyfunction("""COMPUTED_VALUE"""),8)</f>
        <v>8</v>
      </c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customFormat="false" ht="18.65" hidden="false" customHeight="false" outlineLevel="0" collapsed="false">
      <c r="A51" s="13" t="n">
        <v>50</v>
      </c>
      <c r="B51" s="14" t="s">
        <v>120</v>
      </c>
      <c r="C51" s="15" t="s">
        <v>121</v>
      </c>
      <c r="D51" s="16" t="s">
        <v>39</v>
      </c>
      <c r="E51" s="16" t="s">
        <v>39</v>
      </c>
      <c r="F51" s="16" t="str">
        <f aca="false">REPLACE(E51, 1, 3, "")</f>
        <v>31</v>
      </c>
      <c r="G51" s="17" t="str">
        <f aca="true">IFERROR(VLOOKUP(B51,INDIRECT("'"&amp;F51&amp;"'!D3:D"),1,FALSE()), "Not found")</f>
        <v>Not found</v>
      </c>
      <c r="H51" s="18" t="n">
        <f aca="true">INDIRECT("'"&amp;F51&amp;"'!D1")</f>
        <v>0</v>
      </c>
      <c r="I51" s="18" t="str">
        <f aca="false">IFERROR(__xludf.dummyfunction("REGEXEXTRACT(ADDRESS(ROW(), 24+$H51), ""[A-Z]+"")"),"X")</f>
        <v>X</v>
      </c>
      <c r="J51" s="18" t="str">
        <f aca="false">IFERROR(__xludf.dummyfunction("REGEXEXTRACT(ADDRESS(ROW(), 30+$H51), ""[A-Z]+"")"),"AD")</f>
        <v>AD</v>
      </c>
      <c r="K51" s="18" t="str">
        <f aca="false">IFERROR(__xludf.dummyfunction("REGEXEXTRACT(ADDRESS(ROW(), 36+$H51), ""[A-Z]+"")"),"AJ")</f>
        <v>AJ</v>
      </c>
      <c r="L51" s="18" t="str">
        <f aca="false">IFERROR(__xludf.dummyfunction("REGEXEXTRACT(ADDRESS(ROW(), 42+$H51), ""[A-Z]+"")"),"AP")</f>
        <v>AP</v>
      </c>
      <c r="M51" s="18" t="str">
        <f aca="false">IFERROR(__xludf.dummyfunction("REGEXEXTRACT(ADDRESS(ROW(), 48+$H51), ""[A-Z]+"")"),"AV")</f>
        <v>AV</v>
      </c>
      <c r="N51" s="18" t="str">
        <f aca="false">IFERROR(__xludf.dummyfunction("REGEXEXTRACT(ADDRESS(ROW(), 50+$H51), ""[A-Z]+"")"),"AX")</f>
        <v>AX</v>
      </c>
      <c r="O51" s="18" t="str">
        <f aca="false">IFERROR(__xludf.dummyfunction("REGEXEXTRACT(ADDRESS(ROW(), 51+$H51), ""[A-Z]+"")"),"AY")</f>
        <v>AY</v>
      </c>
      <c r="P51" s="18" t="str">
        <f aca="false">IFERROR(__xludf.dummyfunction("REGEXEXTRACT(ADDRESS(ROW(), 54+$H51), ""[A-Z]+"")"),"BB")</f>
        <v>BB</v>
      </c>
      <c r="Q51" s="18" t="str">
        <f aca="false">IFERROR(__xludf.dummyfunction("REGEXEXTRACT(ADDRESS(ROW(), 59+$H51), ""[A-Z]+"")"),"BG")</f>
        <v>BG</v>
      </c>
      <c r="R51" s="18" t="str">
        <f aca="false">IFERROR(__xludf.dummyfunction("REGEXEXTRACT(ADDRESS(ROW(), 60+$H51), ""[A-Z]+"")"),"BH")</f>
        <v>BH</v>
      </c>
      <c r="S51" s="18" t="str">
        <f aca="false">IFERROR(__xludf.dummyfunction("REGEXEXTRACT(ADDRESS(ROW(), 62+$H51), ""[A-Z]+"")"),"BJ")</f>
        <v>BJ</v>
      </c>
      <c r="T51" s="18" t="str">
        <f aca="false">IFERROR(__xludf.dummyfunction("REGEXEXTRACT(ADDRESS(ROW(), 63+$H51), ""[A-Z]+"")"),"BK")</f>
        <v>BK</v>
      </c>
      <c r="U51" s="19" t="n">
        <f aca="false">IFERROR(__xludf.dummyfunction("IFERROR(QUERY(INDIRECT(""'""&amp;F51&amp;""'!C3:""&amp;T51&amp;""""), ""SELECT ""&amp;I51&amp;"", ""&amp;J51&amp;"", ""&amp;K51&amp;"", ""&amp;L51&amp;"", ""&amp;M51&amp;"", ""&amp;N51&amp;"", ""&amp;O51&amp;"", ""&amp;P51&amp;"", ""&amp;Q51&amp;"", ""&amp;R51&amp;"", ""&amp;S51&amp;"" WHERE '""&amp;B51&amp;""' = D"", 0), """")"),10)</f>
        <v>10</v>
      </c>
      <c r="V51" s="22" t="n">
        <f aca="false">IFERROR(__xludf.dummyfunction("""COMPUTED_VALUE"""),9.5)</f>
        <v>9.5</v>
      </c>
      <c r="W51" s="22" t="n">
        <f aca="false">IFERROR(__xludf.dummyfunction("""COMPUTED_VALUE"""),10)</f>
        <v>10</v>
      </c>
      <c r="X51" s="22" t="n">
        <f aca="false">IFERROR(__xludf.dummyfunction("""COMPUTED_VALUE"""),10)</f>
        <v>10</v>
      </c>
      <c r="Y51" s="22" t="n">
        <f aca="false">IFERROR(__xludf.dummyfunction("""COMPUTED_VALUE"""),10)</f>
        <v>10</v>
      </c>
      <c r="Z51" s="22"/>
      <c r="AA51" s="22"/>
      <c r="AB51" s="22" t="n">
        <f aca="false">IFERROR(__xludf.dummyfunction("""COMPUTED_VALUE"""),7)</f>
        <v>7</v>
      </c>
      <c r="AC51" s="22" t="n">
        <f aca="false">IFERROR(__xludf.dummyfunction("""COMPUTED_VALUE"""),0)</f>
        <v>0</v>
      </c>
      <c r="AD51" s="23"/>
      <c r="AE51" s="24" t="n">
        <f aca="false">IFERROR(__xludf.dummyfunction("""COMPUTED_VALUE"""),56.5)</f>
        <v>56.5</v>
      </c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customFormat="false" ht="18.65" hidden="false" customHeight="false" outlineLevel="0" collapsed="false">
      <c r="A52" s="13" t="n">
        <v>51</v>
      </c>
      <c r="B52" s="14" t="s">
        <v>122</v>
      </c>
      <c r="C52" s="15" t="s">
        <v>123</v>
      </c>
      <c r="D52" s="16" t="s">
        <v>24</v>
      </c>
      <c r="E52" s="16" t="s">
        <v>24</v>
      </c>
      <c r="F52" s="16" t="str">
        <f aca="false">REPLACE(E52, 1, 3, "")</f>
        <v>30</v>
      </c>
      <c r="G52" s="17" t="str">
        <f aca="true">IFERROR(VLOOKUP(B52,INDIRECT("'"&amp;F52&amp;"'!D3:D"),1,FALSE()), "Not found")</f>
        <v>Not found</v>
      </c>
      <c r="H52" s="18" t="n">
        <f aca="true">INDIRECT("'"&amp;F52&amp;"'!D1")</f>
        <v>0</v>
      </c>
      <c r="I52" s="18" t="str">
        <f aca="false">IFERROR(__xludf.dummyfunction("REGEXEXTRACT(ADDRESS(ROW(), 24+$H52), ""[A-Z]+"")"),"X")</f>
        <v>X</v>
      </c>
      <c r="J52" s="18" t="str">
        <f aca="false">IFERROR(__xludf.dummyfunction("REGEXEXTRACT(ADDRESS(ROW(), 30+$H52), ""[A-Z]+"")"),"AD")</f>
        <v>AD</v>
      </c>
      <c r="K52" s="18" t="str">
        <f aca="false">IFERROR(__xludf.dummyfunction("REGEXEXTRACT(ADDRESS(ROW(), 36+$H52), ""[A-Z]+"")"),"AJ")</f>
        <v>AJ</v>
      </c>
      <c r="L52" s="18" t="str">
        <f aca="false">IFERROR(__xludf.dummyfunction("REGEXEXTRACT(ADDRESS(ROW(), 42+$H52), ""[A-Z]+"")"),"AP")</f>
        <v>AP</v>
      </c>
      <c r="M52" s="18" t="str">
        <f aca="false">IFERROR(__xludf.dummyfunction("REGEXEXTRACT(ADDRESS(ROW(), 48+$H52), ""[A-Z]+"")"),"AV")</f>
        <v>AV</v>
      </c>
      <c r="N52" s="18" t="str">
        <f aca="false">IFERROR(__xludf.dummyfunction("REGEXEXTRACT(ADDRESS(ROW(), 50+$H52), ""[A-Z]+"")"),"AX")</f>
        <v>AX</v>
      </c>
      <c r="O52" s="18" t="str">
        <f aca="false">IFERROR(__xludf.dummyfunction("REGEXEXTRACT(ADDRESS(ROW(), 51+$H52), ""[A-Z]+"")"),"AY")</f>
        <v>AY</v>
      </c>
      <c r="P52" s="18" t="str">
        <f aca="false">IFERROR(__xludf.dummyfunction("REGEXEXTRACT(ADDRESS(ROW(), 54+$H52), ""[A-Z]+"")"),"BB")</f>
        <v>BB</v>
      </c>
      <c r="Q52" s="18" t="str">
        <f aca="false">IFERROR(__xludf.dummyfunction("REGEXEXTRACT(ADDRESS(ROW(), 59+$H52), ""[A-Z]+"")"),"BG")</f>
        <v>BG</v>
      </c>
      <c r="R52" s="18" t="str">
        <f aca="false">IFERROR(__xludf.dummyfunction("REGEXEXTRACT(ADDRESS(ROW(), 60+$H52), ""[A-Z]+"")"),"BH")</f>
        <v>BH</v>
      </c>
      <c r="S52" s="18" t="str">
        <f aca="false">IFERROR(__xludf.dummyfunction("REGEXEXTRACT(ADDRESS(ROW(), 62+$H52), ""[A-Z]+"")"),"BJ")</f>
        <v>BJ</v>
      </c>
      <c r="T52" s="18" t="str">
        <f aca="false">IFERROR(__xludf.dummyfunction("REGEXEXTRACT(ADDRESS(ROW(), 63+$H52), ""[A-Z]+"")"),"BK")</f>
        <v>BK</v>
      </c>
      <c r="U52" s="19" t="n">
        <f aca="false">IFERROR(__xludf.dummyfunction("IFERROR(QUERY(INDIRECT(""'""&amp;F52&amp;""'!C3:""&amp;T52&amp;""""), ""SELECT ""&amp;I52&amp;"", ""&amp;J52&amp;"", ""&amp;K52&amp;"", ""&amp;L52&amp;"", ""&amp;M52&amp;"", ""&amp;N52&amp;"", ""&amp;O52&amp;"", ""&amp;P52&amp;"", ""&amp;Q52&amp;"", ""&amp;R52&amp;"", ""&amp;S52&amp;"" WHERE '""&amp;B52&amp;""' = D"", 0), """")"),8)</f>
        <v>8</v>
      </c>
      <c r="V52" s="22" t="n">
        <f aca="false">IFERROR(__xludf.dummyfunction("""COMPUTED_VALUE"""),6)</f>
        <v>6</v>
      </c>
      <c r="W52" s="22" t="n">
        <f aca="false">IFERROR(__xludf.dummyfunction("""COMPUTED_VALUE"""),7)</f>
        <v>7</v>
      </c>
      <c r="X52" s="22" t="n">
        <f aca="false">IFERROR(__xludf.dummyfunction("""COMPUTED_VALUE"""),7)</f>
        <v>7</v>
      </c>
      <c r="Y52" s="22" t="n">
        <f aca="false">IFERROR(__xludf.dummyfunction("""COMPUTED_VALUE"""),0)</f>
        <v>0</v>
      </c>
      <c r="Z52" s="22"/>
      <c r="AA52" s="22"/>
      <c r="AB52" s="22" t="n">
        <f aca="false">IFERROR(__xludf.dummyfunction("""COMPUTED_VALUE"""),0.1)</f>
        <v>0.1</v>
      </c>
      <c r="AC52" s="22"/>
      <c r="AD52" s="23"/>
      <c r="AE52" s="24" t="n">
        <f aca="false">IFERROR(__xludf.dummyfunction("""COMPUTED_VALUE"""),28.1)</f>
        <v>28.1</v>
      </c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</row>
    <row r="53" customFormat="false" ht="18.65" hidden="false" customHeight="false" outlineLevel="0" collapsed="false">
      <c r="A53" s="13" t="n">
        <v>52</v>
      </c>
      <c r="B53" s="14" t="s">
        <v>124</v>
      </c>
      <c r="C53" s="15" t="s">
        <v>125</v>
      </c>
      <c r="D53" s="16" t="s">
        <v>39</v>
      </c>
      <c r="E53" s="16" t="s">
        <v>39</v>
      </c>
      <c r="F53" s="16" t="str">
        <f aca="false">REPLACE(E53, 1, 3, "")</f>
        <v>31</v>
      </c>
      <c r="G53" s="17" t="str">
        <f aca="true">IFERROR(VLOOKUP(B53,INDIRECT("'"&amp;F53&amp;"'!D3:D"),1,FALSE()), "Not found")</f>
        <v>Not found</v>
      </c>
      <c r="H53" s="18" t="n">
        <f aca="true">INDIRECT("'"&amp;F53&amp;"'!D1")</f>
        <v>0</v>
      </c>
      <c r="I53" s="18" t="str">
        <f aca="false">IFERROR(__xludf.dummyfunction("REGEXEXTRACT(ADDRESS(ROW(), 24+$H53), ""[A-Z]+"")"),"X")</f>
        <v>X</v>
      </c>
      <c r="J53" s="18" t="str">
        <f aca="false">IFERROR(__xludf.dummyfunction("REGEXEXTRACT(ADDRESS(ROW(), 30+$H53), ""[A-Z]+"")"),"AD")</f>
        <v>AD</v>
      </c>
      <c r="K53" s="18" t="str">
        <f aca="false">IFERROR(__xludf.dummyfunction("REGEXEXTRACT(ADDRESS(ROW(), 36+$H53), ""[A-Z]+"")"),"AJ")</f>
        <v>AJ</v>
      </c>
      <c r="L53" s="18" t="str">
        <f aca="false">IFERROR(__xludf.dummyfunction("REGEXEXTRACT(ADDRESS(ROW(), 42+$H53), ""[A-Z]+"")"),"AP")</f>
        <v>AP</v>
      </c>
      <c r="M53" s="18" t="str">
        <f aca="false">IFERROR(__xludf.dummyfunction("REGEXEXTRACT(ADDRESS(ROW(), 48+$H53), ""[A-Z]+"")"),"AV")</f>
        <v>AV</v>
      </c>
      <c r="N53" s="18" t="str">
        <f aca="false">IFERROR(__xludf.dummyfunction("REGEXEXTRACT(ADDRESS(ROW(), 50+$H53), ""[A-Z]+"")"),"AX")</f>
        <v>AX</v>
      </c>
      <c r="O53" s="18" t="str">
        <f aca="false">IFERROR(__xludf.dummyfunction("REGEXEXTRACT(ADDRESS(ROW(), 51+$H53), ""[A-Z]+"")"),"AY")</f>
        <v>AY</v>
      </c>
      <c r="P53" s="18" t="str">
        <f aca="false">IFERROR(__xludf.dummyfunction("REGEXEXTRACT(ADDRESS(ROW(), 54+$H53), ""[A-Z]+"")"),"BB")</f>
        <v>BB</v>
      </c>
      <c r="Q53" s="18" t="str">
        <f aca="false">IFERROR(__xludf.dummyfunction("REGEXEXTRACT(ADDRESS(ROW(), 59+$H53), ""[A-Z]+"")"),"BG")</f>
        <v>BG</v>
      </c>
      <c r="R53" s="18" t="str">
        <f aca="false">IFERROR(__xludf.dummyfunction("REGEXEXTRACT(ADDRESS(ROW(), 60+$H53), ""[A-Z]+"")"),"BH")</f>
        <v>BH</v>
      </c>
      <c r="S53" s="18" t="str">
        <f aca="false">IFERROR(__xludf.dummyfunction("REGEXEXTRACT(ADDRESS(ROW(), 62+$H53), ""[A-Z]+"")"),"BJ")</f>
        <v>BJ</v>
      </c>
      <c r="T53" s="18" t="str">
        <f aca="false">IFERROR(__xludf.dummyfunction("REGEXEXTRACT(ADDRESS(ROW(), 63+$H53), ""[A-Z]+"")"),"BK")</f>
        <v>BK</v>
      </c>
      <c r="U53" s="19" t="n">
        <f aca="false">IFERROR(__xludf.dummyfunction("IFERROR(QUERY(INDIRECT(""'""&amp;F53&amp;""'!C3:""&amp;T53&amp;""""), ""SELECT ""&amp;I53&amp;"", ""&amp;J53&amp;"", ""&amp;K53&amp;"", ""&amp;L53&amp;"", ""&amp;M53&amp;"", ""&amp;N53&amp;"", ""&amp;O53&amp;"", ""&amp;P53&amp;"", ""&amp;Q53&amp;"", ""&amp;R53&amp;"", ""&amp;S53&amp;"" WHERE '""&amp;B53&amp;""' = D"", 0), """")"),10)</f>
        <v>10</v>
      </c>
      <c r="V53" s="22" t="n">
        <f aca="false">IFERROR(__xludf.dummyfunction("""COMPUTED_VALUE"""),10)</f>
        <v>10</v>
      </c>
      <c r="W53" s="22" t="n">
        <f aca="false">IFERROR(__xludf.dummyfunction("""COMPUTED_VALUE"""),10)</f>
        <v>10</v>
      </c>
      <c r="X53" s="22" t="n">
        <f aca="false">IFERROR(__xludf.dummyfunction("""COMPUTED_VALUE"""),10)</f>
        <v>10</v>
      </c>
      <c r="Y53" s="22" t="n">
        <f aca="false">IFERROR(__xludf.dummyfunction("""COMPUTED_VALUE"""),10)</f>
        <v>10</v>
      </c>
      <c r="Z53" s="22" t="n">
        <f aca="false">IFERROR(__xludf.dummyfunction("""COMPUTED_VALUE"""),0)</f>
        <v>0</v>
      </c>
      <c r="AA53" s="22"/>
      <c r="AB53" s="22" t="n">
        <f aca="false">IFERROR(__xludf.dummyfunction("""COMPUTED_VALUE"""),7)</f>
        <v>7</v>
      </c>
      <c r="AC53" s="22" t="n">
        <f aca="false">IFERROR(__xludf.dummyfunction("""COMPUTED_VALUE"""),24)</f>
        <v>24</v>
      </c>
      <c r="AD53" s="23"/>
      <c r="AE53" s="24" t="n">
        <f aca="false">IFERROR(__xludf.dummyfunction("""COMPUTED_VALUE"""),81)</f>
        <v>81</v>
      </c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customFormat="false" ht="18.65" hidden="false" customHeight="false" outlineLevel="0" collapsed="false">
      <c r="A54" s="13" t="n">
        <v>53</v>
      </c>
      <c r="B54" s="14" t="s">
        <v>126</v>
      </c>
      <c r="C54" s="15" t="s">
        <v>127</v>
      </c>
      <c r="D54" s="16" t="s">
        <v>21</v>
      </c>
      <c r="E54" s="16" t="s">
        <v>21</v>
      </c>
      <c r="F54" s="16" t="str">
        <f aca="false">REPLACE(E54, 1, 3, "")</f>
        <v>32</v>
      </c>
      <c r="G54" s="17" t="str">
        <f aca="true">IFERROR(VLOOKUP(B54,INDIRECT("'"&amp;F54&amp;"'!D3:D"),1,FALSE()), "Not found")</f>
        <v>Not found</v>
      </c>
      <c r="H54" s="18" t="n">
        <f aca="true">INDIRECT("'"&amp;F54&amp;"'!D1")</f>
        <v>0</v>
      </c>
      <c r="I54" s="18" t="str">
        <f aca="false">IFERROR(__xludf.dummyfunction("REGEXEXTRACT(ADDRESS(ROW(), 24+$H54), ""[A-Z]+"")"),"X")</f>
        <v>X</v>
      </c>
      <c r="J54" s="18" t="str">
        <f aca="false">IFERROR(__xludf.dummyfunction("REGEXEXTRACT(ADDRESS(ROW(), 30+$H54), ""[A-Z]+"")"),"AD")</f>
        <v>AD</v>
      </c>
      <c r="K54" s="18" t="str">
        <f aca="false">IFERROR(__xludf.dummyfunction("REGEXEXTRACT(ADDRESS(ROW(), 36+$H54), ""[A-Z]+"")"),"AJ")</f>
        <v>AJ</v>
      </c>
      <c r="L54" s="18" t="str">
        <f aca="false">IFERROR(__xludf.dummyfunction("REGEXEXTRACT(ADDRESS(ROW(), 42+$H54), ""[A-Z]+"")"),"AP")</f>
        <v>AP</v>
      </c>
      <c r="M54" s="18" t="str">
        <f aca="false">IFERROR(__xludf.dummyfunction("REGEXEXTRACT(ADDRESS(ROW(), 48+$H54), ""[A-Z]+"")"),"AV")</f>
        <v>AV</v>
      </c>
      <c r="N54" s="18" t="str">
        <f aca="false">IFERROR(__xludf.dummyfunction("REGEXEXTRACT(ADDRESS(ROW(), 50+$H54), ""[A-Z]+"")"),"AX")</f>
        <v>AX</v>
      </c>
      <c r="O54" s="18" t="str">
        <f aca="false">IFERROR(__xludf.dummyfunction("REGEXEXTRACT(ADDRESS(ROW(), 51+$H54), ""[A-Z]+"")"),"AY")</f>
        <v>AY</v>
      </c>
      <c r="P54" s="18" t="str">
        <f aca="false">IFERROR(__xludf.dummyfunction("REGEXEXTRACT(ADDRESS(ROW(), 54+$H54), ""[A-Z]+"")"),"BB")</f>
        <v>BB</v>
      </c>
      <c r="Q54" s="18" t="str">
        <f aca="false">IFERROR(__xludf.dummyfunction("REGEXEXTRACT(ADDRESS(ROW(), 59+$H54), ""[A-Z]+"")"),"BG")</f>
        <v>BG</v>
      </c>
      <c r="R54" s="18" t="str">
        <f aca="false">IFERROR(__xludf.dummyfunction("REGEXEXTRACT(ADDRESS(ROW(), 60+$H54), ""[A-Z]+"")"),"BH")</f>
        <v>BH</v>
      </c>
      <c r="S54" s="18" t="str">
        <f aca="false">IFERROR(__xludf.dummyfunction("REGEXEXTRACT(ADDRESS(ROW(), 62+$H54), ""[A-Z]+"")"),"BJ")</f>
        <v>BJ</v>
      </c>
      <c r="T54" s="18" t="str">
        <f aca="false">IFERROR(__xludf.dummyfunction("REGEXEXTRACT(ADDRESS(ROW(), 63+$H54), ""[A-Z]+"")"),"BK")</f>
        <v>BK</v>
      </c>
      <c r="U54" s="19" t="n">
        <f aca="false">IFERROR(__xludf.dummyfunction("IFERROR(QUERY(INDIRECT(""'""&amp;F54&amp;""'!C3:""&amp;T54&amp;""""), ""SELECT ""&amp;I54&amp;"", ""&amp;J54&amp;"", ""&amp;K54&amp;"", ""&amp;L54&amp;"", ""&amp;M54&amp;"", ""&amp;N54&amp;"", ""&amp;O54&amp;"", ""&amp;P54&amp;"", ""&amp;Q54&amp;"", ""&amp;R54&amp;"", ""&amp;S54&amp;"" WHERE '""&amp;B54&amp;""' = D"", 0), """")"),9.8)</f>
        <v>9.8</v>
      </c>
      <c r="V54" s="22" t="n">
        <f aca="false">IFERROR(__xludf.dummyfunction("""COMPUTED_VALUE"""),9.8)</f>
        <v>9.8</v>
      </c>
      <c r="W54" s="22" t="n">
        <f aca="false">IFERROR(__xludf.dummyfunction("""COMPUTED_VALUE"""),9.6)</f>
        <v>9.6</v>
      </c>
      <c r="X54" s="22" t="n">
        <f aca="false">IFERROR(__xludf.dummyfunction("""COMPUTED_VALUE"""),9.6)</f>
        <v>9.6</v>
      </c>
      <c r="Y54" s="22" t="n">
        <f aca="false">IFERROR(__xludf.dummyfunction("""COMPUTED_VALUE"""),9.5)</f>
        <v>9.5</v>
      </c>
      <c r="Z54" s="22" t="n">
        <f aca="false">IFERROR(__xludf.dummyfunction("""COMPUTED_VALUE"""),0)</f>
        <v>0</v>
      </c>
      <c r="AA54" s="22" t="n">
        <f aca="false">IFERROR(__xludf.dummyfunction("""COMPUTED_VALUE"""),1)</f>
        <v>1</v>
      </c>
      <c r="AB54" s="22" t="n">
        <f aca="false">IFERROR(__xludf.dummyfunction("""COMPUTED_VALUE"""),7.5)</f>
        <v>7.5</v>
      </c>
      <c r="AC54" s="22" t="n">
        <f aca="false">IFERROR(__xludf.dummyfunction("""COMPUTED_VALUE"""),24)</f>
        <v>24</v>
      </c>
      <c r="AD54" s="23"/>
      <c r="AE54" s="24" t="n">
        <f aca="false">IFERROR(__xludf.dummyfunction("""COMPUTED_VALUE"""),80.8)</f>
        <v>80.8</v>
      </c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</row>
    <row r="55" customFormat="false" ht="18.65" hidden="false" customHeight="false" outlineLevel="0" collapsed="false">
      <c r="A55" s="13" t="n">
        <v>54</v>
      </c>
      <c r="B55" s="14" t="s">
        <v>128</v>
      </c>
      <c r="C55" s="15" t="s">
        <v>129</v>
      </c>
      <c r="D55" s="16" t="s">
        <v>39</v>
      </c>
      <c r="E55" s="16" t="s">
        <v>39</v>
      </c>
      <c r="F55" s="16" t="str">
        <f aca="false">REPLACE(E55, 1, 3, "")</f>
        <v>31</v>
      </c>
      <c r="G55" s="17" t="str">
        <f aca="true">IFERROR(VLOOKUP(B55,INDIRECT("'"&amp;F55&amp;"'!D3:D"),1,FALSE()), "Not found")</f>
        <v>Not found</v>
      </c>
      <c r="H55" s="18" t="n">
        <f aca="true">INDIRECT("'"&amp;F55&amp;"'!D1")</f>
        <v>0</v>
      </c>
      <c r="I55" s="18" t="str">
        <f aca="false">IFERROR(__xludf.dummyfunction("REGEXEXTRACT(ADDRESS(ROW(), 24+$H55), ""[A-Z]+"")"),"X")</f>
        <v>X</v>
      </c>
      <c r="J55" s="18" t="str">
        <f aca="false">IFERROR(__xludf.dummyfunction("REGEXEXTRACT(ADDRESS(ROW(), 30+$H55), ""[A-Z]+"")"),"AD")</f>
        <v>AD</v>
      </c>
      <c r="K55" s="18" t="str">
        <f aca="false">IFERROR(__xludf.dummyfunction("REGEXEXTRACT(ADDRESS(ROW(), 36+$H55), ""[A-Z]+"")"),"AJ")</f>
        <v>AJ</v>
      </c>
      <c r="L55" s="18" t="str">
        <f aca="false">IFERROR(__xludf.dummyfunction("REGEXEXTRACT(ADDRESS(ROW(), 42+$H55), ""[A-Z]+"")"),"AP")</f>
        <v>AP</v>
      </c>
      <c r="M55" s="18" t="str">
        <f aca="false">IFERROR(__xludf.dummyfunction("REGEXEXTRACT(ADDRESS(ROW(), 48+$H55), ""[A-Z]+"")"),"AV")</f>
        <v>AV</v>
      </c>
      <c r="N55" s="18" t="str">
        <f aca="false">IFERROR(__xludf.dummyfunction("REGEXEXTRACT(ADDRESS(ROW(), 50+$H55), ""[A-Z]+"")"),"AX")</f>
        <v>AX</v>
      </c>
      <c r="O55" s="18" t="str">
        <f aca="false">IFERROR(__xludf.dummyfunction("REGEXEXTRACT(ADDRESS(ROW(), 51+$H55), ""[A-Z]+"")"),"AY")</f>
        <v>AY</v>
      </c>
      <c r="P55" s="18" t="str">
        <f aca="false">IFERROR(__xludf.dummyfunction("REGEXEXTRACT(ADDRESS(ROW(), 54+$H55), ""[A-Z]+"")"),"BB")</f>
        <v>BB</v>
      </c>
      <c r="Q55" s="18" t="str">
        <f aca="false">IFERROR(__xludf.dummyfunction("REGEXEXTRACT(ADDRESS(ROW(), 59+$H55), ""[A-Z]+"")"),"BG")</f>
        <v>BG</v>
      </c>
      <c r="R55" s="18" t="str">
        <f aca="false">IFERROR(__xludf.dummyfunction("REGEXEXTRACT(ADDRESS(ROW(), 60+$H55), ""[A-Z]+"")"),"BH")</f>
        <v>BH</v>
      </c>
      <c r="S55" s="18" t="str">
        <f aca="false">IFERROR(__xludf.dummyfunction("REGEXEXTRACT(ADDRESS(ROW(), 62+$H55), ""[A-Z]+"")"),"BJ")</f>
        <v>BJ</v>
      </c>
      <c r="T55" s="18" t="str">
        <f aca="false">IFERROR(__xludf.dummyfunction("REGEXEXTRACT(ADDRESS(ROW(), 63+$H55), ""[A-Z]+"")"),"BK")</f>
        <v>BK</v>
      </c>
      <c r="U55" s="19" t="n">
        <f aca="false">IFERROR(__xludf.dummyfunction("IFERROR(QUERY(INDIRECT(""'""&amp;F55&amp;""'!C3:""&amp;T55&amp;""""), ""SELECT ""&amp;I55&amp;"", ""&amp;J55&amp;"", ""&amp;K55&amp;"", ""&amp;L55&amp;"", ""&amp;M55&amp;"", ""&amp;N55&amp;"", ""&amp;O55&amp;"", ""&amp;P55&amp;"", ""&amp;Q55&amp;"", ""&amp;R55&amp;"", ""&amp;S55&amp;"" WHERE '""&amp;B55&amp;""' = D"", 0), """")"),8.5)</f>
        <v>8.5</v>
      </c>
      <c r="V55" s="22" t="n">
        <f aca="false">IFERROR(__xludf.dummyfunction("""COMPUTED_VALUE"""),7.5)</f>
        <v>7.5</v>
      </c>
      <c r="W55" s="22" t="n">
        <f aca="false">IFERROR(__xludf.dummyfunction("""COMPUTED_VALUE"""),8)</f>
        <v>8</v>
      </c>
      <c r="X55" s="22" t="n">
        <f aca="false">IFERROR(__xludf.dummyfunction("""COMPUTED_VALUE"""),8)</f>
        <v>8</v>
      </c>
      <c r="Y55" s="22" t="n">
        <f aca="false">IFERROR(__xludf.dummyfunction("""COMPUTED_VALUE"""),0)</f>
        <v>0</v>
      </c>
      <c r="Z55" s="22" t="n">
        <f aca="false">IFERROR(__xludf.dummyfunction("""COMPUTED_VALUE"""),0)</f>
        <v>0</v>
      </c>
      <c r="AA55" s="22" t="n">
        <f aca="false">IFERROR(__xludf.dummyfunction("""COMPUTED_VALUE"""),0)</f>
        <v>0</v>
      </c>
      <c r="AB55" s="22" t="n">
        <f aca="false">IFERROR(__xludf.dummyfunction("""COMPUTED_VALUE"""),7)</f>
        <v>7</v>
      </c>
      <c r="AC55" s="22" t="n">
        <f aca="false">IFERROR(__xludf.dummyfunction("""COMPUTED_VALUE"""),29)</f>
        <v>29</v>
      </c>
      <c r="AD55" s="23"/>
      <c r="AE55" s="24" t="n">
        <f aca="false">IFERROR(__xludf.dummyfunction("""COMPUTED_VALUE"""),68)</f>
        <v>68</v>
      </c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customFormat="false" ht="18.65" hidden="false" customHeight="false" outlineLevel="0" collapsed="false">
      <c r="A56" s="13" t="n">
        <v>55</v>
      </c>
      <c r="B56" s="14" t="s">
        <v>130</v>
      </c>
      <c r="C56" s="15" t="s">
        <v>131</v>
      </c>
      <c r="D56" s="16" t="s">
        <v>39</v>
      </c>
      <c r="E56" s="16" t="s">
        <v>39</v>
      </c>
      <c r="F56" s="16" t="str">
        <f aca="false">REPLACE(E56, 1, 3, "")</f>
        <v>31</v>
      </c>
      <c r="G56" s="17" t="str">
        <f aca="true">IFERROR(VLOOKUP(B56,INDIRECT("'"&amp;F56&amp;"'!D3:D"),1,FALSE()), "Not found")</f>
        <v>Not found</v>
      </c>
      <c r="H56" s="18" t="n">
        <f aca="true">INDIRECT("'"&amp;F56&amp;"'!D1")</f>
        <v>0</v>
      </c>
      <c r="I56" s="18" t="str">
        <f aca="false">IFERROR(__xludf.dummyfunction("REGEXEXTRACT(ADDRESS(ROW(), 24+$H56), ""[A-Z]+"")"),"X")</f>
        <v>X</v>
      </c>
      <c r="J56" s="18" t="str">
        <f aca="false">IFERROR(__xludf.dummyfunction("REGEXEXTRACT(ADDRESS(ROW(), 30+$H56), ""[A-Z]+"")"),"AD")</f>
        <v>AD</v>
      </c>
      <c r="K56" s="18" t="str">
        <f aca="false">IFERROR(__xludf.dummyfunction("REGEXEXTRACT(ADDRESS(ROW(), 36+$H56), ""[A-Z]+"")"),"AJ")</f>
        <v>AJ</v>
      </c>
      <c r="L56" s="18" t="str">
        <f aca="false">IFERROR(__xludf.dummyfunction("REGEXEXTRACT(ADDRESS(ROW(), 42+$H56), ""[A-Z]+"")"),"AP")</f>
        <v>AP</v>
      </c>
      <c r="M56" s="18" t="str">
        <f aca="false">IFERROR(__xludf.dummyfunction("REGEXEXTRACT(ADDRESS(ROW(), 48+$H56), ""[A-Z]+"")"),"AV")</f>
        <v>AV</v>
      </c>
      <c r="N56" s="18" t="str">
        <f aca="false">IFERROR(__xludf.dummyfunction("REGEXEXTRACT(ADDRESS(ROW(), 50+$H56), ""[A-Z]+"")"),"AX")</f>
        <v>AX</v>
      </c>
      <c r="O56" s="18" t="str">
        <f aca="false">IFERROR(__xludf.dummyfunction("REGEXEXTRACT(ADDRESS(ROW(), 51+$H56), ""[A-Z]+"")"),"AY")</f>
        <v>AY</v>
      </c>
      <c r="P56" s="18" t="str">
        <f aca="false">IFERROR(__xludf.dummyfunction("REGEXEXTRACT(ADDRESS(ROW(), 54+$H56), ""[A-Z]+"")"),"BB")</f>
        <v>BB</v>
      </c>
      <c r="Q56" s="18" t="str">
        <f aca="false">IFERROR(__xludf.dummyfunction("REGEXEXTRACT(ADDRESS(ROW(), 59+$H56), ""[A-Z]+"")"),"BG")</f>
        <v>BG</v>
      </c>
      <c r="R56" s="18" t="str">
        <f aca="false">IFERROR(__xludf.dummyfunction("REGEXEXTRACT(ADDRESS(ROW(), 60+$H56), ""[A-Z]+"")"),"BH")</f>
        <v>BH</v>
      </c>
      <c r="S56" s="18" t="str">
        <f aca="false">IFERROR(__xludf.dummyfunction("REGEXEXTRACT(ADDRESS(ROW(), 62+$H56), ""[A-Z]+"")"),"BJ")</f>
        <v>BJ</v>
      </c>
      <c r="T56" s="18" t="str">
        <f aca="false">IFERROR(__xludf.dummyfunction("REGEXEXTRACT(ADDRESS(ROW(), 63+$H56), ""[A-Z]+"")"),"BK")</f>
        <v>BK</v>
      </c>
      <c r="U56" s="19" t="n">
        <f aca="false">IFERROR(__xludf.dummyfunction("IFERROR(QUERY(INDIRECT(""'""&amp;F56&amp;""'!C3:""&amp;T56&amp;""""), ""SELECT ""&amp;I56&amp;"", ""&amp;J56&amp;"", ""&amp;K56&amp;"", ""&amp;L56&amp;"", ""&amp;M56&amp;"", ""&amp;N56&amp;"", ""&amp;O56&amp;"", ""&amp;P56&amp;"", ""&amp;Q56&amp;"", ""&amp;R56&amp;"", ""&amp;S56&amp;"" WHERE '""&amp;B56&amp;""' = D"", 0), """")"),9.5)</f>
        <v>9.5</v>
      </c>
      <c r="V56" s="22" t="n">
        <f aca="false">IFERROR(__xludf.dummyfunction("""COMPUTED_VALUE"""),7.5)</f>
        <v>7.5</v>
      </c>
      <c r="W56" s="22" t="n">
        <f aca="false">IFERROR(__xludf.dummyfunction("""COMPUTED_VALUE"""),8)</f>
        <v>8</v>
      </c>
      <c r="X56" s="22"/>
      <c r="Y56" s="22" t="n">
        <f aca="false">IFERROR(__xludf.dummyfunction("""COMPUTED_VALUE"""),0)</f>
        <v>0</v>
      </c>
      <c r="Z56" s="22" t="n">
        <f aca="false">IFERROR(__xludf.dummyfunction("""COMPUTED_VALUE"""),0)</f>
        <v>0</v>
      </c>
      <c r="AA56" s="22" t="n">
        <f aca="false">IFERROR(__xludf.dummyfunction("""COMPUTED_VALUE"""),0)</f>
        <v>0</v>
      </c>
      <c r="AB56" s="22" t="n">
        <f aca="false">IFERROR(__xludf.dummyfunction("""COMPUTED_VALUE"""),0)</f>
        <v>0</v>
      </c>
      <c r="AC56" s="22"/>
      <c r="AD56" s="23"/>
      <c r="AE56" s="24" t="n">
        <f aca="false">IFERROR(__xludf.dummyfunction("""COMPUTED_VALUE"""),25)</f>
        <v>25</v>
      </c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customFormat="false" ht="18.65" hidden="false" customHeight="false" outlineLevel="0" collapsed="false">
      <c r="A57" s="13" t="n">
        <v>56</v>
      </c>
      <c r="B57" s="14" t="s">
        <v>132</v>
      </c>
      <c r="C57" s="15" t="s">
        <v>133</v>
      </c>
      <c r="D57" s="16" t="s">
        <v>24</v>
      </c>
      <c r="E57" s="16" t="s">
        <v>24</v>
      </c>
      <c r="F57" s="16" t="str">
        <f aca="false">REPLACE(E57, 1, 3, "")</f>
        <v>30</v>
      </c>
      <c r="G57" s="17" t="str">
        <f aca="true">IFERROR(VLOOKUP(B57,INDIRECT("'"&amp;F57&amp;"'!D3:D"),1,FALSE()), "Not found")</f>
        <v>Not found</v>
      </c>
      <c r="H57" s="18" t="n">
        <f aca="true">INDIRECT("'"&amp;F57&amp;"'!D1")</f>
        <v>0</v>
      </c>
      <c r="I57" s="18" t="str">
        <f aca="false">IFERROR(__xludf.dummyfunction("REGEXEXTRACT(ADDRESS(ROW(), 24+$H57), ""[A-Z]+"")"),"X")</f>
        <v>X</v>
      </c>
      <c r="J57" s="18" t="str">
        <f aca="false">IFERROR(__xludf.dummyfunction("REGEXEXTRACT(ADDRESS(ROW(), 30+$H57), ""[A-Z]+"")"),"AD")</f>
        <v>AD</v>
      </c>
      <c r="K57" s="18" t="str">
        <f aca="false">IFERROR(__xludf.dummyfunction("REGEXEXTRACT(ADDRESS(ROW(), 36+$H57), ""[A-Z]+"")"),"AJ")</f>
        <v>AJ</v>
      </c>
      <c r="L57" s="18" t="str">
        <f aca="false">IFERROR(__xludf.dummyfunction("REGEXEXTRACT(ADDRESS(ROW(), 42+$H57), ""[A-Z]+"")"),"AP")</f>
        <v>AP</v>
      </c>
      <c r="M57" s="18" t="str">
        <f aca="false">IFERROR(__xludf.dummyfunction("REGEXEXTRACT(ADDRESS(ROW(), 48+$H57), ""[A-Z]+"")"),"AV")</f>
        <v>AV</v>
      </c>
      <c r="N57" s="18" t="str">
        <f aca="false">IFERROR(__xludf.dummyfunction("REGEXEXTRACT(ADDRESS(ROW(), 50+$H57), ""[A-Z]+"")"),"AX")</f>
        <v>AX</v>
      </c>
      <c r="O57" s="18" t="str">
        <f aca="false">IFERROR(__xludf.dummyfunction("REGEXEXTRACT(ADDRESS(ROW(), 51+$H57), ""[A-Z]+"")"),"AY")</f>
        <v>AY</v>
      </c>
      <c r="P57" s="18" t="str">
        <f aca="false">IFERROR(__xludf.dummyfunction("REGEXEXTRACT(ADDRESS(ROW(), 54+$H57), ""[A-Z]+"")"),"BB")</f>
        <v>BB</v>
      </c>
      <c r="Q57" s="18" t="str">
        <f aca="false">IFERROR(__xludf.dummyfunction("REGEXEXTRACT(ADDRESS(ROW(), 59+$H57), ""[A-Z]+"")"),"BG")</f>
        <v>BG</v>
      </c>
      <c r="R57" s="18" t="str">
        <f aca="false">IFERROR(__xludf.dummyfunction("REGEXEXTRACT(ADDRESS(ROW(), 60+$H57), ""[A-Z]+"")"),"BH")</f>
        <v>BH</v>
      </c>
      <c r="S57" s="18" t="str">
        <f aca="false">IFERROR(__xludf.dummyfunction("REGEXEXTRACT(ADDRESS(ROW(), 62+$H57), ""[A-Z]+"")"),"BJ")</f>
        <v>BJ</v>
      </c>
      <c r="T57" s="18" t="str">
        <f aca="false">IFERROR(__xludf.dummyfunction("REGEXEXTRACT(ADDRESS(ROW(), 63+$H57), ""[A-Z]+"")"),"BK")</f>
        <v>BK</v>
      </c>
      <c r="U57" s="19" t="str">
        <f aca="false">IFERROR(__xludf.dummyfunction("IFERROR(QUERY(INDIRECT(""'""&amp;F57&amp;""'!C3:""&amp;T57&amp;""""), ""SELECT ""&amp;I57&amp;"", ""&amp;J57&amp;"", ""&amp;K57&amp;"", ""&amp;L57&amp;"", ""&amp;M57&amp;"", ""&amp;N57&amp;"", ""&amp;O57&amp;"", ""&amp;P57&amp;"", ""&amp;Q57&amp;"", ""&amp;R57&amp;"", ""&amp;S57&amp;"" WHERE '""&amp;B57&amp;""' = D"", 0), """")"),"")</f>
        <v/>
      </c>
      <c r="V57" s="22"/>
      <c r="W57" s="22"/>
      <c r="X57" s="22"/>
      <c r="Y57" s="22" t="n">
        <f aca="false">IFERROR(__xludf.dummyfunction("""COMPUTED_VALUE"""),0)</f>
        <v>0</v>
      </c>
      <c r="Z57" s="22"/>
      <c r="AA57" s="22"/>
      <c r="AB57" s="22"/>
      <c r="AC57" s="22"/>
      <c r="AD57" s="23"/>
      <c r="AE57" s="24" t="n">
        <f aca="false">IFERROR(__xludf.dummyfunction("""COMPUTED_VALUE"""),0)</f>
        <v>0</v>
      </c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customFormat="false" ht="18.65" hidden="false" customHeight="false" outlineLevel="0" collapsed="false">
      <c r="A58" s="13" t="n">
        <v>57</v>
      </c>
      <c r="B58" s="14" t="s">
        <v>134</v>
      </c>
      <c r="C58" s="15" t="s">
        <v>135</v>
      </c>
      <c r="D58" s="16" t="s">
        <v>24</v>
      </c>
      <c r="E58" s="16" t="s">
        <v>24</v>
      </c>
      <c r="F58" s="16" t="str">
        <f aca="false">REPLACE(E58, 1, 3, "")</f>
        <v>30</v>
      </c>
      <c r="G58" s="17" t="str">
        <f aca="true">IFERROR(VLOOKUP(B58,INDIRECT("'"&amp;F58&amp;"'!D3:D"),1,FALSE()), "Not found")</f>
        <v>Not found</v>
      </c>
      <c r="H58" s="18" t="n">
        <f aca="true">INDIRECT("'"&amp;F58&amp;"'!D1")</f>
        <v>0</v>
      </c>
      <c r="I58" s="18" t="str">
        <f aca="false">IFERROR(__xludf.dummyfunction("REGEXEXTRACT(ADDRESS(ROW(), 24+$H58), ""[A-Z]+"")"),"X")</f>
        <v>X</v>
      </c>
      <c r="J58" s="18" t="str">
        <f aca="false">IFERROR(__xludf.dummyfunction("REGEXEXTRACT(ADDRESS(ROW(), 30+$H58), ""[A-Z]+"")"),"AD")</f>
        <v>AD</v>
      </c>
      <c r="K58" s="18" t="str">
        <f aca="false">IFERROR(__xludf.dummyfunction("REGEXEXTRACT(ADDRESS(ROW(), 36+$H58), ""[A-Z]+"")"),"AJ")</f>
        <v>AJ</v>
      </c>
      <c r="L58" s="18" t="str">
        <f aca="false">IFERROR(__xludf.dummyfunction("REGEXEXTRACT(ADDRESS(ROW(), 42+$H58), ""[A-Z]+"")"),"AP")</f>
        <v>AP</v>
      </c>
      <c r="M58" s="18" t="str">
        <f aca="false">IFERROR(__xludf.dummyfunction("REGEXEXTRACT(ADDRESS(ROW(), 48+$H58), ""[A-Z]+"")"),"AV")</f>
        <v>AV</v>
      </c>
      <c r="N58" s="18" t="str">
        <f aca="false">IFERROR(__xludf.dummyfunction("REGEXEXTRACT(ADDRESS(ROW(), 50+$H58), ""[A-Z]+"")"),"AX")</f>
        <v>AX</v>
      </c>
      <c r="O58" s="18" t="str">
        <f aca="false">IFERROR(__xludf.dummyfunction("REGEXEXTRACT(ADDRESS(ROW(), 51+$H58), ""[A-Z]+"")"),"AY")</f>
        <v>AY</v>
      </c>
      <c r="P58" s="18" t="str">
        <f aca="false">IFERROR(__xludf.dummyfunction("REGEXEXTRACT(ADDRESS(ROW(), 54+$H58), ""[A-Z]+"")"),"BB")</f>
        <v>BB</v>
      </c>
      <c r="Q58" s="18" t="str">
        <f aca="false">IFERROR(__xludf.dummyfunction("REGEXEXTRACT(ADDRESS(ROW(), 59+$H58), ""[A-Z]+"")"),"BG")</f>
        <v>BG</v>
      </c>
      <c r="R58" s="18" t="str">
        <f aca="false">IFERROR(__xludf.dummyfunction("REGEXEXTRACT(ADDRESS(ROW(), 60+$H58), ""[A-Z]+"")"),"BH")</f>
        <v>BH</v>
      </c>
      <c r="S58" s="18" t="str">
        <f aca="false">IFERROR(__xludf.dummyfunction("REGEXEXTRACT(ADDRESS(ROW(), 62+$H58), ""[A-Z]+"")"),"BJ")</f>
        <v>BJ</v>
      </c>
      <c r="T58" s="18" t="str">
        <f aca="false">IFERROR(__xludf.dummyfunction("REGEXEXTRACT(ADDRESS(ROW(), 63+$H58), ""[A-Z]+"")"),"BK")</f>
        <v>BK</v>
      </c>
      <c r="U58" s="19" t="n">
        <f aca="false">IFERROR(__xludf.dummyfunction("IFERROR(QUERY(INDIRECT(""'""&amp;F58&amp;""'!C3:""&amp;T58&amp;""""), ""SELECT ""&amp;I58&amp;"", ""&amp;J58&amp;"", ""&amp;K58&amp;"", ""&amp;L58&amp;"", ""&amp;M58&amp;"", ""&amp;N58&amp;"", ""&amp;O58&amp;"", ""&amp;P58&amp;"", ""&amp;Q58&amp;"", ""&amp;R58&amp;"", ""&amp;S58&amp;"" WHERE '""&amp;B58&amp;""' = D"", 0), """")"),9.5)</f>
        <v>9.5</v>
      </c>
      <c r="V58" s="22" t="n">
        <f aca="false">IFERROR(__xludf.dummyfunction("""COMPUTED_VALUE"""),10)</f>
        <v>10</v>
      </c>
      <c r="W58" s="22" t="n">
        <f aca="false">IFERROR(__xludf.dummyfunction("""COMPUTED_VALUE"""),9.5)</f>
        <v>9.5</v>
      </c>
      <c r="X58" s="22" t="n">
        <f aca="false">IFERROR(__xludf.dummyfunction("""COMPUTED_VALUE"""),9.5)</f>
        <v>9.5</v>
      </c>
      <c r="Y58" s="22" t="n">
        <f aca="false">IFERROR(__xludf.dummyfunction("""COMPUTED_VALUE"""),10)</f>
        <v>10</v>
      </c>
      <c r="Z58" s="22"/>
      <c r="AA58" s="22"/>
      <c r="AB58" s="22" t="n">
        <f aca="false">IFERROR(__xludf.dummyfunction("""COMPUTED_VALUE"""),6)</f>
        <v>6</v>
      </c>
      <c r="AC58" s="22" t="n">
        <f aca="false">IFERROR(__xludf.dummyfunction("""COMPUTED_VALUE"""),18)</f>
        <v>18</v>
      </c>
      <c r="AD58" s="23" t="n">
        <f aca="false">IFERROR(__xludf.dummyfunction("""COMPUTED_VALUE"""),2)</f>
        <v>2</v>
      </c>
      <c r="AE58" s="24" t="n">
        <f aca="false">IFERROR(__xludf.dummyfunction("""COMPUTED_VALUE"""),74.5)</f>
        <v>74.5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</row>
    <row r="59" customFormat="false" ht="18.65" hidden="false" customHeight="false" outlineLevel="0" collapsed="false">
      <c r="A59" s="13" t="n">
        <v>58</v>
      </c>
      <c r="B59" s="14" t="s">
        <v>136</v>
      </c>
      <c r="C59" s="15" t="s">
        <v>137</v>
      </c>
      <c r="D59" s="16" t="s">
        <v>39</v>
      </c>
      <c r="E59" s="16" t="s">
        <v>39</v>
      </c>
      <c r="F59" s="16" t="str">
        <f aca="false">REPLACE(E59, 1, 3, "")</f>
        <v>31</v>
      </c>
      <c r="G59" s="17" t="str">
        <f aca="true">IFERROR(VLOOKUP(B59,INDIRECT("'"&amp;F59&amp;"'!D3:D"),1,FALSE()), "Not found")</f>
        <v>Not found</v>
      </c>
      <c r="H59" s="18" t="n">
        <f aca="true">INDIRECT("'"&amp;F59&amp;"'!D1")</f>
        <v>0</v>
      </c>
      <c r="I59" s="18" t="str">
        <f aca="false">IFERROR(__xludf.dummyfunction("REGEXEXTRACT(ADDRESS(ROW(), 24+$H59), ""[A-Z]+"")"),"X")</f>
        <v>X</v>
      </c>
      <c r="J59" s="18" t="str">
        <f aca="false">IFERROR(__xludf.dummyfunction("REGEXEXTRACT(ADDRESS(ROW(), 30+$H59), ""[A-Z]+"")"),"AD")</f>
        <v>AD</v>
      </c>
      <c r="K59" s="18" t="str">
        <f aca="false">IFERROR(__xludf.dummyfunction("REGEXEXTRACT(ADDRESS(ROW(), 36+$H59), ""[A-Z]+"")"),"AJ")</f>
        <v>AJ</v>
      </c>
      <c r="L59" s="18" t="str">
        <f aca="false">IFERROR(__xludf.dummyfunction("REGEXEXTRACT(ADDRESS(ROW(), 42+$H59), ""[A-Z]+"")"),"AP")</f>
        <v>AP</v>
      </c>
      <c r="M59" s="18" t="str">
        <f aca="false">IFERROR(__xludf.dummyfunction("REGEXEXTRACT(ADDRESS(ROW(), 48+$H59), ""[A-Z]+"")"),"AV")</f>
        <v>AV</v>
      </c>
      <c r="N59" s="18" t="str">
        <f aca="false">IFERROR(__xludf.dummyfunction("REGEXEXTRACT(ADDRESS(ROW(), 50+$H59), ""[A-Z]+"")"),"AX")</f>
        <v>AX</v>
      </c>
      <c r="O59" s="18" t="str">
        <f aca="false">IFERROR(__xludf.dummyfunction("REGEXEXTRACT(ADDRESS(ROW(), 51+$H59), ""[A-Z]+"")"),"AY")</f>
        <v>AY</v>
      </c>
      <c r="P59" s="18" t="str">
        <f aca="false">IFERROR(__xludf.dummyfunction("REGEXEXTRACT(ADDRESS(ROW(), 54+$H59), ""[A-Z]+"")"),"BB")</f>
        <v>BB</v>
      </c>
      <c r="Q59" s="18" t="str">
        <f aca="false">IFERROR(__xludf.dummyfunction("REGEXEXTRACT(ADDRESS(ROW(), 59+$H59), ""[A-Z]+"")"),"BG")</f>
        <v>BG</v>
      </c>
      <c r="R59" s="18" t="str">
        <f aca="false">IFERROR(__xludf.dummyfunction("REGEXEXTRACT(ADDRESS(ROW(), 60+$H59), ""[A-Z]+"")"),"BH")</f>
        <v>BH</v>
      </c>
      <c r="S59" s="18" t="str">
        <f aca="false">IFERROR(__xludf.dummyfunction("REGEXEXTRACT(ADDRESS(ROW(), 62+$H59), ""[A-Z]+"")"),"BJ")</f>
        <v>BJ</v>
      </c>
      <c r="T59" s="18" t="str">
        <f aca="false">IFERROR(__xludf.dummyfunction("REGEXEXTRACT(ADDRESS(ROW(), 63+$H59), ""[A-Z]+"")"),"BK")</f>
        <v>BK</v>
      </c>
      <c r="U59" s="19" t="n">
        <f aca="false">IFERROR(__xludf.dummyfunction("IFERROR(QUERY(INDIRECT(""'""&amp;F59&amp;""'!C3:""&amp;T59&amp;""""), ""SELECT ""&amp;I59&amp;"", ""&amp;J59&amp;"", ""&amp;K59&amp;"", ""&amp;L59&amp;"", ""&amp;M59&amp;"", ""&amp;N59&amp;"", ""&amp;O59&amp;"", ""&amp;P59&amp;"", ""&amp;Q59&amp;"", ""&amp;R59&amp;"", ""&amp;S59&amp;"" WHERE '""&amp;B59&amp;""' = D"", 0), """")"),8)</f>
        <v>8</v>
      </c>
      <c r="V59" s="22" t="n">
        <f aca="false">IFERROR(__xludf.dummyfunction("""COMPUTED_VALUE"""),9)</f>
        <v>9</v>
      </c>
      <c r="W59" s="22" t="n">
        <f aca="false">IFERROR(__xludf.dummyfunction("""COMPUTED_VALUE"""),10)</f>
        <v>10</v>
      </c>
      <c r="X59" s="22" t="n">
        <f aca="false">IFERROR(__xludf.dummyfunction("""COMPUTED_VALUE"""),10)</f>
        <v>10</v>
      </c>
      <c r="Y59" s="22" t="n">
        <f aca="false">IFERROR(__xludf.dummyfunction("""COMPUTED_VALUE"""),0)</f>
        <v>0</v>
      </c>
      <c r="Z59" s="22" t="n">
        <f aca="false">IFERROR(__xludf.dummyfunction("""COMPUTED_VALUE"""),0)</f>
        <v>0</v>
      </c>
      <c r="AA59" s="22" t="n">
        <f aca="false">IFERROR(__xludf.dummyfunction("""COMPUTED_VALUE"""),1)</f>
        <v>1</v>
      </c>
      <c r="AB59" s="22" t="n">
        <f aca="false">IFERROR(__xludf.dummyfunction("""COMPUTED_VALUE"""),6)</f>
        <v>6</v>
      </c>
      <c r="AC59" s="22" t="n">
        <f aca="false">IFERROR(__xludf.dummyfunction("""COMPUTED_VALUE"""),18)</f>
        <v>18</v>
      </c>
      <c r="AD59" s="23" t="n">
        <f aca="false">IFERROR(__xludf.dummyfunction("""COMPUTED_VALUE"""),0)</f>
        <v>0</v>
      </c>
      <c r="AE59" s="24" t="n">
        <f aca="false">IFERROR(__xludf.dummyfunction("""COMPUTED_VALUE"""),62)</f>
        <v>62</v>
      </c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customFormat="false" ht="18.65" hidden="false" customHeight="false" outlineLevel="0" collapsed="false">
      <c r="A60" s="13" t="n">
        <v>59</v>
      </c>
      <c r="B60" s="14" t="s">
        <v>138</v>
      </c>
      <c r="C60" s="15" t="s">
        <v>139</v>
      </c>
      <c r="D60" s="16" t="s">
        <v>24</v>
      </c>
      <c r="E60" s="16" t="s">
        <v>24</v>
      </c>
      <c r="F60" s="16" t="str">
        <f aca="false">REPLACE(E60, 1, 3, "")</f>
        <v>30</v>
      </c>
      <c r="G60" s="17" t="str">
        <f aca="true">IFERROR(VLOOKUP(B60,INDIRECT("'"&amp;F60&amp;"'!D3:D"),1,FALSE()), "Not found")</f>
        <v>Not found</v>
      </c>
      <c r="H60" s="18" t="n">
        <f aca="true">INDIRECT("'"&amp;F60&amp;"'!D1")</f>
        <v>0</v>
      </c>
      <c r="I60" s="18" t="str">
        <f aca="false">IFERROR(__xludf.dummyfunction("REGEXEXTRACT(ADDRESS(ROW(), 24+$H60), ""[A-Z]+"")"),"X")</f>
        <v>X</v>
      </c>
      <c r="J60" s="18" t="str">
        <f aca="false">IFERROR(__xludf.dummyfunction("REGEXEXTRACT(ADDRESS(ROW(), 30+$H60), ""[A-Z]+"")"),"AD")</f>
        <v>AD</v>
      </c>
      <c r="K60" s="18" t="str">
        <f aca="false">IFERROR(__xludf.dummyfunction("REGEXEXTRACT(ADDRESS(ROW(), 36+$H60), ""[A-Z]+"")"),"AJ")</f>
        <v>AJ</v>
      </c>
      <c r="L60" s="18" t="str">
        <f aca="false">IFERROR(__xludf.dummyfunction("REGEXEXTRACT(ADDRESS(ROW(), 42+$H60), ""[A-Z]+"")"),"AP")</f>
        <v>AP</v>
      </c>
      <c r="M60" s="18" t="str">
        <f aca="false">IFERROR(__xludf.dummyfunction("REGEXEXTRACT(ADDRESS(ROW(), 48+$H60), ""[A-Z]+"")"),"AV")</f>
        <v>AV</v>
      </c>
      <c r="N60" s="18" t="str">
        <f aca="false">IFERROR(__xludf.dummyfunction("REGEXEXTRACT(ADDRESS(ROW(), 50+$H60), ""[A-Z]+"")"),"AX")</f>
        <v>AX</v>
      </c>
      <c r="O60" s="18" t="str">
        <f aca="false">IFERROR(__xludf.dummyfunction("REGEXEXTRACT(ADDRESS(ROW(), 51+$H60), ""[A-Z]+"")"),"AY")</f>
        <v>AY</v>
      </c>
      <c r="P60" s="18" t="str">
        <f aca="false">IFERROR(__xludf.dummyfunction("REGEXEXTRACT(ADDRESS(ROW(), 54+$H60), ""[A-Z]+"")"),"BB")</f>
        <v>BB</v>
      </c>
      <c r="Q60" s="18" t="str">
        <f aca="false">IFERROR(__xludf.dummyfunction("REGEXEXTRACT(ADDRESS(ROW(), 59+$H60), ""[A-Z]+"")"),"BG")</f>
        <v>BG</v>
      </c>
      <c r="R60" s="18" t="str">
        <f aca="false">IFERROR(__xludf.dummyfunction("REGEXEXTRACT(ADDRESS(ROW(), 60+$H60), ""[A-Z]+"")"),"BH")</f>
        <v>BH</v>
      </c>
      <c r="S60" s="18" t="str">
        <f aca="false">IFERROR(__xludf.dummyfunction("REGEXEXTRACT(ADDRESS(ROW(), 62+$H60), ""[A-Z]+"")"),"BJ")</f>
        <v>BJ</v>
      </c>
      <c r="T60" s="18" t="str">
        <f aca="false">IFERROR(__xludf.dummyfunction("REGEXEXTRACT(ADDRESS(ROW(), 63+$H60), ""[A-Z]+"")"),"BK")</f>
        <v>BK</v>
      </c>
      <c r="U60" s="19" t="n">
        <f aca="false">IFERROR(__xludf.dummyfunction("IFERROR(QUERY(INDIRECT(""'""&amp;F60&amp;""'!C3:""&amp;T60&amp;""""), ""SELECT ""&amp;I60&amp;"", ""&amp;J60&amp;"", ""&amp;K60&amp;"", ""&amp;L60&amp;"", ""&amp;M60&amp;"", ""&amp;N60&amp;"", ""&amp;O60&amp;"", ""&amp;P60&amp;"", ""&amp;Q60&amp;"", ""&amp;R60&amp;"", ""&amp;S60&amp;"" WHERE '""&amp;B60&amp;""' = D"", 0), """")"),10)</f>
        <v>10</v>
      </c>
      <c r="V60" s="22" t="n">
        <f aca="false">IFERROR(__xludf.dummyfunction("""COMPUTED_VALUE"""),9.5)</f>
        <v>9.5</v>
      </c>
      <c r="W60" s="22" t="n">
        <f aca="false">IFERROR(__xludf.dummyfunction("""COMPUTED_VALUE"""),10)</f>
        <v>10</v>
      </c>
      <c r="X60" s="22" t="n">
        <f aca="false">IFERROR(__xludf.dummyfunction("""COMPUTED_VALUE"""),10)</f>
        <v>10</v>
      </c>
      <c r="Y60" s="22" t="n">
        <f aca="false">IFERROR(__xludf.dummyfunction("""COMPUTED_VALUE"""),10)</f>
        <v>10</v>
      </c>
      <c r="Z60" s="22" t="n">
        <f aca="false">IFERROR(__xludf.dummyfunction("""COMPUTED_VALUE"""),1)</f>
        <v>1</v>
      </c>
      <c r="AA60" s="22" t="n">
        <f aca="false">IFERROR(__xludf.dummyfunction("""COMPUTED_VALUE"""),2)</f>
        <v>2</v>
      </c>
      <c r="AB60" s="22" t="n">
        <f aca="false">IFERROR(__xludf.dummyfunction("""COMPUTED_VALUE"""),10)</f>
        <v>10</v>
      </c>
      <c r="AC60" s="22" t="n">
        <f aca="false">IFERROR(__xludf.dummyfunction("""COMPUTED_VALUE"""),29)</f>
        <v>29</v>
      </c>
      <c r="AD60" s="23"/>
      <c r="AE60" s="24" t="n">
        <f aca="false">IFERROR(__xludf.dummyfunction("""COMPUTED_VALUE"""),91.5)</f>
        <v>91.5</v>
      </c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</row>
    <row r="61" customFormat="false" ht="18.65" hidden="false" customHeight="false" outlineLevel="0" collapsed="false">
      <c r="A61" s="13" t="n">
        <v>60</v>
      </c>
      <c r="B61" s="14" t="s">
        <v>140</v>
      </c>
      <c r="C61" s="15" t="s">
        <v>141</v>
      </c>
      <c r="D61" s="16" t="s">
        <v>21</v>
      </c>
      <c r="E61" s="16" t="s">
        <v>21</v>
      </c>
      <c r="F61" s="16" t="str">
        <f aca="false">REPLACE(E61, 1, 3, "")</f>
        <v>32</v>
      </c>
      <c r="G61" s="17" t="str">
        <f aca="true">IFERROR(VLOOKUP(B61,INDIRECT("'"&amp;F61&amp;"'!D3:D"),1,FALSE()), "Not found")</f>
        <v>Not found</v>
      </c>
      <c r="H61" s="18" t="n">
        <f aca="true">INDIRECT("'"&amp;F61&amp;"'!D1")</f>
        <v>0</v>
      </c>
      <c r="I61" s="18" t="str">
        <f aca="false">IFERROR(__xludf.dummyfunction("REGEXEXTRACT(ADDRESS(ROW(), 24+$H61), ""[A-Z]+"")"),"X")</f>
        <v>X</v>
      </c>
      <c r="J61" s="18" t="str">
        <f aca="false">IFERROR(__xludf.dummyfunction("REGEXEXTRACT(ADDRESS(ROW(), 30+$H61), ""[A-Z]+"")"),"AD")</f>
        <v>AD</v>
      </c>
      <c r="K61" s="18" t="str">
        <f aca="false">IFERROR(__xludf.dummyfunction("REGEXEXTRACT(ADDRESS(ROW(), 36+$H61), ""[A-Z]+"")"),"AJ")</f>
        <v>AJ</v>
      </c>
      <c r="L61" s="18" t="str">
        <f aca="false">IFERROR(__xludf.dummyfunction("REGEXEXTRACT(ADDRESS(ROW(), 42+$H61), ""[A-Z]+"")"),"AP")</f>
        <v>AP</v>
      </c>
      <c r="M61" s="18" t="str">
        <f aca="false">IFERROR(__xludf.dummyfunction("REGEXEXTRACT(ADDRESS(ROW(), 48+$H61), ""[A-Z]+"")"),"AV")</f>
        <v>AV</v>
      </c>
      <c r="N61" s="18" t="str">
        <f aca="false">IFERROR(__xludf.dummyfunction("REGEXEXTRACT(ADDRESS(ROW(), 50+$H61), ""[A-Z]+"")"),"AX")</f>
        <v>AX</v>
      </c>
      <c r="O61" s="18" t="str">
        <f aca="false">IFERROR(__xludf.dummyfunction("REGEXEXTRACT(ADDRESS(ROW(), 51+$H61), ""[A-Z]+"")"),"AY")</f>
        <v>AY</v>
      </c>
      <c r="P61" s="18" t="str">
        <f aca="false">IFERROR(__xludf.dummyfunction("REGEXEXTRACT(ADDRESS(ROW(), 54+$H61), ""[A-Z]+"")"),"BB")</f>
        <v>BB</v>
      </c>
      <c r="Q61" s="18" t="str">
        <f aca="false">IFERROR(__xludf.dummyfunction("REGEXEXTRACT(ADDRESS(ROW(), 59+$H61), ""[A-Z]+"")"),"BG")</f>
        <v>BG</v>
      </c>
      <c r="R61" s="18" t="str">
        <f aca="false">IFERROR(__xludf.dummyfunction("REGEXEXTRACT(ADDRESS(ROW(), 60+$H61), ""[A-Z]+"")"),"BH")</f>
        <v>BH</v>
      </c>
      <c r="S61" s="18" t="str">
        <f aca="false">IFERROR(__xludf.dummyfunction("REGEXEXTRACT(ADDRESS(ROW(), 62+$H61), ""[A-Z]+"")"),"BJ")</f>
        <v>BJ</v>
      </c>
      <c r="T61" s="18" t="str">
        <f aca="false">IFERROR(__xludf.dummyfunction("REGEXEXTRACT(ADDRESS(ROW(), 63+$H61), ""[A-Z]+"")"),"BK")</f>
        <v>BK</v>
      </c>
      <c r="U61" s="19" t="n">
        <f aca="false">IFERROR(__xludf.dummyfunction("IFERROR(QUERY(INDIRECT(""'""&amp;F61&amp;""'!C3:""&amp;T61&amp;""""), ""SELECT ""&amp;I61&amp;"", ""&amp;J61&amp;"", ""&amp;K61&amp;"", ""&amp;L61&amp;"", ""&amp;M61&amp;"", ""&amp;N61&amp;"", ""&amp;O61&amp;"", ""&amp;P61&amp;"", ""&amp;Q61&amp;"", ""&amp;R61&amp;"", ""&amp;S61&amp;"" WHERE '""&amp;B61&amp;""' = D"", 0), """")"),9.3)</f>
        <v>9.3</v>
      </c>
      <c r="V61" s="22" t="n">
        <f aca="false">IFERROR(__xludf.dummyfunction("""COMPUTED_VALUE"""),9.5)</f>
        <v>9.5</v>
      </c>
      <c r="W61" s="22" t="n">
        <f aca="false">IFERROR(__xludf.dummyfunction("""COMPUTED_VALUE"""),9.5)</f>
        <v>9.5</v>
      </c>
      <c r="X61" s="22" t="n">
        <f aca="false">IFERROR(__xludf.dummyfunction("""COMPUTED_VALUE"""),9.2)</f>
        <v>9.2</v>
      </c>
      <c r="Y61" s="22"/>
      <c r="Z61" s="22"/>
      <c r="AA61" s="22"/>
      <c r="AB61" s="22" t="n">
        <f aca="false">IFERROR(__xludf.dummyfunction("""COMPUTED_VALUE"""),8.7)</f>
        <v>8.7</v>
      </c>
      <c r="AC61" s="22"/>
      <c r="AD61" s="23"/>
      <c r="AE61" s="24" t="n">
        <f aca="false">IFERROR(__xludf.dummyfunction("""COMPUTED_VALUE"""),46.2)</f>
        <v>46.2</v>
      </c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</row>
    <row r="62" customFormat="false" ht="18.65" hidden="false" customHeight="false" outlineLevel="0" collapsed="false">
      <c r="A62" s="13" t="n">
        <v>61</v>
      </c>
      <c r="B62" s="14" t="s">
        <v>142</v>
      </c>
      <c r="C62" s="15" t="s">
        <v>143</v>
      </c>
      <c r="D62" s="16" t="s">
        <v>39</v>
      </c>
      <c r="E62" s="16" t="s">
        <v>39</v>
      </c>
      <c r="F62" s="16" t="str">
        <f aca="false">REPLACE(E62, 1, 3, "")</f>
        <v>31</v>
      </c>
      <c r="G62" s="17" t="str">
        <f aca="true">IFERROR(VLOOKUP(B62,INDIRECT("'"&amp;F62&amp;"'!D3:D"),1,FALSE()), "Not found")</f>
        <v>Not found</v>
      </c>
      <c r="H62" s="18" t="n">
        <f aca="true">INDIRECT("'"&amp;F62&amp;"'!D1")</f>
        <v>0</v>
      </c>
      <c r="I62" s="18" t="str">
        <f aca="false">IFERROR(__xludf.dummyfunction("REGEXEXTRACT(ADDRESS(ROW(), 24+$H62), ""[A-Z]+"")"),"X")</f>
        <v>X</v>
      </c>
      <c r="J62" s="18" t="str">
        <f aca="false">IFERROR(__xludf.dummyfunction("REGEXEXTRACT(ADDRESS(ROW(), 30+$H62), ""[A-Z]+"")"),"AD")</f>
        <v>AD</v>
      </c>
      <c r="K62" s="18" t="str">
        <f aca="false">IFERROR(__xludf.dummyfunction("REGEXEXTRACT(ADDRESS(ROW(), 36+$H62), ""[A-Z]+"")"),"AJ")</f>
        <v>AJ</v>
      </c>
      <c r="L62" s="18" t="str">
        <f aca="false">IFERROR(__xludf.dummyfunction("REGEXEXTRACT(ADDRESS(ROW(), 42+$H62), ""[A-Z]+"")"),"AP")</f>
        <v>AP</v>
      </c>
      <c r="M62" s="18" t="str">
        <f aca="false">IFERROR(__xludf.dummyfunction("REGEXEXTRACT(ADDRESS(ROW(), 48+$H62), ""[A-Z]+"")"),"AV")</f>
        <v>AV</v>
      </c>
      <c r="N62" s="18" t="str">
        <f aca="false">IFERROR(__xludf.dummyfunction("REGEXEXTRACT(ADDRESS(ROW(), 50+$H62), ""[A-Z]+"")"),"AX")</f>
        <v>AX</v>
      </c>
      <c r="O62" s="18" t="str">
        <f aca="false">IFERROR(__xludf.dummyfunction("REGEXEXTRACT(ADDRESS(ROW(), 51+$H62), ""[A-Z]+"")"),"AY")</f>
        <v>AY</v>
      </c>
      <c r="P62" s="18" t="str">
        <f aca="false">IFERROR(__xludf.dummyfunction("REGEXEXTRACT(ADDRESS(ROW(), 54+$H62), ""[A-Z]+"")"),"BB")</f>
        <v>BB</v>
      </c>
      <c r="Q62" s="18" t="str">
        <f aca="false">IFERROR(__xludf.dummyfunction("REGEXEXTRACT(ADDRESS(ROW(), 59+$H62), ""[A-Z]+"")"),"BG")</f>
        <v>BG</v>
      </c>
      <c r="R62" s="18" t="str">
        <f aca="false">IFERROR(__xludf.dummyfunction("REGEXEXTRACT(ADDRESS(ROW(), 60+$H62), ""[A-Z]+"")"),"BH")</f>
        <v>BH</v>
      </c>
      <c r="S62" s="18" t="str">
        <f aca="false">IFERROR(__xludf.dummyfunction("REGEXEXTRACT(ADDRESS(ROW(), 62+$H62), ""[A-Z]+"")"),"BJ")</f>
        <v>BJ</v>
      </c>
      <c r="T62" s="18" t="str">
        <f aca="false">IFERROR(__xludf.dummyfunction("REGEXEXTRACT(ADDRESS(ROW(), 63+$H62), ""[A-Z]+"")"),"BK")</f>
        <v>BK</v>
      </c>
      <c r="U62" s="19" t="n">
        <f aca="false">IFERROR(__xludf.dummyfunction("IFERROR(QUERY(INDIRECT(""'""&amp;F62&amp;""'!C3:""&amp;T62&amp;""""), ""SELECT ""&amp;I62&amp;"", ""&amp;J62&amp;"", ""&amp;K62&amp;"", ""&amp;L62&amp;"", ""&amp;M62&amp;"", ""&amp;N62&amp;"", ""&amp;O62&amp;"", ""&amp;P62&amp;"", ""&amp;Q62&amp;"", ""&amp;R62&amp;"", ""&amp;S62&amp;"" WHERE '""&amp;B62&amp;""' = D"", 0), """")"),10)</f>
        <v>10</v>
      </c>
      <c r="V62" s="22" t="n">
        <f aca="false">IFERROR(__xludf.dummyfunction("""COMPUTED_VALUE"""),10)</f>
        <v>10</v>
      </c>
      <c r="W62" s="22" t="n">
        <f aca="false">IFERROR(__xludf.dummyfunction("""COMPUTED_VALUE"""),10)</f>
        <v>10</v>
      </c>
      <c r="X62" s="22" t="n">
        <f aca="false">IFERROR(__xludf.dummyfunction("""COMPUTED_VALUE"""),10)</f>
        <v>10</v>
      </c>
      <c r="Y62" s="22" t="n">
        <f aca="false">IFERROR(__xludf.dummyfunction("""COMPUTED_VALUE"""),10)</f>
        <v>10</v>
      </c>
      <c r="Z62" s="22" t="n">
        <f aca="false">IFERROR(__xludf.dummyfunction("""COMPUTED_VALUE"""),1)</f>
        <v>1</v>
      </c>
      <c r="AA62" s="22"/>
      <c r="AB62" s="22" t="n">
        <f aca="false">IFERROR(__xludf.dummyfunction("""COMPUTED_VALUE"""),7)</f>
        <v>7</v>
      </c>
      <c r="AC62" s="22" t="n">
        <f aca="false">IFERROR(__xludf.dummyfunction("""COMPUTED_VALUE"""),28)</f>
        <v>28</v>
      </c>
      <c r="AD62" s="23"/>
      <c r="AE62" s="24" t="n">
        <f aca="false">IFERROR(__xludf.dummyfunction("""COMPUTED_VALUE"""),86)</f>
        <v>86</v>
      </c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</row>
    <row r="63" customFormat="false" ht="18.65" hidden="false" customHeight="false" outlineLevel="0" collapsed="false">
      <c r="A63" s="13" t="n">
        <v>62</v>
      </c>
      <c r="B63" s="14" t="s">
        <v>144</v>
      </c>
      <c r="C63" s="15" t="s">
        <v>145</v>
      </c>
      <c r="D63" s="16" t="s">
        <v>24</v>
      </c>
      <c r="E63" s="16" t="s">
        <v>24</v>
      </c>
      <c r="F63" s="16" t="str">
        <f aca="false">REPLACE(E63, 1, 3, "")</f>
        <v>30</v>
      </c>
      <c r="G63" s="17" t="str">
        <f aca="true">IFERROR(VLOOKUP(B63,INDIRECT("'"&amp;F63&amp;"'!D3:D"),1,FALSE()), "Not found")</f>
        <v>Not found</v>
      </c>
      <c r="H63" s="18" t="n">
        <f aca="true">INDIRECT("'"&amp;F63&amp;"'!D1")</f>
        <v>0</v>
      </c>
      <c r="I63" s="18" t="str">
        <f aca="false">IFERROR(__xludf.dummyfunction("REGEXEXTRACT(ADDRESS(ROW(), 24+$H63), ""[A-Z]+"")"),"X")</f>
        <v>X</v>
      </c>
      <c r="J63" s="18" t="str">
        <f aca="false">IFERROR(__xludf.dummyfunction("REGEXEXTRACT(ADDRESS(ROW(), 30+$H63), ""[A-Z]+"")"),"AD")</f>
        <v>AD</v>
      </c>
      <c r="K63" s="18" t="str">
        <f aca="false">IFERROR(__xludf.dummyfunction("REGEXEXTRACT(ADDRESS(ROW(), 36+$H63), ""[A-Z]+"")"),"AJ")</f>
        <v>AJ</v>
      </c>
      <c r="L63" s="18" t="str">
        <f aca="false">IFERROR(__xludf.dummyfunction("REGEXEXTRACT(ADDRESS(ROW(), 42+$H63), ""[A-Z]+"")"),"AP")</f>
        <v>AP</v>
      </c>
      <c r="M63" s="18" t="str">
        <f aca="false">IFERROR(__xludf.dummyfunction("REGEXEXTRACT(ADDRESS(ROW(), 48+$H63), ""[A-Z]+"")"),"AV")</f>
        <v>AV</v>
      </c>
      <c r="N63" s="18" t="str">
        <f aca="false">IFERROR(__xludf.dummyfunction("REGEXEXTRACT(ADDRESS(ROW(), 50+$H63), ""[A-Z]+"")"),"AX")</f>
        <v>AX</v>
      </c>
      <c r="O63" s="18" t="str">
        <f aca="false">IFERROR(__xludf.dummyfunction("REGEXEXTRACT(ADDRESS(ROW(), 51+$H63), ""[A-Z]+"")"),"AY")</f>
        <v>AY</v>
      </c>
      <c r="P63" s="18" t="str">
        <f aca="false">IFERROR(__xludf.dummyfunction("REGEXEXTRACT(ADDRESS(ROW(), 54+$H63), ""[A-Z]+"")"),"BB")</f>
        <v>BB</v>
      </c>
      <c r="Q63" s="18" t="str">
        <f aca="false">IFERROR(__xludf.dummyfunction("REGEXEXTRACT(ADDRESS(ROW(), 59+$H63), ""[A-Z]+"")"),"BG")</f>
        <v>BG</v>
      </c>
      <c r="R63" s="18" t="str">
        <f aca="false">IFERROR(__xludf.dummyfunction("REGEXEXTRACT(ADDRESS(ROW(), 60+$H63), ""[A-Z]+"")"),"BH")</f>
        <v>BH</v>
      </c>
      <c r="S63" s="18" t="str">
        <f aca="false">IFERROR(__xludf.dummyfunction("REGEXEXTRACT(ADDRESS(ROW(), 62+$H63), ""[A-Z]+"")"),"BJ")</f>
        <v>BJ</v>
      </c>
      <c r="T63" s="18" t="str">
        <f aca="false">IFERROR(__xludf.dummyfunction("REGEXEXTRACT(ADDRESS(ROW(), 63+$H63), ""[A-Z]+"")"),"BK")</f>
        <v>BK</v>
      </c>
      <c r="U63" s="19" t="n">
        <f aca="false">IFERROR(__xludf.dummyfunction("IFERROR(QUERY(INDIRECT(""'""&amp;F63&amp;""'!C3:""&amp;T63&amp;""""), ""SELECT ""&amp;I63&amp;"", ""&amp;J63&amp;"", ""&amp;K63&amp;"", ""&amp;L63&amp;"", ""&amp;M63&amp;"", ""&amp;N63&amp;"", ""&amp;O63&amp;"", ""&amp;P63&amp;"", ""&amp;Q63&amp;"", ""&amp;R63&amp;"", ""&amp;S63&amp;"" WHERE '""&amp;B63&amp;""' = D"", 0), """")"),6.5)</f>
        <v>6.5</v>
      </c>
      <c r="V63" s="22" t="n">
        <f aca="false">IFERROR(__xludf.dummyfunction("""COMPUTED_VALUE"""),6)</f>
        <v>6</v>
      </c>
      <c r="W63" s="22" t="n">
        <f aca="false">IFERROR(__xludf.dummyfunction("""COMPUTED_VALUE"""),8)</f>
        <v>8</v>
      </c>
      <c r="X63" s="22" t="n">
        <f aca="false">IFERROR(__xludf.dummyfunction("""COMPUTED_VALUE"""),8)</f>
        <v>8</v>
      </c>
      <c r="Y63" s="22" t="n">
        <f aca="false">IFERROR(__xludf.dummyfunction("""COMPUTED_VALUE"""),0)</f>
        <v>0</v>
      </c>
      <c r="Z63" s="22"/>
      <c r="AA63" s="22"/>
      <c r="AB63" s="22" t="n">
        <f aca="false">IFERROR(__xludf.dummyfunction("""COMPUTED_VALUE"""),6)</f>
        <v>6</v>
      </c>
      <c r="AC63" s="22" t="n">
        <f aca="false">IFERROR(__xludf.dummyfunction("""COMPUTED_VALUE"""),26)</f>
        <v>26</v>
      </c>
      <c r="AD63" s="23"/>
      <c r="AE63" s="24" t="n">
        <f aca="false">IFERROR(__xludf.dummyfunction("""COMPUTED_VALUE"""),60.5)</f>
        <v>60.5</v>
      </c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customFormat="false" ht="18.65" hidden="false" customHeight="false" outlineLevel="0" collapsed="false">
      <c r="A64" s="13" t="n">
        <v>63</v>
      </c>
      <c r="B64" s="14" t="s">
        <v>146</v>
      </c>
      <c r="C64" s="15" t="s">
        <v>147</v>
      </c>
      <c r="D64" s="16" t="s">
        <v>24</v>
      </c>
      <c r="E64" s="16" t="s">
        <v>24</v>
      </c>
      <c r="F64" s="16" t="str">
        <f aca="false">REPLACE(E64, 1, 3, "")</f>
        <v>30</v>
      </c>
      <c r="G64" s="17" t="str">
        <f aca="true">IFERROR(VLOOKUP(B64,INDIRECT("'"&amp;F64&amp;"'!D3:D"),1,FALSE()), "Not found")</f>
        <v>Not found</v>
      </c>
      <c r="H64" s="18" t="n">
        <f aca="true">INDIRECT("'"&amp;F64&amp;"'!D1")</f>
        <v>0</v>
      </c>
      <c r="I64" s="18" t="str">
        <f aca="false">IFERROR(__xludf.dummyfunction("REGEXEXTRACT(ADDRESS(ROW(), 24+$H64), ""[A-Z]+"")"),"X")</f>
        <v>X</v>
      </c>
      <c r="J64" s="18" t="str">
        <f aca="false">IFERROR(__xludf.dummyfunction("REGEXEXTRACT(ADDRESS(ROW(), 30+$H64), ""[A-Z]+"")"),"AD")</f>
        <v>AD</v>
      </c>
      <c r="K64" s="18" t="str">
        <f aca="false">IFERROR(__xludf.dummyfunction("REGEXEXTRACT(ADDRESS(ROW(), 36+$H64), ""[A-Z]+"")"),"AJ")</f>
        <v>AJ</v>
      </c>
      <c r="L64" s="18" t="str">
        <f aca="false">IFERROR(__xludf.dummyfunction("REGEXEXTRACT(ADDRESS(ROW(), 42+$H64), ""[A-Z]+"")"),"AP")</f>
        <v>AP</v>
      </c>
      <c r="M64" s="18" t="str">
        <f aca="false">IFERROR(__xludf.dummyfunction("REGEXEXTRACT(ADDRESS(ROW(), 48+$H64), ""[A-Z]+"")"),"AV")</f>
        <v>AV</v>
      </c>
      <c r="N64" s="18" t="str">
        <f aca="false">IFERROR(__xludf.dummyfunction("REGEXEXTRACT(ADDRESS(ROW(), 50+$H64), ""[A-Z]+"")"),"AX")</f>
        <v>AX</v>
      </c>
      <c r="O64" s="18" t="str">
        <f aca="false">IFERROR(__xludf.dummyfunction("REGEXEXTRACT(ADDRESS(ROW(), 51+$H64), ""[A-Z]+"")"),"AY")</f>
        <v>AY</v>
      </c>
      <c r="P64" s="18" t="str">
        <f aca="false">IFERROR(__xludf.dummyfunction("REGEXEXTRACT(ADDRESS(ROW(), 54+$H64), ""[A-Z]+"")"),"BB")</f>
        <v>BB</v>
      </c>
      <c r="Q64" s="18" t="str">
        <f aca="false">IFERROR(__xludf.dummyfunction("REGEXEXTRACT(ADDRESS(ROW(), 59+$H64), ""[A-Z]+"")"),"BG")</f>
        <v>BG</v>
      </c>
      <c r="R64" s="18" t="str">
        <f aca="false">IFERROR(__xludf.dummyfunction("REGEXEXTRACT(ADDRESS(ROW(), 60+$H64), ""[A-Z]+"")"),"BH")</f>
        <v>BH</v>
      </c>
      <c r="S64" s="18" t="str">
        <f aca="false">IFERROR(__xludf.dummyfunction("REGEXEXTRACT(ADDRESS(ROW(), 62+$H64), ""[A-Z]+"")"),"BJ")</f>
        <v>BJ</v>
      </c>
      <c r="T64" s="18" t="str">
        <f aca="false">IFERROR(__xludf.dummyfunction("REGEXEXTRACT(ADDRESS(ROW(), 63+$H64), ""[A-Z]+"")"),"BK")</f>
        <v>BK</v>
      </c>
      <c r="U64" s="19" t="n">
        <f aca="false">IFERROR(__xludf.dummyfunction("IFERROR(QUERY(INDIRECT(""'""&amp;F64&amp;""'!C3:""&amp;T64&amp;""""), ""SELECT ""&amp;I64&amp;"", ""&amp;J64&amp;"", ""&amp;K64&amp;"", ""&amp;L64&amp;"", ""&amp;M64&amp;"", ""&amp;N64&amp;"", ""&amp;O64&amp;"", ""&amp;P64&amp;"", ""&amp;Q64&amp;"", ""&amp;R64&amp;"", ""&amp;S64&amp;"" WHERE '""&amp;B64&amp;""' = D"", 0), """")"),9)</f>
        <v>9</v>
      </c>
      <c r="V64" s="22" t="n">
        <f aca="false">IFERROR(__xludf.dummyfunction("""COMPUTED_VALUE"""),7)</f>
        <v>7</v>
      </c>
      <c r="W64" s="22" t="n">
        <f aca="false">IFERROR(__xludf.dummyfunction("""COMPUTED_VALUE"""),9)</f>
        <v>9</v>
      </c>
      <c r="X64" s="22" t="n">
        <f aca="false">IFERROR(__xludf.dummyfunction("""COMPUTED_VALUE"""),9)</f>
        <v>9</v>
      </c>
      <c r="Y64" s="22" t="n">
        <f aca="false">IFERROR(__xludf.dummyfunction("""COMPUTED_VALUE"""),0)</f>
        <v>0</v>
      </c>
      <c r="Z64" s="22"/>
      <c r="AA64" s="22"/>
      <c r="AB64" s="22" t="n">
        <f aca="false">IFERROR(__xludf.dummyfunction("""COMPUTED_VALUE"""),10)</f>
        <v>10</v>
      </c>
      <c r="AC64" s="22" t="n">
        <f aca="false">IFERROR(__xludf.dummyfunction("""COMPUTED_VALUE"""),20)</f>
        <v>20</v>
      </c>
      <c r="AD64" s="23"/>
      <c r="AE64" s="24" t="n">
        <f aca="false">IFERROR(__xludf.dummyfunction("""COMPUTED_VALUE"""),64)</f>
        <v>64</v>
      </c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customFormat="false" ht="18.65" hidden="false" customHeight="false" outlineLevel="0" collapsed="false">
      <c r="A65" s="13" t="n">
        <v>64</v>
      </c>
      <c r="B65" s="14" t="s">
        <v>148</v>
      </c>
      <c r="C65" s="15" t="s">
        <v>149</v>
      </c>
      <c r="D65" s="16" t="s">
        <v>39</v>
      </c>
      <c r="E65" s="16" t="s">
        <v>39</v>
      </c>
      <c r="F65" s="16" t="str">
        <f aca="false">REPLACE(E65, 1, 3, "")</f>
        <v>31</v>
      </c>
      <c r="G65" s="17" t="str">
        <f aca="true">IFERROR(VLOOKUP(B65,INDIRECT("'"&amp;F65&amp;"'!D3:D"),1,FALSE()), "Not found")</f>
        <v>Not found</v>
      </c>
      <c r="H65" s="18" t="n">
        <f aca="true">INDIRECT("'"&amp;F65&amp;"'!D1")</f>
        <v>0</v>
      </c>
      <c r="I65" s="18" t="str">
        <f aca="false">IFERROR(__xludf.dummyfunction("REGEXEXTRACT(ADDRESS(ROW(), 24+$H65), ""[A-Z]+"")"),"X")</f>
        <v>X</v>
      </c>
      <c r="J65" s="18" t="str">
        <f aca="false">IFERROR(__xludf.dummyfunction("REGEXEXTRACT(ADDRESS(ROW(), 30+$H65), ""[A-Z]+"")"),"AD")</f>
        <v>AD</v>
      </c>
      <c r="K65" s="18" t="str">
        <f aca="false">IFERROR(__xludf.dummyfunction("REGEXEXTRACT(ADDRESS(ROW(), 36+$H65), ""[A-Z]+"")"),"AJ")</f>
        <v>AJ</v>
      </c>
      <c r="L65" s="18" t="str">
        <f aca="false">IFERROR(__xludf.dummyfunction("REGEXEXTRACT(ADDRESS(ROW(), 42+$H65), ""[A-Z]+"")"),"AP")</f>
        <v>AP</v>
      </c>
      <c r="M65" s="18" t="str">
        <f aca="false">IFERROR(__xludf.dummyfunction("REGEXEXTRACT(ADDRESS(ROW(), 48+$H65), ""[A-Z]+"")"),"AV")</f>
        <v>AV</v>
      </c>
      <c r="N65" s="18" t="str">
        <f aca="false">IFERROR(__xludf.dummyfunction("REGEXEXTRACT(ADDRESS(ROW(), 50+$H65), ""[A-Z]+"")"),"AX")</f>
        <v>AX</v>
      </c>
      <c r="O65" s="18" t="str">
        <f aca="false">IFERROR(__xludf.dummyfunction("REGEXEXTRACT(ADDRESS(ROW(), 51+$H65), ""[A-Z]+"")"),"AY")</f>
        <v>AY</v>
      </c>
      <c r="P65" s="18" t="str">
        <f aca="false">IFERROR(__xludf.dummyfunction("REGEXEXTRACT(ADDRESS(ROW(), 54+$H65), ""[A-Z]+"")"),"BB")</f>
        <v>BB</v>
      </c>
      <c r="Q65" s="18" t="str">
        <f aca="false">IFERROR(__xludf.dummyfunction("REGEXEXTRACT(ADDRESS(ROW(), 59+$H65), ""[A-Z]+"")"),"BG")</f>
        <v>BG</v>
      </c>
      <c r="R65" s="18" t="str">
        <f aca="false">IFERROR(__xludf.dummyfunction("REGEXEXTRACT(ADDRESS(ROW(), 60+$H65), ""[A-Z]+"")"),"BH")</f>
        <v>BH</v>
      </c>
      <c r="S65" s="18" t="str">
        <f aca="false">IFERROR(__xludf.dummyfunction("REGEXEXTRACT(ADDRESS(ROW(), 62+$H65), ""[A-Z]+"")"),"BJ")</f>
        <v>BJ</v>
      </c>
      <c r="T65" s="18" t="str">
        <f aca="false">IFERROR(__xludf.dummyfunction("REGEXEXTRACT(ADDRESS(ROW(), 63+$H65), ""[A-Z]+"")"),"BK")</f>
        <v>BK</v>
      </c>
      <c r="U65" s="19" t="n">
        <f aca="false">IFERROR(__xludf.dummyfunction("IFERROR(QUERY(INDIRECT(""'""&amp;F65&amp;""'!C3:""&amp;T65&amp;""""), ""SELECT ""&amp;I65&amp;"", ""&amp;J65&amp;"", ""&amp;K65&amp;"", ""&amp;L65&amp;"", ""&amp;M65&amp;"", ""&amp;N65&amp;"", ""&amp;O65&amp;"", ""&amp;P65&amp;"", ""&amp;Q65&amp;"", ""&amp;R65&amp;"", ""&amp;S65&amp;"" WHERE '""&amp;B65&amp;""' = D"", 0), """")"),10)</f>
        <v>10</v>
      </c>
      <c r="V65" s="22" t="n">
        <f aca="false">IFERROR(__xludf.dummyfunction("""COMPUTED_VALUE"""),10)</f>
        <v>10</v>
      </c>
      <c r="W65" s="22" t="n">
        <f aca="false">IFERROR(__xludf.dummyfunction("""COMPUTED_VALUE"""),10)</f>
        <v>10</v>
      </c>
      <c r="X65" s="22" t="n">
        <f aca="false">IFERROR(__xludf.dummyfunction("""COMPUTED_VALUE"""),10)</f>
        <v>10</v>
      </c>
      <c r="Y65" s="22" t="n">
        <f aca="false">IFERROR(__xludf.dummyfunction("""COMPUTED_VALUE"""),10)</f>
        <v>10</v>
      </c>
      <c r="Z65" s="22" t="n">
        <f aca="false">IFERROR(__xludf.dummyfunction("""COMPUTED_VALUE"""),2)</f>
        <v>2</v>
      </c>
      <c r="AA65" s="22" t="n">
        <f aca="false">IFERROR(__xludf.dummyfunction("""COMPUTED_VALUE"""),1)</f>
        <v>1</v>
      </c>
      <c r="AB65" s="22" t="n">
        <f aca="false">IFERROR(__xludf.dummyfunction("""COMPUTED_VALUE"""),8)</f>
        <v>8</v>
      </c>
      <c r="AC65" s="22" t="n">
        <f aca="false">IFERROR(__xludf.dummyfunction("""COMPUTED_VALUE"""),27)</f>
        <v>27</v>
      </c>
      <c r="AD65" s="23" t="n">
        <f aca="false">IFERROR(__xludf.dummyfunction("""COMPUTED_VALUE"""),3)</f>
        <v>3</v>
      </c>
      <c r="AE65" s="24" t="n">
        <f aca="false">IFERROR(__xludf.dummyfunction("""COMPUTED_VALUE"""),91)</f>
        <v>91</v>
      </c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</row>
    <row r="66" customFormat="false" ht="18.65" hidden="false" customHeight="false" outlineLevel="0" collapsed="false">
      <c r="A66" s="13" t="n">
        <v>65</v>
      </c>
      <c r="B66" s="14" t="s">
        <v>150</v>
      </c>
      <c r="C66" s="15" t="s">
        <v>151</v>
      </c>
      <c r="D66" s="16" t="s">
        <v>21</v>
      </c>
      <c r="E66" s="16" t="s">
        <v>21</v>
      </c>
      <c r="F66" s="16" t="str">
        <f aca="false">REPLACE(E66, 1, 3, "")</f>
        <v>32</v>
      </c>
      <c r="G66" s="17" t="str">
        <f aca="true">IFERROR(VLOOKUP(B66,INDIRECT("'"&amp;F66&amp;"'!D3:D"),1,FALSE()), "Not found")</f>
        <v>Not found</v>
      </c>
      <c r="H66" s="18" t="n">
        <f aca="true">INDIRECT("'"&amp;F66&amp;"'!D1")</f>
        <v>0</v>
      </c>
      <c r="I66" s="18" t="str">
        <f aca="false">IFERROR(__xludf.dummyfunction("REGEXEXTRACT(ADDRESS(ROW(), 24+$H66), ""[A-Z]+"")"),"X")</f>
        <v>X</v>
      </c>
      <c r="J66" s="18" t="str">
        <f aca="false">IFERROR(__xludf.dummyfunction("REGEXEXTRACT(ADDRESS(ROW(), 30+$H66), ""[A-Z]+"")"),"AD")</f>
        <v>AD</v>
      </c>
      <c r="K66" s="18" t="str">
        <f aca="false">IFERROR(__xludf.dummyfunction("REGEXEXTRACT(ADDRESS(ROW(), 36+$H66), ""[A-Z]+"")"),"AJ")</f>
        <v>AJ</v>
      </c>
      <c r="L66" s="18" t="str">
        <f aca="false">IFERROR(__xludf.dummyfunction("REGEXEXTRACT(ADDRESS(ROW(), 42+$H66), ""[A-Z]+"")"),"AP")</f>
        <v>AP</v>
      </c>
      <c r="M66" s="18" t="str">
        <f aca="false">IFERROR(__xludf.dummyfunction("REGEXEXTRACT(ADDRESS(ROW(), 48+$H66), ""[A-Z]+"")"),"AV")</f>
        <v>AV</v>
      </c>
      <c r="N66" s="18" t="str">
        <f aca="false">IFERROR(__xludf.dummyfunction("REGEXEXTRACT(ADDRESS(ROW(), 50+$H66), ""[A-Z]+"")"),"AX")</f>
        <v>AX</v>
      </c>
      <c r="O66" s="18" t="str">
        <f aca="false">IFERROR(__xludf.dummyfunction("REGEXEXTRACT(ADDRESS(ROW(), 51+$H66), ""[A-Z]+"")"),"AY")</f>
        <v>AY</v>
      </c>
      <c r="P66" s="18" t="str">
        <f aca="false">IFERROR(__xludf.dummyfunction("REGEXEXTRACT(ADDRESS(ROW(), 54+$H66), ""[A-Z]+"")"),"BB")</f>
        <v>BB</v>
      </c>
      <c r="Q66" s="18" t="str">
        <f aca="false">IFERROR(__xludf.dummyfunction("REGEXEXTRACT(ADDRESS(ROW(), 59+$H66), ""[A-Z]+"")"),"BG")</f>
        <v>BG</v>
      </c>
      <c r="R66" s="18" t="str">
        <f aca="false">IFERROR(__xludf.dummyfunction("REGEXEXTRACT(ADDRESS(ROW(), 60+$H66), ""[A-Z]+"")"),"BH")</f>
        <v>BH</v>
      </c>
      <c r="S66" s="18" t="str">
        <f aca="false">IFERROR(__xludf.dummyfunction("REGEXEXTRACT(ADDRESS(ROW(), 62+$H66), ""[A-Z]+"")"),"BJ")</f>
        <v>BJ</v>
      </c>
      <c r="T66" s="18" t="str">
        <f aca="false">IFERROR(__xludf.dummyfunction("REGEXEXTRACT(ADDRESS(ROW(), 63+$H66), ""[A-Z]+"")"),"BK")</f>
        <v>BK</v>
      </c>
      <c r="U66" s="19" t="n">
        <f aca="false">IFERROR(__xludf.dummyfunction("IFERROR(QUERY(INDIRECT(""'""&amp;F66&amp;""'!C3:""&amp;T66&amp;""""), ""SELECT ""&amp;I66&amp;"", ""&amp;J66&amp;"", ""&amp;K66&amp;"", ""&amp;L66&amp;"", ""&amp;M66&amp;"", ""&amp;N66&amp;"", ""&amp;O66&amp;"", ""&amp;P66&amp;"", ""&amp;Q66&amp;"", ""&amp;R66&amp;"", ""&amp;S66&amp;"" WHERE '""&amp;B66&amp;""' = D"", 0), """")"),9.5)</f>
        <v>9.5</v>
      </c>
      <c r="V66" s="22" t="n">
        <f aca="false">IFERROR(__xludf.dummyfunction("""COMPUTED_VALUE"""),9.3)</f>
        <v>9.3</v>
      </c>
      <c r="W66" s="22" t="n">
        <f aca="false">IFERROR(__xludf.dummyfunction("""COMPUTED_VALUE"""),9.4)</f>
        <v>9.4</v>
      </c>
      <c r="X66" s="22" t="n">
        <f aca="false">IFERROR(__xludf.dummyfunction("""COMPUTED_VALUE"""),9.2)</f>
        <v>9.2</v>
      </c>
      <c r="Y66" s="22"/>
      <c r="Z66" s="22" t="n">
        <f aca="false">IFERROR(__xludf.dummyfunction("""COMPUTED_VALUE"""),0)</f>
        <v>0</v>
      </c>
      <c r="AA66" s="22" t="n">
        <f aca="false">IFERROR(__xludf.dummyfunction("""COMPUTED_VALUE"""),1)</f>
        <v>1</v>
      </c>
      <c r="AB66" s="22" t="n">
        <f aca="false">IFERROR(__xludf.dummyfunction("""COMPUTED_VALUE"""),8)</f>
        <v>8</v>
      </c>
      <c r="AC66" s="22" t="n">
        <f aca="false">IFERROR(__xludf.dummyfunction("""COMPUTED_VALUE"""),18)</f>
        <v>18</v>
      </c>
      <c r="AD66" s="23"/>
      <c r="AE66" s="24" t="n">
        <f aca="false">IFERROR(__xludf.dummyfunction("""COMPUTED_VALUE"""),64.4)</f>
        <v>64.4</v>
      </c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</row>
    <row r="67" customFormat="false" ht="18.65" hidden="false" customHeight="false" outlineLevel="0" collapsed="false">
      <c r="A67" s="13" t="n">
        <v>66</v>
      </c>
      <c r="B67" s="14" t="s">
        <v>152</v>
      </c>
      <c r="C67" s="15" t="s">
        <v>153</v>
      </c>
      <c r="D67" s="16" t="s">
        <v>39</v>
      </c>
      <c r="E67" s="16" t="s">
        <v>39</v>
      </c>
      <c r="F67" s="16" t="str">
        <f aca="false">REPLACE(E67, 1, 3, "")</f>
        <v>31</v>
      </c>
      <c r="G67" s="17" t="str">
        <f aca="true">IFERROR(VLOOKUP(B67,INDIRECT("'"&amp;F67&amp;"'!D3:D"),1,FALSE()), "Not found")</f>
        <v>Not found</v>
      </c>
      <c r="H67" s="18" t="n">
        <f aca="true">INDIRECT("'"&amp;F67&amp;"'!D1")</f>
        <v>0</v>
      </c>
      <c r="I67" s="18" t="str">
        <f aca="false">IFERROR(__xludf.dummyfunction("REGEXEXTRACT(ADDRESS(ROW(), 24+$H67), ""[A-Z]+"")"),"X")</f>
        <v>X</v>
      </c>
      <c r="J67" s="18" t="str">
        <f aca="false">IFERROR(__xludf.dummyfunction("REGEXEXTRACT(ADDRESS(ROW(), 30+$H67), ""[A-Z]+"")"),"AD")</f>
        <v>AD</v>
      </c>
      <c r="K67" s="18" t="str">
        <f aca="false">IFERROR(__xludf.dummyfunction("REGEXEXTRACT(ADDRESS(ROW(), 36+$H67), ""[A-Z]+"")"),"AJ")</f>
        <v>AJ</v>
      </c>
      <c r="L67" s="18" t="str">
        <f aca="false">IFERROR(__xludf.dummyfunction("REGEXEXTRACT(ADDRESS(ROW(), 42+$H67), ""[A-Z]+"")"),"AP")</f>
        <v>AP</v>
      </c>
      <c r="M67" s="18" t="str">
        <f aca="false">IFERROR(__xludf.dummyfunction("REGEXEXTRACT(ADDRESS(ROW(), 48+$H67), ""[A-Z]+"")"),"AV")</f>
        <v>AV</v>
      </c>
      <c r="N67" s="18" t="str">
        <f aca="false">IFERROR(__xludf.dummyfunction("REGEXEXTRACT(ADDRESS(ROW(), 50+$H67), ""[A-Z]+"")"),"AX")</f>
        <v>AX</v>
      </c>
      <c r="O67" s="18" t="str">
        <f aca="false">IFERROR(__xludf.dummyfunction("REGEXEXTRACT(ADDRESS(ROW(), 51+$H67), ""[A-Z]+"")"),"AY")</f>
        <v>AY</v>
      </c>
      <c r="P67" s="18" t="str">
        <f aca="false">IFERROR(__xludf.dummyfunction("REGEXEXTRACT(ADDRESS(ROW(), 54+$H67), ""[A-Z]+"")"),"BB")</f>
        <v>BB</v>
      </c>
      <c r="Q67" s="18" t="str">
        <f aca="false">IFERROR(__xludf.dummyfunction("REGEXEXTRACT(ADDRESS(ROW(), 59+$H67), ""[A-Z]+"")"),"BG")</f>
        <v>BG</v>
      </c>
      <c r="R67" s="18" t="str">
        <f aca="false">IFERROR(__xludf.dummyfunction("REGEXEXTRACT(ADDRESS(ROW(), 60+$H67), ""[A-Z]+"")"),"BH")</f>
        <v>BH</v>
      </c>
      <c r="S67" s="18" t="str">
        <f aca="false">IFERROR(__xludf.dummyfunction("REGEXEXTRACT(ADDRESS(ROW(), 62+$H67), ""[A-Z]+"")"),"BJ")</f>
        <v>BJ</v>
      </c>
      <c r="T67" s="18" t="str">
        <f aca="false">IFERROR(__xludf.dummyfunction("REGEXEXTRACT(ADDRESS(ROW(), 63+$H67), ""[A-Z]+"")"),"BK")</f>
        <v>BK</v>
      </c>
      <c r="U67" s="19" t="n">
        <f aca="false">IFERROR(__xludf.dummyfunction("IFERROR(QUERY(INDIRECT(""'""&amp;F67&amp;""'!C3:""&amp;T67&amp;""""), ""SELECT ""&amp;I67&amp;"", ""&amp;J67&amp;"", ""&amp;K67&amp;"", ""&amp;L67&amp;"", ""&amp;M67&amp;"", ""&amp;N67&amp;"", ""&amp;O67&amp;"", ""&amp;P67&amp;"", ""&amp;Q67&amp;"", ""&amp;R67&amp;"", ""&amp;S67&amp;"" WHERE '""&amp;B67&amp;""' = D"", 0), """")"),9.5)</f>
        <v>9.5</v>
      </c>
      <c r="V67" s="22" t="n">
        <f aca="false">IFERROR(__xludf.dummyfunction("""COMPUTED_VALUE"""),9)</f>
        <v>9</v>
      </c>
      <c r="W67" s="22" t="n">
        <f aca="false">IFERROR(__xludf.dummyfunction("""COMPUTED_VALUE"""),9.5)</f>
        <v>9.5</v>
      </c>
      <c r="X67" s="22" t="n">
        <f aca="false">IFERROR(__xludf.dummyfunction("""COMPUTED_VALUE"""),7)</f>
        <v>7</v>
      </c>
      <c r="Y67" s="22" t="n">
        <f aca="false">IFERROR(__xludf.dummyfunction("""COMPUTED_VALUE"""),0)</f>
        <v>0</v>
      </c>
      <c r="Z67" s="22"/>
      <c r="AA67" s="22"/>
      <c r="AB67" s="22" t="n">
        <f aca="false">IFERROR(__xludf.dummyfunction("""COMPUTED_VALUE"""),0)</f>
        <v>0</v>
      </c>
      <c r="AC67" s="22"/>
      <c r="AD67" s="23"/>
      <c r="AE67" s="24" t="n">
        <f aca="false">IFERROR(__xludf.dummyfunction("""COMPUTED_VALUE"""),35)</f>
        <v>35</v>
      </c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</row>
    <row r="68" customFormat="false" ht="18.65" hidden="false" customHeight="false" outlineLevel="0" collapsed="false">
      <c r="A68" s="13" t="n">
        <v>67</v>
      </c>
      <c r="B68" s="14" t="s">
        <v>154</v>
      </c>
      <c r="C68" s="15" t="s">
        <v>155</v>
      </c>
      <c r="D68" s="16" t="s">
        <v>39</v>
      </c>
      <c r="E68" s="16" t="s">
        <v>39</v>
      </c>
      <c r="F68" s="16" t="str">
        <f aca="false">REPLACE(E68, 1, 3, "")</f>
        <v>31</v>
      </c>
      <c r="G68" s="17" t="str">
        <f aca="true">IFERROR(VLOOKUP(B68,INDIRECT("'"&amp;F68&amp;"'!D3:D"),1,FALSE()), "Not found")</f>
        <v>Not found</v>
      </c>
      <c r="H68" s="18" t="n">
        <f aca="true">INDIRECT("'"&amp;F68&amp;"'!D1")</f>
        <v>0</v>
      </c>
      <c r="I68" s="18" t="str">
        <f aca="false">IFERROR(__xludf.dummyfunction("REGEXEXTRACT(ADDRESS(ROW(), 24+$H68), ""[A-Z]+"")"),"X")</f>
        <v>X</v>
      </c>
      <c r="J68" s="18" t="str">
        <f aca="false">IFERROR(__xludf.dummyfunction("REGEXEXTRACT(ADDRESS(ROW(), 30+$H68), ""[A-Z]+"")"),"AD")</f>
        <v>AD</v>
      </c>
      <c r="K68" s="18" t="str">
        <f aca="false">IFERROR(__xludf.dummyfunction("REGEXEXTRACT(ADDRESS(ROW(), 36+$H68), ""[A-Z]+"")"),"AJ")</f>
        <v>AJ</v>
      </c>
      <c r="L68" s="18" t="str">
        <f aca="false">IFERROR(__xludf.dummyfunction("REGEXEXTRACT(ADDRESS(ROW(), 42+$H68), ""[A-Z]+"")"),"AP")</f>
        <v>AP</v>
      </c>
      <c r="M68" s="18" t="str">
        <f aca="false">IFERROR(__xludf.dummyfunction("REGEXEXTRACT(ADDRESS(ROW(), 48+$H68), ""[A-Z]+"")"),"AV")</f>
        <v>AV</v>
      </c>
      <c r="N68" s="18" t="str">
        <f aca="false">IFERROR(__xludf.dummyfunction("REGEXEXTRACT(ADDRESS(ROW(), 50+$H68), ""[A-Z]+"")"),"AX")</f>
        <v>AX</v>
      </c>
      <c r="O68" s="18" t="str">
        <f aca="false">IFERROR(__xludf.dummyfunction("REGEXEXTRACT(ADDRESS(ROW(), 51+$H68), ""[A-Z]+"")"),"AY")</f>
        <v>AY</v>
      </c>
      <c r="P68" s="18" t="str">
        <f aca="false">IFERROR(__xludf.dummyfunction("REGEXEXTRACT(ADDRESS(ROW(), 54+$H68), ""[A-Z]+"")"),"BB")</f>
        <v>BB</v>
      </c>
      <c r="Q68" s="18" t="str">
        <f aca="false">IFERROR(__xludf.dummyfunction("REGEXEXTRACT(ADDRESS(ROW(), 59+$H68), ""[A-Z]+"")"),"BG")</f>
        <v>BG</v>
      </c>
      <c r="R68" s="18" t="str">
        <f aca="false">IFERROR(__xludf.dummyfunction("REGEXEXTRACT(ADDRESS(ROW(), 60+$H68), ""[A-Z]+"")"),"BH")</f>
        <v>BH</v>
      </c>
      <c r="S68" s="18" t="str">
        <f aca="false">IFERROR(__xludf.dummyfunction("REGEXEXTRACT(ADDRESS(ROW(), 62+$H68), ""[A-Z]+"")"),"BJ")</f>
        <v>BJ</v>
      </c>
      <c r="T68" s="18" t="str">
        <f aca="false">IFERROR(__xludf.dummyfunction("REGEXEXTRACT(ADDRESS(ROW(), 63+$H68), ""[A-Z]+"")"),"BK")</f>
        <v>BK</v>
      </c>
      <c r="U68" s="19" t="n">
        <f aca="false">IFERROR(__xludf.dummyfunction("IFERROR(QUERY(INDIRECT(""'""&amp;F68&amp;""'!C3:""&amp;T68&amp;""""), ""SELECT ""&amp;I68&amp;"", ""&amp;J68&amp;"", ""&amp;K68&amp;"", ""&amp;L68&amp;"", ""&amp;M68&amp;"", ""&amp;N68&amp;"", ""&amp;O68&amp;"", ""&amp;P68&amp;"", ""&amp;Q68&amp;"", ""&amp;R68&amp;"", ""&amp;S68&amp;"" WHERE '""&amp;B68&amp;""' = D"", 0), """")"),10)</f>
        <v>10</v>
      </c>
      <c r="V68" s="22" t="n">
        <f aca="false">IFERROR(__xludf.dummyfunction("""COMPUTED_VALUE"""),8)</f>
        <v>8</v>
      </c>
      <c r="W68" s="22" t="n">
        <f aca="false">IFERROR(__xludf.dummyfunction("""COMPUTED_VALUE"""),9)</f>
        <v>9</v>
      </c>
      <c r="X68" s="22" t="n">
        <f aca="false">IFERROR(__xludf.dummyfunction("""COMPUTED_VALUE"""),7)</f>
        <v>7</v>
      </c>
      <c r="Y68" s="22" t="n">
        <f aca="false">IFERROR(__xludf.dummyfunction("""COMPUTED_VALUE"""),0)</f>
        <v>0</v>
      </c>
      <c r="Z68" s="22" t="n">
        <f aca="false">IFERROR(__xludf.dummyfunction("""COMPUTED_VALUE"""),0)</f>
        <v>0</v>
      </c>
      <c r="AA68" s="22"/>
      <c r="AB68" s="22" t="n">
        <f aca="false">IFERROR(__xludf.dummyfunction("""COMPUTED_VALUE"""),6)</f>
        <v>6</v>
      </c>
      <c r="AC68" s="22" t="n">
        <f aca="false">IFERROR(__xludf.dummyfunction("""COMPUTED_VALUE"""),24)</f>
        <v>24</v>
      </c>
      <c r="AD68" s="23"/>
      <c r="AE68" s="24" t="n">
        <f aca="false">IFERROR(__xludf.dummyfunction("""COMPUTED_VALUE"""),64)</f>
        <v>64</v>
      </c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</row>
    <row r="69" customFormat="false" ht="18.65" hidden="false" customHeight="false" outlineLevel="0" collapsed="false">
      <c r="A69" s="13" t="n">
        <v>68</v>
      </c>
      <c r="B69" s="14" t="s">
        <v>156</v>
      </c>
      <c r="C69" s="15" t="s">
        <v>157</v>
      </c>
      <c r="D69" s="16" t="s">
        <v>21</v>
      </c>
      <c r="E69" s="16" t="s">
        <v>21</v>
      </c>
      <c r="F69" s="16" t="str">
        <f aca="false">REPLACE(E69, 1, 3, "")</f>
        <v>32</v>
      </c>
      <c r="G69" s="17" t="str">
        <f aca="true">IFERROR(VLOOKUP(B69,INDIRECT("'"&amp;F69&amp;"'!D3:D"),1,FALSE()), "Not found")</f>
        <v>Not found</v>
      </c>
      <c r="H69" s="18" t="n">
        <f aca="true">INDIRECT("'"&amp;F69&amp;"'!D1")</f>
        <v>0</v>
      </c>
      <c r="I69" s="18" t="str">
        <f aca="false">IFERROR(__xludf.dummyfunction("REGEXEXTRACT(ADDRESS(ROW(), 24+$H69), ""[A-Z]+"")"),"X")</f>
        <v>X</v>
      </c>
      <c r="J69" s="18" t="str">
        <f aca="false">IFERROR(__xludf.dummyfunction("REGEXEXTRACT(ADDRESS(ROW(), 30+$H69), ""[A-Z]+"")"),"AD")</f>
        <v>AD</v>
      </c>
      <c r="K69" s="18" t="str">
        <f aca="false">IFERROR(__xludf.dummyfunction("REGEXEXTRACT(ADDRESS(ROW(), 36+$H69), ""[A-Z]+"")"),"AJ")</f>
        <v>AJ</v>
      </c>
      <c r="L69" s="18" t="str">
        <f aca="false">IFERROR(__xludf.dummyfunction("REGEXEXTRACT(ADDRESS(ROW(), 42+$H69), ""[A-Z]+"")"),"AP")</f>
        <v>AP</v>
      </c>
      <c r="M69" s="18" t="str">
        <f aca="false">IFERROR(__xludf.dummyfunction("REGEXEXTRACT(ADDRESS(ROW(), 48+$H69), ""[A-Z]+"")"),"AV")</f>
        <v>AV</v>
      </c>
      <c r="N69" s="18" t="str">
        <f aca="false">IFERROR(__xludf.dummyfunction("REGEXEXTRACT(ADDRESS(ROW(), 50+$H69), ""[A-Z]+"")"),"AX")</f>
        <v>AX</v>
      </c>
      <c r="O69" s="18" t="str">
        <f aca="false">IFERROR(__xludf.dummyfunction("REGEXEXTRACT(ADDRESS(ROW(), 51+$H69), ""[A-Z]+"")"),"AY")</f>
        <v>AY</v>
      </c>
      <c r="P69" s="18" t="str">
        <f aca="false">IFERROR(__xludf.dummyfunction("REGEXEXTRACT(ADDRESS(ROW(), 54+$H69), ""[A-Z]+"")"),"BB")</f>
        <v>BB</v>
      </c>
      <c r="Q69" s="18" t="str">
        <f aca="false">IFERROR(__xludf.dummyfunction("REGEXEXTRACT(ADDRESS(ROW(), 59+$H69), ""[A-Z]+"")"),"BG")</f>
        <v>BG</v>
      </c>
      <c r="R69" s="18" t="str">
        <f aca="false">IFERROR(__xludf.dummyfunction("REGEXEXTRACT(ADDRESS(ROW(), 60+$H69), ""[A-Z]+"")"),"BH")</f>
        <v>BH</v>
      </c>
      <c r="S69" s="18" t="str">
        <f aca="false">IFERROR(__xludf.dummyfunction("REGEXEXTRACT(ADDRESS(ROW(), 62+$H69), ""[A-Z]+"")"),"BJ")</f>
        <v>BJ</v>
      </c>
      <c r="T69" s="18" t="str">
        <f aca="false">IFERROR(__xludf.dummyfunction("REGEXEXTRACT(ADDRESS(ROW(), 63+$H69), ""[A-Z]+"")"),"BK")</f>
        <v>BK</v>
      </c>
      <c r="U69" s="19" t="n">
        <f aca="false">IFERROR(__xludf.dummyfunction("IFERROR(QUERY(INDIRECT(""'""&amp;F69&amp;""'!C3:""&amp;T69&amp;""""), ""SELECT ""&amp;I69&amp;"", ""&amp;J69&amp;"", ""&amp;K69&amp;"", ""&amp;L69&amp;"", ""&amp;M69&amp;"", ""&amp;N69&amp;"", ""&amp;O69&amp;"", ""&amp;P69&amp;"", ""&amp;Q69&amp;"", ""&amp;R69&amp;"", ""&amp;S69&amp;"" WHERE '""&amp;B69&amp;""' = D"", 0), """")"),8)</f>
        <v>8</v>
      </c>
      <c r="V69" s="22" t="n">
        <f aca="false">IFERROR(__xludf.dummyfunction("""COMPUTED_VALUE"""),8.1)</f>
        <v>8.1</v>
      </c>
      <c r="W69" s="22" t="n">
        <f aca="false">IFERROR(__xludf.dummyfunction("""COMPUTED_VALUE"""),8.1)</f>
        <v>8.1</v>
      </c>
      <c r="X69" s="22" t="n">
        <f aca="false">IFERROR(__xludf.dummyfunction("""COMPUTED_VALUE"""),8.2)</f>
        <v>8.2</v>
      </c>
      <c r="Y69" s="22"/>
      <c r="Z69" s="22" t="n">
        <f aca="false">IFERROR(__xludf.dummyfunction("""COMPUTED_VALUE"""),0)</f>
        <v>0</v>
      </c>
      <c r="AA69" s="22"/>
      <c r="AB69" s="22" t="n">
        <f aca="false">IFERROR(__xludf.dummyfunction("""COMPUTED_VALUE"""),7)</f>
        <v>7</v>
      </c>
      <c r="AC69" s="22" t="n">
        <f aca="false">IFERROR(__xludf.dummyfunction("""COMPUTED_VALUE"""),0)</f>
        <v>0</v>
      </c>
      <c r="AD69" s="23"/>
      <c r="AE69" s="24" t="n">
        <f aca="false">IFERROR(__xludf.dummyfunction("""COMPUTED_VALUE"""),39.4)</f>
        <v>39.4</v>
      </c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</row>
    <row r="70" customFormat="false" ht="18.65" hidden="false" customHeight="false" outlineLevel="0" collapsed="false">
      <c r="A70" s="13" t="n">
        <v>69</v>
      </c>
      <c r="B70" s="14" t="s">
        <v>158</v>
      </c>
      <c r="C70" s="15" t="s">
        <v>159</v>
      </c>
      <c r="D70" s="16" t="s">
        <v>21</v>
      </c>
      <c r="E70" s="16" t="s">
        <v>21</v>
      </c>
      <c r="F70" s="16" t="str">
        <f aca="false">REPLACE(E70, 1, 3, "")</f>
        <v>32</v>
      </c>
      <c r="G70" s="17" t="str">
        <f aca="true">IFERROR(VLOOKUP(B70,INDIRECT("'"&amp;F70&amp;"'!D3:D"),1,FALSE()), "Not found")</f>
        <v>Not found</v>
      </c>
      <c r="H70" s="18" t="n">
        <f aca="true">INDIRECT("'"&amp;F70&amp;"'!D1")</f>
        <v>0</v>
      </c>
      <c r="I70" s="18" t="str">
        <f aca="false">IFERROR(__xludf.dummyfunction("REGEXEXTRACT(ADDRESS(ROW(), 24+$H70), ""[A-Z]+"")"),"X")</f>
        <v>X</v>
      </c>
      <c r="J70" s="18" t="str">
        <f aca="false">IFERROR(__xludf.dummyfunction("REGEXEXTRACT(ADDRESS(ROW(), 30+$H70), ""[A-Z]+"")"),"AD")</f>
        <v>AD</v>
      </c>
      <c r="K70" s="18" t="str">
        <f aca="false">IFERROR(__xludf.dummyfunction("REGEXEXTRACT(ADDRESS(ROW(), 36+$H70), ""[A-Z]+"")"),"AJ")</f>
        <v>AJ</v>
      </c>
      <c r="L70" s="18" t="str">
        <f aca="false">IFERROR(__xludf.dummyfunction("REGEXEXTRACT(ADDRESS(ROW(), 42+$H70), ""[A-Z]+"")"),"AP")</f>
        <v>AP</v>
      </c>
      <c r="M70" s="18" t="str">
        <f aca="false">IFERROR(__xludf.dummyfunction("REGEXEXTRACT(ADDRESS(ROW(), 48+$H70), ""[A-Z]+"")"),"AV")</f>
        <v>AV</v>
      </c>
      <c r="N70" s="18" t="str">
        <f aca="false">IFERROR(__xludf.dummyfunction("REGEXEXTRACT(ADDRESS(ROW(), 50+$H70), ""[A-Z]+"")"),"AX")</f>
        <v>AX</v>
      </c>
      <c r="O70" s="18" t="str">
        <f aca="false">IFERROR(__xludf.dummyfunction("REGEXEXTRACT(ADDRESS(ROW(), 51+$H70), ""[A-Z]+"")"),"AY")</f>
        <v>AY</v>
      </c>
      <c r="P70" s="18" t="str">
        <f aca="false">IFERROR(__xludf.dummyfunction("REGEXEXTRACT(ADDRESS(ROW(), 54+$H70), ""[A-Z]+"")"),"BB")</f>
        <v>BB</v>
      </c>
      <c r="Q70" s="18" t="str">
        <f aca="false">IFERROR(__xludf.dummyfunction("REGEXEXTRACT(ADDRESS(ROW(), 59+$H70), ""[A-Z]+"")"),"BG")</f>
        <v>BG</v>
      </c>
      <c r="R70" s="18" t="str">
        <f aca="false">IFERROR(__xludf.dummyfunction("REGEXEXTRACT(ADDRESS(ROW(), 60+$H70), ""[A-Z]+"")"),"BH")</f>
        <v>BH</v>
      </c>
      <c r="S70" s="18" t="str">
        <f aca="false">IFERROR(__xludf.dummyfunction("REGEXEXTRACT(ADDRESS(ROW(), 62+$H70), ""[A-Z]+"")"),"BJ")</f>
        <v>BJ</v>
      </c>
      <c r="T70" s="18" t="str">
        <f aca="false">IFERROR(__xludf.dummyfunction("REGEXEXTRACT(ADDRESS(ROW(), 63+$H70), ""[A-Z]+"")"),"BK")</f>
        <v>BK</v>
      </c>
      <c r="U70" s="19" t="n">
        <f aca="false">IFERROR(__xludf.dummyfunction("IFERROR(QUERY(INDIRECT(""'""&amp;F70&amp;""'!C3:""&amp;T70&amp;""""), ""SELECT ""&amp;I70&amp;"", ""&amp;J70&amp;"", ""&amp;K70&amp;"", ""&amp;L70&amp;"", ""&amp;M70&amp;"", ""&amp;N70&amp;"", ""&amp;O70&amp;"", ""&amp;P70&amp;"", ""&amp;Q70&amp;"", ""&amp;R70&amp;"", ""&amp;S70&amp;"" WHERE '""&amp;B70&amp;""' = D"", 0), """")"),10)</f>
        <v>10</v>
      </c>
      <c r="V70" s="22" t="n">
        <f aca="false">IFERROR(__xludf.dummyfunction("""COMPUTED_VALUE"""),9.8)</f>
        <v>9.8</v>
      </c>
      <c r="W70" s="22" t="n">
        <f aca="false">IFERROR(__xludf.dummyfunction("""COMPUTED_VALUE"""),9.8)</f>
        <v>9.8</v>
      </c>
      <c r="X70" s="22" t="n">
        <f aca="false">IFERROR(__xludf.dummyfunction("""COMPUTED_VALUE"""),9.6)</f>
        <v>9.6</v>
      </c>
      <c r="Y70" s="22" t="n">
        <f aca="false">IFERROR(__xludf.dummyfunction("""COMPUTED_VALUE"""),10)</f>
        <v>10</v>
      </c>
      <c r="Z70" s="22" t="n">
        <f aca="false">IFERROR(__xludf.dummyfunction("""COMPUTED_VALUE"""),1)</f>
        <v>1</v>
      </c>
      <c r="AA70" s="22" t="n">
        <f aca="false">IFERROR(__xludf.dummyfunction("""COMPUTED_VALUE"""),2)</f>
        <v>2</v>
      </c>
      <c r="AB70" s="22" t="n">
        <f aca="false">IFERROR(__xludf.dummyfunction("""COMPUTED_VALUE"""),8.5)</f>
        <v>8.5</v>
      </c>
      <c r="AC70" s="22" t="n">
        <f aca="false">IFERROR(__xludf.dummyfunction("""COMPUTED_VALUE"""),29)</f>
        <v>29</v>
      </c>
      <c r="AD70" s="23" t="n">
        <f aca="false">IFERROR(__xludf.dummyfunction("""COMPUTED_VALUE"""),1)</f>
        <v>1</v>
      </c>
      <c r="AE70" s="24" t="n">
        <f aca="false">IFERROR(__xludf.dummyfunction("""COMPUTED_VALUE"""),90.7)</f>
        <v>90.7</v>
      </c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</row>
    <row r="71" customFormat="false" ht="18.65" hidden="false" customHeight="false" outlineLevel="0" collapsed="false">
      <c r="A71" s="13" t="n">
        <v>70</v>
      </c>
      <c r="B71" s="14" t="s">
        <v>160</v>
      </c>
      <c r="C71" s="15" t="s">
        <v>161</v>
      </c>
      <c r="D71" s="16" t="s">
        <v>21</v>
      </c>
      <c r="E71" s="16" t="s">
        <v>21</v>
      </c>
      <c r="F71" s="16" t="str">
        <f aca="false">REPLACE(E71, 1, 3, "")</f>
        <v>32</v>
      </c>
      <c r="G71" s="17" t="str">
        <f aca="true">IFERROR(VLOOKUP(B71,INDIRECT("'"&amp;F71&amp;"'!D3:D"),1,FALSE()), "Not found")</f>
        <v>Not found</v>
      </c>
      <c r="H71" s="18" t="n">
        <f aca="true">INDIRECT("'"&amp;F71&amp;"'!D1")</f>
        <v>0</v>
      </c>
      <c r="I71" s="18" t="str">
        <f aca="false">IFERROR(__xludf.dummyfunction("REGEXEXTRACT(ADDRESS(ROW(), 24+$H71), ""[A-Z]+"")"),"X")</f>
        <v>X</v>
      </c>
      <c r="J71" s="18" t="str">
        <f aca="false">IFERROR(__xludf.dummyfunction("REGEXEXTRACT(ADDRESS(ROW(), 30+$H71), ""[A-Z]+"")"),"AD")</f>
        <v>AD</v>
      </c>
      <c r="K71" s="18" t="str">
        <f aca="false">IFERROR(__xludf.dummyfunction("REGEXEXTRACT(ADDRESS(ROW(), 36+$H71), ""[A-Z]+"")"),"AJ")</f>
        <v>AJ</v>
      </c>
      <c r="L71" s="18" t="str">
        <f aca="false">IFERROR(__xludf.dummyfunction("REGEXEXTRACT(ADDRESS(ROW(), 42+$H71), ""[A-Z]+"")"),"AP")</f>
        <v>AP</v>
      </c>
      <c r="M71" s="18" t="str">
        <f aca="false">IFERROR(__xludf.dummyfunction("REGEXEXTRACT(ADDRESS(ROW(), 48+$H71), ""[A-Z]+"")"),"AV")</f>
        <v>AV</v>
      </c>
      <c r="N71" s="18" t="str">
        <f aca="false">IFERROR(__xludf.dummyfunction("REGEXEXTRACT(ADDRESS(ROW(), 50+$H71), ""[A-Z]+"")"),"AX")</f>
        <v>AX</v>
      </c>
      <c r="O71" s="18" t="str">
        <f aca="false">IFERROR(__xludf.dummyfunction("REGEXEXTRACT(ADDRESS(ROW(), 51+$H71), ""[A-Z]+"")"),"AY")</f>
        <v>AY</v>
      </c>
      <c r="P71" s="18" t="str">
        <f aca="false">IFERROR(__xludf.dummyfunction("REGEXEXTRACT(ADDRESS(ROW(), 54+$H71), ""[A-Z]+"")"),"BB")</f>
        <v>BB</v>
      </c>
      <c r="Q71" s="18" t="str">
        <f aca="false">IFERROR(__xludf.dummyfunction("REGEXEXTRACT(ADDRESS(ROW(), 59+$H71), ""[A-Z]+"")"),"BG")</f>
        <v>BG</v>
      </c>
      <c r="R71" s="18" t="str">
        <f aca="false">IFERROR(__xludf.dummyfunction("REGEXEXTRACT(ADDRESS(ROW(), 60+$H71), ""[A-Z]+"")"),"BH")</f>
        <v>BH</v>
      </c>
      <c r="S71" s="18" t="str">
        <f aca="false">IFERROR(__xludf.dummyfunction("REGEXEXTRACT(ADDRESS(ROW(), 62+$H71), ""[A-Z]+"")"),"BJ")</f>
        <v>BJ</v>
      </c>
      <c r="T71" s="18" t="str">
        <f aca="false">IFERROR(__xludf.dummyfunction("REGEXEXTRACT(ADDRESS(ROW(), 63+$H71), ""[A-Z]+"")"),"BK")</f>
        <v>BK</v>
      </c>
      <c r="U71" s="19" t="n">
        <f aca="false">IFERROR(__xludf.dummyfunction("IFERROR(QUERY(INDIRECT(""'""&amp;F71&amp;""'!C3:""&amp;T71&amp;""""), ""SELECT ""&amp;I71&amp;"", ""&amp;J71&amp;"", ""&amp;K71&amp;"", ""&amp;L71&amp;"", ""&amp;M71&amp;"", ""&amp;N71&amp;"", ""&amp;O71&amp;"", ""&amp;P71&amp;"", ""&amp;Q71&amp;"", ""&amp;R71&amp;"", ""&amp;S71&amp;"" WHERE '""&amp;B71&amp;""' = D"", 0), """")"),10)</f>
        <v>10</v>
      </c>
      <c r="V71" s="22" t="n">
        <f aca="false">IFERROR(__xludf.dummyfunction("""COMPUTED_VALUE"""),10)</f>
        <v>10</v>
      </c>
      <c r="W71" s="22" t="n">
        <f aca="false">IFERROR(__xludf.dummyfunction("""COMPUTED_VALUE"""),10)</f>
        <v>10</v>
      </c>
      <c r="X71" s="22" t="n">
        <f aca="false">IFERROR(__xludf.dummyfunction("""COMPUTED_VALUE"""),10)</f>
        <v>10</v>
      </c>
      <c r="Y71" s="22" t="n">
        <f aca="false">IFERROR(__xludf.dummyfunction("""COMPUTED_VALUE"""),10)</f>
        <v>10</v>
      </c>
      <c r="Z71" s="22" t="n">
        <f aca="false">IFERROR(__xludf.dummyfunction("""COMPUTED_VALUE"""),0)</f>
        <v>0</v>
      </c>
      <c r="AA71" s="22" t="n">
        <f aca="false">IFERROR(__xludf.dummyfunction("""COMPUTED_VALUE"""),0)</f>
        <v>0</v>
      </c>
      <c r="AB71" s="22" t="n">
        <f aca="false">IFERROR(__xludf.dummyfunction("""COMPUTED_VALUE"""),10)</f>
        <v>10</v>
      </c>
      <c r="AC71" s="22" t="n">
        <f aca="false">IFERROR(__xludf.dummyfunction("""COMPUTED_VALUE"""),28)</f>
        <v>28</v>
      </c>
      <c r="AD71" s="23" t="n">
        <f aca="false">IFERROR(__xludf.dummyfunction("""COMPUTED_VALUE"""),3)</f>
        <v>3</v>
      </c>
      <c r="AE71" s="24" t="n">
        <f aca="false">IFERROR(__xludf.dummyfunction("""COMPUTED_VALUE"""),91)</f>
        <v>91</v>
      </c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customFormat="false" ht="18.65" hidden="false" customHeight="false" outlineLevel="0" collapsed="false">
      <c r="A72" s="13" t="n">
        <v>71</v>
      </c>
      <c r="B72" s="14" t="s">
        <v>162</v>
      </c>
      <c r="C72" s="15" t="s">
        <v>163</v>
      </c>
      <c r="D72" s="16" t="s">
        <v>24</v>
      </c>
      <c r="E72" s="16" t="s">
        <v>24</v>
      </c>
      <c r="F72" s="16" t="str">
        <f aca="false">REPLACE(E72, 1, 3, "")</f>
        <v>30</v>
      </c>
      <c r="G72" s="17" t="str">
        <f aca="true">IFERROR(VLOOKUP(B72,INDIRECT("'"&amp;F72&amp;"'!D3:D"),1,FALSE()), "Not found")</f>
        <v>Not found</v>
      </c>
      <c r="H72" s="18" t="n">
        <f aca="true">INDIRECT("'"&amp;F72&amp;"'!D1")</f>
        <v>0</v>
      </c>
      <c r="I72" s="18" t="str">
        <f aca="false">IFERROR(__xludf.dummyfunction("REGEXEXTRACT(ADDRESS(ROW(), 24+$H72), ""[A-Z]+"")"),"X")</f>
        <v>X</v>
      </c>
      <c r="J72" s="18" t="str">
        <f aca="false">IFERROR(__xludf.dummyfunction("REGEXEXTRACT(ADDRESS(ROW(), 30+$H72), ""[A-Z]+"")"),"AD")</f>
        <v>AD</v>
      </c>
      <c r="K72" s="18" t="str">
        <f aca="false">IFERROR(__xludf.dummyfunction("REGEXEXTRACT(ADDRESS(ROW(), 36+$H72), ""[A-Z]+"")"),"AJ")</f>
        <v>AJ</v>
      </c>
      <c r="L72" s="18" t="str">
        <f aca="false">IFERROR(__xludf.dummyfunction("REGEXEXTRACT(ADDRESS(ROW(), 42+$H72), ""[A-Z]+"")"),"AP")</f>
        <v>AP</v>
      </c>
      <c r="M72" s="18" t="str">
        <f aca="false">IFERROR(__xludf.dummyfunction("REGEXEXTRACT(ADDRESS(ROW(), 48+$H72), ""[A-Z]+"")"),"AV")</f>
        <v>AV</v>
      </c>
      <c r="N72" s="18" t="str">
        <f aca="false">IFERROR(__xludf.dummyfunction("REGEXEXTRACT(ADDRESS(ROW(), 50+$H72), ""[A-Z]+"")"),"AX")</f>
        <v>AX</v>
      </c>
      <c r="O72" s="18" t="str">
        <f aca="false">IFERROR(__xludf.dummyfunction("REGEXEXTRACT(ADDRESS(ROW(), 51+$H72), ""[A-Z]+"")"),"AY")</f>
        <v>AY</v>
      </c>
      <c r="P72" s="18" t="str">
        <f aca="false">IFERROR(__xludf.dummyfunction("REGEXEXTRACT(ADDRESS(ROW(), 54+$H72), ""[A-Z]+"")"),"BB")</f>
        <v>BB</v>
      </c>
      <c r="Q72" s="18" t="str">
        <f aca="false">IFERROR(__xludf.dummyfunction("REGEXEXTRACT(ADDRESS(ROW(), 59+$H72), ""[A-Z]+"")"),"BG")</f>
        <v>BG</v>
      </c>
      <c r="R72" s="18" t="str">
        <f aca="false">IFERROR(__xludf.dummyfunction("REGEXEXTRACT(ADDRESS(ROW(), 60+$H72), ""[A-Z]+"")"),"BH")</f>
        <v>BH</v>
      </c>
      <c r="S72" s="18" t="str">
        <f aca="false">IFERROR(__xludf.dummyfunction("REGEXEXTRACT(ADDRESS(ROW(), 62+$H72), ""[A-Z]+"")"),"BJ")</f>
        <v>BJ</v>
      </c>
      <c r="T72" s="18" t="str">
        <f aca="false">IFERROR(__xludf.dummyfunction("REGEXEXTRACT(ADDRESS(ROW(), 63+$H72), ""[A-Z]+"")"),"BK")</f>
        <v>BK</v>
      </c>
      <c r="U72" s="19" t="n">
        <f aca="false">IFERROR(__xludf.dummyfunction("IFERROR(QUERY(INDIRECT(""'""&amp;F72&amp;""'!C3:""&amp;T72&amp;""""), ""SELECT ""&amp;I72&amp;"", ""&amp;J72&amp;"", ""&amp;K72&amp;"", ""&amp;L72&amp;"", ""&amp;M72&amp;"", ""&amp;N72&amp;"", ""&amp;O72&amp;"", ""&amp;P72&amp;"", ""&amp;Q72&amp;"", ""&amp;R72&amp;"", ""&amp;S72&amp;"" WHERE '""&amp;B72&amp;""' = D"", 0), """")"),7.5)</f>
        <v>7.5</v>
      </c>
      <c r="V72" s="22" t="n">
        <f aca="false">IFERROR(__xludf.dummyfunction("""COMPUTED_VALUE"""),6)</f>
        <v>6</v>
      </c>
      <c r="W72" s="22" t="n">
        <f aca="false">IFERROR(__xludf.dummyfunction("""COMPUTED_VALUE"""),9)</f>
        <v>9</v>
      </c>
      <c r="X72" s="22" t="n">
        <f aca="false">IFERROR(__xludf.dummyfunction("""COMPUTED_VALUE"""),9)</f>
        <v>9</v>
      </c>
      <c r="Y72" s="22" t="n">
        <f aca="false">IFERROR(__xludf.dummyfunction("""COMPUTED_VALUE"""),7)</f>
        <v>7</v>
      </c>
      <c r="Z72" s="22" t="n">
        <f aca="false">IFERROR(__xludf.dummyfunction("""COMPUTED_VALUE"""),1)</f>
        <v>1</v>
      </c>
      <c r="AA72" s="22" t="n">
        <f aca="false">IFERROR(__xludf.dummyfunction("""COMPUTED_VALUE"""),1)</f>
        <v>1</v>
      </c>
      <c r="AB72" s="22" t="n">
        <f aca="false">IFERROR(__xludf.dummyfunction("""COMPUTED_VALUE"""),0.1)</f>
        <v>0.1</v>
      </c>
      <c r="AC72" s="22"/>
      <c r="AD72" s="23"/>
      <c r="AE72" s="24" t="n">
        <f aca="false">IFERROR(__xludf.dummyfunction("""COMPUTED_VALUE"""),40.6)</f>
        <v>40.6</v>
      </c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</row>
    <row r="73" customFormat="false" ht="18.65" hidden="false" customHeight="false" outlineLevel="0" collapsed="false">
      <c r="A73" s="13" t="n">
        <v>72</v>
      </c>
      <c r="B73" s="14" t="s">
        <v>164</v>
      </c>
      <c r="C73" s="15" t="s">
        <v>165</v>
      </c>
      <c r="D73" s="16" t="s">
        <v>39</v>
      </c>
      <c r="E73" s="16" t="s">
        <v>39</v>
      </c>
      <c r="F73" s="16" t="str">
        <f aca="false">REPLACE(E73, 1, 3, "")</f>
        <v>31</v>
      </c>
      <c r="G73" s="17" t="str">
        <f aca="true">IFERROR(VLOOKUP(B73,INDIRECT("'"&amp;F73&amp;"'!D3:D"),1,FALSE()), "Not found")</f>
        <v>Not found</v>
      </c>
      <c r="H73" s="18" t="n">
        <f aca="true">INDIRECT("'"&amp;F73&amp;"'!D1")</f>
        <v>0</v>
      </c>
      <c r="I73" s="18" t="str">
        <f aca="false">IFERROR(__xludf.dummyfunction("REGEXEXTRACT(ADDRESS(ROW(), 24+$H73), ""[A-Z]+"")"),"X")</f>
        <v>X</v>
      </c>
      <c r="J73" s="18" t="str">
        <f aca="false">IFERROR(__xludf.dummyfunction("REGEXEXTRACT(ADDRESS(ROW(), 30+$H73), ""[A-Z]+"")"),"AD")</f>
        <v>AD</v>
      </c>
      <c r="K73" s="18" t="str">
        <f aca="false">IFERROR(__xludf.dummyfunction("REGEXEXTRACT(ADDRESS(ROW(), 36+$H73), ""[A-Z]+"")"),"AJ")</f>
        <v>AJ</v>
      </c>
      <c r="L73" s="18" t="str">
        <f aca="false">IFERROR(__xludf.dummyfunction("REGEXEXTRACT(ADDRESS(ROW(), 42+$H73), ""[A-Z]+"")"),"AP")</f>
        <v>AP</v>
      </c>
      <c r="M73" s="18" t="str">
        <f aca="false">IFERROR(__xludf.dummyfunction("REGEXEXTRACT(ADDRESS(ROW(), 48+$H73), ""[A-Z]+"")"),"AV")</f>
        <v>AV</v>
      </c>
      <c r="N73" s="18" t="str">
        <f aca="false">IFERROR(__xludf.dummyfunction("REGEXEXTRACT(ADDRESS(ROW(), 50+$H73), ""[A-Z]+"")"),"AX")</f>
        <v>AX</v>
      </c>
      <c r="O73" s="18" t="str">
        <f aca="false">IFERROR(__xludf.dummyfunction("REGEXEXTRACT(ADDRESS(ROW(), 51+$H73), ""[A-Z]+"")"),"AY")</f>
        <v>AY</v>
      </c>
      <c r="P73" s="18" t="str">
        <f aca="false">IFERROR(__xludf.dummyfunction("REGEXEXTRACT(ADDRESS(ROW(), 54+$H73), ""[A-Z]+"")"),"BB")</f>
        <v>BB</v>
      </c>
      <c r="Q73" s="18" t="str">
        <f aca="false">IFERROR(__xludf.dummyfunction("REGEXEXTRACT(ADDRESS(ROW(), 59+$H73), ""[A-Z]+"")"),"BG")</f>
        <v>BG</v>
      </c>
      <c r="R73" s="18" t="str">
        <f aca="false">IFERROR(__xludf.dummyfunction("REGEXEXTRACT(ADDRESS(ROW(), 60+$H73), ""[A-Z]+"")"),"BH")</f>
        <v>BH</v>
      </c>
      <c r="S73" s="18" t="str">
        <f aca="false">IFERROR(__xludf.dummyfunction("REGEXEXTRACT(ADDRESS(ROW(), 62+$H73), ""[A-Z]+"")"),"BJ")</f>
        <v>BJ</v>
      </c>
      <c r="T73" s="18" t="str">
        <f aca="false">IFERROR(__xludf.dummyfunction("REGEXEXTRACT(ADDRESS(ROW(), 63+$H73), ""[A-Z]+"")"),"BK")</f>
        <v>BK</v>
      </c>
      <c r="U73" s="19" t="n">
        <f aca="false">IFERROR(__xludf.dummyfunction("IFERROR(QUERY(INDIRECT(""'""&amp;F73&amp;""'!C3:""&amp;T73&amp;""""), ""SELECT ""&amp;I73&amp;"", ""&amp;J73&amp;"", ""&amp;K73&amp;"", ""&amp;L73&amp;"", ""&amp;M73&amp;"", ""&amp;N73&amp;"", ""&amp;O73&amp;"", ""&amp;P73&amp;"", ""&amp;Q73&amp;"", ""&amp;R73&amp;"", ""&amp;S73&amp;"" WHERE '""&amp;B73&amp;""' = D"", 0), """")"),9.5)</f>
        <v>9.5</v>
      </c>
      <c r="V73" s="22" t="n">
        <f aca="false">IFERROR(__xludf.dummyfunction("""COMPUTED_VALUE"""),10)</f>
        <v>10</v>
      </c>
      <c r="W73" s="22"/>
      <c r="X73" s="22"/>
      <c r="Y73" s="22" t="n">
        <f aca="false">IFERROR(__xludf.dummyfunction("""COMPUTED_VALUE"""),0)</f>
        <v>0</v>
      </c>
      <c r="Z73" s="22"/>
      <c r="AA73" s="22"/>
      <c r="AB73" s="22" t="n">
        <f aca="false">IFERROR(__xludf.dummyfunction("""COMPUTED_VALUE"""),0)</f>
        <v>0</v>
      </c>
      <c r="AC73" s="22"/>
      <c r="AD73" s="23"/>
      <c r="AE73" s="24" t="n">
        <f aca="false">IFERROR(__xludf.dummyfunction("""COMPUTED_VALUE"""),19.5)</f>
        <v>19.5</v>
      </c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customFormat="false" ht="18.65" hidden="false" customHeight="false" outlineLevel="0" collapsed="false">
      <c r="A74" s="13" t="n">
        <v>73</v>
      </c>
      <c r="B74" s="14" t="s">
        <v>166</v>
      </c>
      <c r="C74" s="15" t="s">
        <v>167</v>
      </c>
      <c r="D74" s="16" t="s">
        <v>24</v>
      </c>
      <c r="E74" s="16" t="s">
        <v>24</v>
      </c>
      <c r="F74" s="16" t="str">
        <f aca="false">REPLACE(E74, 1, 3, "")</f>
        <v>30</v>
      </c>
      <c r="G74" s="17" t="str">
        <f aca="true">IFERROR(VLOOKUP(B74,INDIRECT("'"&amp;F74&amp;"'!D3:D"),1,FALSE()), "Not found")</f>
        <v>Not found</v>
      </c>
      <c r="H74" s="18" t="n">
        <f aca="true">INDIRECT("'"&amp;F74&amp;"'!D1")</f>
        <v>0</v>
      </c>
      <c r="I74" s="18" t="str">
        <f aca="false">IFERROR(__xludf.dummyfunction("REGEXEXTRACT(ADDRESS(ROW(), 24+$H74), ""[A-Z]+"")"),"X")</f>
        <v>X</v>
      </c>
      <c r="J74" s="18" t="str">
        <f aca="false">IFERROR(__xludf.dummyfunction("REGEXEXTRACT(ADDRESS(ROW(), 30+$H74), ""[A-Z]+"")"),"AD")</f>
        <v>AD</v>
      </c>
      <c r="K74" s="18" t="str">
        <f aca="false">IFERROR(__xludf.dummyfunction("REGEXEXTRACT(ADDRESS(ROW(), 36+$H74), ""[A-Z]+"")"),"AJ")</f>
        <v>AJ</v>
      </c>
      <c r="L74" s="18" t="str">
        <f aca="false">IFERROR(__xludf.dummyfunction("REGEXEXTRACT(ADDRESS(ROW(), 42+$H74), ""[A-Z]+"")"),"AP")</f>
        <v>AP</v>
      </c>
      <c r="M74" s="18" t="str">
        <f aca="false">IFERROR(__xludf.dummyfunction("REGEXEXTRACT(ADDRESS(ROW(), 48+$H74), ""[A-Z]+"")"),"AV")</f>
        <v>AV</v>
      </c>
      <c r="N74" s="18" t="str">
        <f aca="false">IFERROR(__xludf.dummyfunction("REGEXEXTRACT(ADDRESS(ROW(), 50+$H74), ""[A-Z]+"")"),"AX")</f>
        <v>AX</v>
      </c>
      <c r="O74" s="18" t="str">
        <f aca="false">IFERROR(__xludf.dummyfunction("REGEXEXTRACT(ADDRESS(ROW(), 51+$H74), ""[A-Z]+"")"),"AY")</f>
        <v>AY</v>
      </c>
      <c r="P74" s="18" t="str">
        <f aca="false">IFERROR(__xludf.dummyfunction("REGEXEXTRACT(ADDRESS(ROW(), 54+$H74), ""[A-Z]+"")"),"BB")</f>
        <v>BB</v>
      </c>
      <c r="Q74" s="18" t="str">
        <f aca="false">IFERROR(__xludf.dummyfunction("REGEXEXTRACT(ADDRESS(ROW(), 59+$H74), ""[A-Z]+"")"),"BG")</f>
        <v>BG</v>
      </c>
      <c r="R74" s="18" t="str">
        <f aca="false">IFERROR(__xludf.dummyfunction("REGEXEXTRACT(ADDRESS(ROW(), 60+$H74), ""[A-Z]+"")"),"BH")</f>
        <v>BH</v>
      </c>
      <c r="S74" s="18" t="str">
        <f aca="false">IFERROR(__xludf.dummyfunction("REGEXEXTRACT(ADDRESS(ROW(), 62+$H74), ""[A-Z]+"")"),"BJ")</f>
        <v>BJ</v>
      </c>
      <c r="T74" s="18" t="str">
        <f aca="false">IFERROR(__xludf.dummyfunction("REGEXEXTRACT(ADDRESS(ROW(), 63+$H74), ""[A-Z]+"")"),"BK")</f>
        <v>BK</v>
      </c>
      <c r="U74" s="19" t="n">
        <f aca="false">IFERROR(__xludf.dummyfunction("IFERROR(QUERY(INDIRECT(""'""&amp;F74&amp;""'!C3:""&amp;T74&amp;""""), ""SELECT ""&amp;I74&amp;"", ""&amp;J74&amp;"", ""&amp;K74&amp;"", ""&amp;L74&amp;"", ""&amp;M74&amp;"", ""&amp;N74&amp;"", ""&amp;O74&amp;"", ""&amp;P74&amp;"", ""&amp;Q74&amp;"", ""&amp;R74&amp;"", ""&amp;S74&amp;"" WHERE '""&amp;B74&amp;""' = D"", 0), """")"),7.5)</f>
        <v>7.5</v>
      </c>
      <c r="V74" s="22"/>
      <c r="W74" s="22"/>
      <c r="X74" s="22"/>
      <c r="Y74" s="22" t="n">
        <f aca="false">IFERROR(__xludf.dummyfunction("""COMPUTED_VALUE"""),0)</f>
        <v>0</v>
      </c>
      <c r="Z74" s="22"/>
      <c r="AA74" s="22"/>
      <c r="AB74" s="22"/>
      <c r="AC74" s="22"/>
      <c r="AD74" s="23"/>
      <c r="AE74" s="24" t="n">
        <f aca="false">IFERROR(__xludf.dummyfunction("""COMPUTED_VALUE"""),7.5)</f>
        <v>7.5</v>
      </c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customFormat="false" ht="18.65" hidden="false" customHeight="false" outlineLevel="0" collapsed="false">
      <c r="A75" s="13" t="n">
        <v>74</v>
      </c>
      <c r="B75" s="14" t="s">
        <v>168</v>
      </c>
      <c r="C75" s="15" t="s">
        <v>169</v>
      </c>
      <c r="D75" s="16" t="s">
        <v>21</v>
      </c>
      <c r="E75" s="16" t="s">
        <v>21</v>
      </c>
      <c r="F75" s="16" t="str">
        <f aca="false">REPLACE(E75, 1, 3, "")</f>
        <v>32</v>
      </c>
      <c r="G75" s="17" t="str">
        <f aca="true">IFERROR(VLOOKUP(B75,INDIRECT("'"&amp;F75&amp;"'!D3:D"),1,FALSE()), "Not found")</f>
        <v>Not found</v>
      </c>
      <c r="H75" s="18" t="n">
        <f aca="true">INDIRECT("'"&amp;F75&amp;"'!D1")</f>
        <v>0</v>
      </c>
      <c r="I75" s="18" t="str">
        <f aca="false">IFERROR(__xludf.dummyfunction("REGEXEXTRACT(ADDRESS(ROW(), 24+$H75), ""[A-Z]+"")"),"X")</f>
        <v>X</v>
      </c>
      <c r="J75" s="18" t="str">
        <f aca="false">IFERROR(__xludf.dummyfunction("REGEXEXTRACT(ADDRESS(ROW(), 30+$H75), ""[A-Z]+"")"),"AD")</f>
        <v>AD</v>
      </c>
      <c r="K75" s="18" t="str">
        <f aca="false">IFERROR(__xludf.dummyfunction("REGEXEXTRACT(ADDRESS(ROW(), 36+$H75), ""[A-Z]+"")"),"AJ")</f>
        <v>AJ</v>
      </c>
      <c r="L75" s="18" t="str">
        <f aca="false">IFERROR(__xludf.dummyfunction("REGEXEXTRACT(ADDRESS(ROW(), 42+$H75), ""[A-Z]+"")"),"AP")</f>
        <v>AP</v>
      </c>
      <c r="M75" s="18" t="str">
        <f aca="false">IFERROR(__xludf.dummyfunction("REGEXEXTRACT(ADDRESS(ROW(), 48+$H75), ""[A-Z]+"")"),"AV")</f>
        <v>AV</v>
      </c>
      <c r="N75" s="18" t="str">
        <f aca="false">IFERROR(__xludf.dummyfunction("REGEXEXTRACT(ADDRESS(ROW(), 50+$H75), ""[A-Z]+"")"),"AX")</f>
        <v>AX</v>
      </c>
      <c r="O75" s="18" t="str">
        <f aca="false">IFERROR(__xludf.dummyfunction("REGEXEXTRACT(ADDRESS(ROW(), 51+$H75), ""[A-Z]+"")"),"AY")</f>
        <v>AY</v>
      </c>
      <c r="P75" s="18" t="str">
        <f aca="false">IFERROR(__xludf.dummyfunction("REGEXEXTRACT(ADDRESS(ROW(), 54+$H75), ""[A-Z]+"")"),"BB")</f>
        <v>BB</v>
      </c>
      <c r="Q75" s="18" t="str">
        <f aca="false">IFERROR(__xludf.dummyfunction("REGEXEXTRACT(ADDRESS(ROW(), 59+$H75), ""[A-Z]+"")"),"BG")</f>
        <v>BG</v>
      </c>
      <c r="R75" s="18" t="str">
        <f aca="false">IFERROR(__xludf.dummyfunction("REGEXEXTRACT(ADDRESS(ROW(), 60+$H75), ""[A-Z]+"")"),"BH")</f>
        <v>BH</v>
      </c>
      <c r="S75" s="18" t="str">
        <f aca="false">IFERROR(__xludf.dummyfunction("REGEXEXTRACT(ADDRESS(ROW(), 62+$H75), ""[A-Z]+"")"),"BJ")</f>
        <v>BJ</v>
      </c>
      <c r="T75" s="18" t="str">
        <f aca="false">IFERROR(__xludf.dummyfunction("REGEXEXTRACT(ADDRESS(ROW(), 63+$H75), ""[A-Z]+"")"),"BK")</f>
        <v>BK</v>
      </c>
      <c r="U75" s="19" t="n">
        <f aca="false">IFERROR(__xludf.dummyfunction("IFERROR(QUERY(INDIRECT(""'""&amp;F75&amp;""'!C3:""&amp;T75&amp;""""), ""SELECT ""&amp;I75&amp;"", ""&amp;J75&amp;"", ""&amp;K75&amp;"", ""&amp;L75&amp;"", ""&amp;M75&amp;"", ""&amp;N75&amp;"", ""&amp;O75&amp;"", ""&amp;P75&amp;"", ""&amp;Q75&amp;"", ""&amp;R75&amp;"", ""&amp;S75&amp;"" WHERE '""&amp;B75&amp;""' = D"", 0), """")"),10)</f>
        <v>10</v>
      </c>
      <c r="V75" s="22" t="n">
        <f aca="false">IFERROR(__xludf.dummyfunction("""COMPUTED_VALUE"""),10)</f>
        <v>10</v>
      </c>
      <c r="W75" s="22" t="n">
        <f aca="false">IFERROR(__xludf.dummyfunction("""COMPUTED_VALUE"""),10)</f>
        <v>10</v>
      </c>
      <c r="X75" s="22" t="n">
        <f aca="false">IFERROR(__xludf.dummyfunction("""COMPUTED_VALUE"""),10)</f>
        <v>10</v>
      </c>
      <c r="Y75" s="22" t="n">
        <f aca="false">IFERROR(__xludf.dummyfunction("""COMPUTED_VALUE"""),10)</f>
        <v>10</v>
      </c>
      <c r="Z75" s="22" t="n">
        <f aca="false">IFERROR(__xludf.dummyfunction("""COMPUTED_VALUE"""),0)</f>
        <v>0</v>
      </c>
      <c r="AA75" s="22" t="n">
        <f aca="false">IFERROR(__xludf.dummyfunction("""COMPUTED_VALUE"""),1)</f>
        <v>1</v>
      </c>
      <c r="AB75" s="22" t="n">
        <f aca="false">IFERROR(__xludf.dummyfunction("""COMPUTED_VALUE"""),10)</f>
        <v>10</v>
      </c>
      <c r="AC75" s="22" t="n">
        <f aca="false">IFERROR(__xludf.dummyfunction("""COMPUTED_VALUE"""),30)</f>
        <v>30</v>
      </c>
      <c r="AD75" s="23" t="n">
        <f aca="false">IFERROR(__xludf.dummyfunction("""COMPUTED_VALUE"""),1)</f>
        <v>1</v>
      </c>
      <c r="AE75" s="24" t="n">
        <f aca="false">IFERROR(__xludf.dummyfunction("""COMPUTED_VALUE"""),92)</f>
        <v>92</v>
      </c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customFormat="false" ht="18.65" hidden="false" customHeight="false" outlineLevel="0" collapsed="false">
      <c r="A76" s="13" t="n">
        <v>75</v>
      </c>
      <c r="B76" s="14" t="s">
        <v>170</v>
      </c>
      <c r="C76" s="15" t="s">
        <v>171</v>
      </c>
      <c r="D76" s="16" t="s">
        <v>21</v>
      </c>
      <c r="E76" s="16" t="s">
        <v>21</v>
      </c>
      <c r="F76" s="16" t="str">
        <f aca="false">REPLACE(E76, 1, 3, "")</f>
        <v>32</v>
      </c>
      <c r="G76" s="17" t="str">
        <f aca="true">IFERROR(VLOOKUP(B76,INDIRECT("'"&amp;F76&amp;"'!D3:D"),1,FALSE()), "Not found")</f>
        <v>Not found</v>
      </c>
      <c r="H76" s="18" t="n">
        <f aca="true">INDIRECT("'"&amp;F76&amp;"'!D1")</f>
        <v>0</v>
      </c>
      <c r="I76" s="18" t="str">
        <f aca="false">IFERROR(__xludf.dummyfunction("REGEXEXTRACT(ADDRESS(ROW(), 24+$H76), ""[A-Z]+"")"),"X")</f>
        <v>X</v>
      </c>
      <c r="J76" s="18" t="str">
        <f aca="false">IFERROR(__xludf.dummyfunction("REGEXEXTRACT(ADDRESS(ROW(), 30+$H76), ""[A-Z]+"")"),"AD")</f>
        <v>AD</v>
      </c>
      <c r="K76" s="18" t="str">
        <f aca="false">IFERROR(__xludf.dummyfunction("REGEXEXTRACT(ADDRESS(ROW(), 36+$H76), ""[A-Z]+"")"),"AJ")</f>
        <v>AJ</v>
      </c>
      <c r="L76" s="18" t="str">
        <f aca="false">IFERROR(__xludf.dummyfunction("REGEXEXTRACT(ADDRESS(ROW(), 42+$H76), ""[A-Z]+"")"),"AP")</f>
        <v>AP</v>
      </c>
      <c r="M76" s="18" t="str">
        <f aca="false">IFERROR(__xludf.dummyfunction("REGEXEXTRACT(ADDRESS(ROW(), 48+$H76), ""[A-Z]+"")"),"AV")</f>
        <v>AV</v>
      </c>
      <c r="N76" s="18" t="str">
        <f aca="false">IFERROR(__xludf.dummyfunction("REGEXEXTRACT(ADDRESS(ROW(), 50+$H76), ""[A-Z]+"")"),"AX")</f>
        <v>AX</v>
      </c>
      <c r="O76" s="18" t="str">
        <f aca="false">IFERROR(__xludf.dummyfunction("REGEXEXTRACT(ADDRESS(ROW(), 51+$H76), ""[A-Z]+"")"),"AY")</f>
        <v>AY</v>
      </c>
      <c r="P76" s="18" t="str">
        <f aca="false">IFERROR(__xludf.dummyfunction("REGEXEXTRACT(ADDRESS(ROW(), 54+$H76), ""[A-Z]+"")"),"BB")</f>
        <v>BB</v>
      </c>
      <c r="Q76" s="18" t="str">
        <f aca="false">IFERROR(__xludf.dummyfunction("REGEXEXTRACT(ADDRESS(ROW(), 59+$H76), ""[A-Z]+"")"),"BG")</f>
        <v>BG</v>
      </c>
      <c r="R76" s="18" t="str">
        <f aca="false">IFERROR(__xludf.dummyfunction("REGEXEXTRACT(ADDRESS(ROW(), 60+$H76), ""[A-Z]+"")"),"BH")</f>
        <v>BH</v>
      </c>
      <c r="S76" s="18" t="str">
        <f aca="false">IFERROR(__xludf.dummyfunction("REGEXEXTRACT(ADDRESS(ROW(), 62+$H76), ""[A-Z]+"")"),"BJ")</f>
        <v>BJ</v>
      </c>
      <c r="T76" s="18" t="str">
        <f aca="false">IFERROR(__xludf.dummyfunction("REGEXEXTRACT(ADDRESS(ROW(), 63+$H76), ""[A-Z]+"")"),"BK")</f>
        <v>BK</v>
      </c>
      <c r="U76" s="19" t="n">
        <f aca="false">IFERROR(__xludf.dummyfunction("IFERROR(QUERY(INDIRECT(""'""&amp;F76&amp;""'!C3:""&amp;T76&amp;""""), ""SELECT ""&amp;I76&amp;"", ""&amp;J76&amp;"", ""&amp;K76&amp;"", ""&amp;L76&amp;"", ""&amp;M76&amp;"", ""&amp;N76&amp;"", ""&amp;O76&amp;"", ""&amp;P76&amp;"", ""&amp;Q76&amp;"", ""&amp;R76&amp;"", ""&amp;S76&amp;"" WHERE '""&amp;B76&amp;""' = D"", 0), """")"),9)</f>
        <v>9</v>
      </c>
      <c r="V76" s="22" t="n">
        <f aca="false">IFERROR(__xludf.dummyfunction("""COMPUTED_VALUE"""),10)</f>
        <v>10</v>
      </c>
      <c r="W76" s="22" t="n">
        <f aca="false">IFERROR(__xludf.dummyfunction("""COMPUTED_VALUE"""),9.5)</f>
        <v>9.5</v>
      </c>
      <c r="X76" s="22" t="n">
        <f aca="false">IFERROR(__xludf.dummyfunction("""COMPUTED_VALUE"""),9)</f>
        <v>9</v>
      </c>
      <c r="Y76" s="22" t="n">
        <f aca="false">IFERROR(__xludf.dummyfunction("""COMPUTED_VALUE"""),0)</f>
        <v>0</v>
      </c>
      <c r="Z76" s="22" t="n">
        <f aca="false">IFERROR(__xludf.dummyfunction("""COMPUTED_VALUE"""),0)</f>
        <v>0</v>
      </c>
      <c r="AA76" s="22"/>
      <c r="AB76" s="22" t="n">
        <f aca="false">IFERROR(__xludf.dummyfunction("""COMPUTED_VALUE"""),10)</f>
        <v>10</v>
      </c>
      <c r="AC76" s="22" t="n">
        <f aca="false">IFERROR(__xludf.dummyfunction("""COMPUTED_VALUE"""),24)</f>
        <v>24</v>
      </c>
      <c r="AD76" s="23" t="n">
        <f aca="false">IFERROR(__xludf.dummyfunction("""COMPUTED_VALUE"""),3)</f>
        <v>3</v>
      </c>
      <c r="AE76" s="24" t="n">
        <f aca="false">IFERROR(__xludf.dummyfunction("""COMPUTED_VALUE"""),74.5)</f>
        <v>74.5</v>
      </c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customFormat="false" ht="18.65" hidden="false" customHeight="false" outlineLevel="0" collapsed="false">
      <c r="A77" s="13" t="n">
        <v>76</v>
      </c>
      <c r="B77" s="14" t="s">
        <v>172</v>
      </c>
      <c r="C77" s="15" t="s">
        <v>173</v>
      </c>
      <c r="D77" s="16" t="s">
        <v>174</v>
      </c>
      <c r="E77" s="16" t="s">
        <v>174</v>
      </c>
      <c r="F77" s="16" t="str">
        <f aca="false">REPLACE(E77, 1, 3, "")</f>
        <v>08</v>
      </c>
      <c r="G77" s="17" t="str">
        <f aca="true">IFERROR(VLOOKUP(B77,INDIRECT("'"&amp;F77&amp;"'!D3:D"),1,FALSE()), "Not found")</f>
        <v>464900</v>
      </c>
      <c r="H77" s="18" t="n">
        <f aca="true">INDIRECT("'"&amp;F77&amp;"'!D1")</f>
        <v>0</v>
      </c>
      <c r="I77" s="18" t="str">
        <f aca="false">IFERROR(__xludf.dummyfunction("REGEXEXTRACT(ADDRESS(ROW(), 24+$H77), ""[A-Z]+"")"),"X")</f>
        <v>X</v>
      </c>
      <c r="J77" s="18" t="str">
        <f aca="false">IFERROR(__xludf.dummyfunction("REGEXEXTRACT(ADDRESS(ROW(), 30+$H77), ""[A-Z]+"")"),"AD")</f>
        <v>AD</v>
      </c>
      <c r="K77" s="18" t="str">
        <f aca="false">IFERROR(__xludf.dummyfunction("REGEXEXTRACT(ADDRESS(ROW(), 36+$H77), ""[A-Z]+"")"),"AJ")</f>
        <v>AJ</v>
      </c>
      <c r="L77" s="18" t="str">
        <f aca="false">IFERROR(__xludf.dummyfunction("REGEXEXTRACT(ADDRESS(ROW(), 42+$H77), ""[A-Z]+"")"),"AP")</f>
        <v>AP</v>
      </c>
      <c r="M77" s="18" t="str">
        <f aca="false">IFERROR(__xludf.dummyfunction("REGEXEXTRACT(ADDRESS(ROW(), 48+$H77), ""[A-Z]+"")"),"AV")</f>
        <v>AV</v>
      </c>
      <c r="N77" s="18" t="str">
        <f aca="false">IFERROR(__xludf.dummyfunction("REGEXEXTRACT(ADDRESS(ROW(), 50+$H77), ""[A-Z]+"")"),"AX")</f>
        <v>AX</v>
      </c>
      <c r="O77" s="18" t="str">
        <f aca="false">IFERROR(__xludf.dummyfunction("REGEXEXTRACT(ADDRESS(ROW(), 51+$H77), ""[A-Z]+"")"),"AY")</f>
        <v>AY</v>
      </c>
      <c r="P77" s="18" t="str">
        <f aca="false">IFERROR(__xludf.dummyfunction("REGEXEXTRACT(ADDRESS(ROW(), 54+$H77), ""[A-Z]+"")"),"BB")</f>
        <v>BB</v>
      </c>
      <c r="Q77" s="18" t="str">
        <f aca="false">IFERROR(__xludf.dummyfunction("REGEXEXTRACT(ADDRESS(ROW(), 59+$H77), ""[A-Z]+"")"),"BG")</f>
        <v>BG</v>
      </c>
      <c r="R77" s="18" t="str">
        <f aca="false">IFERROR(__xludf.dummyfunction("REGEXEXTRACT(ADDRESS(ROW(), 60+$H77), ""[A-Z]+"")"),"BH")</f>
        <v>BH</v>
      </c>
      <c r="S77" s="18" t="str">
        <f aca="false">IFERROR(__xludf.dummyfunction("REGEXEXTRACT(ADDRESS(ROW(), 62+$H77), ""[A-Z]+"")"),"BJ")</f>
        <v>BJ</v>
      </c>
      <c r="T77" s="18" t="str">
        <f aca="false">IFERROR(__xludf.dummyfunction("REGEXEXTRACT(ADDRESS(ROW(), 63+$H77), ""[A-Z]+"")"),"BK")</f>
        <v>BK</v>
      </c>
      <c r="U77" s="19" t="n">
        <f aca="false">IFERROR(__xludf.dummyfunction("IFERROR(QUERY(INDIRECT(""'""&amp;F77&amp;""'!C3:""&amp;T77&amp;""""), ""SELECT ""&amp;I77&amp;"", ""&amp;J77&amp;"", ""&amp;K77&amp;"", ""&amp;L77&amp;"", ""&amp;M77&amp;"", ""&amp;N77&amp;"", ""&amp;O77&amp;"", ""&amp;P77&amp;"", ""&amp;Q77&amp;"", ""&amp;R77&amp;"", ""&amp;S77&amp;"" WHERE '""&amp;B77&amp;""' = D"", 0), """")"),10)</f>
        <v>10</v>
      </c>
      <c r="V77" s="22" t="n">
        <f aca="false">IFERROR(__xludf.dummyfunction("""COMPUTED_VALUE"""),9.5)</f>
        <v>9.5</v>
      </c>
      <c r="W77" s="22" t="n">
        <f aca="false">IFERROR(__xludf.dummyfunction("""COMPUTED_VALUE"""),10)</f>
        <v>10</v>
      </c>
      <c r="X77" s="22" t="n">
        <f aca="false">IFERROR(__xludf.dummyfunction("""COMPUTED_VALUE"""),10)</f>
        <v>10</v>
      </c>
      <c r="Y77" s="22" t="n">
        <f aca="false">IFERROR(__xludf.dummyfunction("""COMPUTED_VALUE"""),10)</f>
        <v>10</v>
      </c>
      <c r="Z77" s="22" t="n">
        <f aca="false">IFERROR(__xludf.dummyfunction("""COMPUTED_VALUE"""),0)</f>
        <v>0</v>
      </c>
      <c r="AA77" s="22" t="n">
        <f aca="false">IFERROR(__xludf.dummyfunction("""COMPUTED_VALUE"""),0)</f>
        <v>0</v>
      </c>
      <c r="AB77" s="22" t="n">
        <f aca="false">IFERROR(__xludf.dummyfunction("""COMPUTED_VALUE"""),10)</f>
        <v>10</v>
      </c>
      <c r="AC77" s="22" t="n">
        <f aca="false">IFERROR(__xludf.dummyfunction("""COMPUTED_VALUE"""),29)</f>
        <v>29</v>
      </c>
      <c r="AD77" s="23" t="n">
        <f aca="false">IFERROR(__xludf.dummyfunction("""COMPUTED_VALUE"""),2)</f>
        <v>2</v>
      </c>
      <c r="AE77" s="24" t="n">
        <f aca="false">IFERROR(__xludf.dummyfunction("""COMPUTED_VALUE"""),90.5)</f>
        <v>90.5</v>
      </c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customFormat="false" ht="18.65" hidden="false" customHeight="false" outlineLevel="0" collapsed="false">
      <c r="A78" s="13" t="n">
        <v>77</v>
      </c>
      <c r="B78" s="14" t="s">
        <v>175</v>
      </c>
      <c r="C78" s="15" t="s">
        <v>176</v>
      </c>
      <c r="D78" s="16" t="s">
        <v>177</v>
      </c>
      <c r="E78" s="16" t="s">
        <v>177</v>
      </c>
      <c r="F78" s="16" t="str">
        <f aca="false">REPLACE(E78, 1, 3, "")</f>
        <v>19</v>
      </c>
      <c r="G78" s="17" t="str">
        <f aca="true">IFERROR(VLOOKUP(B78,INDIRECT("'"&amp;F78&amp;"'!D3:D"),1,FALSE()), "Not found")</f>
        <v>464905</v>
      </c>
      <c r="H78" s="18" t="n">
        <f aca="true">INDIRECT("'"&amp;F78&amp;"'!D1")</f>
        <v>0</v>
      </c>
      <c r="I78" s="18" t="str">
        <f aca="false">IFERROR(__xludf.dummyfunction("REGEXEXTRACT(ADDRESS(ROW(), 24+$H78), ""[A-Z]+"")"),"X")</f>
        <v>X</v>
      </c>
      <c r="J78" s="18" t="str">
        <f aca="false">IFERROR(__xludf.dummyfunction("REGEXEXTRACT(ADDRESS(ROW(), 30+$H78), ""[A-Z]+"")"),"AD")</f>
        <v>AD</v>
      </c>
      <c r="K78" s="18" t="str">
        <f aca="false">IFERROR(__xludf.dummyfunction("REGEXEXTRACT(ADDRESS(ROW(), 36+$H78), ""[A-Z]+"")"),"AJ")</f>
        <v>AJ</v>
      </c>
      <c r="L78" s="18" t="str">
        <f aca="false">IFERROR(__xludf.dummyfunction("REGEXEXTRACT(ADDRESS(ROW(), 42+$H78), ""[A-Z]+"")"),"AP")</f>
        <v>AP</v>
      </c>
      <c r="M78" s="18" t="str">
        <f aca="false">IFERROR(__xludf.dummyfunction("REGEXEXTRACT(ADDRESS(ROW(), 48+$H78), ""[A-Z]+"")"),"AV")</f>
        <v>AV</v>
      </c>
      <c r="N78" s="18" t="str">
        <f aca="false">IFERROR(__xludf.dummyfunction("REGEXEXTRACT(ADDRESS(ROW(), 50+$H78), ""[A-Z]+"")"),"AX")</f>
        <v>AX</v>
      </c>
      <c r="O78" s="18" t="str">
        <f aca="false">IFERROR(__xludf.dummyfunction("REGEXEXTRACT(ADDRESS(ROW(), 51+$H78), ""[A-Z]+"")"),"AY")</f>
        <v>AY</v>
      </c>
      <c r="P78" s="18" t="str">
        <f aca="false">IFERROR(__xludf.dummyfunction("REGEXEXTRACT(ADDRESS(ROW(), 54+$H78), ""[A-Z]+"")"),"BB")</f>
        <v>BB</v>
      </c>
      <c r="Q78" s="18" t="str">
        <f aca="false">IFERROR(__xludf.dummyfunction("REGEXEXTRACT(ADDRESS(ROW(), 59+$H78), ""[A-Z]+"")"),"BG")</f>
        <v>BG</v>
      </c>
      <c r="R78" s="18" t="str">
        <f aca="false">IFERROR(__xludf.dummyfunction("REGEXEXTRACT(ADDRESS(ROW(), 60+$H78), ""[A-Z]+"")"),"BH")</f>
        <v>BH</v>
      </c>
      <c r="S78" s="18" t="str">
        <f aca="false">IFERROR(__xludf.dummyfunction("REGEXEXTRACT(ADDRESS(ROW(), 62+$H78), ""[A-Z]+"")"),"BJ")</f>
        <v>BJ</v>
      </c>
      <c r="T78" s="18" t="str">
        <f aca="false">IFERROR(__xludf.dummyfunction("REGEXEXTRACT(ADDRESS(ROW(), 63+$H78), ""[A-Z]+"")"),"BK")</f>
        <v>BK</v>
      </c>
      <c r="U78" s="19" t="n">
        <f aca="false">IFERROR(__xludf.dummyfunction("IFERROR(QUERY(INDIRECT(""'""&amp;F78&amp;""'!C3:""&amp;T78&amp;""""), ""SELECT ""&amp;I78&amp;"", ""&amp;J78&amp;"", ""&amp;K78&amp;"", ""&amp;L78&amp;"", ""&amp;M78&amp;"", ""&amp;N78&amp;"", ""&amp;O78&amp;"", ""&amp;P78&amp;"", ""&amp;Q78&amp;"", ""&amp;R78&amp;"", ""&amp;S78&amp;"" WHERE '""&amp;B78&amp;""' = D"", 0), """")"),10)</f>
        <v>10</v>
      </c>
      <c r="V78" s="22" t="n">
        <f aca="false">IFERROR(__xludf.dummyfunction("""COMPUTED_VALUE"""),10)</f>
        <v>10</v>
      </c>
      <c r="W78" s="22" t="n">
        <f aca="false">IFERROR(__xludf.dummyfunction("""COMPUTED_VALUE"""),10)</f>
        <v>10</v>
      </c>
      <c r="X78" s="22" t="n">
        <f aca="false">IFERROR(__xludf.dummyfunction("""COMPUTED_VALUE"""),10)</f>
        <v>10</v>
      </c>
      <c r="Y78" s="22" t="n">
        <f aca="false">IFERROR(__xludf.dummyfunction("""COMPUTED_VALUE"""),0)</f>
        <v>0</v>
      </c>
      <c r="Z78" s="22" t="n">
        <f aca="false">IFERROR(__xludf.dummyfunction("""COMPUTED_VALUE"""),1)</f>
        <v>1</v>
      </c>
      <c r="AA78" s="22"/>
      <c r="AB78" s="22" t="n">
        <f aca="false">IFERROR(__xludf.dummyfunction("""COMPUTED_VALUE"""),6)</f>
        <v>6</v>
      </c>
      <c r="AC78" s="22" t="n">
        <f aca="false">IFERROR(__xludf.dummyfunction("""COMPUTED_VALUE"""),22)</f>
        <v>22</v>
      </c>
      <c r="AD78" s="23"/>
      <c r="AE78" s="24" t="n">
        <f aca="false">IFERROR(__xludf.dummyfunction("""COMPUTED_VALUE"""),69)</f>
        <v>69</v>
      </c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customFormat="false" ht="18.65" hidden="false" customHeight="false" outlineLevel="0" collapsed="false">
      <c r="A79" s="13" t="n">
        <v>78</v>
      </c>
      <c r="B79" s="14" t="s">
        <v>178</v>
      </c>
      <c r="C79" s="15" t="s">
        <v>179</v>
      </c>
      <c r="D79" s="16" t="s">
        <v>180</v>
      </c>
      <c r="E79" s="16" t="s">
        <v>180</v>
      </c>
      <c r="F79" s="16" t="str">
        <f aca="false">REPLACE(E79, 1, 3, "")</f>
        <v>11</v>
      </c>
      <c r="G79" s="17" t="str">
        <f aca="true">IFERROR(VLOOKUP(B79,INDIRECT("'"&amp;F79&amp;"'!D3:D"),1,FALSE()), "Not found")</f>
        <v>464906</v>
      </c>
      <c r="H79" s="18" t="n">
        <f aca="true">INDIRECT("'"&amp;F79&amp;"'!D1")</f>
        <v>0</v>
      </c>
      <c r="I79" s="18" t="str">
        <f aca="false">IFERROR(__xludf.dummyfunction("REGEXEXTRACT(ADDRESS(ROW(), 24+$H79), ""[A-Z]+"")"),"X")</f>
        <v>X</v>
      </c>
      <c r="J79" s="18" t="str">
        <f aca="false">IFERROR(__xludf.dummyfunction("REGEXEXTRACT(ADDRESS(ROW(), 30+$H79), ""[A-Z]+"")"),"AD")</f>
        <v>AD</v>
      </c>
      <c r="K79" s="18" t="str">
        <f aca="false">IFERROR(__xludf.dummyfunction("REGEXEXTRACT(ADDRESS(ROW(), 36+$H79), ""[A-Z]+"")"),"AJ")</f>
        <v>AJ</v>
      </c>
      <c r="L79" s="18" t="str">
        <f aca="false">IFERROR(__xludf.dummyfunction("REGEXEXTRACT(ADDRESS(ROW(), 42+$H79), ""[A-Z]+"")"),"AP")</f>
        <v>AP</v>
      </c>
      <c r="M79" s="18" t="str">
        <f aca="false">IFERROR(__xludf.dummyfunction("REGEXEXTRACT(ADDRESS(ROW(), 48+$H79), ""[A-Z]+"")"),"AV")</f>
        <v>AV</v>
      </c>
      <c r="N79" s="18" t="str">
        <f aca="false">IFERROR(__xludf.dummyfunction("REGEXEXTRACT(ADDRESS(ROW(), 50+$H79), ""[A-Z]+"")"),"AX")</f>
        <v>AX</v>
      </c>
      <c r="O79" s="18" t="str">
        <f aca="false">IFERROR(__xludf.dummyfunction("REGEXEXTRACT(ADDRESS(ROW(), 51+$H79), ""[A-Z]+"")"),"AY")</f>
        <v>AY</v>
      </c>
      <c r="P79" s="18" t="str">
        <f aca="false">IFERROR(__xludf.dummyfunction("REGEXEXTRACT(ADDRESS(ROW(), 54+$H79), ""[A-Z]+"")"),"BB")</f>
        <v>BB</v>
      </c>
      <c r="Q79" s="18" t="str">
        <f aca="false">IFERROR(__xludf.dummyfunction("REGEXEXTRACT(ADDRESS(ROW(), 59+$H79), ""[A-Z]+"")"),"BG")</f>
        <v>BG</v>
      </c>
      <c r="R79" s="18" t="str">
        <f aca="false">IFERROR(__xludf.dummyfunction("REGEXEXTRACT(ADDRESS(ROW(), 60+$H79), ""[A-Z]+"")"),"BH")</f>
        <v>BH</v>
      </c>
      <c r="S79" s="18" t="str">
        <f aca="false">IFERROR(__xludf.dummyfunction("REGEXEXTRACT(ADDRESS(ROW(), 62+$H79), ""[A-Z]+"")"),"BJ")</f>
        <v>BJ</v>
      </c>
      <c r="T79" s="18" t="str">
        <f aca="false">IFERROR(__xludf.dummyfunction("REGEXEXTRACT(ADDRESS(ROW(), 63+$H79), ""[A-Z]+"")"),"BK")</f>
        <v>BK</v>
      </c>
      <c r="U79" s="19" t="n">
        <f aca="false">IFERROR(__xludf.dummyfunction("IFERROR(QUERY(INDIRECT(""'""&amp;F79&amp;""'!C3:""&amp;T79&amp;""""), ""SELECT ""&amp;I79&amp;"", ""&amp;J79&amp;"", ""&amp;K79&amp;"", ""&amp;L79&amp;"", ""&amp;M79&amp;"", ""&amp;N79&amp;"", ""&amp;O79&amp;"", ""&amp;P79&amp;"", ""&amp;Q79&amp;"", ""&amp;R79&amp;"", ""&amp;S79&amp;"" WHERE '""&amp;B79&amp;""' = D"", 0), """")"),10)</f>
        <v>10</v>
      </c>
      <c r="V79" s="22" t="n">
        <f aca="false">IFERROR(__xludf.dummyfunction("""COMPUTED_VALUE"""),10)</f>
        <v>10</v>
      </c>
      <c r="W79" s="22" t="n">
        <f aca="false">IFERROR(__xludf.dummyfunction("""COMPUTED_VALUE"""),10)</f>
        <v>10</v>
      </c>
      <c r="X79" s="22" t="n">
        <f aca="false">IFERROR(__xludf.dummyfunction("""COMPUTED_VALUE"""),10)</f>
        <v>10</v>
      </c>
      <c r="Y79" s="22" t="n">
        <f aca="false">IFERROR(__xludf.dummyfunction("""COMPUTED_VALUE"""),10)</f>
        <v>10</v>
      </c>
      <c r="Z79" s="22" t="n">
        <f aca="false">IFERROR(__xludf.dummyfunction("""COMPUTED_VALUE"""),0)</f>
        <v>0</v>
      </c>
      <c r="AA79" s="22"/>
      <c r="AB79" s="22" t="n">
        <f aca="false">IFERROR(__xludf.dummyfunction("""COMPUTED_VALUE"""),6)</f>
        <v>6</v>
      </c>
      <c r="AC79" s="22" t="n">
        <f aca="false">IFERROR(__xludf.dummyfunction("""COMPUTED_VALUE"""),20)</f>
        <v>20</v>
      </c>
      <c r="AD79" s="23"/>
      <c r="AE79" s="24" t="n">
        <f aca="false">IFERROR(__xludf.dummyfunction("""COMPUTED_VALUE"""),76)</f>
        <v>76</v>
      </c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customFormat="false" ht="18.65" hidden="false" customHeight="false" outlineLevel="0" collapsed="false">
      <c r="A80" s="13" t="n">
        <v>79</v>
      </c>
      <c r="B80" s="14" t="s">
        <v>181</v>
      </c>
      <c r="C80" s="15" t="s">
        <v>182</v>
      </c>
      <c r="D80" s="16" t="s">
        <v>183</v>
      </c>
      <c r="E80" s="16" t="s">
        <v>183</v>
      </c>
      <c r="F80" s="16" t="str">
        <f aca="false">REPLACE(E80, 1, 3, "")</f>
        <v>14</v>
      </c>
      <c r="G80" s="17" t="str">
        <f aca="true">IFERROR(VLOOKUP(B80,INDIRECT("'"&amp;F80&amp;"'!D3:D"),1,FALSE()), "Not found")</f>
        <v>464917</v>
      </c>
      <c r="H80" s="18" t="n">
        <f aca="true">INDIRECT("'"&amp;F80&amp;"'!D1")</f>
        <v>0</v>
      </c>
      <c r="I80" s="18" t="str">
        <f aca="false">IFERROR(__xludf.dummyfunction("REGEXEXTRACT(ADDRESS(ROW(), 24+$H80), ""[A-Z]+"")"),"X")</f>
        <v>X</v>
      </c>
      <c r="J80" s="18" t="str">
        <f aca="false">IFERROR(__xludf.dummyfunction("REGEXEXTRACT(ADDRESS(ROW(), 30+$H80), ""[A-Z]+"")"),"AD")</f>
        <v>AD</v>
      </c>
      <c r="K80" s="18" t="str">
        <f aca="false">IFERROR(__xludf.dummyfunction("REGEXEXTRACT(ADDRESS(ROW(), 36+$H80), ""[A-Z]+"")"),"AJ")</f>
        <v>AJ</v>
      </c>
      <c r="L80" s="18" t="str">
        <f aca="false">IFERROR(__xludf.dummyfunction("REGEXEXTRACT(ADDRESS(ROW(), 42+$H80), ""[A-Z]+"")"),"AP")</f>
        <v>AP</v>
      </c>
      <c r="M80" s="18" t="str">
        <f aca="false">IFERROR(__xludf.dummyfunction("REGEXEXTRACT(ADDRESS(ROW(), 48+$H80), ""[A-Z]+"")"),"AV")</f>
        <v>AV</v>
      </c>
      <c r="N80" s="18" t="str">
        <f aca="false">IFERROR(__xludf.dummyfunction("REGEXEXTRACT(ADDRESS(ROW(), 50+$H80), ""[A-Z]+"")"),"AX")</f>
        <v>AX</v>
      </c>
      <c r="O80" s="18" t="str">
        <f aca="false">IFERROR(__xludf.dummyfunction("REGEXEXTRACT(ADDRESS(ROW(), 51+$H80), ""[A-Z]+"")"),"AY")</f>
        <v>AY</v>
      </c>
      <c r="P80" s="18" t="str">
        <f aca="false">IFERROR(__xludf.dummyfunction("REGEXEXTRACT(ADDRESS(ROW(), 54+$H80), ""[A-Z]+"")"),"BB")</f>
        <v>BB</v>
      </c>
      <c r="Q80" s="18" t="str">
        <f aca="false">IFERROR(__xludf.dummyfunction("REGEXEXTRACT(ADDRESS(ROW(), 59+$H80), ""[A-Z]+"")"),"BG")</f>
        <v>BG</v>
      </c>
      <c r="R80" s="18" t="str">
        <f aca="false">IFERROR(__xludf.dummyfunction("REGEXEXTRACT(ADDRESS(ROW(), 60+$H80), ""[A-Z]+"")"),"BH")</f>
        <v>BH</v>
      </c>
      <c r="S80" s="18" t="str">
        <f aca="false">IFERROR(__xludf.dummyfunction("REGEXEXTRACT(ADDRESS(ROW(), 62+$H80), ""[A-Z]+"")"),"BJ")</f>
        <v>BJ</v>
      </c>
      <c r="T80" s="18" t="str">
        <f aca="false">IFERROR(__xludf.dummyfunction("REGEXEXTRACT(ADDRESS(ROW(), 63+$H80), ""[A-Z]+"")"),"BK")</f>
        <v>BK</v>
      </c>
      <c r="U80" s="19" t="n">
        <f aca="false">IFERROR(__xludf.dummyfunction("IFERROR(QUERY(INDIRECT(""'""&amp;F80&amp;""'!C3:""&amp;T80&amp;""""), ""SELECT ""&amp;I80&amp;"", ""&amp;J80&amp;"", ""&amp;K80&amp;"", ""&amp;L80&amp;"", ""&amp;M80&amp;"", ""&amp;N80&amp;"", ""&amp;O80&amp;"", ""&amp;P80&amp;"", ""&amp;Q80&amp;"", ""&amp;R80&amp;"", ""&amp;S80&amp;"" WHERE '""&amp;B80&amp;""' = D"", 0), """")"),7.5)</f>
        <v>7.5</v>
      </c>
      <c r="V80" s="22" t="n">
        <f aca="false">IFERROR(__xludf.dummyfunction("""COMPUTED_VALUE"""),8)</f>
        <v>8</v>
      </c>
      <c r="W80" s="22" t="n">
        <f aca="false">IFERROR(__xludf.dummyfunction("""COMPUTED_VALUE"""),7)</f>
        <v>7</v>
      </c>
      <c r="X80" s="22" t="n">
        <f aca="false">IFERROR(__xludf.dummyfunction("""COMPUTED_VALUE"""),6)</f>
        <v>6</v>
      </c>
      <c r="Y80" s="22" t="n">
        <f aca="false">IFERROR(__xludf.dummyfunction("""COMPUTED_VALUE"""),0)</f>
        <v>0</v>
      </c>
      <c r="Z80" s="22"/>
      <c r="AA80" s="22" t="n">
        <f aca="false">IFERROR(__xludf.dummyfunction("""COMPUTED_VALUE"""),1)</f>
        <v>1</v>
      </c>
      <c r="AB80" s="22" t="n">
        <f aca="false">IFERROR(__xludf.dummyfunction("""COMPUTED_VALUE"""),7)</f>
        <v>7</v>
      </c>
      <c r="AC80" s="22" t="n">
        <f aca="false">IFERROR(__xludf.dummyfunction("""COMPUTED_VALUE"""),27)</f>
        <v>27</v>
      </c>
      <c r="AD80" s="23"/>
      <c r="AE80" s="24" t="n">
        <f aca="false">IFERROR(__xludf.dummyfunction("""COMPUTED_VALUE"""),63.5)</f>
        <v>63.5</v>
      </c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customFormat="false" ht="18.65" hidden="false" customHeight="false" outlineLevel="0" collapsed="false">
      <c r="A81" s="13" t="n">
        <v>80</v>
      </c>
      <c r="B81" s="14" t="s">
        <v>184</v>
      </c>
      <c r="C81" s="15" t="s">
        <v>185</v>
      </c>
      <c r="D81" s="16" t="s">
        <v>186</v>
      </c>
      <c r="E81" s="16" t="s">
        <v>186</v>
      </c>
      <c r="F81" s="16" t="str">
        <f aca="false">REPLACE(E81, 1, 3, "")</f>
        <v>06</v>
      </c>
      <c r="G81" s="17" t="str">
        <f aca="true">IFERROR(VLOOKUP(B81,INDIRECT("'"&amp;F81&amp;"'!D3:D"),1,FALSE()), "Not found")</f>
        <v>464921</v>
      </c>
      <c r="H81" s="18" t="n">
        <f aca="true">INDIRECT("'"&amp;F81&amp;"'!D1")</f>
        <v>0</v>
      </c>
      <c r="I81" s="18" t="str">
        <f aca="false">IFERROR(__xludf.dummyfunction("REGEXEXTRACT(ADDRESS(ROW(), 24+$H81), ""[A-Z]+"")"),"X")</f>
        <v>X</v>
      </c>
      <c r="J81" s="18" t="str">
        <f aca="false">IFERROR(__xludf.dummyfunction("REGEXEXTRACT(ADDRESS(ROW(), 30+$H81), ""[A-Z]+"")"),"AD")</f>
        <v>AD</v>
      </c>
      <c r="K81" s="18" t="str">
        <f aca="false">IFERROR(__xludf.dummyfunction("REGEXEXTRACT(ADDRESS(ROW(), 36+$H81), ""[A-Z]+"")"),"AJ")</f>
        <v>AJ</v>
      </c>
      <c r="L81" s="18" t="str">
        <f aca="false">IFERROR(__xludf.dummyfunction("REGEXEXTRACT(ADDRESS(ROW(), 42+$H81), ""[A-Z]+"")"),"AP")</f>
        <v>AP</v>
      </c>
      <c r="M81" s="18" t="str">
        <f aca="false">IFERROR(__xludf.dummyfunction("REGEXEXTRACT(ADDRESS(ROW(), 48+$H81), ""[A-Z]+"")"),"AV")</f>
        <v>AV</v>
      </c>
      <c r="N81" s="18" t="str">
        <f aca="false">IFERROR(__xludf.dummyfunction("REGEXEXTRACT(ADDRESS(ROW(), 50+$H81), ""[A-Z]+"")"),"AX")</f>
        <v>AX</v>
      </c>
      <c r="O81" s="18" t="str">
        <f aca="false">IFERROR(__xludf.dummyfunction("REGEXEXTRACT(ADDRESS(ROW(), 51+$H81), ""[A-Z]+"")"),"AY")</f>
        <v>AY</v>
      </c>
      <c r="P81" s="18" t="str">
        <f aca="false">IFERROR(__xludf.dummyfunction("REGEXEXTRACT(ADDRESS(ROW(), 54+$H81), ""[A-Z]+"")"),"BB")</f>
        <v>BB</v>
      </c>
      <c r="Q81" s="18" t="str">
        <f aca="false">IFERROR(__xludf.dummyfunction("REGEXEXTRACT(ADDRESS(ROW(), 59+$H81), ""[A-Z]+"")"),"BG")</f>
        <v>BG</v>
      </c>
      <c r="R81" s="18" t="str">
        <f aca="false">IFERROR(__xludf.dummyfunction("REGEXEXTRACT(ADDRESS(ROW(), 60+$H81), ""[A-Z]+"")"),"BH")</f>
        <v>BH</v>
      </c>
      <c r="S81" s="18" t="str">
        <f aca="false">IFERROR(__xludf.dummyfunction("REGEXEXTRACT(ADDRESS(ROW(), 62+$H81), ""[A-Z]+"")"),"BJ")</f>
        <v>BJ</v>
      </c>
      <c r="T81" s="18" t="str">
        <f aca="false">IFERROR(__xludf.dummyfunction("REGEXEXTRACT(ADDRESS(ROW(), 63+$H81), ""[A-Z]+"")"),"BK")</f>
        <v>BK</v>
      </c>
      <c r="U81" s="19" t="n">
        <f aca="false">IFERROR(__xludf.dummyfunction("IFERROR(QUERY(INDIRECT(""'""&amp;F81&amp;""'!C3:""&amp;T81&amp;""""), ""SELECT ""&amp;I81&amp;"", ""&amp;J81&amp;"", ""&amp;K81&amp;"", ""&amp;L81&amp;"", ""&amp;M81&amp;"", ""&amp;N81&amp;"", ""&amp;O81&amp;"", ""&amp;P81&amp;"", ""&amp;Q81&amp;"", ""&amp;R81&amp;"", ""&amp;S81&amp;"" WHERE '""&amp;B81&amp;""' = D"", 0), """")"),9)</f>
        <v>9</v>
      </c>
      <c r="V81" s="22"/>
      <c r="W81" s="22"/>
      <c r="X81" s="22"/>
      <c r="Y81" s="22" t="n">
        <f aca="false">IFERROR(__xludf.dummyfunction("""COMPUTED_VALUE"""),0)</f>
        <v>0</v>
      </c>
      <c r="Z81" s="22" t="n">
        <f aca="false">IFERROR(__xludf.dummyfunction("""COMPUTED_VALUE"""),0)</f>
        <v>0</v>
      </c>
      <c r="AA81" s="22"/>
      <c r="AB81" s="22"/>
      <c r="AC81" s="22"/>
      <c r="AD81" s="23"/>
      <c r="AE81" s="24" t="n">
        <f aca="false">IFERROR(__xludf.dummyfunction("""COMPUTED_VALUE"""),9)</f>
        <v>9</v>
      </c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customFormat="false" ht="18.65" hidden="false" customHeight="false" outlineLevel="0" collapsed="false">
      <c r="A82" s="13" t="n">
        <v>81</v>
      </c>
      <c r="B82" s="14" t="s">
        <v>187</v>
      </c>
      <c r="C82" s="15" t="s">
        <v>188</v>
      </c>
      <c r="D82" s="16" t="s">
        <v>183</v>
      </c>
      <c r="E82" s="16" t="s">
        <v>183</v>
      </c>
      <c r="F82" s="16" t="str">
        <f aca="false">REPLACE(E82, 1, 3, "")</f>
        <v>14</v>
      </c>
      <c r="G82" s="17" t="str">
        <f aca="true">IFERROR(VLOOKUP(B82,INDIRECT("'"&amp;F82&amp;"'!D3:D"),1,FALSE()), "Not found")</f>
        <v>Not found</v>
      </c>
      <c r="H82" s="18" t="n">
        <f aca="true">INDIRECT("'"&amp;F82&amp;"'!D1")</f>
        <v>0</v>
      </c>
      <c r="I82" s="18" t="str">
        <f aca="false">IFERROR(__xludf.dummyfunction("REGEXEXTRACT(ADDRESS(ROW(), 24+$H82), ""[A-Z]+"")"),"X")</f>
        <v>X</v>
      </c>
      <c r="J82" s="18" t="str">
        <f aca="false">IFERROR(__xludf.dummyfunction("REGEXEXTRACT(ADDRESS(ROW(), 30+$H82), ""[A-Z]+"")"),"AD")</f>
        <v>AD</v>
      </c>
      <c r="K82" s="18" t="str">
        <f aca="false">IFERROR(__xludf.dummyfunction("REGEXEXTRACT(ADDRESS(ROW(), 36+$H82), ""[A-Z]+"")"),"AJ")</f>
        <v>AJ</v>
      </c>
      <c r="L82" s="18" t="str">
        <f aca="false">IFERROR(__xludf.dummyfunction("REGEXEXTRACT(ADDRESS(ROW(), 42+$H82), ""[A-Z]+"")"),"AP")</f>
        <v>AP</v>
      </c>
      <c r="M82" s="18" t="str">
        <f aca="false">IFERROR(__xludf.dummyfunction("REGEXEXTRACT(ADDRESS(ROW(), 48+$H82), ""[A-Z]+"")"),"AV")</f>
        <v>AV</v>
      </c>
      <c r="N82" s="18" t="str">
        <f aca="false">IFERROR(__xludf.dummyfunction("REGEXEXTRACT(ADDRESS(ROW(), 50+$H82), ""[A-Z]+"")"),"AX")</f>
        <v>AX</v>
      </c>
      <c r="O82" s="18" t="str">
        <f aca="false">IFERROR(__xludf.dummyfunction("REGEXEXTRACT(ADDRESS(ROW(), 51+$H82), ""[A-Z]+"")"),"AY")</f>
        <v>AY</v>
      </c>
      <c r="P82" s="18" t="str">
        <f aca="false">IFERROR(__xludf.dummyfunction("REGEXEXTRACT(ADDRESS(ROW(), 54+$H82), ""[A-Z]+"")"),"BB")</f>
        <v>BB</v>
      </c>
      <c r="Q82" s="18" t="str">
        <f aca="false">IFERROR(__xludf.dummyfunction("REGEXEXTRACT(ADDRESS(ROW(), 59+$H82), ""[A-Z]+"")"),"BG")</f>
        <v>BG</v>
      </c>
      <c r="R82" s="18" t="str">
        <f aca="false">IFERROR(__xludf.dummyfunction("REGEXEXTRACT(ADDRESS(ROW(), 60+$H82), ""[A-Z]+"")"),"BH")</f>
        <v>BH</v>
      </c>
      <c r="S82" s="18" t="str">
        <f aca="false">IFERROR(__xludf.dummyfunction("REGEXEXTRACT(ADDRESS(ROW(), 62+$H82), ""[A-Z]+"")"),"BJ")</f>
        <v>BJ</v>
      </c>
      <c r="T82" s="18" t="str">
        <f aca="false">IFERROR(__xludf.dummyfunction("REGEXEXTRACT(ADDRESS(ROW(), 63+$H82), ""[A-Z]+"")"),"BK")</f>
        <v>BK</v>
      </c>
      <c r="U82" s="19" t="n">
        <f aca="false">IFERROR(__xludf.dummyfunction("IFERROR(QUERY(INDIRECT(""'""&amp;F82&amp;""'!C3:""&amp;T82&amp;""""), ""SELECT ""&amp;I82&amp;"", ""&amp;J82&amp;"", ""&amp;K82&amp;"", ""&amp;L82&amp;"", ""&amp;M82&amp;"", ""&amp;N82&amp;"", ""&amp;O82&amp;"", ""&amp;P82&amp;"", ""&amp;Q82&amp;"", ""&amp;R82&amp;"", ""&amp;S82&amp;"" WHERE '""&amp;B82&amp;""' = D"", 0), """")"),10)</f>
        <v>10</v>
      </c>
      <c r="V82" s="22" t="n">
        <f aca="false">IFERROR(__xludf.dummyfunction("""COMPUTED_VALUE"""),9.5)</f>
        <v>9.5</v>
      </c>
      <c r="W82" s="22" t="n">
        <f aca="false">IFERROR(__xludf.dummyfunction("""COMPUTED_VALUE"""),7.5)</f>
        <v>7.5</v>
      </c>
      <c r="X82" s="22" t="n">
        <f aca="false">IFERROR(__xludf.dummyfunction("""COMPUTED_VALUE"""),6)</f>
        <v>6</v>
      </c>
      <c r="Y82" s="22" t="n">
        <f aca="false">IFERROR(__xludf.dummyfunction("""COMPUTED_VALUE"""),6)</f>
        <v>6</v>
      </c>
      <c r="Z82" s="22" t="n">
        <f aca="false">IFERROR(__xludf.dummyfunction("""COMPUTED_VALUE"""),0)</f>
        <v>0</v>
      </c>
      <c r="AA82" s="22"/>
      <c r="AB82" s="22" t="n">
        <f aca="false">IFERROR(__xludf.dummyfunction("""COMPUTED_VALUE"""),7)</f>
        <v>7</v>
      </c>
      <c r="AC82" s="22" t="n">
        <f aca="false">IFERROR(__xludf.dummyfunction("""COMPUTED_VALUE"""),0)</f>
        <v>0</v>
      </c>
      <c r="AD82" s="23"/>
      <c r="AE82" s="24" t="n">
        <f aca="false">IFERROR(__xludf.dummyfunction("""COMPUTED_VALUE"""),46)</f>
        <v>46</v>
      </c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customFormat="false" ht="18.65" hidden="false" customHeight="false" outlineLevel="0" collapsed="false">
      <c r="A83" s="13" t="n">
        <v>82</v>
      </c>
      <c r="B83" s="14" t="s">
        <v>189</v>
      </c>
      <c r="C83" s="15" t="s">
        <v>190</v>
      </c>
      <c r="D83" s="16" t="s">
        <v>191</v>
      </c>
      <c r="E83" s="16" t="s">
        <v>191</v>
      </c>
      <c r="F83" s="16" t="str">
        <f aca="false">REPLACE(E83, 1, 3, "")</f>
        <v>12</v>
      </c>
      <c r="G83" s="17" t="str">
        <f aca="true">IFERROR(VLOOKUP(B83,INDIRECT("'"&amp;F83&amp;"'!D3:D"),1,FALSE()), "Not found")</f>
        <v>471668</v>
      </c>
      <c r="H83" s="18" t="n">
        <f aca="true">INDIRECT("'"&amp;F83&amp;"'!D1")</f>
        <v>0</v>
      </c>
      <c r="I83" s="18" t="str">
        <f aca="false">IFERROR(__xludf.dummyfunction("REGEXEXTRACT(ADDRESS(ROW(), 24+$H83), ""[A-Z]+"")"),"X")</f>
        <v>X</v>
      </c>
      <c r="J83" s="18" t="str">
        <f aca="false">IFERROR(__xludf.dummyfunction("REGEXEXTRACT(ADDRESS(ROW(), 30+$H83), ""[A-Z]+"")"),"AD")</f>
        <v>AD</v>
      </c>
      <c r="K83" s="18" t="str">
        <f aca="false">IFERROR(__xludf.dummyfunction("REGEXEXTRACT(ADDRESS(ROW(), 36+$H83), ""[A-Z]+"")"),"AJ")</f>
        <v>AJ</v>
      </c>
      <c r="L83" s="18" t="str">
        <f aca="false">IFERROR(__xludf.dummyfunction("REGEXEXTRACT(ADDRESS(ROW(), 42+$H83), ""[A-Z]+"")"),"AP")</f>
        <v>AP</v>
      </c>
      <c r="M83" s="18" t="str">
        <f aca="false">IFERROR(__xludf.dummyfunction("REGEXEXTRACT(ADDRESS(ROW(), 48+$H83), ""[A-Z]+"")"),"AV")</f>
        <v>AV</v>
      </c>
      <c r="N83" s="18" t="str">
        <f aca="false">IFERROR(__xludf.dummyfunction("REGEXEXTRACT(ADDRESS(ROW(), 50+$H83), ""[A-Z]+"")"),"AX")</f>
        <v>AX</v>
      </c>
      <c r="O83" s="18" t="str">
        <f aca="false">IFERROR(__xludf.dummyfunction("REGEXEXTRACT(ADDRESS(ROW(), 51+$H83), ""[A-Z]+"")"),"AY")</f>
        <v>AY</v>
      </c>
      <c r="P83" s="18" t="str">
        <f aca="false">IFERROR(__xludf.dummyfunction("REGEXEXTRACT(ADDRESS(ROW(), 54+$H83), ""[A-Z]+"")"),"BB")</f>
        <v>BB</v>
      </c>
      <c r="Q83" s="18" t="str">
        <f aca="false">IFERROR(__xludf.dummyfunction("REGEXEXTRACT(ADDRESS(ROW(), 59+$H83), ""[A-Z]+"")"),"BG")</f>
        <v>BG</v>
      </c>
      <c r="R83" s="18" t="str">
        <f aca="false">IFERROR(__xludf.dummyfunction("REGEXEXTRACT(ADDRESS(ROW(), 60+$H83), ""[A-Z]+"")"),"BH")</f>
        <v>BH</v>
      </c>
      <c r="S83" s="18" t="str">
        <f aca="false">IFERROR(__xludf.dummyfunction("REGEXEXTRACT(ADDRESS(ROW(), 62+$H83), ""[A-Z]+"")"),"BJ")</f>
        <v>BJ</v>
      </c>
      <c r="T83" s="18" t="str">
        <f aca="false">IFERROR(__xludf.dummyfunction("REGEXEXTRACT(ADDRESS(ROW(), 63+$H83), ""[A-Z]+"")"),"BK")</f>
        <v>BK</v>
      </c>
      <c r="U83" s="19" t="str">
        <f aca="false">IFERROR(__xludf.dummyfunction("IFERROR(QUERY(INDIRECT(""'""&amp;F83&amp;""'!C3:""&amp;T83&amp;""""), ""SELECT ""&amp;I83&amp;"", ""&amp;J83&amp;"", ""&amp;K83&amp;"", ""&amp;L83&amp;"", ""&amp;M83&amp;"", ""&amp;N83&amp;"", ""&amp;O83&amp;"", ""&amp;P83&amp;"", ""&amp;Q83&amp;"", ""&amp;R83&amp;"", ""&amp;S83&amp;"" WHERE '""&amp;B83&amp;""' = D"", 0), """")"),"")</f>
        <v/>
      </c>
      <c r="V83" s="22"/>
      <c r="W83" s="22"/>
      <c r="X83" s="22"/>
      <c r="Y83" s="22" t="n">
        <f aca="false">IFERROR(__xludf.dummyfunction("""COMPUTED_VALUE"""),0)</f>
        <v>0</v>
      </c>
      <c r="Z83" s="22"/>
      <c r="AA83" s="22"/>
      <c r="AB83" s="22" t="n">
        <f aca="false">IFERROR(__xludf.dummyfunction("""COMPUTED_VALUE"""),0)</f>
        <v>0</v>
      </c>
      <c r="AC83" s="22"/>
      <c r="AD83" s="23"/>
      <c r="AE83" s="24" t="n">
        <f aca="false">IFERROR(__xludf.dummyfunction("""COMPUTED_VALUE"""),0)</f>
        <v>0</v>
      </c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customFormat="false" ht="18.65" hidden="false" customHeight="false" outlineLevel="0" collapsed="false">
      <c r="A84" s="13" t="n">
        <v>83</v>
      </c>
      <c r="B84" s="14" t="s">
        <v>192</v>
      </c>
      <c r="C84" s="15" t="s">
        <v>193</v>
      </c>
      <c r="D84" s="16" t="s">
        <v>194</v>
      </c>
      <c r="E84" s="16" t="s">
        <v>194</v>
      </c>
      <c r="F84" s="16" t="str">
        <f aca="false">REPLACE(E84, 1, 3, "")</f>
        <v>10</v>
      </c>
      <c r="G84" s="17" t="str">
        <f aca="true">IFERROR(VLOOKUP(B84,INDIRECT("'"&amp;F84&amp;"'!D3:D"),1,FALSE()), "Not found")</f>
        <v>464985</v>
      </c>
      <c r="H84" s="18" t="n">
        <f aca="true">INDIRECT("'"&amp;F84&amp;"'!D1")</f>
        <v>0</v>
      </c>
      <c r="I84" s="18" t="str">
        <f aca="false">IFERROR(__xludf.dummyfunction("REGEXEXTRACT(ADDRESS(ROW(), 24+$H84), ""[A-Z]+"")"),"X")</f>
        <v>X</v>
      </c>
      <c r="J84" s="18" t="str">
        <f aca="false">IFERROR(__xludf.dummyfunction("REGEXEXTRACT(ADDRESS(ROW(), 30+$H84), ""[A-Z]+"")"),"AD")</f>
        <v>AD</v>
      </c>
      <c r="K84" s="18" t="str">
        <f aca="false">IFERROR(__xludf.dummyfunction("REGEXEXTRACT(ADDRESS(ROW(), 36+$H84), ""[A-Z]+"")"),"AJ")</f>
        <v>AJ</v>
      </c>
      <c r="L84" s="18" t="str">
        <f aca="false">IFERROR(__xludf.dummyfunction("REGEXEXTRACT(ADDRESS(ROW(), 42+$H84), ""[A-Z]+"")"),"AP")</f>
        <v>AP</v>
      </c>
      <c r="M84" s="18" t="str">
        <f aca="false">IFERROR(__xludf.dummyfunction("REGEXEXTRACT(ADDRESS(ROW(), 48+$H84), ""[A-Z]+"")"),"AV")</f>
        <v>AV</v>
      </c>
      <c r="N84" s="18" t="str">
        <f aca="false">IFERROR(__xludf.dummyfunction("REGEXEXTRACT(ADDRESS(ROW(), 50+$H84), ""[A-Z]+"")"),"AX")</f>
        <v>AX</v>
      </c>
      <c r="O84" s="18" t="str">
        <f aca="false">IFERROR(__xludf.dummyfunction("REGEXEXTRACT(ADDRESS(ROW(), 51+$H84), ""[A-Z]+"")"),"AY")</f>
        <v>AY</v>
      </c>
      <c r="P84" s="18" t="str">
        <f aca="false">IFERROR(__xludf.dummyfunction("REGEXEXTRACT(ADDRESS(ROW(), 54+$H84), ""[A-Z]+"")"),"BB")</f>
        <v>BB</v>
      </c>
      <c r="Q84" s="18" t="str">
        <f aca="false">IFERROR(__xludf.dummyfunction("REGEXEXTRACT(ADDRESS(ROW(), 59+$H84), ""[A-Z]+"")"),"BG")</f>
        <v>BG</v>
      </c>
      <c r="R84" s="18" t="str">
        <f aca="false">IFERROR(__xludf.dummyfunction("REGEXEXTRACT(ADDRESS(ROW(), 60+$H84), ""[A-Z]+"")"),"BH")</f>
        <v>BH</v>
      </c>
      <c r="S84" s="18" t="str">
        <f aca="false">IFERROR(__xludf.dummyfunction("REGEXEXTRACT(ADDRESS(ROW(), 62+$H84), ""[A-Z]+"")"),"BJ")</f>
        <v>BJ</v>
      </c>
      <c r="T84" s="18" t="str">
        <f aca="false">IFERROR(__xludf.dummyfunction("REGEXEXTRACT(ADDRESS(ROW(), 63+$H84), ""[A-Z]+"")"),"BK")</f>
        <v>BK</v>
      </c>
      <c r="U84" s="19" t="n">
        <f aca="false">IFERROR(__xludf.dummyfunction("IFERROR(QUERY(INDIRECT(""'""&amp;F84&amp;""'!C3:""&amp;T84&amp;""""), ""SELECT ""&amp;I84&amp;"", ""&amp;J84&amp;"", ""&amp;K84&amp;"", ""&amp;L84&amp;"", ""&amp;M84&amp;"", ""&amp;N84&amp;"", ""&amp;O84&amp;"", ""&amp;P84&amp;"", ""&amp;Q84&amp;"", ""&amp;R84&amp;"", ""&amp;S84&amp;"" WHERE '""&amp;B84&amp;""' = D"", 0), """")"),0.1)</f>
        <v>0.1</v>
      </c>
      <c r="V84" s="22"/>
      <c r="W84" s="22"/>
      <c r="X84" s="22"/>
      <c r="Y84" s="22" t="n">
        <f aca="false">IFERROR(__xludf.dummyfunction("""COMPUTED_VALUE"""),0)</f>
        <v>0</v>
      </c>
      <c r="Z84" s="22"/>
      <c r="AA84" s="22"/>
      <c r="AB84" s="22" t="n">
        <f aca="false">IFERROR(__xludf.dummyfunction("""COMPUTED_VALUE"""),0.1)</f>
        <v>0.1</v>
      </c>
      <c r="AC84" s="22"/>
      <c r="AD84" s="23"/>
      <c r="AE84" s="24" t="n">
        <f aca="false">IFERROR(__xludf.dummyfunction("""COMPUTED_VALUE"""),0.2)</f>
        <v>0.2</v>
      </c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customFormat="false" ht="18.65" hidden="false" customHeight="false" outlineLevel="0" collapsed="false">
      <c r="A85" s="13" t="n">
        <v>84</v>
      </c>
      <c r="B85" s="14" t="s">
        <v>195</v>
      </c>
      <c r="C85" s="15" t="s">
        <v>196</v>
      </c>
      <c r="D85" s="16" t="s">
        <v>177</v>
      </c>
      <c r="E85" s="16" t="s">
        <v>177</v>
      </c>
      <c r="F85" s="16" t="str">
        <f aca="false">REPLACE(E85, 1, 3, "")</f>
        <v>19</v>
      </c>
      <c r="G85" s="17" t="str">
        <f aca="true">IFERROR(VLOOKUP(B85,INDIRECT("'"&amp;F85&amp;"'!D3:D"),1,FALSE()), "Not found")</f>
        <v>Not found</v>
      </c>
      <c r="H85" s="18" t="n">
        <f aca="true">INDIRECT("'"&amp;F85&amp;"'!D1")</f>
        <v>0</v>
      </c>
      <c r="I85" s="18" t="str">
        <f aca="false">IFERROR(__xludf.dummyfunction("REGEXEXTRACT(ADDRESS(ROW(), 24+$H85), ""[A-Z]+"")"),"X")</f>
        <v>X</v>
      </c>
      <c r="J85" s="18" t="str">
        <f aca="false">IFERROR(__xludf.dummyfunction("REGEXEXTRACT(ADDRESS(ROW(), 30+$H85), ""[A-Z]+"")"),"AD")</f>
        <v>AD</v>
      </c>
      <c r="K85" s="18" t="str">
        <f aca="false">IFERROR(__xludf.dummyfunction("REGEXEXTRACT(ADDRESS(ROW(), 36+$H85), ""[A-Z]+"")"),"AJ")</f>
        <v>AJ</v>
      </c>
      <c r="L85" s="18" t="str">
        <f aca="false">IFERROR(__xludf.dummyfunction("REGEXEXTRACT(ADDRESS(ROW(), 42+$H85), ""[A-Z]+"")"),"AP")</f>
        <v>AP</v>
      </c>
      <c r="M85" s="18" t="str">
        <f aca="false">IFERROR(__xludf.dummyfunction("REGEXEXTRACT(ADDRESS(ROW(), 48+$H85), ""[A-Z]+"")"),"AV")</f>
        <v>AV</v>
      </c>
      <c r="N85" s="18" t="str">
        <f aca="false">IFERROR(__xludf.dummyfunction("REGEXEXTRACT(ADDRESS(ROW(), 50+$H85), ""[A-Z]+"")"),"AX")</f>
        <v>AX</v>
      </c>
      <c r="O85" s="18" t="str">
        <f aca="false">IFERROR(__xludf.dummyfunction("REGEXEXTRACT(ADDRESS(ROW(), 51+$H85), ""[A-Z]+"")"),"AY")</f>
        <v>AY</v>
      </c>
      <c r="P85" s="18" t="str">
        <f aca="false">IFERROR(__xludf.dummyfunction("REGEXEXTRACT(ADDRESS(ROW(), 54+$H85), ""[A-Z]+"")"),"BB")</f>
        <v>BB</v>
      </c>
      <c r="Q85" s="18" t="str">
        <f aca="false">IFERROR(__xludf.dummyfunction("REGEXEXTRACT(ADDRESS(ROW(), 59+$H85), ""[A-Z]+"")"),"BG")</f>
        <v>BG</v>
      </c>
      <c r="R85" s="18" t="str">
        <f aca="false">IFERROR(__xludf.dummyfunction("REGEXEXTRACT(ADDRESS(ROW(), 60+$H85), ""[A-Z]+"")"),"BH")</f>
        <v>BH</v>
      </c>
      <c r="S85" s="18" t="str">
        <f aca="false">IFERROR(__xludf.dummyfunction("REGEXEXTRACT(ADDRESS(ROW(), 62+$H85), ""[A-Z]+"")"),"BJ")</f>
        <v>BJ</v>
      </c>
      <c r="T85" s="18" t="str">
        <f aca="false">IFERROR(__xludf.dummyfunction("REGEXEXTRACT(ADDRESS(ROW(), 63+$H85), ""[A-Z]+"")"),"BK")</f>
        <v>BK</v>
      </c>
      <c r="U85" s="19" t="n">
        <f aca="false">IFERROR(__xludf.dummyfunction("IFERROR(QUERY(INDIRECT(""'""&amp;F85&amp;""'!C3:""&amp;T85&amp;""""), ""SELECT ""&amp;I85&amp;"", ""&amp;J85&amp;"", ""&amp;K85&amp;"", ""&amp;L85&amp;"", ""&amp;M85&amp;"", ""&amp;N85&amp;"", ""&amp;O85&amp;"", ""&amp;P85&amp;"", ""&amp;Q85&amp;"", ""&amp;R85&amp;"", ""&amp;S85&amp;"" WHERE '""&amp;B85&amp;""' = D"", 0), """")"),10)</f>
        <v>10</v>
      </c>
      <c r="V85" s="22" t="n">
        <f aca="false">IFERROR(__xludf.dummyfunction("""COMPUTED_VALUE"""),10)</f>
        <v>10</v>
      </c>
      <c r="W85" s="22" t="n">
        <f aca="false">IFERROR(__xludf.dummyfunction("""COMPUTED_VALUE"""),10)</f>
        <v>10</v>
      </c>
      <c r="X85" s="22" t="n">
        <f aca="false">IFERROR(__xludf.dummyfunction("""COMPUTED_VALUE"""),10)</f>
        <v>10</v>
      </c>
      <c r="Y85" s="22" t="n">
        <f aca="false">IFERROR(__xludf.dummyfunction("""COMPUTED_VALUE"""),10)</f>
        <v>10</v>
      </c>
      <c r="Z85" s="22" t="n">
        <f aca="false">IFERROR(__xludf.dummyfunction("""COMPUTED_VALUE"""),2)</f>
        <v>2</v>
      </c>
      <c r="AA85" s="22"/>
      <c r="AB85" s="22" t="n">
        <f aca="false">IFERROR(__xludf.dummyfunction("""COMPUTED_VALUE"""),7)</f>
        <v>7</v>
      </c>
      <c r="AC85" s="22" t="n">
        <f aca="false">IFERROR(__xludf.dummyfunction("""COMPUTED_VALUE"""),0)</f>
        <v>0</v>
      </c>
      <c r="AD85" s="23"/>
      <c r="AE85" s="24" t="n">
        <f aca="false">IFERROR(__xludf.dummyfunction("""COMPUTED_VALUE"""),59)</f>
        <v>59</v>
      </c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</row>
    <row r="86" customFormat="false" ht="18.65" hidden="false" customHeight="false" outlineLevel="0" collapsed="false">
      <c r="A86" s="13" t="n">
        <v>85</v>
      </c>
      <c r="B86" s="14" t="s">
        <v>197</v>
      </c>
      <c r="C86" s="15" t="s">
        <v>198</v>
      </c>
      <c r="D86" s="16" t="s">
        <v>194</v>
      </c>
      <c r="E86" s="16" t="s">
        <v>194</v>
      </c>
      <c r="F86" s="16" t="str">
        <f aca="false">REPLACE(E86, 1, 3, "")</f>
        <v>10</v>
      </c>
      <c r="G86" s="17" t="str">
        <f aca="true">IFERROR(VLOOKUP(B86,INDIRECT("'"&amp;F86&amp;"'!D3:D"),1,FALSE()), "Not found")</f>
        <v>Not found</v>
      </c>
      <c r="H86" s="18" t="n">
        <f aca="true">INDIRECT("'"&amp;F86&amp;"'!D1")</f>
        <v>0</v>
      </c>
      <c r="I86" s="18" t="str">
        <f aca="false">IFERROR(__xludf.dummyfunction("REGEXEXTRACT(ADDRESS(ROW(), 24+$H86), ""[A-Z]+"")"),"X")</f>
        <v>X</v>
      </c>
      <c r="J86" s="18" t="str">
        <f aca="false">IFERROR(__xludf.dummyfunction("REGEXEXTRACT(ADDRESS(ROW(), 30+$H86), ""[A-Z]+"")"),"AD")</f>
        <v>AD</v>
      </c>
      <c r="K86" s="18" t="str">
        <f aca="false">IFERROR(__xludf.dummyfunction("REGEXEXTRACT(ADDRESS(ROW(), 36+$H86), ""[A-Z]+"")"),"AJ")</f>
        <v>AJ</v>
      </c>
      <c r="L86" s="18" t="str">
        <f aca="false">IFERROR(__xludf.dummyfunction("REGEXEXTRACT(ADDRESS(ROW(), 42+$H86), ""[A-Z]+"")"),"AP")</f>
        <v>AP</v>
      </c>
      <c r="M86" s="18" t="str">
        <f aca="false">IFERROR(__xludf.dummyfunction("REGEXEXTRACT(ADDRESS(ROW(), 48+$H86), ""[A-Z]+"")"),"AV")</f>
        <v>AV</v>
      </c>
      <c r="N86" s="18" t="str">
        <f aca="false">IFERROR(__xludf.dummyfunction("REGEXEXTRACT(ADDRESS(ROW(), 50+$H86), ""[A-Z]+"")"),"AX")</f>
        <v>AX</v>
      </c>
      <c r="O86" s="18" t="str">
        <f aca="false">IFERROR(__xludf.dummyfunction("REGEXEXTRACT(ADDRESS(ROW(), 51+$H86), ""[A-Z]+"")"),"AY")</f>
        <v>AY</v>
      </c>
      <c r="P86" s="18" t="str">
        <f aca="false">IFERROR(__xludf.dummyfunction("REGEXEXTRACT(ADDRESS(ROW(), 54+$H86), ""[A-Z]+"")"),"BB")</f>
        <v>BB</v>
      </c>
      <c r="Q86" s="18" t="str">
        <f aca="false">IFERROR(__xludf.dummyfunction("REGEXEXTRACT(ADDRESS(ROW(), 59+$H86), ""[A-Z]+"")"),"BG")</f>
        <v>BG</v>
      </c>
      <c r="R86" s="18" t="str">
        <f aca="false">IFERROR(__xludf.dummyfunction("REGEXEXTRACT(ADDRESS(ROW(), 60+$H86), ""[A-Z]+"")"),"BH")</f>
        <v>BH</v>
      </c>
      <c r="S86" s="18" t="str">
        <f aca="false">IFERROR(__xludf.dummyfunction("REGEXEXTRACT(ADDRESS(ROW(), 62+$H86), ""[A-Z]+"")"),"BJ")</f>
        <v>BJ</v>
      </c>
      <c r="T86" s="18" t="str">
        <f aca="false">IFERROR(__xludf.dummyfunction("REGEXEXTRACT(ADDRESS(ROW(), 63+$H86), ""[A-Z]+"")"),"BK")</f>
        <v>BK</v>
      </c>
      <c r="U86" s="19" t="n">
        <f aca="false">IFERROR(__xludf.dummyfunction("IFERROR(QUERY(INDIRECT(""'""&amp;F86&amp;""'!C3:""&amp;T86&amp;""""), ""SELECT ""&amp;I86&amp;"", ""&amp;J86&amp;"", ""&amp;K86&amp;"", ""&amp;L86&amp;"", ""&amp;M86&amp;"", ""&amp;N86&amp;"", ""&amp;O86&amp;"", ""&amp;P86&amp;"", ""&amp;Q86&amp;"", ""&amp;R86&amp;"", ""&amp;S86&amp;"" WHERE '""&amp;B86&amp;""' = D"", 0), """")"),7.5)</f>
        <v>7.5</v>
      </c>
      <c r="V86" s="22" t="n">
        <f aca="false">IFERROR(__xludf.dummyfunction("""COMPUTED_VALUE"""),8)</f>
        <v>8</v>
      </c>
      <c r="W86" s="22"/>
      <c r="X86" s="22"/>
      <c r="Y86" s="22" t="n">
        <f aca="false">IFERROR(__xludf.dummyfunction("""COMPUTED_VALUE"""),0)</f>
        <v>0</v>
      </c>
      <c r="Z86" s="22" t="n">
        <f aca="false">IFERROR(__xludf.dummyfunction("""COMPUTED_VALUE"""),0)</f>
        <v>0</v>
      </c>
      <c r="AA86" s="22"/>
      <c r="AB86" s="22" t="n">
        <f aca="false">IFERROR(__xludf.dummyfunction("""COMPUTED_VALUE"""),7)</f>
        <v>7</v>
      </c>
      <c r="AC86" s="22"/>
      <c r="AD86" s="23"/>
      <c r="AE86" s="24" t="n">
        <f aca="false">IFERROR(__xludf.dummyfunction("""COMPUTED_VALUE"""),22.5)</f>
        <v>22.5</v>
      </c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</row>
    <row r="87" customFormat="false" ht="18.65" hidden="false" customHeight="false" outlineLevel="0" collapsed="false">
      <c r="A87" s="13" t="n">
        <v>86</v>
      </c>
      <c r="B87" s="14" t="s">
        <v>199</v>
      </c>
      <c r="C87" s="15" t="s">
        <v>200</v>
      </c>
      <c r="D87" s="16" t="s">
        <v>186</v>
      </c>
      <c r="E87" s="16" t="s">
        <v>186</v>
      </c>
      <c r="F87" s="16" t="str">
        <f aca="false">REPLACE(E87, 1, 3, "")</f>
        <v>06</v>
      </c>
      <c r="G87" s="17" t="str">
        <f aca="true">IFERROR(VLOOKUP(B87,INDIRECT("'"&amp;F87&amp;"'!D3:D"),1,FALSE()), "Not found")</f>
        <v>Not found</v>
      </c>
      <c r="H87" s="18" t="n">
        <f aca="true">INDIRECT("'"&amp;F87&amp;"'!D1")</f>
        <v>0</v>
      </c>
      <c r="I87" s="18" t="str">
        <f aca="false">IFERROR(__xludf.dummyfunction("REGEXEXTRACT(ADDRESS(ROW(), 24+$H87), ""[A-Z]+"")"),"X")</f>
        <v>X</v>
      </c>
      <c r="J87" s="18" t="str">
        <f aca="false">IFERROR(__xludf.dummyfunction("REGEXEXTRACT(ADDRESS(ROW(), 30+$H87), ""[A-Z]+"")"),"AD")</f>
        <v>AD</v>
      </c>
      <c r="K87" s="18" t="str">
        <f aca="false">IFERROR(__xludf.dummyfunction("REGEXEXTRACT(ADDRESS(ROW(), 36+$H87), ""[A-Z]+"")"),"AJ")</f>
        <v>AJ</v>
      </c>
      <c r="L87" s="18" t="str">
        <f aca="false">IFERROR(__xludf.dummyfunction("REGEXEXTRACT(ADDRESS(ROW(), 42+$H87), ""[A-Z]+"")"),"AP")</f>
        <v>AP</v>
      </c>
      <c r="M87" s="18" t="str">
        <f aca="false">IFERROR(__xludf.dummyfunction("REGEXEXTRACT(ADDRESS(ROW(), 48+$H87), ""[A-Z]+"")"),"AV")</f>
        <v>AV</v>
      </c>
      <c r="N87" s="18" t="str">
        <f aca="false">IFERROR(__xludf.dummyfunction("REGEXEXTRACT(ADDRESS(ROW(), 50+$H87), ""[A-Z]+"")"),"AX")</f>
        <v>AX</v>
      </c>
      <c r="O87" s="18" t="str">
        <f aca="false">IFERROR(__xludf.dummyfunction("REGEXEXTRACT(ADDRESS(ROW(), 51+$H87), ""[A-Z]+"")"),"AY")</f>
        <v>AY</v>
      </c>
      <c r="P87" s="18" t="str">
        <f aca="false">IFERROR(__xludf.dummyfunction("REGEXEXTRACT(ADDRESS(ROW(), 54+$H87), ""[A-Z]+"")"),"BB")</f>
        <v>BB</v>
      </c>
      <c r="Q87" s="18" t="str">
        <f aca="false">IFERROR(__xludf.dummyfunction("REGEXEXTRACT(ADDRESS(ROW(), 59+$H87), ""[A-Z]+"")"),"BG")</f>
        <v>BG</v>
      </c>
      <c r="R87" s="18" t="str">
        <f aca="false">IFERROR(__xludf.dummyfunction("REGEXEXTRACT(ADDRESS(ROW(), 60+$H87), ""[A-Z]+"")"),"BH")</f>
        <v>BH</v>
      </c>
      <c r="S87" s="18" t="str">
        <f aca="false">IFERROR(__xludf.dummyfunction("REGEXEXTRACT(ADDRESS(ROW(), 62+$H87), ""[A-Z]+"")"),"BJ")</f>
        <v>BJ</v>
      </c>
      <c r="T87" s="18" t="str">
        <f aca="false">IFERROR(__xludf.dummyfunction("REGEXEXTRACT(ADDRESS(ROW(), 63+$H87), ""[A-Z]+"")"),"BK")</f>
        <v>BK</v>
      </c>
      <c r="U87" s="19" t="n">
        <f aca="false">IFERROR(__xludf.dummyfunction("IFERROR(QUERY(INDIRECT(""'""&amp;F87&amp;""'!C3:""&amp;T87&amp;""""), ""SELECT ""&amp;I87&amp;"", ""&amp;J87&amp;"", ""&amp;K87&amp;"", ""&amp;L87&amp;"", ""&amp;M87&amp;"", ""&amp;N87&amp;"", ""&amp;O87&amp;"", ""&amp;P87&amp;"", ""&amp;Q87&amp;"", ""&amp;R87&amp;"", ""&amp;S87&amp;"" WHERE '""&amp;B87&amp;""' = D"", 0), """")"),10)</f>
        <v>10</v>
      </c>
      <c r="V87" s="22" t="n">
        <f aca="false">IFERROR(__xludf.dummyfunction("""COMPUTED_VALUE"""),9)</f>
        <v>9</v>
      </c>
      <c r="W87" s="22" t="n">
        <f aca="false">IFERROR(__xludf.dummyfunction("""COMPUTED_VALUE"""),9)</f>
        <v>9</v>
      </c>
      <c r="X87" s="22" t="n">
        <f aca="false">IFERROR(__xludf.dummyfunction("""COMPUTED_VALUE"""),9)</f>
        <v>9</v>
      </c>
      <c r="Y87" s="22" t="n">
        <f aca="false">IFERROR(__xludf.dummyfunction("""COMPUTED_VALUE"""),10)</f>
        <v>10</v>
      </c>
      <c r="Z87" s="22" t="n">
        <f aca="false">IFERROR(__xludf.dummyfunction("""COMPUTED_VALUE"""),0)</f>
        <v>0</v>
      </c>
      <c r="AA87" s="22" t="n">
        <f aca="false">IFERROR(__xludf.dummyfunction("""COMPUTED_VALUE"""),1)</f>
        <v>1</v>
      </c>
      <c r="AB87" s="22" t="n">
        <f aca="false">IFERROR(__xludf.dummyfunction("""COMPUTED_VALUE"""),6)</f>
        <v>6</v>
      </c>
      <c r="AC87" s="22" t="n">
        <f aca="false">IFERROR(__xludf.dummyfunction("""COMPUTED_VALUE"""),26.1)</f>
        <v>26.1</v>
      </c>
      <c r="AD87" s="23" t="n">
        <f aca="false">IFERROR(__xludf.dummyfunction("""COMPUTED_VALUE"""),3)</f>
        <v>3</v>
      </c>
      <c r="AE87" s="24" t="n">
        <f aca="false">IFERROR(__xludf.dummyfunction("""COMPUTED_VALUE"""),83.1)</f>
        <v>83.1</v>
      </c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</row>
    <row r="88" customFormat="false" ht="18.65" hidden="false" customHeight="false" outlineLevel="0" collapsed="false">
      <c r="A88" s="13" t="n">
        <v>87</v>
      </c>
      <c r="B88" s="14" t="s">
        <v>201</v>
      </c>
      <c r="C88" s="15" t="s">
        <v>202</v>
      </c>
      <c r="D88" s="16" t="s">
        <v>180</v>
      </c>
      <c r="E88" s="16" t="s">
        <v>180</v>
      </c>
      <c r="F88" s="16" t="str">
        <f aca="false">REPLACE(E88, 1, 3, "")</f>
        <v>11</v>
      </c>
      <c r="G88" s="17" t="str">
        <f aca="true">IFERROR(VLOOKUP(B88,INDIRECT("'"&amp;F88&amp;"'!D3:D"),1,FALSE()), "Not found")</f>
        <v>Not found</v>
      </c>
      <c r="H88" s="18" t="n">
        <f aca="true">INDIRECT("'"&amp;F88&amp;"'!D1")</f>
        <v>0</v>
      </c>
      <c r="I88" s="18" t="str">
        <f aca="false">IFERROR(__xludf.dummyfunction("REGEXEXTRACT(ADDRESS(ROW(), 24+$H88), ""[A-Z]+"")"),"X")</f>
        <v>X</v>
      </c>
      <c r="J88" s="18" t="str">
        <f aca="false">IFERROR(__xludf.dummyfunction("REGEXEXTRACT(ADDRESS(ROW(), 30+$H88), ""[A-Z]+"")"),"AD")</f>
        <v>AD</v>
      </c>
      <c r="K88" s="18" t="str">
        <f aca="false">IFERROR(__xludf.dummyfunction("REGEXEXTRACT(ADDRESS(ROW(), 36+$H88), ""[A-Z]+"")"),"AJ")</f>
        <v>AJ</v>
      </c>
      <c r="L88" s="18" t="str">
        <f aca="false">IFERROR(__xludf.dummyfunction("REGEXEXTRACT(ADDRESS(ROW(), 42+$H88), ""[A-Z]+"")"),"AP")</f>
        <v>AP</v>
      </c>
      <c r="M88" s="18" t="str">
        <f aca="false">IFERROR(__xludf.dummyfunction("REGEXEXTRACT(ADDRESS(ROW(), 48+$H88), ""[A-Z]+"")"),"AV")</f>
        <v>AV</v>
      </c>
      <c r="N88" s="18" t="str">
        <f aca="false">IFERROR(__xludf.dummyfunction("REGEXEXTRACT(ADDRESS(ROW(), 50+$H88), ""[A-Z]+"")"),"AX")</f>
        <v>AX</v>
      </c>
      <c r="O88" s="18" t="str">
        <f aca="false">IFERROR(__xludf.dummyfunction("REGEXEXTRACT(ADDRESS(ROW(), 51+$H88), ""[A-Z]+"")"),"AY")</f>
        <v>AY</v>
      </c>
      <c r="P88" s="18" t="str">
        <f aca="false">IFERROR(__xludf.dummyfunction("REGEXEXTRACT(ADDRESS(ROW(), 54+$H88), ""[A-Z]+"")"),"BB")</f>
        <v>BB</v>
      </c>
      <c r="Q88" s="18" t="str">
        <f aca="false">IFERROR(__xludf.dummyfunction("REGEXEXTRACT(ADDRESS(ROW(), 59+$H88), ""[A-Z]+"")"),"BG")</f>
        <v>BG</v>
      </c>
      <c r="R88" s="18" t="str">
        <f aca="false">IFERROR(__xludf.dummyfunction("REGEXEXTRACT(ADDRESS(ROW(), 60+$H88), ""[A-Z]+"")"),"BH")</f>
        <v>BH</v>
      </c>
      <c r="S88" s="18" t="str">
        <f aca="false">IFERROR(__xludf.dummyfunction("REGEXEXTRACT(ADDRESS(ROW(), 62+$H88), ""[A-Z]+"")"),"BJ")</f>
        <v>BJ</v>
      </c>
      <c r="T88" s="18" t="str">
        <f aca="false">IFERROR(__xludf.dummyfunction("REGEXEXTRACT(ADDRESS(ROW(), 63+$H88), ""[A-Z]+"")"),"BK")</f>
        <v>BK</v>
      </c>
      <c r="U88" s="19" t="n">
        <f aca="false">IFERROR(__xludf.dummyfunction("IFERROR(QUERY(INDIRECT(""'""&amp;F88&amp;""'!C3:""&amp;T88&amp;""""), ""SELECT ""&amp;I88&amp;"", ""&amp;J88&amp;"", ""&amp;K88&amp;"", ""&amp;L88&amp;"", ""&amp;M88&amp;"", ""&amp;N88&amp;"", ""&amp;O88&amp;"", ""&amp;P88&amp;"", ""&amp;Q88&amp;"", ""&amp;R88&amp;"", ""&amp;S88&amp;"" WHERE '""&amp;B88&amp;""' = D"", 0), """")"),9)</f>
        <v>9</v>
      </c>
      <c r="V88" s="22" t="n">
        <f aca="false">IFERROR(__xludf.dummyfunction("""COMPUTED_VALUE"""),8)</f>
        <v>8</v>
      </c>
      <c r="W88" s="22" t="n">
        <f aca="false">IFERROR(__xludf.dummyfunction("""COMPUTED_VALUE"""),8)</f>
        <v>8</v>
      </c>
      <c r="X88" s="22" t="n">
        <f aca="false">IFERROR(__xludf.dummyfunction("""COMPUTED_VALUE"""),7)</f>
        <v>7</v>
      </c>
      <c r="Y88" s="22" t="n">
        <f aca="false">IFERROR(__xludf.dummyfunction("""COMPUTED_VALUE"""),0)</f>
        <v>0</v>
      </c>
      <c r="Z88" s="22" t="n">
        <f aca="false">IFERROR(__xludf.dummyfunction("""COMPUTED_VALUE"""),0)</f>
        <v>0</v>
      </c>
      <c r="AA88" s="22"/>
      <c r="AB88" s="22" t="n">
        <f aca="false">IFERROR(__xludf.dummyfunction("""COMPUTED_VALUE"""),6)</f>
        <v>6</v>
      </c>
      <c r="AC88" s="22"/>
      <c r="AD88" s="23"/>
      <c r="AE88" s="24" t="n">
        <f aca="false">IFERROR(__xludf.dummyfunction("""COMPUTED_VALUE"""),38)</f>
        <v>38</v>
      </c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</row>
    <row r="89" customFormat="false" ht="18.65" hidden="false" customHeight="false" outlineLevel="0" collapsed="false">
      <c r="A89" s="13" t="n">
        <v>88</v>
      </c>
      <c r="B89" s="14" t="s">
        <v>203</v>
      </c>
      <c r="C89" s="15" t="s">
        <v>204</v>
      </c>
      <c r="D89" s="16" t="s">
        <v>194</v>
      </c>
      <c r="E89" s="16" t="s">
        <v>194</v>
      </c>
      <c r="F89" s="16" t="str">
        <f aca="false">REPLACE(E89, 1, 3, "")</f>
        <v>10</v>
      </c>
      <c r="G89" s="17" t="str">
        <f aca="true">IFERROR(VLOOKUP(B89,INDIRECT("'"&amp;F89&amp;"'!D3:D"),1,FALSE()), "Not found")</f>
        <v>Not found</v>
      </c>
      <c r="H89" s="18" t="n">
        <f aca="true">INDIRECT("'"&amp;F89&amp;"'!D1")</f>
        <v>0</v>
      </c>
      <c r="I89" s="18" t="str">
        <f aca="false">IFERROR(__xludf.dummyfunction("REGEXEXTRACT(ADDRESS(ROW(), 24+$H89), ""[A-Z]+"")"),"X")</f>
        <v>X</v>
      </c>
      <c r="J89" s="18" t="str">
        <f aca="false">IFERROR(__xludf.dummyfunction("REGEXEXTRACT(ADDRESS(ROW(), 30+$H89), ""[A-Z]+"")"),"AD")</f>
        <v>AD</v>
      </c>
      <c r="K89" s="18" t="str">
        <f aca="false">IFERROR(__xludf.dummyfunction("REGEXEXTRACT(ADDRESS(ROW(), 36+$H89), ""[A-Z]+"")"),"AJ")</f>
        <v>AJ</v>
      </c>
      <c r="L89" s="18" t="str">
        <f aca="false">IFERROR(__xludf.dummyfunction("REGEXEXTRACT(ADDRESS(ROW(), 42+$H89), ""[A-Z]+"")"),"AP")</f>
        <v>AP</v>
      </c>
      <c r="M89" s="18" t="str">
        <f aca="false">IFERROR(__xludf.dummyfunction("REGEXEXTRACT(ADDRESS(ROW(), 48+$H89), ""[A-Z]+"")"),"AV")</f>
        <v>AV</v>
      </c>
      <c r="N89" s="18" t="str">
        <f aca="false">IFERROR(__xludf.dummyfunction("REGEXEXTRACT(ADDRESS(ROW(), 50+$H89), ""[A-Z]+"")"),"AX")</f>
        <v>AX</v>
      </c>
      <c r="O89" s="18" t="str">
        <f aca="false">IFERROR(__xludf.dummyfunction("REGEXEXTRACT(ADDRESS(ROW(), 51+$H89), ""[A-Z]+"")"),"AY")</f>
        <v>AY</v>
      </c>
      <c r="P89" s="18" t="str">
        <f aca="false">IFERROR(__xludf.dummyfunction("REGEXEXTRACT(ADDRESS(ROW(), 54+$H89), ""[A-Z]+"")"),"BB")</f>
        <v>BB</v>
      </c>
      <c r="Q89" s="18" t="str">
        <f aca="false">IFERROR(__xludf.dummyfunction("REGEXEXTRACT(ADDRESS(ROW(), 59+$H89), ""[A-Z]+"")"),"BG")</f>
        <v>BG</v>
      </c>
      <c r="R89" s="18" t="str">
        <f aca="false">IFERROR(__xludf.dummyfunction("REGEXEXTRACT(ADDRESS(ROW(), 60+$H89), ""[A-Z]+"")"),"BH")</f>
        <v>BH</v>
      </c>
      <c r="S89" s="18" t="str">
        <f aca="false">IFERROR(__xludf.dummyfunction("REGEXEXTRACT(ADDRESS(ROW(), 62+$H89), ""[A-Z]+"")"),"BJ")</f>
        <v>BJ</v>
      </c>
      <c r="T89" s="18" t="str">
        <f aca="false">IFERROR(__xludf.dummyfunction("REGEXEXTRACT(ADDRESS(ROW(), 63+$H89), ""[A-Z]+"")"),"BK")</f>
        <v>BK</v>
      </c>
      <c r="U89" s="19" t="n">
        <f aca="false">IFERROR(__xludf.dummyfunction("IFERROR(QUERY(INDIRECT(""'""&amp;F89&amp;""'!C3:""&amp;T89&amp;""""), ""SELECT ""&amp;I89&amp;"", ""&amp;J89&amp;"", ""&amp;K89&amp;"", ""&amp;L89&amp;"", ""&amp;M89&amp;"", ""&amp;N89&amp;"", ""&amp;O89&amp;"", ""&amp;P89&amp;"", ""&amp;Q89&amp;"", ""&amp;R89&amp;"", ""&amp;S89&amp;"" WHERE '""&amp;B89&amp;""' = D"", 0), """")"),8)</f>
        <v>8</v>
      </c>
      <c r="V89" s="22" t="n">
        <f aca="false">IFERROR(__xludf.dummyfunction("""COMPUTED_VALUE"""),9)</f>
        <v>9</v>
      </c>
      <c r="W89" s="22" t="n">
        <f aca="false">IFERROR(__xludf.dummyfunction("""COMPUTED_VALUE"""),6)</f>
        <v>6</v>
      </c>
      <c r="X89" s="22" t="n">
        <f aca="false">IFERROR(__xludf.dummyfunction("""COMPUTED_VALUE"""),7)</f>
        <v>7</v>
      </c>
      <c r="Y89" s="22" t="n">
        <f aca="false">IFERROR(__xludf.dummyfunction("""COMPUTED_VALUE"""),0)</f>
        <v>0</v>
      </c>
      <c r="Z89" s="22" t="n">
        <f aca="false">IFERROR(__xludf.dummyfunction("""COMPUTED_VALUE"""),0)</f>
        <v>0</v>
      </c>
      <c r="AA89" s="22"/>
      <c r="AB89" s="22" t="n">
        <f aca="false">IFERROR(__xludf.dummyfunction("""COMPUTED_VALUE"""),10)</f>
        <v>10</v>
      </c>
      <c r="AC89" s="22" t="n">
        <f aca="false">IFERROR(__xludf.dummyfunction("""COMPUTED_VALUE"""),0)</f>
        <v>0</v>
      </c>
      <c r="AD89" s="23"/>
      <c r="AE89" s="24" t="n">
        <f aca="false">IFERROR(__xludf.dummyfunction("""COMPUTED_VALUE"""),40)</f>
        <v>40</v>
      </c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</row>
    <row r="90" customFormat="false" ht="18.65" hidden="false" customHeight="false" outlineLevel="0" collapsed="false">
      <c r="A90" s="13" t="n">
        <v>89</v>
      </c>
      <c r="B90" s="14" t="s">
        <v>205</v>
      </c>
      <c r="C90" s="15" t="s">
        <v>206</v>
      </c>
      <c r="D90" s="16" t="s">
        <v>177</v>
      </c>
      <c r="E90" s="16" t="s">
        <v>177</v>
      </c>
      <c r="F90" s="16" t="str">
        <f aca="false">REPLACE(E90, 1, 3, "")</f>
        <v>19</v>
      </c>
      <c r="G90" s="17" t="str">
        <f aca="true">IFERROR(VLOOKUP(B90,INDIRECT("'"&amp;F90&amp;"'!D3:D"),1,FALSE()), "Not found")</f>
        <v>Not found</v>
      </c>
      <c r="H90" s="18" t="n">
        <f aca="true">INDIRECT("'"&amp;F90&amp;"'!D1")</f>
        <v>0</v>
      </c>
      <c r="I90" s="18" t="str">
        <f aca="false">IFERROR(__xludf.dummyfunction("REGEXEXTRACT(ADDRESS(ROW(), 24+$H90), ""[A-Z]+"")"),"X")</f>
        <v>X</v>
      </c>
      <c r="J90" s="18" t="str">
        <f aca="false">IFERROR(__xludf.dummyfunction("REGEXEXTRACT(ADDRESS(ROW(), 30+$H90), ""[A-Z]+"")"),"AD")</f>
        <v>AD</v>
      </c>
      <c r="K90" s="18" t="str">
        <f aca="false">IFERROR(__xludf.dummyfunction("REGEXEXTRACT(ADDRESS(ROW(), 36+$H90), ""[A-Z]+"")"),"AJ")</f>
        <v>AJ</v>
      </c>
      <c r="L90" s="18" t="str">
        <f aca="false">IFERROR(__xludf.dummyfunction("REGEXEXTRACT(ADDRESS(ROW(), 42+$H90), ""[A-Z]+"")"),"AP")</f>
        <v>AP</v>
      </c>
      <c r="M90" s="18" t="str">
        <f aca="false">IFERROR(__xludf.dummyfunction("REGEXEXTRACT(ADDRESS(ROW(), 48+$H90), ""[A-Z]+"")"),"AV")</f>
        <v>AV</v>
      </c>
      <c r="N90" s="18" t="str">
        <f aca="false">IFERROR(__xludf.dummyfunction("REGEXEXTRACT(ADDRESS(ROW(), 50+$H90), ""[A-Z]+"")"),"AX")</f>
        <v>AX</v>
      </c>
      <c r="O90" s="18" t="str">
        <f aca="false">IFERROR(__xludf.dummyfunction("REGEXEXTRACT(ADDRESS(ROW(), 51+$H90), ""[A-Z]+"")"),"AY")</f>
        <v>AY</v>
      </c>
      <c r="P90" s="18" t="str">
        <f aca="false">IFERROR(__xludf.dummyfunction("REGEXEXTRACT(ADDRESS(ROW(), 54+$H90), ""[A-Z]+"")"),"BB")</f>
        <v>BB</v>
      </c>
      <c r="Q90" s="18" t="str">
        <f aca="false">IFERROR(__xludf.dummyfunction("REGEXEXTRACT(ADDRESS(ROW(), 59+$H90), ""[A-Z]+"")"),"BG")</f>
        <v>BG</v>
      </c>
      <c r="R90" s="18" t="str">
        <f aca="false">IFERROR(__xludf.dummyfunction("REGEXEXTRACT(ADDRESS(ROW(), 60+$H90), ""[A-Z]+"")"),"BH")</f>
        <v>BH</v>
      </c>
      <c r="S90" s="18" t="str">
        <f aca="false">IFERROR(__xludf.dummyfunction("REGEXEXTRACT(ADDRESS(ROW(), 62+$H90), ""[A-Z]+"")"),"BJ")</f>
        <v>BJ</v>
      </c>
      <c r="T90" s="18" t="str">
        <f aca="false">IFERROR(__xludf.dummyfunction("REGEXEXTRACT(ADDRESS(ROW(), 63+$H90), ""[A-Z]+"")"),"BK")</f>
        <v>BK</v>
      </c>
      <c r="U90" s="19" t="n">
        <f aca="false">IFERROR(__xludf.dummyfunction("IFERROR(QUERY(INDIRECT(""'""&amp;F90&amp;""'!C3:""&amp;T90&amp;""""), ""SELECT ""&amp;I90&amp;"", ""&amp;J90&amp;"", ""&amp;K90&amp;"", ""&amp;L90&amp;"", ""&amp;M90&amp;"", ""&amp;N90&amp;"", ""&amp;O90&amp;"", ""&amp;P90&amp;"", ""&amp;Q90&amp;"", ""&amp;R90&amp;"", ""&amp;S90&amp;"" WHERE '""&amp;B90&amp;""' = D"", 0), """")"),10)</f>
        <v>10</v>
      </c>
      <c r="V90" s="22" t="n">
        <f aca="false">IFERROR(__xludf.dummyfunction("""COMPUTED_VALUE"""),10)</f>
        <v>10</v>
      </c>
      <c r="W90" s="22" t="n">
        <f aca="false">IFERROR(__xludf.dummyfunction("""COMPUTED_VALUE"""),10)</f>
        <v>10</v>
      </c>
      <c r="X90" s="22" t="n">
        <f aca="false">IFERROR(__xludf.dummyfunction("""COMPUTED_VALUE"""),10)</f>
        <v>10</v>
      </c>
      <c r="Y90" s="22" t="n">
        <f aca="false">IFERROR(__xludf.dummyfunction("""COMPUTED_VALUE"""),10)</f>
        <v>10</v>
      </c>
      <c r="Z90" s="22" t="n">
        <f aca="false">IFERROR(__xludf.dummyfunction("""COMPUTED_VALUE"""),0)</f>
        <v>0</v>
      </c>
      <c r="AA90" s="22" t="n">
        <f aca="false">IFERROR(__xludf.dummyfunction("""COMPUTED_VALUE"""),1)</f>
        <v>1</v>
      </c>
      <c r="AB90" s="22" t="n">
        <f aca="false">IFERROR(__xludf.dummyfunction("""COMPUTED_VALUE"""),6)</f>
        <v>6</v>
      </c>
      <c r="AC90" s="22" t="n">
        <f aca="false">IFERROR(__xludf.dummyfunction("""COMPUTED_VALUE"""),28)</f>
        <v>28</v>
      </c>
      <c r="AD90" s="23"/>
      <c r="AE90" s="24" t="n">
        <f aca="false">IFERROR(__xludf.dummyfunction("""COMPUTED_VALUE"""),85)</f>
        <v>85</v>
      </c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</row>
    <row r="91" customFormat="false" ht="18.65" hidden="false" customHeight="false" outlineLevel="0" collapsed="false">
      <c r="A91" s="13" t="n">
        <v>90</v>
      </c>
      <c r="B91" s="14" t="s">
        <v>207</v>
      </c>
      <c r="C91" s="15" t="s">
        <v>208</v>
      </c>
      <c r="D91" s="16" t="s">
        <v>186</v>
      </c>
      <c r="E91" s="16" t="s">
        <v>186</v>
      </c>
      <c r="F91" s="16" t="str">
        <f aca="false">REPLACE(E91, 1, 3, "")</f>
        <v>06</v>
      </c>
      <c r="G91" s="17" t="str">
        <f aca="true">IFERROR(VLOOKUP(B91,INDIRECT("'"&amp;F91&amp;"'!D3:D"),1,FALSE()), "Not found")</f>
        <v>Not found</v>
      </c>
      <c r="H91" s="18" t="n">
        <f aca="true">INDIRECT("'"&amp;F91&amp;"'!D1")</f>
        <v>0</v>
      </c>
      <c r="I91" s="18" t="str">
        <f aca="false">IFERROR(__xludf.dummyfunction("REGEXEXTRACT(ADDRESS(ROW(), 24+$H91), ""[A-Z]+"")"),"X")</f>
        <v>X</v>
      </c>
      <c r="J91" s="18" t="str">
        <f aca="false">IFERROR(__xludf.dummyfunction("REGEXEXTRACT(ADDRESS(ROW(), 30+$H91), ""[A-Z]+"")"),"AD")</f>
        <v>AD</v>
      </c>
      <c r="K91" s="18" t="str">
        <f aca="false">IFERROR(__xludf.dummyfunction("REGEXEXTRACT(ADDRESS(ROW(), 36+$H91), ""[A-Z]+"")"),"AJ")</f>
        <v>AJ</v>
      </c>
      <c r="L91" s="18" t="str">
        <f aca="false">IFERROR(__xludf.dummyfunction("REGEXEXTRACT(ADDRESS(ROW(), 42+$H91), ""[A-Z]+"")"),"AP")</f>
        <v>AP</v>
      </c>
      <c r="M91" s="18" t="str">
        <f aca="false">IFERROR(__xludf.dummyfunction("REGEXEXTRACT(ADDRESS(ROW(), 48+$H91), ""[A-Z]+"")"),"AV")</f>
        <v>AV</v>
      </c>
      <c r="N91" s="18" t="str">
        <f aca="false">IFERROR(__xludf.dummyfunction("REGEXEXTRACT(ADDRESS(ROW(), 50+$H91), ""[A-Z]+"")"),"AX")</f>
        <v>AX</v>
      </c>
      <c r="O91" s="18" t="str">
        <f aca="false">IFERROR(__xludf.dummyfunction("REGEXEXTRACT(ADDRESS(ROW(), 51+$H91), ""[A-Z]+"")"),"AY")</f>
        <v>AY</v>
      </c>
      <c r="P91" s="18" t="str">
        <f aca="false">IFERROR(__xludf.dummyfunction("REGEXEXTRACT(ADDRESS(ROW(), 54+$H91), ""[A-Z]+"")"),"BB")</f>
        <v>BB</v>
      </c>
      <c r="Q91" s="18" t="str">
        <f aca="false">IFERROR(__xludf.dummyfunction("REGEXEXTRACT(ADDRESS(ROW(), 59+$H91), ""[A-Z]+"")"),"BG")</f>
        <v>BG</v>
      </c>
      <c r="R91" s="18" t="str">
        <f aca="false">IFERROR(__xludf.dummyfunction("REGEXEXTRACT(ADDRESS(ROW(), 60+$H91), ""[A-Z]+"")"),"BH")</f>
        <v>BH</v>
      </c>
      <c r="S91" s="18" t="str">
        <f aca="false">IFERROR(__xludf.dummyfunction("REGEXEXTRACT(ADDRESS(ROW(), 62+$H91), ""[A-Z]+"")"),"BJ")</f>
        <v>BJ</v>
      </c>
      <c r="T91" s="18" t="str">
        <f aca="false">IFERROR(__xludf.dummyfunction("REGEXEXTRACT(ADDRESS(ROW(), 63+$H91), ""[A-Z]+"")"),"BK")</f>
        <v>BK</v>
      </c>
      <c r="U91" s="19" t="n">
        <f aca="false">IFERROR(__xludf.dummyfunction("IFERROR(QUERY(INDIRECT(""'""&amp;F91&amp;""'!C3:""&amp;T91&amp;""""), ""SELECT ""&amp;I91&amp;"", ""&amp;J91&amp;"", ""&amp;K91&amp;"", ""&amp;L91&amp;"", ""&amp;M91&amp;"", ""&amp;N91&amp;"", ""&amp;O91&amp;"", ""&amp;P91&amp;"", ""&amp;Q91&amp;"", ""&amp;R91&amp;"", ""&amp;S91&amp;"" WHERE '""&amp;B91&amp;""' = D"", 0), """")"),8.5)</f>
        <v>8.5</v>
      </c>
      <c r="V91" s="22" t="n">
        <f aca="false">IFERROR(__xludf.dummyfunction("""COMPUTED_VALUE"""),7)</f>
        <v>7</v>
      </c>
      <c r="W91" s="22" t="n">
        <f aca="false">IFERROR(__xludf.dummyfunction("""COMPUTED_VALUE"""),9)</f>
        <v>9</v>
      </c>
      <c r="X91" s="22" t="n">
        <f aca="false">IFERROR(__xludf.dummyfunction("""COMPUTED_VALUE"""),7)</f>
        <v>7</v>
      </c>
      <c r="Y91" s="22" t="n">
        <f aca="false">IFERROR(__xludf.dummyfunction("""COMPUTED_VALUE"""),0)</f>
        <v>0</v>
      </c>
      <c r="Z91" s="22"/>
      <c r="AA91" s="22"/>
      <c r="AB91" s="22" t="n">
        <f aca="false">IFERROR(__xludf.dummyfunction("""COMPUTED_VALUE"""),6)</f>
        <v>6</v>
      </c>
      <c r="AC91" s="22" t="n">
        <f aca="false">IFERROR(__xludf.dummyfunction("""COMPUTED_VALUE"""),25)</f>
        <v>25</v>
      </c>
      <c r="AD91" s="23"/>
      <c r="AE91" s="24" t="n">
        <f aca="false">IFERROR(__xludf.dummyfunction("""COMPUTED_VALUE"""),62.5)</f>
        <v>62.5</v>
      </c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</row>
    <row r="92" customFormat="false" ht="18.65" hidden="false" customHeight="false" outlineLevel="0" collapsed="false">
      <c r="A92" s="13" t="n">
        <v>91</v>
      </c>
      <c r="B92" s="14" t="s">
        <v>209</v>
      </c>
      <c r="C92" s="15" t="s">
        <v>210</v>
      </c>
      <c r="D92" s="16" t="s">
        <v>191</v>
      </c>
      <c r="E92" s="16" t="s">
        <v>191</v>
      </c>
      <c r="F92" s="16" t="str">
        <f aca="false">REPLACE(E92, 1, 3, "")</f>
        <v>12</v>
      </c>
      <c r="G92" s="17" t="str">
        <f aca="true">IFERROR(VLOOKUP(B92,INDIRECT("'"&amp;F92&amp;"'!D3:D"),1,FALSE()), "Not found")</f>
        <v>Not found</v>
      </c>
      <c r="H92" s="18" t="n">
        <f aca="true">INDIRECT("'"&amp;F92&amp;"'!D1")</f>
        <v>0</v>
      </c>
      <c r="I92" s="18" t="str">
        <f aca="false">IFERROR(__xludf.dummyfunction("REGEXEXTRACT(ADDRESS(ROW(), 24+$H92), ""[A-Z]+"")"),"X")</f>
        <v>X</v>
      </c>
      <c r="J92" s="18" t="str">
        <f aca="false">IFERROR(__xludf.dummyfunction("REGEXEXTRACT(ADDRESS(ROW(), 30+$H92), ""[A-Z]+"")"),"AD")</f>
        <v>AD</v>
      </c>
      <c r="K92" s="18" t="str">
        <f aca="false">IFERROR(__xludf.dummyfunction("REGEXEXTRACT(ADDRESS(ROW(), 36+$H92), ""[A-Z]+"")"),"AJ")</f>
        <v>AJ</v>
      </c>
      <c r="L92" s="18" t="str">
        <f aca="false">IFERROR(__xludf.dummyfunction("REGEXEXTRACT(ADDRESS(ROW(), 42+$H92), ""[A-Z]+"")"),"AP")</f>
        <v>AP</v>
      </c>
      <c r="M92" s="18" t="str">
        <f aca="false">IFERROR(__xludf.dummyfunction("REGEXEXTRACT(ADDRESS(ROW(), 48+$H92), ""[A-Z]+"")"),"AV")</f>
        <v>AV</v>
      </c>
      <c r="N92" s="18" t="str">
        <f aca="false">IFERROR(__xludf.dummyfunction("REGEXEXTRACT(ADDRESS(ROW(), 50+$H92), ""[A-Z]+"")"),"AX")</f>
        <v>AX</v>
      </c>
      <c r="O92" s="18" t="str">
        <f aca="false">IFERROR(__xludf.dummyfunction("REGEXEXTRACT(ADDRESS(ROW(), 51+$H92), ""[A-Z]+"")"),"AY")</f>
        <v>AY</v>
      </c>
      <c r="P92" s="18" t="str">
        <f aca="false">IFERROR(__xludf.dummyfunction("REGEXEXTRACT(ADDRESS(ROW(), 54+$H92), ""[A-Z]+"")"),"BB")</f>
        <v>BB</v>
      </c>
      <c r="Q92" s="18" t="str">
        <f aca="false">IFERROR(__xludf.dummyfunction("REGEXEXTRACT(ADDRESS(ROW(), 59+$H92), ""[A-Z]+"")"),"BG")</f>
        <v>BG</v>
      </c>
      <c r="R92" s="18" t="str">
        <f aca="false">IFERROR(__xludf.dummyfunction("REGEXEXTRACT(ADDRESS(ROW(), 60+$H92), ""[A-Z]+"")"),"BH")</f>
        <v>BH</v>
      </c>
      <c r="S92" s="18" t="str">
        <f aca="false">IFERROR(__xludf.dummyfunction("REGEXEXTRACT(ADDRESS(ROW(), 62+$H92), ""[A-Z]+"")"),"BJ")</f>
        <v>BJ</v>
      </c>
      <c r="T92" s="18" t="str">
        <f aca="false">IFERROR(__xludf.dummyfunction("REGEXEXTRACT(ADDRESS(ROW(), 63+$H92), ""[A-Z]+"")"),"BK")</f>
        <v>BK</v>
      </c>
      <c r="U92" s="19" t="n">
        <f aca="false">IFERROR(__xludf.dummyfunction("IFERROR(QUERY(INDIRECT(""'""&amp;F92&amp;""'!C3:""&amp;T92&amp;""""), ""SELECT ""&amp;I92&amp;"", ""&amp;J92&amp;"", ""&amp;K92&amp;"", ""&amp;L92&amp;"", ""&amp;M92&amp;"", ""&amp;N92&amp;"", ""&amp;O92&amp;"", ""&amp;P92&amp;"", ""&amp;Q92&amp;"", ""&amp;R92&amp;"", ""&amp;S92&amp;"" WHERE '""&amp;B92&amp;""' = D"", 0), """")"),10)</f>
        <v>10</v>
      </c>
      <c r="V92" s="22" t="n">
        <f aca="false">IFERROR(__xludf.dummyfunction("""COMPUTED_VALUE"""),10)</f>
        <v>10</v>
      </c>
      <c r="W92" s="22" t="n">
        <f aca="false">IFERROR(__xludf.dummyfunction("""COMPUTED_VALUE"""),10)</f>
        <v>10</v>
      </c>
      <c r="X92" s="22" t="n">
        <f aca="false">IFERROR(__xludf.dummyfunction("""COMPUTED_VALUE"""),10)</f>
        <v>10</v>
      </c>
      <c r="Y92" s="22" t="n">
        <f aca="false">IFERROR(__xludf.dummyfunction("""COMPUTED_VALUE"""),9)</f>
        <v>9</v>
      </c>
      <c r="Z92" s="22" t="n">
        <f aca="false">IFERROR(__xludf.dummyfunction("""COMPUTED_VALUE"""),1)</f>
        <v>1</v>
      </c>
      <c r="AA92" s="22" t="n">
        <f aca="false">IFERROR(__xludf.dummyfunction("""COMPUTED_VALUE"""),2)</f>
        <v>2</v>
      </c>
      <c r="AB92" s="22" t="n">
        <f aca="false">IFERROR(__xludf.dummyfunction("""COMPUTED_VALUE"""),9.5)</f>
        <v>9.5</v>
      </c>
      <c r="AC92" s="22" t="n">
        <f aca="false">IFERROR(__xludf.dummyfunction("""COMPUTED_VALUE"""),30)</f>
        <v>30</v>
      </c>
      <c r="AD92" s="23"/>
      <c r="AE92" s="24" t="n">
        <f aca="false">IFERROR(__xludf.dummyfunction("""COMPUTED_VALUE"""),91.5)</f>
        <v>91.5</v>
      </c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</row>
    <row r="93" customFormat="false" ht="18.65" hidden="false" customHeight="false" outlineLevel="0" collapsed="false">
      <c r="A93" s="13" t="n">
        <v>92</v>
      </c>
      <c r="B93" s="14" t="s">
        <v>211</v>
      </c>
      <c r="C93" s="15" t="s">
        <v>212</v>
      </c>
      <c r="D93" s="16" t="s">
        <v>213</v>
      </c>
      <c r="E93" s="16" t="s">
        <v>213</v>
      </c>
      <c r="F93" s="16" t="str">
        <f aca="false">REPLACE(E93, 1, 3, "")</f>
        <v>16</v>
      </c>
      <c r="G93" s="17" t="str">
        <f aca="true">IFERROR(VLOOKUP(B93,INDIRECT("'"&amp;F93&amp;"'!D3:D"),1,FALSE()), "Not found")</f>
        <v>465224</v>
      </c>
      <c r="H93" s="18" t="n">
        <f aca="true">INDIRECT("'"&amp;F93&amp;"'!D1")</f>
        <v>0</v>
      </c>
      <c r="I93" s="18" t="str">
        <f aca="false">IFERROR(__xludf.dummyfunction("REGEXEXTRACT(ADDRESS(ROW(), 24+$H93), ""[A-Z]+"")"),"X")</f>
        <v>X</v>
      </c>
      <c r="J93" s="18" t="str">
        <f aca="false">IFERROR(__xludf.dummyfunction("REGEXEXTRACT(ADDRESS(ROW(), 30+$H93), ""[A-Z]+"")"),"AD")</f>
        <v>AD</v>
      </c>
      <c r="K93" s="18" t="str">
        <f aca="false">IFERROR(__xludf.dummyfunction("REGEXEXTRACT(ADDRESS(ROW(), 36+$H93), ""[A-Z]+"")"),"AJ")</f>
        <v>AJ</v>
      </c>
      <c r="L93" s="18" t="str">
        <f aca="false">IFERROR(__xludf.dummyfunction("REGEXEXTRACT(ADDRESS(ROW(), 42+$H93), ""[A-Z]+"")"),"AP")</f>
        <v>AP</v>
      </c>
      <c r="M93" s="18" t="str">
        <f aca="false">IFERROR(__xludf.dummyfunction("REGEXEXTRACT(ADDRESS(ROW(), 48+$H93), ""[A-Z]+"")"),"AV")</f>
        <v>AV</v>
      </c>
      <c r="N93" s="18" t="str">
        <f aca="false">IFERROR(__xludf.dummyfunction("REGEXEXTRACT(ADDRESS(ROW(), 50+$H93), ""[A-Z]+"")"),"AX")</f>
        <v>AX</v>
      </c>
      <c r="O93" s="18" t="str">
        <f aca="false">IFERROR(__xludf.dummyfunction("REGEXEXTRACT(ADDRESS(ROW(), 51+$H93), ""[A-Z]+"")"),"AY")</f>
        <v>AY</v>
      </c>
      <c r="P93" s="18" t="str">
        <f aca="false">IFERROR(__xludf.dummyfunction("REGEXEXTRACT(ADDRESS(ROW(), 54+$H93), ""[A-Z]+"")"),"BB")</f>
        <v>BB</v>
      </c>
      <c r="Q93" s="18" t="str">
        <f aca="false">IFERROR(__xludf.dummyfunction("REGEXEXTRACT(ADDRESS(ROW(), 59+$H93), ""[A-Z]+"")"),"BG")</f>
        <v>BG</v>
      </c>
      <c r="R93" s="18" t="str">
        <f aca="false">IFERROR(__xludf.dummyfunction("REGEXEXTRACT(ADDRESS(ROW(), 60+$H93), ""[A-Z]+"")"),"BH")</f>
        <v>BH</v>
      </c>
      <c r="S93" s="18" t="str">
        <f aca="false">IFERROR(__xludf.dummyfunction("REGEXEXTRACT(ADDRESS(ROW(), 62+$H93), ""[A-Z]+"")"),"BJ")</f>
        <v>BJ</v>
      </c>
      <c r="T93" s="18" t="str">
        <f aca="false">IFERROR(__xludf.dummyfunction("REGEXEXTRACT(ADDRESS(ROW(), 63+$H93), ""[A-Z]+"")"),"BK")</f>
        <v>BK</v>
      </c>
      <c r="U93" s="19" t="n">
        <f aca="false">IFERROR(__xludf.dummyfunction("IFERROR(QUERY(INDIRECT(""'""&amp;F93&amp;""'!C3:""&amp;T93&amp;""""), ""SELECT ""&amp;I93&amp;"", ""&amp;J93&amp;"", ""&amp;K93&amp;"", ""&amp;L93&amp;"", ""&amp;M93&amp;"", ""&amp;N93&amp;"", ""&amp;O93&amp;"", ""&amp;P93&amp;"", ""&amp;Q93&amp;"", ""&amp;R93&amp;"", ""&amp;S93&amp;"" WHERE '""&amp;B93&amp;""' = D"", 0), """")"),8)</f>
        <v>8</v>
      </c>
      <c r="V93" s="22" t="n">
        <f aca="false">IFERROR(__xludf.dummyfunction("""COMPUTED_VALUE"""),7)</f>
        <v>7</v>
      </c>
      <c r="W93" s="22"/>
      <c r="X93" s="22"/>
      <c r="Y93" s="22" t="n">
        <f aca="false">IFERROR(__xludf.dummyfunction("""COMPUTED_VALUE"""),0)</f>
        <v>0</v>
      </c>
      <c r="Z93" s="22"/>
      <c r="AA93" s="22"/>
      <c r="AB93" s="22" t="n">
        <f aca="false">IFERROR(__xludf.dummyfunction("""COMPUTED_VALUE"""),6)</f>
        <v>6</v>
      </c>
      <c r="AC93" s="22"/>
      <c r="AD93" s="23"/>
      <c r="AE93" s="24" t="n">
        <f aca="false">IFERROR(__xludf.dummyfunction("""COMPUTED_VALUE"""),21)</f>
        <v>21</v>
      </c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</row>
    <row r="94" customFormat="false" ht="18.65" hidden="false" customHeight="false" outlineLevel="0" collapsed="false">
      <c r="A94" s="13" t="n">
        <v>93</v>
      </c>
      <c r="B94" s="14" t="s">
        <v>214</v>
      </c>
      <c r="C94" s="15" t="s">
        <v>215</v>
      </c>
      <c r="D94" s="16" t="s">
        <v>213</v>
      </c>
      <c r="E94" s="16" t="s">
        <v>213</v>
      </c>
      <c r="F94" s="16" t="str">
        <f aca="false">REPLACE(E94, 1, 3, "")</f>
        <v>16</v>
      </c>
      <c r="G94" s="17" t="str">
        <f aca="true">IFERROR(VLOOKUP(B94,INDIRECT("'"&amp;F94&amp;"'!D3:D"),1,FALSE()), "Not found")</f>
        <v>Not found</v>
      </c>
      <c r="H94" s="18" t="n">
        <f aca="true">INDIRECT("'"&amp;F94&amp;"'!D1")</f>
        <v>0</v>
      </c>
      <c r="I94" s="18" t="str">
        <f aca="false">IFERROR(__xludf.dummyfunction("REGEXEXTRACT(ADDRESS(ROW(), 24+$H94), ""[A-Z]+"")"),"X")</f>
        <v>X</v>
      </c>
      <c r="J94" s="18" t="str">
        <f aca="false">IFERROR(__xludf.dummyfunction("REGEXEXTRACT(ADDRESS(ROW(), 30+$H94), ""[A-Z]+"")"),"AD")</f>
        <v>AD</v>
      </c>
      <c r="K94" s="18" t="str">
        <f aca="false">IFERROR(__xludf.dummyfunction("REGEXEXTRACT(ADDRESS(ROW(), 36+$H94), ""[A-Z]+"")"),"AJ")</f>
        <v>AJ</v>
      </c>
      <c r="L94" s="18" t="str">
        <f aca="false">IFERROR(__xludf.dummyfunction("REGEXEXTRACT(ADDRESS(ROW(), 42+$H94), ""[A-Z]+"")"),"AP")</f>
        <v>AP</v>
      </c>
      <c r="M94" s="18" t="str">
        <f aca="false">IFERROR(__xludf.dummyfunction("REGEXEXTRACT(ADDRESS(ROW(), 48+$H94), ""[A-Z]+"")"),"AV")</f>
        <v>AV</v>
      </c>
      <c r="N94" s="18" t="str">
        <f aca="false">IFERROR(__xludf.dummyfunction("REGEXEXTRACT(ADDRESS(ROW(), 50+$H94), ""[A-Z]+"")"),"AX")</f>
        <v>AX</v>
      </c>
      <c r="O94" s="18" t="str">
        <f aca="false">IFERROR(__xludf.dummyfunction("REGEXEXTRACT(ADDRESS(ROW(), 51+$H94), ""[A-Z]+"")"),"AY")</f>
        <v>AY</v>
      </c>
      <c r="P94" s="18" t="str">
        <f aca="false">IFERROR(__xludf.dummyfunction("REGEXEXTRACT(ADDRESS(ROW(), 54+$H94), ""[A-Z]+"")"),"BB")</f>
        <v>BB</v>
      </c>
      <c r="Q94" s="18" t="str">
        <f aca="false">IFERROR(__xludf.dummyfunction("REGEXEXTRACT(ADDRESS(ROW(), 59+$H94), ""[A-Z]+"")"),"BG")</f>
        <v>BG</v>
      </c>
      <c r="R94" s="18" t="str">
        <f aca="false">IFERROR(__xludf.dummyfunction("REGEXEXTRACT(ADDRESS(ROW(), 60+$H94), ""[A-Z]+"")"),"BH")</f>
        <v>BH</v>
      </c>
      <c r="S94" s="18" t="str">
        <f aca="false">IFERROR(__xludf.dummyfunction("REGEXEXTRACT(ADDRESS(ROW(), 62+$H94), ""[A-Z]+"")"),"BJ")</f>
        <v>BJ</v>
      </c>
      <c r="T94" s="18" t="str">
        <f aca="false">IFERROR(__xludf.dummyfunction("REGEXEXTRACT(ADDRESS(ROW(), 63+$H94), ""[A-Z]+"")"),"BK")</f>
        <v>BK</v>
      </c>
      <c r="U94" s="19" t="n">
        <f aca="false">IFERROR(__xludf.dummyfunction("IFERROR(QUERY(INDIRECT(""'""&amp;F94&amp;""'!C3:""&amp;T94&amp;""""), ""SELECT ""&amp;I94&amp;"", ""&amp;J94&amp;"", ""&amp;K94&amp;"", ""&amp;L94&amp;"", ""&amp;M94&amp;"", ""&amp;N94&amp;"", ""&amp;O94&amp;"", ""&amp;P94&amp;"", ""&amp;Q94&amp;"", ""&amp;R94&amp;"", ""&amp;S94&amp;"" WHERE '""&amp;B94&amp;""' = D"", 0), """")"),10)</f>
        <v>10</v>
      </c>
      <c r="V94" s="22" t="n">
        <f aca="false">IFERROR(__xludf.dummyfunction("""COMPUTED_VALUE"""),9)</f>
        <v>9</v>
      </c>
      <c r="W94" s="22" t="n">
        <f aca="false">IFERROR(__xludf.dummyfunction("""COMPUTED_VALUE"""),10)</f>
        <v>10</v>
      </c>
      <c r="X94" s="22" t="n">
        <f aca="false">IFERROR(__xludf.dummyfunction("""COMPUTED_VALUE"""),10)</f>
        <v>10</v>
      </c>
      <c r="Y94" s="22" t="n">
        <f aca="false">IFERROR(__xludf.dummyfunction("""COMPUTED_VALUE"""),10)</f>
        <v>10</v>
      </c>
      <c r="Z94" s="22" t="n">
        <f aca="false">IFERROR(__xludf.dummyfunction("""COMPUTED_VALUE"""),1)</f>
        <v>1</v>
      </c>
      <c r="AA94" s="22" t="n">
        <f aca="false">IFERROR(__xludf.dummyfunction("""COMPUTED_VALUE"""),2)</f>
        <v>2</v>
      </c>
      <c r="AB94" s="22" t="n">
        <f aca="false">IFERROR(__xludf.dummyfunction("""COMPUTED_VALUE"""),10)</f>
        <v>10</v>
      </c>
      <c r="AC94" s="22" t="n">
        <f aca="false">IFERROR(__xludf.dummyfunction("""COMPUTED_VALUE"""),29)</f>
        <v>29</v>
      </c>
      <c r="AD94" s="23"/>
      <c r="AE94" s="24" t="n">
        <f aca="false">IFERROR(__xludf.dummyfunction("""COMPUTED_VALUE"""),91)</f>
        <v>91</v>
      </c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</row>
    <row r="95" customFormat="false" ht="18.65" hidden="false" customHeight="false" outlineLevel="0" collapsed="false">
      <c r="A95" s="13" t="n">
        <v>94</v>
      </c>
      <c r="B95" s="14" t="s">
        <v>216</v>
      </c>
      <c r="C95" s="15" t="s">
        <v>217</v>
      </c>
      <c r="D95" s="16" t="s">
        <v>218</v>
      </c>
      <c r="E95" s="16" t="s">
        <v>218</v>
      </c>
      <c r="F95" s="16" t="str">
        <f aca="false">REPLACE(E95, 1, 3, "")</f>
        <v>15</v>
      </c>
      <c r="G95" s="17" t="str">
        <f aca="true">IFERROR(VLOOKUP(B95,INDIRECT("'"&amp;F95&amp;"'!D3:D"),1,FALSE()), "Not found")</f>
        <v>465259</v>
      </c>
      <c r="H95" s="18" t="n">
        <f aca="true">INDIRECT("'"&amp;F95&amp;"'!D1")</f>
        <v>0</v>
      </c>
      <c r="I95" s="18" t="str">
        <f aca="false">IFERROR(__xludf.dummyfunction("REGEXEXTRACT(ADDRESS(ROW(), 24+$H95), ""[A-Z]+"")"),"X")</f>
        <v>X</v>
      </c>
      <c r="J95" s="18" t="str">
        <f aca="false">IFERROR(__xludf.dummyfunction("REGEXEXTRACT(ADDRESS(ROW(), 30+$H95), ""[A-Z]+"")"),"AD")</f>
        <v>AD</v>
      </c>
      <c r="K95" s="18" t="str">
        <f aca="false">IFERROR(__xludf.dummyfunction("REGEXEXTRACT(ADDRESS(ROW(), 36+$H95), ""[A-Z]+"")"),"AJ")</f>
        <v>AJ</v>
      </c>
      <c r="L95" s="18" t="str">
        <f aca="false">IFERROR(__xludf.dummyfunction("REGEXEXTRACT(ADDRESS(ROW(), 42+$H95), ""[A-Z]+"")"),"AP")</f>
        <v>AP</v>
      </c>
      <c r="M95" s="18" t="str">
        <f aca="false">IFERROR(__xludf.dummyfunction("REGEXEXTRACT(ADDRESS(ROW(), 48+$H95), ""[A-Z]+"")"),"AV")</f>
        <v>AV</v>
      </c>
      <c r="N95" s="18" t="str">
        <f aca="false">IFERROR(__xludf.dummyfunction("REGEXEXTRACT(ADDRESS(ROW(), 50+$H95), ""[A-Z]+"")"),"AX")</f>
        <v>AX</v>
      </c>
      <c r="O95" s="18" t="str">
        <f aca="false">IFERROR(__xludf.dummyfunction("REGEXEXTRACT(ADDRESS(ROW(), 51+$H95), ""[A-Z]+"")"),"AY")</f>
        <v>AY</v>
      </c>
      <c r="P95" s="18" t="str">
        <f aca="false">IFERROR(__xludf.dummyfunction("REGEXEXTRACT(ADDRESS(ROW(), 54+$H95), ""[A-Z]+"")"),"BB")</f>
        <v>BB</v>
      </c>
      <c r="Q95" s="18" t="str">
        <f aca="false">IFERROR(__xludf.dummyfunction("REGEXEXTRACT(ADDRESS(ROW(), 59+$H95), ""[A-Z]+"")"),"BG")</f>
        <v>BG</v>
      </c>
      <c r="R95" s="18" t="str">
        <f aca="false">IFERROR(__xludf.dummyfunction("REGEXEXTRACT(ADDRESS(ROW(), 60+$H95), ""[A-Z]+"")"),"BH")</f>
        <v>BH</v>
      </c>
      <c r="S95" s="18" t="str">
        <f aca="false">IFERROR(__xludf.dummyfunction("REGEXEXTRACT(ADDRESS(ROW(), 62+$H95), ""[A-Z]+"")"),"BJ")</f>
        <v>BJ</v>
      </c>
      <c r="T95" s="18" t="str">
        <f aca="false">IFERROR(__xludf.dummyfunction("REGEXEXTRACT(ADDRESS(ROW(), 63+$H95), ""[A-Z]+"")"),"BK")</f>
        <v>BK</v>
      </c>
      <c r="U95" s="19" t="n">
        <f aca="false">IFERROR(__xludf.dummyfunction("IFERROR(QUERY(INDIRECT(""'""&amp;F95&amp;""'!C3:""&amp;T95&amp;""""), ""SELECT ""&amp;I95&amp;"", ""&amp;J95&amp;"", ""&amp;K95&amp;"", ""&amp;L95&amp;"", ""&amp;M95&amp;"", ""&amp;N95&amp;"", ""&amp;O95&amp;"", ""&amp;P95&amp;"", ""&amp;Q95&amp;"", ""&amp;R95&amp;"", ""&amp;S95&amp;"" WHERE '""&amp;B95&amp;""' = D"", 0), """")"),9)</f>
        <v>9</v>
      </c>
      <c r="V95" s="22" t="n">
        <f aca="false">IFERROR(__xludf.dummyfunction("""COMPUTED_VALUE"""),9.8)</f>
        <v>9.8</v>
      </c>
      <c r="W95" s="22" t="n">
        <f aca="false">IFERROR(__xludf.dummyfunction("""COMPUTED_VALUE"""),8)</f>
        <v>8</v>
      </c>
      <c r="X95" s="22" t="n">
        <f aca="false">IFERROR(__xludf.dummyfunction("""COMPUTED_VALUE"""),9)</f>
        <v>9</v>
      </c>
      <c r="Y95" s="22" t="n">
        <f aca="false">IFERROR(__xludf.dummyfunction("""COMPUTED_VALUE"""),0)</f>
        <v>0</v>
      </c>
      <c r="Z95" s="22" t="n">
        <f aca="false">IFERROR(__xludf.dummyfunction("""COMPUTED_VALUE"""),2)</f>
        <v>2</v>
      </c>
      <c r="AA95" s="22" t="n">
        <f aca="false">IFERROR(__xludf.dummyfunction("""COMPUTED_VALUE"""),1)</f>
        <v>1</v>
      </c>
      <c r="AB95" s="22" t="n">
        <f aca="false">IFERROR(__xludf.dummyfunction("""COMPUTED_VALUE"""),9)</f>
        <v>9</v>
      </c>
      <c r="AC95" s="22" t="n">
        <f aca="false">IFERROR(__xludf.dummyfunction("""COMPUTED_VALUE"""),25)</f>
        <v>25</v>
      </c>
      <c r="AD95" s="23" t="n">
        <f aca="false">IFERROR(__xludf.dummyfunction("""COMPUTED_VALUE"""),2)</f>
        <v>2</v>
      </c>
      <c r="AE95" s="24" t="n">
        <f aca="false">IFERROR(__xludf.dummyfunction("""COMPUTED_VALUE"""),74.8)</f>
        <v>74.8</v>
      </c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</row>
    <row r="96" customFormat="false" ht="18.65" hidden="false" customHeight="false" outlineLevel="0" collapsed="false">
      <c r="A96" s="13" t="n">
        <v>95</v>
      </c>
      <c r="B96" s="14" t="s">
        <v>219</v>
      </c>
      <c r="C96" s="15" t="s">
        <v>220</v>
      </c>
      <c r="D96" s="16" t="s">
        <v>213</v>
      </c>
      <c r="E96" s="16" t="s">
        <v>213</v>
      </c>
      <c r="F96" s="16" t="str">
        <f aca="false">REPLACE(E96, 1, 3, "")</f>
        <v>16</v>
      </c>
      <c r="G96" s="17" t="str">
        <f aca="true">IFERROR(VLOOKUP(B96,INDIRECT("'"&amp;F96&amp;"'!D3:D"),1,FALSE()), "Not found")</f>
        <v>Not found</v>
      </c>
      <c r="H96" s="18" t="n">
        <f aca="true">INDIRECT("'"&amp;F96&amp;"'!D1")</f>
        <v>0</v>
      </c>
      <c r="I96" s="18" t="str">
        <f aca="false">IFERROR(__xludf.dummyfunction("REGEXEXTRACT(ADDRESS(ROW(), 24+$H96), ""[A-Z]+"")"),"X")</f>
        <v>X</v>
      </c>
      <c r="J96" s="18" t="str">
        <f aca="false">IFERROR(__xludf.dummyfunction("REGEXEXTRACT(ADDRESS(ROW(), 30+$H96), ""[A-Z]+"")"),"AD")</f>
        <v>AD</v>
      </c>
      <c r="K96" s="18" t="str">
        <f aca="false">IFERROR(__xludf.dummyfunction("REGEXEXTRACT(ADDRESS(ROW(), 36+$H96), ""[A-Z]+"")"),"AJ")</f>
        <v>AJ</v>
      </c>
      <c r="L96" s="18" t="str">
        <f aca="false">IFERROR(__xludf.dummyfunction("REGEXEXTRACT(ADDRESS(ROW(), 42+$H96), ""[A-Z]+"")"),"AP")</f>
        <v>AP</v>
      </c>
      <c r="M96" s="18" t="str">
        <f aca="false">IFERROR(__xludf.dummyfunction("REGEXEXTRACT(ADDRESS(ROW(), 48+$H96), ""[A-Z]+"")"),"AV")</f>
        <v>AV</v>
      </c>
      <c r="N96" s="18" t="str">
        <f aca="false">IFERROR(__xludf.dummyfunction("REGEXEXTRACT(ADDRESS(ROW(), 50+$H96), ""[A-Z]+"")"),"AX")</f>
        <v>AX</v>
      </c>
      <c r="O96" s="18" t="str">
        <f aca="false">IFERROR(__xludf.dummyfunction("REGEXEXTRACT(ADDRESS(ROW(), 51+$H96), ""[A-Z]+"")"),"AY")</f>
        <v>AY</v>
      </c>
      <c r="P96" s="18" t="str">
        <f aca="false">IFERROR(__xludf.dummyfunction("REGEXEXTRACT(ADDRESS(ROW(), 54+$H96), ""[A-Z]+"")"),"BB")</f>
        <v>BB</v>
      </c>
      <c r="Q96" s="18" t="str">
        <f aca="false">IFERROR(__xludf.dummyfunction("REGEXEXTRACT(ADDRESS(ROW(), 59+$H96), ""[A-Z]+"")"),"BG")</f>
        <v>BG</v>
      </c>
      <c r="R96" s="18" t="str">
        <f aca="false">IFERROR(__xludf.dummyfunction("REGEXEXTRACT(ADDRESS(ROW(), 60+$H96), ""[A-Z]+"")"),"BH")</f>
        <v>BH</v>
      </c>
      <c r="S96" s="18" t="str">
        <f aca="false">IFERROR(__xludf.dummyfunction("REGEXEXTRACT(ADDRESS(ROW(), 62+$H96), ""[A-Z]+"")"),"BJ")</f>
        <v>BJ</v>
      </c>
      <c r="T96" s="18" t="str">
        <f aca="false">IFERROR(__xludf.dummyfunction("REGEXEXTRACT(ADDRESS(ROW(), 63+$H96), ""[A-Z]+"")"),"BK")</f>
        <v>BK</v>
      </c>
      <c r="U96" s="19" t="n">
        <f aca="false">IFERROR(__xludf.dummyfunction("IFERROR(QUERY(INDIRECT(""'""&amp;F96&amp;""'!C3:""&amp;T96&amp;""""), ""SELECT ""&amp;I96&amp;"", ""&amp;J96&amp;"", ""&amp;K96&amp;"", ""&amp;L96&amp;"", ""&amp;M96&amp;"", ""&amp;N96&amp;"", ""&amp;O96&amp;"", ""&amp;P96&amp;"", ""&amp;Q96&amp;"", ""&amp;R96&amp;"", ""&amp;S96&amp;"" WHERE '""&amp;B96&amp;""' = D"", 0), """")"),9.5)</f>
        <v>9.5</v>
      </c>
      <c r="V96" s="22" t="n">
        <f aca="false">IFERROR(__xludf.dummyfunction("""COMPUTED_VALUE"""),10)</f>
        <v>10</v>
      </c>
      <c r="W96" s="22"/>
      <c r="X96" s="22"/>
      <c r="Y96" s="22" t="n">
        <f aca="false">IFERROR(__xludf.dummyfunction("""COMPUTED_VALUE"""),0)</f>
        <v>0</v>
      </c>
      <c r="Z96" s="22"/>
      <c r="AA96" s="22"/>
      <c r="AB96" s="22"/>
      <c r="AC96" s="22"/>
      <c r="AD96" s="23"/>
      <c r="AE96" s="24" t="n">
        <f aca="false">IFERROR(__xludf.dummyfunction("""COMPUTED_VALUE"""),19.5)</f>
        <v>19.5</v>
      </c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</row>
    <row r="97" customFormat="false" ht="18.65" hidden="false" customHeight="false" outlineLevel="0" collapsed="false">
      <c r="A97" s="13" t="n">
        <v>96</v>
      </c>
      <c r="B97" s="14" t="s">
        <v>221</v>
      </c>
      <c r="C97" s="15" t="s">
        <v>222</v>
      </c>
      <c r="D97" s="16" t="s">
        <v>223</v>
      </c>
      <c r="E97" s="16" t="s">
        <v>223</v>
      </c>
      <c r="F97" s="16" t="str">
        <f aca="false">REPLACE(E97, 1, 3, "")</f>
        <v>17</v>
      </c>
      <c r="G97" s="17" t="str">
        <f aca="true">IFERROR(VLOOKUP(B97,INDIRECT("'"&amp;F97&amp;"'!D3:D"),1,FALSE()), "Not found")</f>
        <v>465294</v>
      </c>
      <c r="H97" s="18" t="n">
        <f aca="true">INDIRECT("'"&amp;F97&amp;"'!D1")</f>
        <v>0</v>
      </c>
      <c r="I97" s="18" t="str">
        <f aca="false">IFERROR(__xludf.dummyfunction("REGEXEXTRACT(ADDRESS(ROW(), 24+$H97), ""[A-Z]+"")"),"X")</f>
        <v>X</v>
      </c>
      <c r="J97" s="18" t="str">
        <f aca="false">IFERROR(__xludf.dummyfunction("REGEXEXTRACT(ADDRESS(ROW(), 30+$H97), ""[A-Z]+"")"),"AD")</f>
        <v>AD</v>
      </c>
      <c r="K97" s="18" t="str">
        <f aca="false">IFERROR(__xludf.dummyfunction("REGEXEXTRACT(ADDRESS(ROW(), 36+$H97), ""[A-Z]+"")"),"AJ")</f>
        <v>AJ</v>
      </c>
      <c r="L97" s="18" t="str">
        <f aca="false">IFERROR(__xludf.dummyfunction("REGEXEXTRACT(ADDRESS(ROW(), 42+$H97), ""[A-Z]+"")"),"AP")</f>
        <v>AP</v>
      </c>
      <c r="M97" s="18" t="str">
        <f aca="false">IFERROR(__xludf.dummyfunction("REGEXEXTRACT(ADDRESS(ROW(), 48+$H97), ""[A-Z]+"")"),"AV")</f>
        <v>AV</v>
      </c>
      <c r="N97" s="18" t="str">
        <f aca="false">IFERROR(__xludf.dummyfunction("REGEXEXTRACT(ADDRESS(ROW(), 50+$H97), ""[A-Z]+"")"),"AX")</f>
        <v>AX</v>
      </c>
      <c r="O97" s="18" t="str">
        <f aca="false">IFERROR(__xludf.dummyfunction("REGEXEXTRACT(ADDRESS(ROW(), 51+$H97), ""[A-Z]+"")"),"AY")</f>
        <v>AY</v>
      </c>
      <c r="P97" s="18" t="str">
        <f aca="false">IFERROR(__xludf.dummyfunction("REGEXEXTRACT(ADDRESS(ROW(), 54+$H97), ""[A-Z]+"")"),"BB")</f>
        <v>BB</v>
      </c>
      <c r="Q97" s="18" t="str">
        <f aca="false">IFERROR(__xludf.dummyfunction("REGEXEXTRACT(ADDRESS(ROW(), 59+$H97), ""[A-Z]+"")"),"BG")</f>
        <v>BG</v>
      </c>
      <c r="R97" s="18" t="str">
        <f aca="false">IFERROR(__xludf.dummyfunction("REGEXEXTRACT(ADDRESS(ROW(), 60+$H97), ""[A-Z]+"")"),"BH")</f>
        <v>BH</v>
      </c>
      <c r="S97" s="18" t="str">
        <f aca="false">IFERROR(__xludf.dummyfunction("REGEXEXTRACT(ADDRESS(ROW(), 62+$H97), ""[A-Z]+"")"),"BJ")</f>
        <v>BJ</v>
      </c>
      <c r="T97" s="18" t="str">
        <f aca="false">IFERROR(__xludf.dummyfunction("REGEXEXTRACT(ADDRESS(ROW(), 63+$H97), ""[A-Z]+"")"),"BK")</f>
        <v>BK</v>
      </c>
      <c r="U97" s="19" t="n">
        <f aca="false">IFERROR(__xludf.dummyfunction("IFERROR(QUERY(INDIRECT(""'""&amp;F97&amp;""'!C3:""&amp;T97&amp;""""), ""SELECT ""&amp;I97&amp;"", ""&amp;J97&amp;"", ""&amp;K97&amp;"", ""&amp;L97&amp;"", ""&amp;M97&amp;"", ""&amp;N97&amp;"", ""&amp;O97&amp;"", ""&amp;P97&amp;"", ""&amp;Q97&amp;"", ""&amp;R97&amp;"", ""&amp;S97&amp;"" WHERE '""&amp;B97&amp;""' = D"", 0), """")"),9.5)</f>
        <v>9.5</v>
      </c>
      <c r="V97" s="22" t="n">
        <f aca="false">IFERROR(__xludf.dummyfunction("""COMPUTED_VALUE"""),8.9)</f>
        <v>8.9</v>
      </c>
      <c r="W97" s="22" t="n">
        <f aca="false">IFERROR(__xludf.dummyfunction("""COMPUTED_VALUE"""),8)</f>
        <v>8</v>
      </c>
      <c r="X97" s="22" t="n">
        <f aca="false">IFERROR(__xludf.dummyfunction("""COMPUTED_VALUE"""),8.6)</f>
        <v>8.6</v>
      </c>
      <c r="Y97" s="22" t="n">
        <f aca="false">IFERROR(__xludf.dummyfunction("""COMPUTED_VALUE"""),0)</f>
        <v>0</v>
      </c>
      <c r="Z97" s="22"/>
      <c r="AA97" s="22"/>
      <c r="AB97" s="22" t="n">
        <f aca="false">IFERROR(__xludf.dummyfunction("""COMPUTED_VALUE"""),10)</f>
        <v>10</v>
      </c>
      <c r="AC97" s="22" t="n">
        <f aca="false">IFERROR(__xludf.dummyfunction("""COMPUTED_VALUE"""),0)</f>
        <v>0</v>
      </c>
      <c r="AD97" s="23"/>
      <c r="AE97" s="24" t="n">
        <f aca="false">IFERROR(__xludf.dummyfunction("""COMPUTED_VALUE"""),45)</f>
        <v>45</v>
      </c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</row>
    <row r="98" customFormat="false" ht="18.65" hidden="false" customHeight="false" outlineLevel="0" collapsed="false">
      <c r="A98" s="13" t="n">
        <v>97</v>
      </c>
      <c r="B98" s="14" t="s">
        <v>224</v>
      </c>
      <c r="C98" s="15" t="s">
        <v>225</v>
      </c>
      <c r="D98" s="16" t="s">
        <v>194</v>
      </c>
      <c r="E98" s="16" t="s">
        <v>194</v>
      </c>
      <c r="F98" s="16" t="str">
        <f aca="false">REPLACE(E98, 1, 3, "")</f>
        <v>10</v>
      </c>
      <c r="G98" s="17" t="str">
        <f aca="true">IFERROR(VLOOKUP(B98,INDIRECT("'"&amp;F98&amp;"'!D3:D"),1,FALSE()), "Not found")</f>
        <v>Not found</v>
      </c>
      <c r="H98" s="18" t="n">
        <f aca="true">INDIRECT("'"&amp;F98&amp;"'!D1")</f>
        <v>0</v>
      </c>
      <c r="I98" s="18" t="str">
        <f aca="false">IFERROR(__xludf.dummyfunction("REGEXEXTRACT(ADDRESS(ROW(), 24+$H98), ""[A-Z]+"")"),"X")</f>
        <v>X</v>
      </c>
      <c r="J98" s="18" t="str">
        <f aca="false">IFERROR(__xludf.dummyfunction("REGEXEXTRACT(ADDRESS(ROW(), 30+$H98), ""[A-Z]+"")"),"AD")</f>
        <v>AD</v>
      </c>
      <c r="K98" s="18" t="str">
        <f aca="false">IFERROR(__xludf.dummyfunction("REGEXEXTRACT(ADDRESS(ROW(), 36+$H98), ""[A-Z]+"")"),"AJ")</f>
        <v>AJ</v>
      </c>
      <c r="L98" s="18" t="str">
        <f aca="false">IFERROR(__xludf.dummyfunction("REGEXEXTRACT(ADDRESS(ROW(), 42+$H98), ""[A-Z]+"")"),"AP")</f>
        <v>AP</v>
      </c>
      <c r="M98" s="18" t="str">
        <f aca="false">IFERROR(__xludf.dummyfunction("REGEXEXTRACT(ADDRESS(ROW(), 48+$H98), ""[A-Z]+"")"),"AV")</f>
        <v>AV</v>
      </c>
      <c r="N98" s="18" t="str">
        <f aca="false">IFERROR(__xludf.dummyfunction("REGEXEXTRACT(ADDRESS(ROW(), 50+$H98), ""[A-Z]+"")"),"AX")</f>
        <v>AX</v>
      </c>
      <c r="O98" s="18" t="str">
        <f aca="false">IFERROR(__xludf.dummyfunction("REGEXEXTRACT(ADDRESS(ROW(), 51+$H98), ""[A-Z]+"")"),"AY")</f>
        <v>AY</v>
      </c>
      <c r="P98" s="18" t="str">
        <f aca="false">IFERROR(__xludf.dummyfunction("REGEXEXTRACT(ADDRESS(ROW(), 54+$H98), ""[A-Z]+"")"),"BB")</f>
        <v>BB</v>
      </c>
      <c r="Q98" s="18" t="str">
        <f aca="false">IFERROR(__xludf.dummyfunction("REGEXEXTRACT(ADDRESS(ROW(), 59+$H98), ""[A-Z]+"")"),"BG")</f>
        <v>BG</v>
      </c>
      <c r="R98" s="18" t="str">
        <f aca="false">IFERROR(__xludf.dummyfunction("REGEXEXTRACT(ADDRESS(ROW(), 60+$H98), ""[A-Z]+"")"),"BH")</f>
        <v>BH</v>
      </c>
      <c r="S98" s="18" t="str">
        <f aca="false">IFERROR(__xludf.dummyfunction("REGEXEXTRACT(ADDRESS(ROW(), 62+$H98), ""[A-Z]+"")"),"BJ")</f>
        <v>BJ</v>
      </c>
      <c r="T98" s="18" t="str">
        <f aca="false">IFERROR(__xludf.dummyfunction("REGEXEXTRACT(ADDRESS(ROW(), 63+$H98), ""[A-Z]+"")"),"BK")</f>
        <v>BK</v>
      </c>
      <c r="U98" s="19" t="n">
        <f aca="false">IFERROR(__xludf.dummyfunction("IFERROR(QUERY(INDIRECT(""'""&amp;F98&amp;""'!C3:""&amp;T98&amp;""""), ""SELECT ""&amp;I98&amp;"", ""&amp;J98&amp;"", ""&amp;K98&amp;"", ""&amp;L98&amp;"", ""&amp;M98&amp;"", ""&amp;N98&amp;"", ""&amp;O98&amp;"", ""&amp;P98&amp;"", ""&amp;Q98&amp;"", ""&amp;R98&amp;"", ""&amp;S98&amp;"" WHERE '""&amp;B98&amp;""' = D"", 0), """")"),7)</f>
        <v>7</v>
      </c>
      <c r="V98" s="22" t="n">
        <f aca="false">IFERROR(__xludf.dummyfunction("""COMPUTED_VALUE"""),6)</f>
        <v>6</v>
      </c>
      <c r="W98" s="22"/>
      <c r="X98" s="22"/>
      <c r="Y98" s="22" t="n">
        <f aca="false">IFERROR(__xludf.dummyfunction("""COMPUTED_VALUE"""),0)</f>
        <v>0</v>
      </c>
      <c r="Z98" s="22"/>
      <c r="AA98" s="22"/>
      <c r="AB98" s="22" t="n">
        <f aca="false">IFERROR(__xludf.dummyfunction("""COMPUTED_VALUE"""),0.1)</f>
        <v>0.1</v>
      </c>
      <c r="AC98" s="22"/>
      <c r="AD98" s="23"/>
      <c r="AE98" s="24" t="n">
        <f aca="false">IFERROR(__xludf.dummyfunction("""COMPUTED_VALUE"""),13.1)</f>
        <v>13.1</v>
      </c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</row>
    <row r="99" customFormat="false" ht="18.65" hidden="false" customHeight="false" outlineLevel="0" collapsed="false">
      <c r="A99" s="13" t="n">
        <v>98</v>
      </c>
      <c r="B99" s="14" t="s">
        <v>226</v>
      </c>
      <c r="C99" s="15" t="s">
        <v>227</v>
      </c>
      <c r="D99" s="16" t="s">
        <v>177</v>
      </c>
      <c r="E99" s="16" t="s">
        <v>177</v>
      </c>
      <c r="F99" s="16" t="str">
        <f aca="false">REPLACE(E99, 1, 3, "")</f>
        <v>19</v>
      </c>
      <c r="G99" s="17" t="str">
        <f aca="true">IFERROR(VLOOKUP(B99,INDIRECT("'"&amp;F99&amp;"'!D3:D"),1,FALSE()), "Not found")</f>
        <v>Not found</v>
      </c>
      <c r="H99" s="18" t="n">
        <f aca="true">INDIRECT("'"&amp;F99&amp;"'!D1")</f>
        <v>0</v>
      </c>
      <c r="I99" s="18" t="str">
        <f aca="false">IFERROR(__xludf.dummyfunction("REGEXEXTRACT(ADDRESS(ROW(), 24+$H99), ""[A-Z]+"")"),"X")</f>
        <v>X</v>
      </c>
      <c r="J99" s="18" t="str">
        <f aca="false">IFERROR(__xludf.dummyfunction("REGEXEXTRACT(ADDRESS(ROW(), 30+$H99), ""[A-Z]+"")"),"AD")</f>
        <v>AD</v>
      </c>
      <c r="K99" s="18" t="str">
        <f aca="false">IFERROR(__xludf.dummyfunction("REGEXEXTRACT(ADDRESS(ROW(), 36+$H99), ""[A-Z]+"")"),"AJ")</f>
        <v>AJ</v>
      </c>
      <c r="L99" s="18" t="str">
        <f aca="false">IFERROR(__xludf.dummyfunction("REGEXEXTRACT(ADDRESS(ROW(), 42+$H99), ""[A-Z]+"")"),"AP")</f>
        <v>AP</v>
      </c>
      <c r="M99" s="18" t="str">
        <f aca="false">IFERROR(__xludf.dummyfunction("REGEXEXTRACT(ADDRESS(ROW(), 48+$H99), ""[A-Z]+"")"),"AV")</f>
        <v>AV</v>
      </c>
      <c r="N99" s="18" t="str">
        <f aca="false">IFERROR(__xludf.dummyfunction("REGEXEXTRACT(ADDRESS(ROW(), 50+$H99), ""[A-Z]+"")"),"AX")</f>
        <v>AX</v>
      </c>
      <c r="O99" s="18" t="str">
        <f aca="false">IFERROR(__xludf.dummyfunction("REGEXEXTRACT(ADDRESS(ROW(), 51+$H99), ""[A-Z]+"")"),"AY")</f>
        <v>AY</v>
      </c>
      <c r="P99" s="18" t="str">
        <f aca="false">IFERROR(__xludf.dummyfunction("REGEXEXTRACT(ADDRESS(ROW(), 54+$H99), ""[A-Z]+"")"),"BB")</f>
        <v>BB</v>
      </c>
      <c r="Q99" s="18" t="str">
        <f aca="false">IFERROR(__xludf.dummyfunction("REGEXEXTRACT(ADDRESS(ROW(), 59+$H99), ""[A-Z]+"")"),"BG")</f>
        <v>BG</v>
      </c>
      <c r="R99" s="18" t="str">
        <f aca="false">IFERROR(__xludf.dummyfunction("REGEXEXTRACT(ADDRESS(ROW(), 60+$H99), ""[A-Z]+"")"),"BH")</f>
        <v>BH</v>
      </c>
      <c r="S99" s="18" t="str">
        <f aca="false">IFERROR(__xludf.dummyfunction("REGEXEXTRACT(ADDRESS(ROW(), 62+$H99), ""[A-Z]+"")"),"BJ")</f>
        <v>BJ</v>
      </c>
      <c r="T99" s="18" t="str">
        <f aca="false">IFERROR(__xludf.dummyfunction("REGEXEXTRACT(ADDRESS(ROW(), 63+$H99), ""[A-Z]+"")"),"BK")</f>
        <v>BK</v>
      </c>
      <c r="U99" s="19" t="n">
        <f aca="false">IFERROR(__xludf.dummyfunction("IFERROR(QUERY(INDIRECT(""'""&amp;F99&amp;""'!C3:""&amp;T99&amp;""""), ""SELECT ""&amp;I99&amp;"", ""&amp;J99&amp;"", ""&amp;K99&amp;"", ""&amp;L99&amp;"", ""&amp;M99&amp;"", ""&amp;N99&amp;"", ""&amp;O99&amp;"", ""&amp;P99&amp;"", ""&amp;Q99&amp;"", ""&amp;R99&amp;"", ""&amp;S99&amp;"" WHERE '""&amp;B99&amp;""' = D"", 0), """")"),9)</f>
        <v>9</v>
      </c>
      <c r="V99" s="22" t="n">
        <f aca="false">IFERROR(__xludf.dummyfunction("""COMPUTED_VALUE"""),10)</f>
        <v>10</v>
      </c>
      <c r="W99" s="22" t="n">
        <f aca="false">IFERROR(__xludf.dummyfunction("""COMPUTED_VALUE"""),10)</f>
        <v>10</v>
      </c>
      <c r="X99" s="22" t="n">
        <f aca="false">IFERROR(__xludf.dummyfunction("""COMPUTED_VALUE"""),9)</f>
        <v>9</v>
      </c>
      <c r="Y99" s="22" t="n">
        <f aca="false">IFERROR(__xludf.dummyfunction("""COMPUTED_VALUE"""),0)</f>
        <v>0</v>
      </c>
      <c r="Z99" s="22"/>
      <c r="AA99" s="22"/>
      <c r="AB99" s="22" t="n">
        <f aca="false">IFERROR(__xludf.dummyfunction("""COMPUTED_VALUE"""),6)</f>
        <v>6</v>
      </c>
      <c r="AC99" s="22" t="n">
        <f aca="false">IFERROR(__xludf.dummyfunction("""COMPUTED_VALUE"""),0)</f>
        <v>0</v>
      </c>
      <c r="AD99" s="23"/>
      <c r="AE99" s="24" t="n">
        <f aca="false">IFERROR(__xludf.dummyfunction("""COMPUTED_VALUE"""),44)</f>
        <v>44</v>
      </c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</row>
    <row r="100" customFormat="false" ht="18.65" hidden="false" customHeight="false" outlineLevel="0" collapsed="false">
      <c r="A100" s="13" t="n">
        <v>99</v>
      </c>
      <c r="B100" s="14" t="s">
        <v>228</v>
      </c>
      <c r="C100" s="15" t="s">
        <v>229</v>
      </c>
      <c r="D100" s="16" t="s">
        <v>183</v>
      </c>
      <c r="E100" s="16" t="s">
        <v>183</v>
      </c>
      <c r="F100" s="16" t="str">
        <f aca="false">REPLACE(E100, 1, 3, "")</f>
        <v>14</v>
      </c>
      <c r="G100" s="17" t="str">
        <f aca="true">IFERROR(VLOOKUP(B100,INDIRECT("'"&amp;F100&amp;"'!D3:D"),1,FALSE()), "Not found")</f>
        <v>Not found</v>
      </c>
      <c r="H100" s="18" t="n">
        <f aca="true">INDIRECT("'"&amp;F100&amp;"'!D1")</f>
        <v>0</v>
      </c>
      <c r="I100" s="18" t="str">
        <f aca="false">IFERROR(__xludf.dummyfunction("REGEXEXTRACT(ADDRESS(ROW(), 24+$H100), ""[A-Z]+"")"),"X")</f>
        <v>X</v>
      </c>
      <c r="J100" s="18" t="str">
        <f aca="false">IFERROR(__xludf.dummyfunction("REGEXEXTRACT(ADDRESS(ROW(), 30+$H100), ""[A-Z]+"")"),"AD")</f>
        <v>AD</v>
      </c>
      <c r="K100" s="18" t="str">
        <f aca="false">IFERROR(__xludf.dummyfunction("REGEXEXTRACT(ADDRESS(ROW(), 36+$H100), ""[A-Z]+"")"),"AJ")</f>
        <v>AJ</v>
      </c>
      <c r="L100" s="18" t="str">
        <f aca="false">IFERROR(__xludf.dummyfunction("REGEXEXTRACT(ADDRESS(ROW(), 42+$H100), ""[A-Z]+"")"),"AP")</f>
        <v>AP</v>
      </c>
      <c r="M100" s="18" t="str">
        <f aca="false">IFERROR(__xludf.dummyfunction("REGEXEXTRACT(ADDRESS(ROW(), 48+$H100), ""[A-Z]+"")"),"AV")</f>
        <v>AV</v>
      </c>
      <c r="N100" s="18" t="str">
        <f aca="false">IFERROR(__xludf.dummyfunction("REGEXEXTRACT(ADDRESS(ROW(), 50+$H100), ""[A-Z]+"")"),"AX")</f>
        <v>AX</v>
      </c>
      <c r="O100" s="18" t="str">
        <f aca="false">IFERROR(__xludf.dummyfunction("REGEXEXTRACT(ADDRESS(ROW(), 51+$H100), ""[A-Z]+"")"),"AY")</f>
        <v>AY</v>
      </c>
      <c r="P100" s="18" t="str">
        <f aca="false">IFERROR(__xludf.dummyfunction("REGEXEXTRACT(ADDRESS(ROW(), 54+$H100), ""[A-Z]+"")"),"BB")</f>
        <v>BB</v>
      </c>
      <c r="Q100" s="18" t="str">
        <f aca="false">IFERROR(__xludf.dummyfunction("REGEXEXTRACT(ADDRESS(ROW(), 59+$H100), ""[A-Z]+"")"),"BG")</f>
        <v>BG</v>
      </c>
      <c r="R100" s="18" t="str">
        <f aca="false">IFERROR(__xludf.dummyfunction("REGEXEXTRACT(ADDRESS(ROW(), 60+$H100), ""[A-Z]+"")"),"BH")</f>
        <v>BH</v>
      </c>
      <c r="S100" s="18" t="str">
        <f aca="false">IFERROR(__xludf.dummyfunction("REGEXEXTRACT(ADDRESS(ROW(), 62+$H100), ""[A-Z]+"")"),"BJ")</f>
        <v>BJ</v>
      </c>
      <c r="T100" s="18" t="str">
        <f aca="false">IFERROR(__xludf.dummyfunction("REGEXEXTRACT(ADDRESS(ROW(), 63+$H100), ""[A-Z]+"")"),"BK")</f>
        <v>BK</v>
      </c>
      <c r="U100" s="19" t="n">
        <f aca="false">IFERROR(__xludf.dummyfunction("IFERROR(QUERY(INDIRECT(""'""&amp;F100&amp;""'!C3:""&amp;T100&amp;""""), ""SELECT ""&amp;I100&amp;"", ""&amp;J100&amp;"", ""&amp;K100&amp;"", ""&amp;L100&amp;"", ""&amp;M100&amp;"", ""&amp;N100&amp;"", ""&amp;O100&amp;"", ""&amp;P100&amp;"", ""&amp;Q100&amp;"", ""&amp;R100&amp;"", ""&amp;S100&amp;"" WHERE '""&amp;B100&amp;""' = D"", 0), """")"),7)</f>
        <v>7</v>
      </c>
      <c r="V100" s="22" t="n">
        <f aca="false">IFERROR(__xludf.dummyfunction("""COMPUTED_VALUE"""),7)</f>
        <v>7</v>
      </c>
      <c r="W100" s="22" t="n">
        <f aca="false">IFERROR(__xludf.dummyfunction("""COMPUTED_VALUE"""),6)</f>
        <v>6</v>
      </c>
      <c r="X100" s="22" t="n">
        <f aca="false">IFERROR(__xludf.dummyfunction("""COMPUTED_VALUE"""),6)</f>
        <v>6</v>
      </c>
      <c r="Y100" s="22" t="n">
        <f aca="false">IFERROR(__xludf.dummyfunction("""COMPUTED_VALUE"""),0)</f>
        <v>0</v>
      </c>
      <c r="Z100" s="22"/>
      <c r="AA100" s="22"/>
      <c r="AB100" s="22" t="n">
        <f aca="false">IFERROR(__xludf.dummyfunction("""COMPUTED_VALUE"""),6)</f>
        <v>6</v>
      </c>
      <c r="AC100" s="22" t="n">
        <f aca="false">IFERROR(__xludf.dummyfunction("""COMPUTED_VALUE"""),28)</f>
        <v>28</v>
      </c>
      <c r="AD100" s="23"/>
      <c r="AE100" s="24" t="n">
        <f aca="false">IFERROR(__xludf.dummyfunction("""COMPUTED_VALUE"""),60)</f>
        <v>60</v>
      </c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</row>
    <row r="101" customFormat="false" ht="18.65" hidden="false" customHeight="false" outlineLevel="0" collapsed="false">
      <c r="A101" s="13" t="n">
        <v>100</v>
      </c>
      <c r="B101" s="14" t="s">
        <v>230</v>
      </c>
      <c r="C101" s="15" t="s">
        <v>231</v>
      </c>
      <c r="D101" s="16" t="s">
        <v>232</v>
      </c>
      <c r="E101" s="16" t="s">
        <v>232</v>
      </c>
      <c r="F101" s="16" t="str">
        <f aca="false">REPLACE(E101, 1, 3, "")</f>
        <v>09</v>
      </c>
      <c r="G101" s="17" t="str">
        <f aca="true">IFERROR(VLOOKUP(B101,INDIRECT("'"&amp;F101&amp;"'!D3:D"),1,FALSE()), "Not found")</f>
        <v>Not found</v>
      </c>
      <c r="H101" s="18" t="n">
        <f aca="true">INDIRECT("'"&amp;F101&amp;"'!D1")</f>
        <v>0</v>
      </c>
      <c r="I101" s="18" t="str">
        <f aca="false">IFERROR(__xludf.dummyfunction("REGEXEXTRACT(ADDRESS(ROW(), 24+$H101), ""[A-Z]+"")"),"X")</f>
        <v>X</v>
      </c>
      <c r="J101" s="18" t="str">
        <f aca="false">IFERROR(__xludf.dummyfunction("REGEXEXTRACT(ADDRESS(ROW(), 30+$H101), ""[A-Z]+"")"),"AD")</f>
        <v>AD</v>
      </c>
      <c r="K101" s="18" t="str">
        <f aca="false">IFERROR(__xludf.dummyfunction("REGEXEXTRACT(ADDRESS(ROW(), 36+$H101), ""[A-Z]+"")"),"AJ")</f>
        <v>AJ</v>
      </c>
      <c r="L101" s="18" t="str">
        <f aca="false">IFERROR(__xludf.dummyfunction("REGEXEXTRACT(ADDRESS(ROW(), 42+$H101), ""[A-Z]+"")"),"AP")</f>
        <v>AP</v>
      </c>
      <c r="M101" s="18" t="str">
        <f aca="false">IFERROR(__xludf.dummyfunction("REGEXEXTRACT(ADDRESS(ROW(), 48+$H101), ""[A-Z]+"")"),"AV")</f>
        <v>AV</v>
      </c>
      <c r="N101" s="18" t="str">
        <f aca="false">IFERROR(__xludf.dummyfunction("REGEXEXTRACT(ADDRESS(ROW(), 50+$H101), ""[A-Z]+"")"),"AX")</f>
        <v>AX</v>
      </c>
      <c r="O101" s="18" t="str">
        <f aca="false">IFERROR(__xludf.dummyfunction("REGEXEXTRACT(ADDRESS(ROW(), 51+$H101), ""[A-Z]+"")"),"AY")</f>
        <v>AY</v>
      </c>
      <c r="P101" s="18" t="str">
        <f aca="false">IFERROR(__xludf.dummyfunction("REGEXEXTRACT(ADDRESS(ROW(), 54+$H101), ""[A-Z]+"")"),"BB")</f>
        <v>BB</v>
      </c>
      <c r="Q101" s="18" t="str">
        <f aca="false">IFERROR(__xludf.dummyfunction("REGEXEXTRACT(ADDRESS(ROW(), 59+$H101), ""[A-Z]+"")"),"BG")</f>
        <v>BG</v>
      </c>
      <c r="R101" s="18" t="str">
        <f aca="false">IFERROR(__xludf.dummyfunction("REGEXEXTRACT(ADDRESS(ROW(), 60+$H101), ""[A-Z]+"")"),"BH")</f>
        <v>BH</v>
      </c>
      <c r="S101" s="18" t="str">
        <f aca="false">IFERROR(__xludf.dummyfunction("REGEXEXTRACT(ADDRESS(ROW(), 62+$H101), ""[A-Z]+"")"),"BJ")</f>
        <v>BJ</v>
      </c>
      <c r="T101" s="18" t="str">
        <f aca="false">IFERROR(__xludf.dummyfunction("REGEXEXTRACT(ADDRESS(ROW(), 63+$H101), ""[A-Z]+"")"),"BK")</f>
        <v>BK</v>
      </c>
      <c r="U101" s="19" t="n">
        <f aca="false">IFERROR(__xludf.dummyfunction("IFERROR(QUERY(INDIRECT(""'""&amp;F101&amp;""'!C3:""&amp;T101&amp;""""), ""SELECT ""&amp;I101&amp;"", ""&amp;J101&amp;"", ""&amp;K101&amp;"", ""&amp;L101&amp;"", ""&amp;M101&amp;"", ""&amp;N101&amp;"", ""&amp;O101&amp;"", ""&amp;P101&amp;"", ""&amp;Q101&amp;"", ""&amp;R101&amp;"", ""&amp;S101&amp;"" WHERE '""&amp;B101&amp;""' = D"", 0), """")"),10)</f>
        <v>10</v>
      </c>
      <c r="V101" s="22" t="n">
        <f aca="false">IFERROR(__xludf.dummyfunction("""COMPUTED_VALUE"""),9.5)</f>
        <v>9.5</v>
      </c>
      <c r="W101" s="22" t="n">
        <f aca="false">IFERROR(__xludf.dummyfunction("""COMPUTED_VALUE"""),8)</f>
        <v>8</v>
      </c>
      <c r="X101" s="22" t="n">
        <f aca="false">IFERROR(__xludf.dummyfunction("""COMPUTED_VALUE"""),9)</f>
        <v>9</v>
      </c>
      <c r="Y101" s="22" t="n">
        <f aca="false">IFERROR(__xludf.dummyfunction("""COMPUTED_VALUE"""),0)</f>
        <v>0</v>
      </c>
      <c r="Z101" s="22" t="n">
        <f aca="false">IFERROR(__xludf.dummyfunction("""COMPUTED_VALUE"""),1)</f>
        <v>1</v>
      </c>
      <c r="AA101" s="22" t="n">
        <f aca="false">IFERROR(__xludf.dummyfunction("""COMPUTED_VALUE"""),1)</f>
        <v>1</v>
      </c>
      <c r="AB101" s="22" t="n">
        <f aca="false">IFERROR(__xludf.dummyfunction("""COMPUTED_VALUE"""),7)</f>
        <v>7</v>
      </c>
      <c r="AC101" s="22" t="n">
        <f aca="false">IFERROR(__xludf.dummyfunction("""COMPUTED_VALUE"""),29)</f>
        <v>29</v>
      </c>
      <c r="AD101" s="23"/>
      <c r="AE101" s="24" t="n">
        <f aca="false">IFERROR(__xludf.dummyfunction("""COMPUTED_VALUE"""),74.5)</f>
        <v>74.5</v>
      </c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</row>
    <row r="102" customFormat="false" ht="18.65" hidden="false" customHeight="false" outlineLevel="0" collapsed="false">
      <c r="A102" s="13" t="n">
        <v>101</v>
      </c>
      <c r="B102" s="14" t="s">
        <v>233</v>
      </c>
      <c r="C102" s="15" t="s">
        <v>234</v>
      </c>
      <c r="D102" s="16" t="s">
        <v>235</v>
      </c>
      <c r="E102" s="16" t="s">
        <v>235</v>
      </c>
      <c r="F102" s="16" t="str">
        <f aca="false">REPLACE(E102, 1, 3, "")</f>
        <v>18</v>
      </c>
      <c r="G102" s="17" t="str">
        <f aca="true">IFERROR(VLOOKUP(B102,INDIRECT("'"&amp;F102&amp;"'!D3:D"),1,FALSE()), "Not found")</f>
        <v>465382</v>
      </c>
      <c r="H102" s="18" t="n">
        <f aca="true">INDIRECT("'"&amp;F102&amp;"'!D1")</f>
        <v>0</v>
      </c>
      <c r="I102" s="18" t="str">
        <f aca="false">IFERROR(__xludf.dummyfunction("REGEXEXTRACT(ADDRESS(ROW(), 24+$H102), ""[A-Z]+"")"),"X")</f>
        <v>X</v>
      </c>
      <c r="J102" s="18" t="str">
        <f aca="false">IFERROR(__xludf.dummyfunction("REGEXEXTRACT(ADDRESS(ROW(), 30+$H102), ""[A-Z]+"")"),"AD")</f>
        <v>AD</v>
      </c>
      <c r="K102" s="18" t="str">
        <f aca="false">IFERROR(__xludf.dummyfunction("REGEXEXTRACT(ADDRESS(ROW(), 36+$H102), ""[A-Z]+"")"),"AJ")</f>
        <v>AJ</v>
      </c>
      <c r="L102" s="18" t="str">
        <f aca="false">IFERROR(__xludf.dummyfunction("REGEXEXTRACT(ADDRESS(ROW(), 42+$H102), ""[A-Z]+"")"),"AP")</f>
        <v>AP</v>
      </c>
      <c r="M102" s="18" t="str">
        <f aca="false">IFERROR(__xludf.dummyfunction("REGEXEXTRACT(ADDRESS(ROW(), 48+$H102), ""[A-Z]+"")"),"AV")</f>
        <v>AV</v>
      </c>
      <c r="N102" s="18" t="str">
        <f aca="false">IFERROR(__xludf.dummyfunction("REGEXEXTRACT(ADDRESS(ROW(), 50+$H102), ""[A-Z]+"")"),"AX")</f>
        <v>AX</v>
      </c>
      <c r="O102" s="18" t="str">
        <f aca="false">IFERROR(__xludf.dummyfunction("REGEXEXTRACT(ADDRESS(ROW(), 51+$H102), ""[A-Z]+"")"),"AY")</f>
        <v>AY</v>
      </c>
      <c r="P102" s="18" t="str">
        <f aca="false">IFERROR(__xludf.dummyfunction("REGEXEXTRACT(ADDRESS(ROW(), 54+$H102), ""[A-Z]+"")"),"BB")</f>
        <v>BB</v>
      </c>
      <c r="Q102" s="18" t="str">
        <f aca="false">IFERROR(__xludf.dummyfunction("REGEXEXTRACT(ADDRESS(ROW(), 59+$H102), ""[A-Z]+"")"),"BG")</f>
        <v>BG</v>
      </c>
      <c r="R102" s="18" t="str">
        <f aca="false">IFERROR(__xludf.dummyfunction("REGEXEXTRACT(ADDRESS(ROW(), 60+$H102), ""[A-Z]+"")"),"BH")</f>
        <v>BH</v>
      </c>
      <c r="S102" s="18" t="str">
        <f aca="false">IFERROR(__xludf.dummyfunction("REGEXEXTRACT(ADDRESS(ROW(), 62+$H102), ""[A-Z]+"")"),"BJ")</f>
        <v>BJ</v>
      </c>
      <c r="T102" s="18" t="str">
        <f aca="false">IFERROR(__xludf.dummyfunction("REGEXEXTRACT(ADDRESS(ROW(), 63+$H102), ""[A-Z]+"")"),"BK")</f>
        <v>BK</v>
      </c>
      <c r="U102" s="19" t="n">
        <f aca="false">IFERROR(__xludf.dummyfunction("IFERROR(QUERY(INDIRECT(""'""&amp;F102&amp;""'!C3:""&amp;T102&amp;""""), ""SELECT ""&amp;I102&amp;"", ""&amp;J102&amp;"", ""&amp;K102&amp;"", ""&amp;L102&amp;"", ""&amp;M102&amp;"", ""&amp;N102&amp;"", ""&amp;O102&amp;"", ""&amp;P102&amp;"", ""&amp;Q102&amp;"", ""&amp;R102&amp;"", ""&amp;S102&amp;"" WHERE '""&amp;B102&amp;""' = D"", 0), """")"),9.5)</f>
        <v>9.5</v>
      </c>
      <c r="V102" s="22" t="n">
        <f aca="false">IFERROR(__xludf.dummyfunction("""COMPUTED_VALUE"""),9.5)</f>
        <v>9.5</v>
      </c>
      <c r="W102" s="22" t="n">
        <f aca="false">IFERROR(__xludf.dummyfunction("""COMPUTED_VALUE"""),10)</f>
        <v>10</v>
      </c>
      <c r="X102" s="22" t="n">
        <f aca="false">IFERROR(__xludf.dummyfunction("""COMPUTED_VALUE"""),10)</f>
        <v>10</v>
      </c>
      <c r="Y102" s="22" t="n">
        <f aca="false">IFERROR(__xludf.dummyfunction("""COMPUTED_VALUE"""),10)</f>
        <v>10</v>
      </c>
      <c r="Z102" s="22"/>
      <c r="AA102" s="22" t="n">
        <f aca="false">IFERROR(__xludf.dummyfunction("""COMPUTED_VALUE"""),0)</f>
        <v>0</v>
      </c>
      <c r="AB102" s="22" t="n">
        <f aca="false">IFERROR(__xludf.dummyfunction("""COMPUTED_VALUE"""),8.1)</f>
        <v>8.1</v>
      </c>
      <c r="AC102" s="22" t="n">
        <f aca="false">IFERROR(__xludf.dummyfunction("""COMPUTED_VALUE"""),30)</f>
        <v>30</v>
      </c>
      <c r="AD102" s="23" t="n">
        <f aca="false">IFERROR(__xludf.dummyfunction("""COMPUTED_VALUE"""),3)</f>
        <v>3</v>
      </c>
      <c r="AE102" s="24" t="n">
        <f aca="false">IFERROR(__xludf.dummyfunction("""COMPUTED_VALUE"""),90.1)</f>
        <v>90.1</v>
      </c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</row>
    <row r="103" customFormat="false" ht="18.65" hidden="false" customHeight="false" outlineLevel="0" collapsed="false">
      <c r="A103" s="13" t="n">
        <v>102</v>
      </c>
      <c r="B103" s="14" t="s">
        <v>236</v>
      </c>
      <c r="C103" s="15" t="s">
        <v>237</v>
      </c>
      <c r="D103" s="16" t="s">
        <v>177</v>
      </c>
      <c r="E103" s="16" t="s">
        <v>177</v>
      </c>
      <c r="F103" s="16" t="str">
        <f aca="false">REPLACE(E103, 1, 3, "")</f>
        <v>19</v>
      </c>
      <c r="G103" s="17" t="str">
        <f aca="true">IFERROR(VLOOKUP(B103,INDIRECT("'"&amp;F103&amp;"'!D3:D"),1,FALSE()), "Not found")</f>
        <v>Not found</v>
      </c>
      <c r="H103" s="18" t="n">
        <f aca="true">INDIRECT("'"&amp;F103&amp;"'!D1")</f>
        <v>0</v>
      </c>
      <c r="I103" s="18" t="str">
        <f aca="false">IFERROR(__xludf.dummyfunction("REGEXEXTRACT(ADDRESS(ROW(), 24+$H103), ""[A-Z]+"")"),"X")</f>
        <v>X</v>
      </c>
      <c r="J103" s="18" t="str">
        <f aca="false">IFERROR(__xludf.dummyfunction("REGEXEXTRACT(ADDRESS(ROW(), 30+$H103), ""[A-Z]+"")"),"AD")</f>
        <v>AD</v>
      </c>
      <c r="K103" s="18" t="str">
        <f aca="false">IFERROR(__xludf.dummyfunction("REGEXEXTRACT(ADDRESS(ROW(), 36+$H103), ""[A-Z]+"")"),"AJ")</f>
        <v>AJ</v>
      </c>
      <c r="L103" s="18" t="str">
        <f aca="false">IFERROR(__xludf.dummyfunction("REGEXEXTRACT(ADDRESS(ROW(), 42+$H103), ""[A-Z]+"")"),"AP")</f>
        <v>AP</v>
      </c>
      <c r="M103" s="18" t="str">
        <f aca="false">IFERROR(__xludf.dummyfunction("REGEXEXTRACT(ADDRESS(ROW(), 48+$H103), ""[A-Z]+"")"),"AV")</f>
        <v>AV</v>
      </c>
      <c r="N103" s="18" t="str">
        <f aca="false">IFERROR(__xludf.dummyfunction("REGEXEXTRACT(ADDRESS(ROW(), 50+$H103), ""[A-Z]+"")"),"AX")</f>
        <v>AX</v>
      </c>
      <c r="O103" s="18" t="str">
        <f aca="false">IFERROR(__xludf.dummyfunction("REGEXEXTRACT(ADDRESS(ROW(), 51+$H103), ""[A-Z]+"")"),"AY")</f>
        <v>AY</v>
      </c>
      <c r="P103" s="18" t="str">
        <f aca="false">IFERROR(__xludf.dummyfunction("REGEXEXTRACT(ADDRESS(ROW(), 54+$H103), ""[A-Z]+"")"),"BB")</f>
        <v>BB</v>
      </c>
      <c r="Q103" s="18" t="str">
        <f aca="false">IFERROR(__xludf.dummyfunction("REGEXEXTRACT(ADDRESS(ROW(), 59+$H103), ""[A-Z]+"")"),"BG")</f>
        <v>BG</v>
      </c>
      <c r="R103" s="18" t="str">
        <f aca="false">IFERROR(__xludf.dummyfunction("REGEXEXTRACT(ADDRESS(ROW(), 60+$H103), ""[A-Z]+"")"),"BH")</f>
        <v>BH</v>
      </c>
      <c r="S103" s="18" t="str">
        <f aca="false">IFERROR(__xludf.dummyfunction("REGEXEXTRACT(ADDRESS(ROW(), 62+$H103), ""[A-Z]+"")"),"BJ")</f>
        <v>BJ</v>
      </c>
      <c r="T103" s="18" t="str">
        <f aca="false">IFERROR(__xludf.dummyfunction("REGEXEXTRACT(ADDRESS(ROW(), 63+$H103), ""[A-Z]+"")"),"BK")</f>
        <v>BK</v>
      </c>
      <c r="U103" s="19" t="n">
        <f aca="false">IFERROR(__xludf.dummyfunction("IFERROR(QUERY(INDIRECT(""'""&amp;F103&amp;""'!C3:""&amp;T103&amp;""""), ""SELECT ""&amp;I103&amp;"", ""&amp;J103&amp;"", ""&amp;K103&amp;"", ""&amp;L103&amp;"", ""&amp;M103&amp;"", ""&amp;N103&amp;"", ""&amp;O103&amp;"", ""&amp;P103&amp;"", ""&amp;Q103&amp;"", ""&amp;R103&amp;"", ""&amp;S103&amp;"" WHERE '""&amp;B103&amp;""' = D"", 0), """")"),10)</f>
        <v>10</v>
      </c>
      <c r="V103" s="22" t="n">
        <f aca="false">IFERROR(__xludf.dummyfunction("""COMPUTED_VALUE"""),10)</f>
        <v>10</v>
      </c>
      <c r="W103" s="22" t="n">
        <f aca="false">IFERROR(__xludf.dummyfunction("""COMPUTED_VALUE"""),10)</f>
        <v>10</v>
      </c>
      <c r="X103" s="22" t="n">
        <f aca="false">IFERROR(__xludf.dummyfunction("""COMPUTED_VALUE"""),10)</f>
        <v>10</v>
      </c>
      <c r="Y103" s="22" t="n">
        <f aca="false">IFERROR(__xludf.dummyfunction("""COMPUTED_VALUE"""),10)</f>
        <v>10</v>
      </c>
      <c r="Z103" s="22"/>
      <c r="AA103" s="22"/>
      <c r="AB103" s="22" t="n">
        <f aca="false">IFERROR(__xludf.dummyfunction("""COMPUTED_VALUE"""),7)</f>
        <v>7</v>
      </c>
      <c r="AC103" s="22" t="n">
        <f aca="false">IFERROR(__xludf.dummyfunction("""COMPUTED_VALUE"""),26)</f>
        <v>26</v>
      </c>
      <c r="AD103" s="23" t="n">
        <f aca="false">IFERROR(__xludf.dummyfunction("""COMPUTED_VALUE"""),1)</f>
        <v>1</v>
      </c>
      <c r="AE103" s="24" t="n">
        <f aca="false">IFERROR(__xludf.dummyfunction("""COMPUTED_VALUE"""),84)</f>
        <v>84</v>
      </c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</row>
    <row r="104" customFormat="false" ht="18.65" hidden="false" customHeight="false" outlineLevel="0" collapsed="false">
      <c r="A104" s="13" t="n">
        <v>103</v>
      </c>
      <c r="B104" s="14" t="s">
        <v>238</v>
      </c>
      <c r="C104" s="15" t="s">
        <v>239</v>
      </c>
      <c r="D104" s="16" t="s">
        <v>235</v>
      </c>
      <c r="E104" s="16" t="s">
        <v>235</v>
      </c>
      <c r="F104" s="16" t="str">
        <f aca="false">REPLACE(E104, 1, 3, "")</f>
        <v>18</v>
      </c>
      <c r="G104" s="17" t="str">
        <f aca="true">IFERROR(VLOOKUP(B104,INDIRECT("'"&amp;F104&amp;"'!D3:D"),1,FALSE()), "Not found")</f>
        <v>Not found</v>
      </c>
      <c r="H104" s="18" t="n">
        <f aca="true">INDIRECT("'"&amp;F104&amp;"'!D1")</f>
        <v>0</v>
      </c>
      <c r="I104" s="18" t="str">
        <f aca="false">IFERROR(__xludf.dummyfunction("REGEXEXTRACT(ADDRESS(ROW(), 24+$H104), ""[A-Z]+"")"),"X")</f>
        <v>X</v>
      </c>
      <c r="J104" s="18" t="str">
        <f aca="false">IFERROR(__xludf.dummyfunction("REGEXEXTRACT(ADDRESS(ROW(), 30+$H104), ""[A-Z]+"")"),"AD")</f>
        <v>AD</v>
      </c>
      <c r="K104" s="18" t="str">
        <f aca="false">IFERROR(__xludf.dummyfunction("REGEXEXTRACT(ADDRESS(ROW(), 36+$H104), ""[A-Z]+"")"),"AJ")</f>
        <v>AJ</v>
      </c>
      <c r="L104" s="18" t="str">
        <f aca="false">IFERROR(__xludf.dummyfunction("REGEXEXTRACT(ADDRESS(ROW(), 42+$H104), ""[A-Z]+"")"),"AP")</f>
        <v>AP</v>
      </c>
      <c r="M104" s="18" t="str">
        <f aca="false">IFERROR(__xludf.dummyfunction("REGEXEXTRACT(ADDRESS(ROW(), 48+$H104), ""[A-Z]+"")"),"AV")</f>
        <v>AV</v>
      </c>
      <c r="N104" s="18" t="str">
        <f aca="false">IFERROR(__xludf.dummyfunction("REGEXEXTRACT(ADDRESS(ROW(), 50+$H104), ""[A-Z]+"")"),"AX")</f>
        <v>AX</v>
      </c>
      <c r="O104" s="18" t="str">
        <f aca="false">IFERROR(__xludf.dummyfunction("REGEXEXTRACT(ADDRESS(ROW(), 51+$H104), ""[A-Z]+"")"),"AY")</f>
        <v>AY</v>
      </c>
      <c r="P104" s="18" t="str">
        <f aca="false">IFERROR(__xludf.dummyfunction("REGEXEXTRACT(ADDRESS(ROW(), 54+$H104), ""[A-Z]+"")"),"BB")</f>
        <v>BB</v>
      </c>
      <c r="Q104" s="18" t="str">
        <f aca="false">IFERROR(__xludf.dummyfunction("REGEXEXTRACT(ADDRESS(ROW(), 59+$H104), ""[A-Z]+"")"),"BG")</f>
        <v>BG</v>
      </c>
      <c r="R104" s="18" t="str">
        <f aca="false">IFERROR(__xludf.dummyfunction("REGEXEXTRACT(ADDRESS(ROW(), 60+$H104), ""[A-Z]+"")"),"BH")</f>
        <v>BH</v>
      </c>
      <c r="S104" s="18" t="str">
        <f aca="false">IFERROR(__xludf.dummyfunction("REGEXEXTRACT(ADDRESS(ROW(), 62+$H104), ""[A-Z]+"")"),"BJ")</f>
        <v>BJ</v>
      </c>
      <c r="T104" s="18" t="str">
        <f aca="false">IFERROR(__xludf.dummyfunction("REGEXEXTRACT(ADDRESS(ROW(), 63+$H104), ""[A-Z]+"")"),"BK")</f>
        <v>BK</v>
      </c>
      <c r="U104" s="19" t="n">
        <f aca="false">IFERROR(__xludf.dummyfunction("IFERROR(QUERY(INDIRECT(""'""&amp;F104&amp;""'!C3:""&amp;T104&amp;""""), ""SELECT ""&amp;I104&amp;"", ""&amp;J104&amp;"", ""&amp;K104&amp;"", ""&amp;L104&amp;"", ""&amp;M104&amp;"", ""&amp;N104&amp;"", ""&amp;O104&amp;"", ""&amp;P104&amp;"", ""&amp;Q104&amp;"", ""&amp;R104&amp;"", ""&amp;S104&amp;"" WHERE '""&amp;B104&amp;""' = D"", 0), """")"),8)</f>
        <v>8</v>
      </c>
      <c r="V104" s="22" t="n">
        <f aca="false">IFERROR(__xludf.dummyfunction("""COMPUTED_VALUE"""),8.5)</f>
        <v>8.5</v>
      </c>
      <c r="W104" s="22"/>
      <c r="X104" s="22"/>
      <c r="Y104" s="22" t="n">
        <f aca="false">IFERROR(__xludf.dummyfunction("""COMPUTED_VALUE"""),0)</f>
        <v>0</v>
      </c>
      <c r="Z104" s="22" t="n">
        <f aca="false">IFERROR(__xludf.dummyfunction("""COMPUTED_VALUE"""),0)</f>
        <v>0</v>
      </c>
      <c r="AA104" s="22" t="n">
        <f aca="false">IFERROR(__xludf.dummyfunction("""COMPUTED_VALUE"""),0)</f>
        <v>0</v>
      </c>
      <c r="AB104" s="22" t="n">
        <f aca="false">IFERROR(__xludf.dummyfunction("""COMPUTED_VALUE"""),6)</f>
        <v>6</v>
      </c>
      <c r="AC104" s="22"/>
      <c r="AD104" s="23"/>
      <c r="AE104" s="24" t="n">
        <f aca="false">IFERROR(__xludf.dummyfunction("""COMPUTED_VALUE"""),22.5)</f>
        <v>22.5</v>
      </c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</row>
    <row r="105" customFormat="false" ht="18.65" hidden="false" customHeight="false" outlineLevel="0" collapsed="false">
      <c r="A105" s="13" t="n">
        <v>104</v>
      </c>
      <c r="B105" s="14" t="s">
        <v>240</v>
      </c>
      <c r="C105" s="15" t="s">
        <v>241</v>
      </c>
      <c r="D105" s="16" t="s">
        <v>174</v>
      </c>
      <c r="E105" s="16" t="s">
        <v>174</v>
      </c>
      <c r="F105" s="16" t="str">
        <f aca="false">REPLACE(E105, 1, 3, "")</f>
        <v>08</v>
      </c>
      <c r="G105" s="17" t="str">
        <f aca="true">IFERROR(VLOOKUP(B105,INDIRECT("'"&amp;F105&amp;"'!D3:D"),1,FALSE()), "Not found")</f>
        <v>Not found</v>
      </c>
      <c r="H105" s="18" t="n">
        <f aca="true">INDIRECT("'"&amp;F105&amp;"'!D1")</f>
        <v>0</v>
      </c>
      <c r="I105" s="18" t="str">
        <f aca="false">IFERROR(__xludf.dummyfunction("REGEXEXTRACT(ADDRESS(ROW(), 24+$H105), ""[A-Z]+"")"),"X")</f>
        <v>X</v>
      </c>
      <c r="J105" s="18" t="str">
        <f aca="false">IFERROR(__xludf.dummyfunction("REGEXEXTRACT(ADDRESS(ROW(), 30+$H105), ""[A-Z]+"")"),"AD")</f>
        <v>AD</v>
      </c>
      <c r="K105" s="18" t="str">
        <f aca="false">IFERROR(__xludf.dummyfunction("REGEXEXTRACT(ADDRESS(ROW(), 36+$H105), ""[A-Z]+"")"),"AJ")</f>
        <v>AJ</v>
      </c>
      <c r="L105" s="18" t="str">
        <f aca="false">IFERROR(__xludf.dummyfunction("REGEXEXTRACT(ADDRESS(ROW(), 42+$H105), ""[A-Z]+"")"),"AP")</f>
        <v>AP</v>
      </c>
      <c r="M105" s="18" t="str">
        <f aca="false">IFERROR(__xludf.dummyfunction("REGEXEXTRACT(ADDRESS(ROW(), 48+$H105), ""[A-Z]+"")"),"AV")</f>
        <v>AV</v>
      </c>
      <c r="N105" s="18" t="str">
        <f aca="false">IFERROR(__xludf.dummyfunction("REGEXEXTRACT(ADDRESS(ROW(), 50+$H105), ""[A-Z]+"")"),"AX")</f>
        <v>AX</v>
      </c>
      <c r="O105" s="18" t="str">
        <f aca="false">IFERROR(__xludf.dummyfunction("REGEXEXTRACT(ADDRESS(ROW(), 51+$H105), ""[A-Z]+"")"),"AY")</f>
        <v>AY</v>
      </c>
      <c r="P105" s="18" t="str">
        <f aca="false">IFERROR(__xludf.dummyfunction("REGEXEXTRACT(ADDRESS(ROW(), 54+$H105), ""[A-Z]+"")"),"BB")</f>
        <v>BB</v>
      </c>
      <c r="Q105" s="18" t="str">
        <f aca="false">IFERROR(__xludf.dummyfunction("REGEXEXTRACT(ADDRESS(ROW(), 59+$H105), ""[A-Z]+"")"),"BG")</f>
        <v>BG</v>
      </c>
      <c r="R105" s="18" t="str">
        <f aca="false">IFERROR(__xludf.dummyfunction("REGEXEXTRACT(ADDRESS(ROW(), 60+$H105), ""[A-Z]+"")"),"BH")</f>
        <v>BH</v>
      </c>
      <c r="S105" s="18" t="str">
        <f aca="false">IFERROR(__xludf.dummyfunction("REGEXEXTRACT(ADDRESS(ROW(), 62+$H105), ""[A-Z]+"")"),"BJ")</f>
        <v>BJ</v>
      </c>
      <c r="T105" s="18" t="str">
        <f aca="false">IFERROR(__xludf.dummyfunction("REGEXEXTRACT(ADDRESS(ROW(), 63+$H105), ""[A-Z]+"")"),"BK")</f>
        <v>BK</v>
      </c>
      <c r="U105" s="19" t="n">
        <f aca="false">IFERROR(__xludf.dummyfunction("IFERROR(QUERY(INDIRECT(""'""&amp;F105&amp;""'!C3:""&amp;T105&amp;""""), ""SELECT ""&amp;I105&amp;"", ""&amp;J105&amp;"", ""&amp;K105&amp;"", ""&amp;L105&amp;"", ""&amp;M105&amp;"", ""&amp;N105&amp;"", ""&amp;O105&amp;"", ""&amp;P105&amp;"", ""&amp;Q105&amp;"", ""&amp;R105&amp;"", ""&amp;S105&amp;"" WHERE '""&amp;B105&amp;""' = D"", 0), """")"),10)</f>
        <v>10</v>
      </c>
      <c r="V105" s="22" t="n">
        <f aca="false">IFERROR(__xludf.dummyfunction("""COMPUTED_VALUE"""),10)</f>
        <v>10</v>
      </c>
      <c r="W105" s="22" t="n">
        <f aca="false">IFERROR(__xludf.dummyfunction("""COMPUTED_VALUE"""),9)</f>
        <v>9</v>
      </c>
      <c r="X105" s="22"/>
      <c r="Y105" s="22" t="n">
        <f aca="false">IFERROR(__xludf.dummyfunction("""COMPUTED_VALUE"""),0)</f>
        <v>0</v>
      </c>
      <c r="Z105" s="22"/>
      <c r="AA105" s="22"/>
      <c r="AB105" s="22" t="n">
        <f aca="false">IFERROR(__xludf.dummyfunction("""COMPUTED_VALUE"""),10)</f>
        <v>10</v>
      </c>
      <c r="AC105" s="22"/>
      <c r="AD105" s="23"/>
      <c r="AE105" s="24" t="n">
        <f aca="false">IFERROR(__xludf.dummyfunction("""COMPUTED_VALUE"""),39)</f>
        <v>39</v>
      </c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</row>
    <row r="106" customFormat="false" ht="18.65" hidden="false" customHeight="false" outlineLevel="0" collapsed="false">
      <c r="A106" s="13" t="n">
        <v>105</v>
      </c>
      <c r="B106" s="14" t="s">
        <v>242</v>
      </c>
      <c r="C106" s="15" t="s">
        <v>243</v>
      </c>
      <c r="D106" s="16" t="s">
        <v>244</v>
      </c>
      <c r="E106" s="16" t="s">
        <v>244</v>
      </c>
      <c r="F106" s="16" t="str">
        <f aca="false">REPLACE(E106, 1, 3, "")</f>
        <v>13</v>
      </c>
      <c r="G106" s="17" t="str">
        <f aca="true">IFERROR(VLOOKUP(B106,INDIRECT("'"&amp;F106&amp;"'!D3:D"),1,FALSE()), "Not found")</f>
        <v>465479</v>
      </c>
      <c r="H106" s="18" t="n">
        <f aca="true">INDIRECT("'"&amp;F106&amp;"'!D1")</f>
        <v>0</v>
      </c>
      <c r="I106" s="18" t="str">
        <f aca="false">IFERROR(__xludf.dummyfunction("REGEXEXTRACT(ADDRESS(ROW(), 24+$H106), ""[A-Z]+"")"),"X")</f>
        <v>X</v>
      </c>
      <c r="J106" s="18" t="str">
        <f aca="false">IFERROR(__xludf.dummyfunction("REGEXEXTRACT(ADDRESS(ROW(), 30+$H106), ""[A-Z]+"")"),"AD")</f>
        <v>AD</v>
      </c>
      <c r="K106" s="18" t="str">
        <f aca="false">IFERROR(__xludf.dummyfunction("REGEXEXTRACT(ADDRESS(ROW(), 36+$H106), ""[A-Z]+"")"),"AJ")</f>
        <v>AJ</v>
      </c>
      <c r="L106" s="18" t="str">
        <f aca="false">IFERROR(__xludf.dummyfunction("REGEXEXTRACT(ADDRESS(ROW(), 42+$H106), ""[A-Z]+"")"),"AP")</f>
        <v>AP</v>
      </c>
      <c r="M106" s="18" t="str">
        <f aca="false">IFERROR(__xludf.dummyfunction("REGEXEXTRACT(ADDRESS(ROW(), 48+$H106), ""[A-Z]+"")"),"AV")</f>
        <v>AV</v>
      </c>
      <c r="N106" s="18" t="str">
        <f aca="false">IFERROR(__xludf.dummyfunction("REGEXEXTRACT(ADDRESS(ROW(), 50+$H106), ""[A-Z]+"")"),"AX")</f>
        <v>AX</v>
      </c>
      <c r="O106" s="18" t="str">
        <f aca="false">IFERROR(__xludf.dummyfunction("REGEXEXTRACT(ADDRESS(ROW(), 51+$H106), ""[A-Z]+"")"),"AY")</f>
        <v>AY</v>
      </c>
      <c r="P106" s="18" t="str">
        <f aca="false">IFERROR(__xludf.dummyfunction("REGEXEXTRACT(ADDRESS(ROW(), 54+$H106), ""[A-Z]+"")"),"BB")</f>
        <v>BB</v>
      </c>
      <c r="Q106" s="18" t="str">
        <f aca="false">IFERROR(__xludf.dummyfunction("REGEXEXTRACT(ADDRESS(ROW(), 59+$H106), ""[A-Z]+"")"),"BG")</f>
        <v>BG</v>
      </c>
      <c r="R106" s="18" t="str">
        <f aca="false">IFERROR(__xludf.dummyfunction("REGEXEXTRACT(ADDRESS(ROW(), 60+$H106), ""[A-Z]+"")"),"BH")</f>
        <v>BH</v>
      </c>
      <c r="S106" s="18" t="str">
        <f aca="false">IFERROR(__xludf.dummyfunction("REGEXEXTRACT(ADDRESS(ROW(), 62+$H106), ""[A-Z]+"")"),"BJ")</f>
        <v>BJ</v>
      </c>
      <c r="T106" s="18" t="str">
        <f aca="false">IFERROR(__xludf.dummyfunction("REGEXEXTRACT(ADDRESS(ROW(), 63+$H106), ""[A-Z]+"")"),"BK")</f>
        <v>BK</v>
      </c>
      <c r="U106" s="19" t="n">
        <f aca="false">IFERROR(__xludf.dummyfunction("IFERROR(QUERY(INDIRECT(""'""&amp;F106&amp;""'!C3:""&amp;T106&amp;""""), ""SELECT ""&amp;I106&amp;"", ""&amp;J106&amp;"", ""&amp;K106&amp;"", ""&amp;L106&amp;"", ""&amp;M106&amp;"", ""&amp;N106&amp;"", ""&amp;O106&amp;"", ""&amp;P106&amp;"", ""&amp;Q106&amp;"", ""&amp;R106&amp;"", ""&amp;S106&amp;"" WHERE '""&amp;B106&amp;""' = D"", 0), """")"),6)</f>
        <v>6</v>
      </c>
      <c r="V106" s="22" t="n">
        <f aca="false">IFERROR(__xludf.dummyfunction("""COMPUTED_VALUE"""),6)</f>
        <v>6</v>
      </c>
      <c r="W106" s="22"/>
      <c r="X106" s="22"/>
      <c r="Y106" s="22" t="n">
        <f aca="false">IFERROR(__xludf.dummyfunction("""COMPUTED_VALUE"""),0)</f>
        <v>0</v>
      </c>
      <c r="Z106" s="22"/>
      <c r="AA106" s="22"/>
      <c r="AB106" s="22" t="n">
        <f aca="false">IFERROR(__xludf.dummyfunction("""COMPUTED_VALUE"""),0.02)</f>
        <v>0.02</v>
      </c>
      <c r="AC106" s="22"/>
      <c r="AD106" s="23"/>
      <c r="AE106" s="24" t="n">
        <f aca="false">IFERROR(__xludf.dummyfunction("""COMPUTED_VALUE"""),12.02)</f>
        <v>12.02</v>
      </c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</row>
    <row r="107" customFormat="false" ht="18.65" hidden="false" customHeight="false" outlineLevel="0" collapsed="false">
      <c r="A107" s="13" t="n">
        <v>106</v>
      </c>
      <c r="B107" s="14" t="s">
        <v>245</v>
      </c>
      <c r="C107" s="15" t="s">
        <v>246</v>
      </c>
      <c r="D107" s="16" t="s">
        <v>213</v>
      </c>
      <c r="E107" s="16" t="s">
        <v>213</v>
      </c>
      <c r="F107" s="16" t="str">
        <f aca="false">REPLACE(E107, 1, 3, "")</f>
        <v>16</v>
      </c>
      <c r="G107" s="17" t="str">
        <f aca="true">IFERROR(VLOOKUP(B107,INDIRECT("'"&amp;F107&amp;"'!D3:D"),1,FALSE()), "Not found")</f>
        <v>Not found</v>
      </c>
      <c r="H107" s="18" t="n">
        <f aca="true">INDIRECT("'"&amp;F107&amp;"'!D1")</f>
        <v>0</v>
      </c>
      <c r="I107" s="18" t="str">
        <f aca="false">IFERROR(__xludf.dummyfunction("REGEXEXTRACT(ADDRESS(ROW(), 24+$H107), ""[A-Z]+"")"),"X")</f>
        <v>X</v>
      </c>
      <c r="J107" s="18" t="str">
        <f aca="false">IFERROR(__xludf.dummyfunction("REGEXEXTRACT(ADDRESS(ROW(), 30+$H107), ""[A-Z]+"")"),"AD")</f>
        <v>AD</v>
      </c>
      <c r="K107" s="18" t="str">
        <f aca="false">IFERROR(__xludf.dummyfunction("REGEXEXTRACT(ADDRESS(ROW(), 36+$H107), ""[A-Z]+"")"),"AJ")</f>
        <v>AJ</v>
      </c>
      <c r="L107" s="18" t="str">
        <f aca="false">IFERROR(__xludf.dummyfunction("REGEXEXTRACT(ADDRESS(ROW(), 42+$H107), ""[A-Z]+"")"),"AP")</f>
        <v>AP</v>
      </c>
      <c r="M107" s="18" t="str">
        <f aca="false">IFERROR(__xludf.dummyfunction("REGEXEXTRACT(ADDRESS(ROW(), 48+$H107), ""[A-Z]+"")"),"AV")</f>
        <v>AV</v>
      </c>
      <c r="N107" s="18" t="str">
        <f aca="false">IFERROR(__xludf.dummyfunction("REGEXEXTRACT(ADDRESS(ROW(), 50+$H107), ""[A-Z]+"")"),"AX")</f>
        <v>AX</v>
      </c>
      <c r="O107" s="18" t="str">
        <f aca="false">IFERROR(__xludf.dummyfunction("REGEXEXTRACT(ADDRESS(ROW(), 51+$H107), ""[A-Z]+"")"),"AY")</f>
        <v>AY</v>
      </c>
      <c r="P107" s="18" t="str">
        <f aca="false">IFERROR(__xludf.dummyfunction("REGEXEXTRACT(ADDRESS(ROW(), 54+$H107), ""[A-Z]+"")"),"BB")</f>
        <v>BB</v>
      </c>
      <c r="Q107" s="18" t="str">
        <f aca="false">IFERROR(__xludf.dummyfunction("REGEXEXTRACT(ADDRESS(ROW(), 59+$H107), ""[A-Z]+"")"),"BG")</f>
        <v>BG</v>
      </c>
      <c r="R107" s="18" t="str">
        <f aca="false">IFERROR(__xludf.dummyfunction("REGEXEXTRACT(ADDRESS(ROW(), 60+$H107), ""[A-Z]+"")"),"BH")</f>
        <v>BH</v>
      </c>
      <c r="S107" s="18" t="str">
        <f aca="false">IFERROR(__xludf.dummyfunction("REGEXEXTRACT(ADDRESS(ROW(), 62+$H107), ""[A-Z]+"")"),"BJ")</f>
        <v>BJ</v>
      </c>
      <c r="T107" s="18" t="str">
        <f aca="false">IFERROR(__xludf.dummyfunction("REGEXEXTRACT(ADDRESS(ROW(), 63+$H107), ""[A-Z]+"")"),"BK")</f>
        <v>BK</v>
      </c>
      <c r="U107" s="19" t="n">
        <f aca="false">IFERROR(__xludf.dummyfunction("IFERROR(QUERY(INDIRECT(""'""&amp;F107&amp;""'!C3:""&amp;T107&amp;""""), ""SELECT ""&amp;I107&amp;"", ""&amp;J107&amp;"", ""&amp;K107&amp;"", ""&amp;L107&amp;"", ""&amp;M107&amp;"", ""&amp;N107&amp;"", ""&amp;O107&amp;"", ""&amp;P107&amp;"", ""&amp;Q107&amp;"", ""&amp;R107&amp;"", ""&amp;S107&amp;"" WHERE '""&amp;B107&amp;""' = D"", 0), """")"),8.5)</f>
        <v>8.5</v>
      </c>
      <c r="V107" s="22" t="n">
        <f aca="false">IFERROR(__xludf.dummyfunction("""COMPUTED_VALUE"""),8.5)</f>
        <v>8.5</v>
      </c>
      <c r="W107" s="22" t="n">
        <f aca="false">IFERROR(__xludf.dummyfunction("""COMPUTED_VALUE"""),9)</f>
        <v>9</v>
      </c>
      <c r="X107" s="22" t="n">
        <f aca="false">IFERROR(__xludf.dummyfunction("""COMPUTED_VALUE"""),10)</f>
        <v>10</v>
      </c>
      <c r="Y107" s="22" t="n">
        <f aca="false">IFERROR(__xludf.dummyfunction("""COMPUTED_VALUE"""),0)</f>
        <v>0</v>
      </c>
      <c r="Z107" s="22"/>
      <c r="AA107" s="22" t="n">
        <f aca="false">IFERROR(__xludf.dummyfunction("""COMPUTED_VALUE"""),2)</f>
        <v>2</v>
      </c>
      <c r="AB107" s="22" t="n">
        <f aca="false">IFERROR(__xludf.dummyfunction("""COMPUTED_VALUE"""),10)</f>
        <v>10</v>
      </c>
      <c r="AC107" s="22" t="n">
        <f aca="false">IFERROR(__xludf.dummyfunction("""COMPUTED_VALUE"""),28)</f>
        <v>28</v>
      </c>
      <c r="AD107" s="23"/>
      <c r="AE107" s="24" t="n">
        <f aca="false">IFERROR(__xludf.dummyfunction("""COMPUTED_VALUE"""),76)</f>
        <v>76</v>
      </c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</row>
    <row r="108" customFormat="false" ht="18.65" hidden="false" customHeight="false" outlineLevel="0" collapsed="false">
      <c r="A108" s="13" t="n">
        <v>107</v>
      </c>
      <c r="B108" s="14" t="s">
        <v>247</v>
      </c>
      <c r="C108" s="15" t="s">
        <v>248</v>
      </c>
      <c r="D108" s="16" t="s">
        <v>218</v>
      </c>
      <c r="E108" s="16" t="s">
        <v>218</v>
      </c>
      <c r="F108" s="16" t="str">
        <f aca="false">REPLACE(E108, 1, 3, "")</f>
        <v>15</v>
      </c>
      <c r="G108" s="17" t="str">
        <f aca="true">IFERROR(VLOOKUP(B108,INDIRECT("'"&amp;F108&amp;"'!D3:D"),1,FALSE()), "Not found")</f>
        <v>Not found</v>
      </c>
      <c r="H108" s="18" t="n">
        <f aca="true">INDIRECT("'"&amp;F108&amp;"'!D1")</f>
        <v>0</v>
      </c>
      <c r="I108" s="18" t="str">
        <f aca="false">IFERROR(__xludf.dummyfunction("REGEXEXTRACT(ADDRESS(ROW(), 24+$H108), ""[A-Z]+"")"),"X")</f>
        <v>X</v>
      </c>
      <c r="J108" s="18" t="str">
        <f aca="false">IFERROR(__xludf.dummyfunction("REGEXEXTRACT(ADDRESS(ROW(), 30+$H108), ""[A-Z]+"")"),"AD")</f>
        <v>AD</v>
      </c>
      <c r="K108" s="18" t="str">
        <f aca="false">IFERROR(__xludf.dummyfunction("REGEXEXTRACT(ADDRESS(ROW(), 36+$H108), ""[A-Z]+"")"),"AJ")</f>
        <v>AJ</v>
      </c>
      <c r="L108" s="18" t="str">
        <f aca="false">IFERROR(__xludf.dummyfunction("REGEXEXTRACT(ADDRESS(ROW(), 42+$H108), ""[A-Z]+"")"),"AP")</f>
        <v>AP</v>
      </c>
      <c r="M108" s="18" t="str">
        <f aca="false">IFERROR(__xludf.dummyfunction("REGEXEXTRACT(ADDRESS(ROW(), 48+$H108), ""[A-Z]+"")"),"AV")</f>
        <v>AV</v>
      </c>
      <c r="N108" s="18" t="str">
        <f aca="false">IFERROR(__xludf.dummyfunction("REGEXEXTRACT(ADDRESS(ROW(), 50+$H108), ""[A-Z]+"")"),"AX")</f>
        <v>AX</v>
      </c>
      <c r="O108" s="18" t="str">
        <f aca="false">IFERROR(__xludf.dummyfunction("REGEXEXTRACT(ADDRESS(ROW(), 51+$H108), ""[A-Z]+"")"),"AY")</f>
        <v>AY</v>
      </c>
      <c r="P108" s="18" t="str">
        <f aca="false">IFERROR(__xludf.dummyfunction("REGEXEXTRACT(ADDRESS(ROW(), 54+$H108), ""[A-Z]+"")"),"BB")</f>
        <v>BB</v>
      </c>
      <c r="Q108" s="18" t="str">
        <f aca="false">IFERROR(__xludf.dummyfunction("REGEXEXTRACT(ADDRESS(ROW(), 59+$H108), ""[A-Z]+"")"),"BG")</f>
        <v>BG</v>
      </c>
      <c r="R108" s="18" t="str">
        <f aca="false">IFERROR(__xludf.dummyfunction("REGEXEXTRACT(ADDRESS(ROW(), 60+$H108), ""[A-Z]+"")"),"BH")</f>
        <v>BH</v>
      </c>
      <c r="S108" s="18" t="str">
        <f aca="false">IFERROR(__xludf.dummyfunction("REGEXEXTRACT(ADDRESS(ROW(), 62+$H108), ""[A-Z]+"")"),"BJ")</f>
        <v>BJ</v>
      </c>
      <c r="T108" s="18" t="str">
        <f aca="false">IFERROR(__xludf.dummyfunction("REGEXEXTRACT(ADDRESS(ROW(), 63+$H108), ""[A-Z]+"")"),"BK")</f>
        <v>BK</v>
      </c>
      <c r="U108" s="19" t="n">
        <f aca="false">IFERROR(__xludf.dummyfunction("IFERROR(QUERY(INDIRECT(""'""&amp;F108&amp;""'!C3:""&amp;T108&amp;""""), ""SELECT ""&amp;I108&amp;"", ""&amp;J108&amp;"", ""&amp;K108&amp;"", ""&amp;L108&amp;"", ""&amp;M108&amp;"", ""&amp;N108&amp;"", ""&amp;O108&amp;"", ""&amp;P108&amp;"", ""&amp;Q108&amp;"", ""&amp;R108&amp;"", ""&amp;S108&amp;"" WHERE '""&amp;B108&amp;""' = D"", 0), """")"),8.5)</f>
        <v>8.5</v>
      </c>
      <c r="V108" s="22" t="n">
        <f aca="false">IFERROR(__xludf.dummyfunction("""COMPUTED_VALUE"""),8.8)</f>
        <v>8.8</v>
      </c>
      <c r="W108" s="22" t="n">
        <f aca="false">IFERROR(__xludf.dummyfunction("""COMPUTED_VALUE"""),8)</f>
        <v>8</v>
      </c>
      <c r="X108" s="22" t="n">
        <f aca="false">IFERROR(__xludf.dummyfunction("""COMPUTED_VALUE"""),8)</f>
        <v>8</v>
      </c>
      <c r="Y108" s="22" t="n">
        <f aca="false">IFERROR(__xludf.dummyfunction("""COMPUTED_VALUE"""),9.8)</f>
        <v>9.8</v>
      </c>
      <c r="Z108" s="22" t="n">
        <f aca="false">IFERROR(__xludf.dummyfunction("""COMPUTED_VALUE"""),1)</f>
        <v>1</v>
      </c>
      <c r="AA108" s="22" t="n">
        <f aca="false">IFERROR(__xludf.dummyfunction("""COMPUTED_VALUE"""),1)</f>
        <v>1</v>
      </c>
      <c r="AB108" s="22" t="n">
        <f aca="false">IFERROR(__xludf.dummyfunction("""COMPUTED_VALUE"""),10)</f>
        <v>10</v>
      </c>
      <c r="AC108" s="22" t="n">
        <f aca="false">IFERROR(__xludf.dummyfunction("""COMPUTED_VALUE"""),20)</f>
        <v>20</v>
      </c>
      <c r="AD108" s="23"/>
      <c r="AE108" s="24" t="n">
        <f aca="false">IFERROR(__xludf.dummyfunction("""COMPUTED_VALUE"""),75.1)</f>
        <v>75.1</v>
      </c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</row>
    <row r="109" customFormat="false" ht="18.65" hidden="false" customHeight="false" outlineLevel="0" collapsed="false">
      <c r="A109" s="13" t="n">
        <v>108</v>
      </c>
      <c r="B109" s="14" t="s">
        <v>249</v>
      </c>
      <c r="C109" s="15" t="s">
        <v>250</v>
      </c>
      <c r="D109" s="16" t="s">
        <v>244</v>
      </c>
      <c r="E109" s="16" t="s">
        <v>244</v>
      </c>
      <c r="F109" s="16" t="str">
        <f aca="false">REPLACE(E109, 1, 3, "")</f>
        <v>13</v>
      </c>
      <c r="G109" s="17" t="str">
        <f aca="true">IFERROR(VLOOKUP(B109,INDIRECT("'"&amp;F109&amp;"'!D3:D"),1,FALSE()), "Not found")</f>
        <v>Not found</v>
      </c>
      <c r="H109" s="18" t="n">
        <f aca="true">INDIRECT("'"&amp;F109&amp;"'!D1")</f>
        <v>0</v>
      </c>
      <c r="I109" s="18" t="str">
        <f aca="false">IFERROR(__xludf.dummyfunction("REGEXEXTRACT(ADDRESS(ROW(), 24+$H109), ""[A-Z]+"")"),"X")</f>
        <v>X</v>
      </c>
      <c r="J109" s="18" t="str">
        <f aca="false">IFERROR(__xludf.dummyfunction("REGEXEXTRACT(ADDRESS(ROW(), 30+$H109), ""[A-Z]+"")"),"AD")</f>
        <v>AD</v>
      </c>
      <c r="K109" s="18" t="str">
        <f aca="false">IFERROR(__xludf.dummyfunction("REGEXEXTRACT(ADDRESS(ROW(), 36+$H109), ""[A-Z]+"")"),"AJ")</f>
        <v>AJ</v>
      </c>
      <c r="L109" s="18" t="str">
        <f aca="false">IFERROR(__xludf.dummyfunction("REGEXEXTRACT(ADDRESS(ROW(), 42+$H109), ""[A-Z]+"")"),"AP")</f>
        <v>AP</v>
      </c>
      <c r="M109" s="18" t="str">
        <f aca="false">IFERROR(__xludf.dummyfunction("REGEXEXTRACT(ADDRESS(ROW(), 48+$H109), ""[A-Z]+"")"),"AV")</f>
        <v>AV</v>
      </c>
      <c r="N109" s="18" t="str">
        <f aca="false">IFERROR(__xludf.dummyfunction("REGEXEXTRACT(ADDRESS(ROW(), 50+$H109), ""[A-Z]+"")"),"AX")</f>
        <v>AX</v>
      </c>
      <c r="O109" s="18" t="str">
        <f aca="false">IFERROR(__xludf.dummyfunction("REGEXEXTRACT(ADDRESS(ROW(), 51+$H109), ""[A-Z]+"")"),"AY")</f>
        <v>AY</v>
      </c>
      <c r="P109" s="18" t="str">
        <f aca="false">IFERROR(__xludf.dummyfunction("REGEXEXTRACT(ADDRESS(ROW(), 54+$H109), ""[A-Z]+"")"),"BB")</f>
        <v>BB</v>
      </c>
      <c r="Q109" s="18" t="str">
        <f aca="false">IFERROR(__xludf.dummyfunction("REGEXEXTRACT(ADDRESS(ROW(), 59+$H109), ""[A-Z]+"")"),"BG")</f>
        <v>BG</v>
      </c>
      <c r="R109" s="18" t="str">
        <f aca="false">IFERROR(__xludf.dummyfunction("REGEXEXTRACT(ADDRESS(ROW(), 60+$H109), ""[A-Z]+"")"),"BH")</f>
        <v>BH</v>
      </c>
      <c r="S109" s="18" t="str">
        <f aca="false">IFERROR(__xludf.dummyfunction("REGEXEXTRACT(ADDRESS(ROW(), 62+$H109), ""[A-Z]+"")"),"BJ")</f>
        <v>BJ</v>
      </c>
      <c r="T109" s="18" t="str">
        <f aca="false">IFERROR(__xludf.dummyfunction("REGEXEXTRACT(ADDRESS(ROW(), 63+$H109), ""[A-Z]+"")"),"BK")</f>
        <v>BK</v>
      </c>
      <c r="U109" s="19" t="n">
        <f aca="false">IFERROR(__xludf.dummyfunction("IFERROR(QUERY(INDIRECT(""'""&amp;F109&amp;""'!C3:""&amp;T109&amp;""""), ""SELECT ""&amp;I109&amp;"", ""&amp;J109&amp;"", ""&amp;K109&amp;"", ""&amp;L109&amp;"", ""&amp;M109&amp;"", ""&amp;N109&amp;"", ""&amp;O109&amp;"", ""&amp;P109&amp;"", ""&amp;Q109&amp;"", ""&amp;R109&amp;"", ""&amp;S109&amp;"" WHERE '""&amp;B109&amp;""' = D"", 0), """")"),8.5)</f>
        <v>8.5</v>
      </c>
      <c r="V109" s="22" t="n">
        <f aca="false">IFERROR(__xludf.dummyfunction("""COMPUTED_VALUE"""),8.5)</f>
        <v>8.5</v>
      </c>
      <c r="W109" s="22" t="n">
        <f aca="false">IFERROR(__xludf.dummyfunction("""COMPUTED_VALUE"""),9)</f>
        <v>9</v>
      </c>
      <c r="X109" s="22" t="n">
        <f aca="false">IFERROR(__xludf.dummyfunction("""COMPUTED_VALUE"""),8.8)</f>
        <v>8.8</v>
      </c>
      <c r="Y109" s="22" t="n">
        <f aca="false">IFERROR(__xludf.dummyfunction("""COMPUTED_VALUE"""),8.5)</f>
        <v>8.5</v>
      </c>
      <c r="Z109" s="22" t="n">
        <f aca="false">IFERROR(__xludf.dummyfunction("""COMPUTED_VALUE"""),1)</f>
        <v>1</v>
      </c>
      <c r="AA109" s="22" t="n">
        <f aca="false">IFERROR(__xludf.dummyfunction("""COMPUTED_VALUE"""),1.5)</f>
        <v>1.5</v>
      </c>
      <c r="AB109" s="22" t="n">
        <f aca="false">IFERROR(__xludf.dummyfunction("""COMPUTED_VALUE"""),7.5)</f>
        <v>7.5</v>
      </c>
      <c r="AC109" s="22" t="n">
        <f aca="false">IFERROR(__xludf.dummyfunction("""COMPUTED_VALUE"""),25)</f>
        <v>25</v>
      </c>
      <c r="AD109" s="23"/>
      <c r="AE109" s="24" t="n">
        <f aca="false">IFERROR(__xludf.dummyfunction("""COMPUTED_VALUE"""),78.3)</f>
        <v>78.3</v>
      </c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</row>
    <row r="110" customFormat="false" ht="18.65" hidden="false" customHeight="false" outlineLevel="0" collapsed="false">
      <c r="A110" s="13" t="n">
        <v>109</v>
      </c>
      <c r="B110" s="14" t="s">
        <v>251</v>
      </c>
      <c r="C110" s="15" t="s">
        <v>252</v>
      </c>
      <c r="D110" s="16" t="s">
        <v>191</v>
      </c>
      <c r="E110" s="16" t="s">
        <v>191</v>
      </c>
      <c r="F110" s="16" t="str">
        <f aca="false">REPLACE(E110, 1, 3, "")</f>
        <v>12</v>
      </c>
      <c r="G110" s="17" t="str">
        <f aca="true">IFERROR(VLOOKUP(B110,INDIRECT("'"&amp;F110&amp;"'!D3:D"),1,FALSE()), "Not found")</f>
        <v>Not found</v>
      </c>
      <c r="H110" s="18" t="n">
        <f aca="true">INDIRECT("'"&amp;F110&amp;"'!D1")</f>
        <v>0</v>
      </c>
      <c r="I110" s="18" t="str">
        <f aca="false">IFERROR(__xludf.dummyfunction("REGEXEXTRACT(ADDRESS(ROW(), 24+$H110), ""[A-Z]+"")"),"X")</f>
        <v>X</v>
      </c>
      <c r="J110" s="18" t="str">
        <f aca="false">IFERROR(__xludf.dummyfunction("REGEXEXTRACT(ADDRESS(ROW(), 30+$H110), ""[A-Z]+"")"),"AD")</f>
        <v>AD</v>
      </c>
      <c r="K110" s="18" t="str">
        <f aca="false">IFERROR(__xludf.dummyfunction("REGEXEXTRACT(ADDRESS(ROW(), 36+$H110), ""[A-Z]+"")"),"AJ")</f>
        <v>AJ</v>
      </c>
      <c r="L110" s="18" t="str">
        <f aca="false">IFERROR(__xludf.dummyfunction("REGEXEXTRACT(ADDRESS(ROW(), 42+$H110), ""[A-Z]+"")"),"AP")</f>
        <v>AP</v>
      </c>
      <c r="M110" s="18" t="str">
        <f aca="false">IFERROR(__xludf.dummyfunction("REGEXEXTRACT(ADDRESS(ROW(), 48+$H110), ""[A-Z]+"")"),"AV")</f>
        <v>AV</v>
      </c>
      <c r="N110" s="18" t="str">
        <f aca="false">IFERROR(__xludf.dummyfunction("REGEXEXTRACT(ADDRESS(ROW(), 50+$H110), ""[A-Z]+"")"),"AX")</f>
        <v>AX</v>
      </c>
      <c r="O110" s="18" t="str">
        <f aca="false">IFERROR(__xludf.dummyfunction("REGEXEXTRACT(ADDRESS(ROW(), 51+$H110), ""[A-Z]+"")"),"AY")</f>
        <v>AY</v>
      </c>
      <c r="P110" s="18" t="str">
        <f aca="false">IFERROR(__xludf.dummyfunction("REGEXEXTRACT(ADDRESS(ROW(), 54+$H110), ""[A-Z]+"")"),"BB")</f>
        <v>BB</v>
      </c>
      <c r="Q110" s="18" t="str">
        <f aca="false">IFERROR(__xludf.dummyfunction("REGEXEXTRACT(ADDRESS(ROW(), 59+$H110), ""[A-Z]+"")"),"BG")</f>
        <v>BG</v>
      </c>
      <c r="R110" s="18" t="str">
        <f aca="false">IFERROR(__xludf.dummyfunction("REGEXEXTRACT(ADDRESS(ROW(), 60+$H110), ""[A-Z]+"")"),"BH")</f>
        <v>BH</v>
      </c>
      <c r="S110" s="18" t="str">
        <f aca="false">IFERROR(__xludf.dummyfunction("REGEXEXTRACT(ADDRESS(ROW(), 62+$H110), ""[A-Z]+"")"),"BJ")</f>
        <v>BJ</v>
      </c>
      <c r="T110" s="18" t="str">
        <f aca="false">IFERROR(__xludf.dummyfunction("REGEXEXTRACT(ADDRESS(ROW(), 63+$H110), ""[A-Z]+"")"),"BK")</f>
        <v>BK</v>
      </c>
      <c r="U110" s="19" t="n">
        <f aca="false">IFERROR(__xludf.dummyfunction("IFERROR(QUERY(INDIRECT(""'""&amp;F110&amp;""'!C3:""&amp;T110&amp;""""), ""SELECT ""&amp;I110&amp;"", ""&amp;J110&amp;"", ""&amp;K110&amp;"", ""&amp;L110&amp;"", ""&amp;M110&amp;"", ""&amp;N110&amp;"", ""&amp;O110&amp;"", ""&amp;P110&amp;"", ""&amp;Q110&amp;"", ""&amp;R110&amp;"", ""&amp;S110&amp;"" WHERE '""&amp;B110&amp;""' = D"", 0), """")"),10)</f>
        <v>10</v>
      </c>
      <c r="V110" s="22" t="n">
        <f aca="false">IFERROR(__xludf.dummyfunction("""COMPUTED_VALUE"""),10)</f>
        <v>10</v>
      </c>
      <c r="W110" s="22" t="n">
        <f aca="false">IFERROR(__xludf.dummyfunction("""COMPUTED_VALUE"""),10)</f>
        <v>10</v>
      </c>
      <c r="X110" s="22" t="n">
        <f aca="false">IFERROR(__xludf.dummyfunction("""COMPUTED_VALUE"""),10)</f>
        <v>10</v>
      </c>
      <c r="Y110" s="22" t="n">
        <f aca="false">IFERROR(__xludf.dummyfunction("""COMPUTED_VALUE"""),10)</f>
        <v>10</v>
      </c>
      <c r="Z110" s="22" t="n">
        <f aca="false">IFERROR(__xludf.dummyfunction("""COMPUTED_VALUE"""),2)</f>
        <v>2</v>
      </c>
      <c r="AA110" s="22"/>
      <c r="AB110" s="22" t="n">
        <f aca="false">IFERROR(__xludf.dummyfunction("""COMPUTED_VALUE"""),10)</f>
        <v>10</v>
      </c>
      <c r="AC110" s="22" t="n">
        <f aca="false">IFERROR(__xludf.dummyfunction("""COMPUTED_VALUE"""),29)</f>
        <v>29</v>
      </c>
      <c r="AD110" s="23"/>
      <c r="AE110" s="24" t="n">
        <f aca="false">IFERROR(__xludf.dummyfunction("""COMPUTED_VALUE"""),91)</f>
        <v>91</v>
      </c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</row>
    <row r="111" customFormat="false" ht="18.65" hidden="false" customHeight="false" outlineLevel="0" collapsed="false">
      <c r="A111" s="13" t="n">
        <v>110</v>
      </c>
      <c r="B111" s="14" t="s">
        <v>253</v>
      </c>
      <c r="C111" s="15" t="s">
        <v>254</v>
      </c>
      <c r="D111" s="16" t="s">
        <v>191</v>
      </c>
      <c r="E111" s="16" t="s">
        <v>191</v>
      </c>
      <c r="F111" s="16" t="str">
        <f aca="false">REPLACE(E111, 1, 3, "")</f>
        <v>12</v>
      </c>
      <c r="G111" s="17" t="str">
        <f aca="true">IFERROR(VLOOKUP(B111,INDIRECT("'"&amp;F111&amp;"'!D3:D"),1,FALSE()), "Not found")</f>
        <v>Not found</v>
      </c>
      <c r="H111" s="18" t="n">
        <f aca="true">INDIRECT("'"&amp;F111&amp;"'!D1")</f>
        <v>0</v>
      </c>
      <c r="I111" s="18" t="str">
        <f aca="false">IFERROR(__xludf.dummyfunction("REGEXEXTRACT(ADDRESS(ROW(), 24+$H111), ""[A-Z]+"")"),"X")</f>
        <v>X</v>
      </c>
      <c r="J111" s="18" t="str">
        <f aca="false">IFERROR(__xludf.dummyfunction("REGEXEXTRACT(ADDRESS(ROW(), 30+$H111), ""[A-Z]+"")"),"AD")</f>
        <v>AD</v>
      </c>
      <c r="K111" s="18" t="str">
        <f aca="false">IFERROR(__xludf.dummyfunction("REGEXEXTRACT(ADDRESS(ROW(), 36+$H111), ""[A-Z]+"")"),"AJ")</f>
        <v>AJ</v>
      </c>
      <c r="L111" s="18" t="str">
        <f aca="false">IFERROR(__xludf.dummyfunction("REGEXEXTRACT(ADDRESS(ROW(), 42+$H111), ""[A-Z]+"")"),"AP")</f>
        <v>AP</v>
      </c>
      <c r="M111" s="18" t="str">
        <f aca="false">IFERROR(__xludf.dummyfunction("REGEXEXTRACT(ADDRESS(ROW(), 48+$H111), ""[A-Z]+"")"),"AV")</f>
        <v>AV</v>
      </c>
      <c r="N111" s="18" t="str">
        <f aca="false">IFERROR(__xludf.dummyfunction("REGEXEXTRACT(ADDRESS(ROW(), 50+$H111), ""[A-Z]+"")"),"AX")</f>
        <v>AX</v>
      </c>
      <c r="O111" s="18" t="str">
        <f aca="false">IFERROR(__xludf.dummyfunction("REGEXEXTRACT(ADDRESS(ROW(), 51+$H111), ""[A-Z]+"")"),"AY")</f>
        <v>AY</v>
      </c>
      <c r="P111" s="18" t="str">
        <f aca="false">IFERROR(__xludf.dummyfunction("REGEXEXTRACT(ADDRESS(ROW(), 54+$H111), ""[A-Z]+"")"),"BB")</f>
        <v>BB</v>
      </c>
      <c r="Q111" s="18" t="str">
        <f aca="false">IFERROR(__xludf.dummyfunction("REGEXEXTRACT(ADDRESS(ROW(), 59+$H111), ""[A-Z]+"")"),"BG")</f>
        <v>BG</v>
      </c>
      <c r="R111" s="18" t="str">
        <f aca="false">IFERROR(__xludf.dummyfunction("REGEXEXTRACT(ADDRESS(ROW(), 60+$H111), ""[A-Z]+"")"),"BH")</f>
        <v>BH</v>
      </c>
      <c r="S111" s="18" t="str">
        <f aca="false">IFERROR(__xludf.dummyfunction("REGEXEXTRACT(ADDRESS(ROW(), 62+$H111), ""[A-Z]+"")"),"BJ")</f>
        <v>BJ</v>
      </c>
      <c r="T111" s="18" t="str">
        <f aca="false">IFERROR(__xludf.dummyfunction("REGEXEXTRACT(ADDRESS(ROW(), 63+$H111), ""[A-Z]+"")"),"BK")</f>
        <v>BK</v>
      </c>
      <c r="U111" s="19" t="n">
        <f aca="false">IFERROR(__xludf.dummyfunction("IFERROR(QUERY(INDIRECT(""'""&amp;F111&amp;""'!C3:""&amp;T111&amp;""""), ""SELECT ""&amp;I111&amp;"", ""&amp;J111&amp;"", ""&amp;K111&amp;"", ""&amp;L111&amp;"", ""&amp;M111&amp;"", ""&amp;N111&amp;"", ""&amp;O111&amp;"", ""&amp;P111&amp;"", ""&amp;Q111&amp;"", ""&amp;R111&amp;"", ""&amp;S111&amp;"" WHERE '""&amp;B111&amp;""' = D"", 0), """")"),9.5)</f>
        <v>9.5</v>
      </c>
      <c r="V111" s="22" t="n">
        <f aca="false">IFERROR(__xludf.dummyfunction("""COMPUTED_VALUE"""),10)</f>
        <v>10</v>
      </c>
      <c r="W111" s="22" t="n">
        <f aca="false">IFERROR(__xludf.dummyfunction("""COMPUTED_VALUE"""),10)</f>
        <v>10</v>
      </c>
      <c r="X111" s="22"/>
      <c r="Y111" s="22" t="n">
        <f aca="false">IFERROR(__xludf.dummyfunction("""COMPUTED_VALUE"""),0)</f>
        <v>0</v>
      </c>
      <c r="Z111" s="22"/>
      <c r="AA111" s="22" t="n">
        <f aca="false">IFERROR(__xludf.dummyfunction("""COMPUTED_VALUE"""),2)</f>
        <v>2</v>
      </c>
      <c r="AB111" s="22" t="n">
        <f aca="false">IFERROR(__xludf.dummyfunction("""COMPUTED_VALUE"""),0.01)</f>
        <v>0.01</v>
      </c>
      <c r="AC111" s="22" t="n">
        <f aca="false">IFERROR(__xludf.dummyfunction("""COMPUTED_VALUE"""),0)</f>
        <v>0</v>
      </c>
      <c r="AD111" s="23"/>
      <c r="AE111" s="24" t="n">
        <f aca="false">IFERROR(__xludf.dummyfunction("""COMPUTED_VALUE"""),31.51)</f>
        <v>31.51</v>
      </c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</row>
    <row r="112" customFormat="false" ht="18.65" hidden="false" customHeight="false" outlineLevel="0" collapsed="false">
      <c r="A112" s="13" t="n">
        <v>111</v>
      </c>
      <c r="B112" s="14" t="s">
        <v>255</v>
      </c>
      <c r="C112" s="15" t="s">
        <v>256</v>
      </c>
      <c r="D112" s="16" t="s">
        <v>213</v>
      </c>
      <c r="E112" s="16" t="s">
        <v>213</v>
      </c>
      <c r="F112" s="16" t="str">
        <f aca="false">REPLACE(E112, 1, 3, "")</f>
        <v>16</v>
      </c>
      <c r="G112" s="17" t="str">
        <f aca="true">IFERROR(VLOOKUP(B112,INDIRECT("'"&amp;F112&amp;"'!D3:D"),1,FALSE()), "Not found")</f>
        <v>Not found</v>
      </c>
      <c r="H112" s="18" t="n">
        <f aca="true">INDIRECT("'"&amp;F112&amp;"'!D1")</f>
        <v>0</v>
      </c>
      <c r="I112" s="18" t="str">
        <f aca="false">IFERROR(__xludf.dummyfunction("REGEXEXTRACT(ADDRESS(ROW(), 24+$H112), ""[A-Z]+"")"),"X")</f>
        <v>X</v>
      </c>
      <c r="J112" s="18" t="str">
        <f aca="false">IFERROR(__xludf.dummyfunction("REGEXEXTRACT(ADDRESS(ROW(), 30+$H112), ""[A-Z]+"")"),"AD")</f>
        <v>AD</v>
      </c>
      <c r="K112" s="18" t="str">
        <f aca="false">IFERROR(__xludf.dummyfunction("REGEXEXTRACT(ADDRESS(ROW(), 36+$H112), ""[A-Z]+"")"),"AJ")</f>
        <v>AJ</v>
      </c>
      <c r="L112" s="18" t="str">
        <f aca="false">IFERROR(__xludf.dummyfunction("REGEXEXTRACT(ADDRESS(ROW(), 42+$H112), ""[A-Z]+"")"),"AP")</f>
        <v>AP</v>
      </c>
      <c r="M112" s="18" t="str">
        <f aca="false">IFERROR(__xludf.dummyfunction("REGEXEXTRACT(ADDRESS(ROW(), 48+$H112), ""[A-Z]+"")"),"AV")</f>
        <v>AV</v>
      </c>
      <c r="N112" s="18" t="str">
        <f aca="false">IFERROR(__xludf.dummyfunction("REGEXEXTRACT(ADDRESS(ROW(), 50+$H112), ""[A-Z]+"")"),"AX")</f>
        <v>AX</v>
      </c>
      <c r="O112" s="18" t="str">
        <f aca="false">IFERROR(__xludf.dummyfunction("REGEXEXTRACT(ADDRESS(ROW(), 51+$H112), ""[A-Z]+"")"),"AY")</f>
        <v>AY</v>
      </c>
      <c r="P112" s="18" t="str">
        <f aca="false">IFERROR(__xludf.dummyfunction("REGEXEXTRACT(ADDRESS(ROW(), 54+$H112), ""[A-Z]+"")"),"BB")</f>
        <v>BB</v>
      </c>
      <c r="Q112" s="18" t="str">
        <f aca="false">IFERROR(__xludf.dummyfunction("REGEXEXTRACT(ADDRESS(ROW(), 59+$H112), ""[A-Z]+"")"),"BG")</f>
        <v>BG</v>
      </c>
      <c r="R112" s="18" t="str">
        <f aca="false">IFERROR(__xludf.dummyfunction("REGEXEXTRACT(ADDRESS(ROW(), 60+$H112), ""[A-Z]+"")"),"BH")</f>
        <v>BH</v>
      </c>
      <c r="S112" s="18" t="str">
        <f aca="false">IFERROR(__xludf.dummyfunction("REGEXEXTRACT(ADDRESS(ROW(), 62+$H112), ""[A-Z]+"")"),"BJ")</f>
        <v>BJ</v>
      </c>
      <c r="T112" s="18" t="str">
        <f aca="false">IFERROR(__xludf.dummyfunction("REGEXEXTRACT(ADDRESS(ROW(), 63+$H112), ""[A-Z]+"")"),"BK")</f>
        <v>BK</v>
      </c>
      <c r="U112" s="19" t="n">
        <f aca="false">IFERROR(__xludf.dummyfunction("IFERROR(QUERY(INDIRECT(""'""&amp;F112&amp;""'!C3:""&amp;T112&amp;""""), ""SELECT ""&amp;I112&amp;"", ""&amp;J112&amp;"", ""&amp;K112&amp;"", ""&amp;L112&amp;"", ""&amp;M112&amp;"", ""&amp;N112&amp;"", ""&amp;O112&amp;"", ""&amp;P112&amp;"", ""&amp;Q112&amp;"", ""&amp;R112&amp;"", ""&amp;S112&amp;"" WHERE '""&amp;B112&amp;""' = D"", 0), """")"),8)</f>
        <v>8</v>
      </c>
      <c r="V112" s="22" t="n">
        <f aca="false">IFERROR(__xludf.dummyfunction("""COMPUTED_VALUE"""),8)</f>
        <v>8</v>
      </c>
      <c r="W112" s="22" t="n">
        <f aca="false">IFERROR(__xludf.dummyfunction("""COMPUTED_VALUE"""),8)</f>
        <v>8</v>
      </c>
      <c r="X112" s="22"/>
      <c r="Y112" s="22" t="n">
        <f aca="false">IFERROR(__xludf.dummyfunction("""COMPUTED_VALUE"""),0)</f>
        <v>0</v>
      </c>
      <c r="Z112" s="22"/>
      <c r="AA112" s="22"/>
      <c r="AB112" s="22" t="n">
        <f aca="false">IFERROR(__xludf.dummyfunction("""COMPUTED_VALUE"""),0)</f>
        <v>0</v>
      </c>
      <c r="AC112" s="22"/>
      <c r="AD112" s="23"/>
      <c r="AE112" s="24" t="n">
        <f aca="false">IFERROR(__xludf.dummyfunction("""COMPUTED_VALUE"""),24)</f>
        <v>24</v>
      </c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</row>
    <row r="113" customFormat="false" ht="18.65" hidden="false" customHeight="false" outlineLevel="0" collapsed="false">
      <c r="A113" s="13" t="n">
        <v>112</v>
      </c>
      <c r="B113" s="14" t="s">
        <v>257</v>
      </c>
      <c r="C113" s="15" t="s">
        <v>258</v>
      </c>
      <c r="D113" s="16" t="s">
        <v>194</v>
      </c>
      <c r="E113" s="16" t="s">
        <v>194</v>
      </c>
      <c r="F113" s="16" t="str">
        <f aca="false">REPLACE(E113, 1, 3, "")</f>
        <v>10</v>
      </c>
      <c r="G113" s="17" t="str">
        <f aca="true">IFERROR(VLOOKUP(B113,INDIRECT("'"&amp;F113&amp;"'!D3:D"),1,FALSE()), "Not found")</f>
        <v>Not found</v>
      </c>
      <c r="H113" s="18" t="n">
        <f aca="true">INDIRECT("'"&amp;F113&amp;"'!D1")</f>
        <v>0</v>
      </c>
      <c r="I113" s="18" t="str">
        <f aca="false">IFERROR(__xludf.dummyfunction("REGEXEXTRACT(ADDRESS(ROW(), 24+$H113), ""[A-Z]+"")"),"X")</f>
        <v>X</v>
      </c>
      <c r="J113" s="18" t="str">
        <f aca="false">IFERROR(__xludf.dummyfunction("REGEXEXTRACT(ADDRESS(ROW(), 30+$H113), ""[A-Z]+"")"),"AD")</f>
        <v>AD</v>
      </c>
      <c r="K113" s="18" t="str">
        <f aca="false">IFERROR(__xludf.dummyfunction("REGEXEXTRACT(ADDRESS(ROW(), 36+$H113), ""[A-Z]+"")"),"AJ")</f>
        <v>AJ</v>
      </c>
      <c r="L113" s="18" t="str">
        <f aca="false">IFERROR(__xludf.dummyfunction("REGEXEXTRACT(ADDRESS(ROW(), 42+$H113), ""[A-Z]+"")"),"AP")</f>
        <v>AP</v>
      </c>
      <c r="M113" s="18" t="str">
        <f aca="false">IFERROR(__xludf.dummyfunction("REGEXEXTRACT(ADDRESS(ROW(), 48+$H113), ""[A-Z]+"")"),"AV")</f>
        <v>AV</v>
      </c>
      <c r="N113" s="18" t="str">
        <f aca="false">IFERROR(__xludf.dummyfunction("REGEXEXTRACT(ADDRESS(ROW(), 50+$H113), ""[A-Z]+"")"),"AX")</f>
        <v>AX</v>
      </c>
      <c r="O113" s="18" t="str">
        <f aca="false">IFERROR(__xludf.dummyfunction("REGEXEXTRACT(ADDRESS(ROW(), 51+$H113), ""[A-Z]+"")"),"AY")</f>
        <v>AY</v>
      </c>
      <c r="P113" s="18" t="str">
        <f aca="false">IFERROR(__xludf.dummyfunction("REGEXEXTRACT(ADDRESS(ROW(), 54+$H113), ""[A-Z]+"")"),"BB")</f>
        <v>BB</v>
      </c>
      <c r="Q113" s="18" t="str">
        <f aca="false">IFERROR(__xludf.dummyfunction("REGEXEXTRACT(ADDRESS(ROW(), 59+$H113), ""[A-Z]+"")"),"BG")</f>
        <v>BG</v>
      </c>
      <c r="R113" s="18" t="str">
        <f aca="false">IFERROR(__xludf.dummyfunction("REGEXEXTRACT(ADDRESS(ROW(), 60+$H113), ""[A-Z]+"")"),"BH")</f>
        <v>BH</v>
      </c>
      <c r="S113" s="18" t="str">
        <f aca="false">IFERROR(__xludf.dummyfunction("REGEXEXTRACT(ADDRESS(ROW(), 62+$H113), ""[A-Z]+"")"),"BJ")</f>
        <v>BJ</v>
      </c>
      <c r="T113" s="18" t="str">
        <f aca="false">IFERROR(__xludf.dummyfunction("REGEXEXTRACT(ADDRESS(ROW(), 63+$H113), ""[A-Z]+"")"),"BK")</f>
        <v>BK</v>
      </c>
      <c r="U113" s="19" t="n">
        <f aca="false">IFERROR(__xludf.dummyfunction("IFERROR(QUERY(INDIRECT(""'""&amp;F113&amp;""'!C3:""&amp;T113&amp;""""), ""SELECT ""&amp;I113&amp;"", ""&amp;J113&amp;"", ""&amp;K113&amp;"", ""&amp;L113&amp;"", ""&amp;M113&amp;"", ""&amp;N113&amp;"", ""&amp;O113&amp;"", ""&amp;P113&amp;"", ""&amp;Q113&amp;"", ""&amp;R113&amp;"", ""&amp;S113&amp;"" WHERE '""&amp;B113&amp;""' = D"", 0), """")"),1)</f>
        <v>1</v>
      </c>
      <c r="V113" s="22"/>
      <c r="W113" s="22"/>
      <c r="X113" s="22"/>
      <c r="Y113" s="22" t="n">
        <f aca="false">IFERROR(__xludf.dummyfunction("""COMPUTED_VALUE"""),0)</f>
        <v>0</v>
      </c>
      <c r="Z113" s="22" t="n">
        <f aca="false">IFERROR(__xludf.dummyfunction("""COMPUTED_VALUE"""),0)</f>
        <v>0</v>
      </c>
      <c r="AA113" s="22"/>
      <c r="AB113" s="22" t="n">
        <f aca="false">IFERROR(__xludf.dummyfunction("""COMPUTED_VALUE"""),6)</f>
        <v>6</v>
      </c>
      <c r="AC113" s="22"/>
      <c r="AD113" s="23"/>
      <c r="AE113" s="24" t="n">
        <f aca="false">IFERROR(__xludf.dummyfunction("""COMPUTED_VALUE"""),7)</f>
        <v>7</v>
      </c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</row>
    <row r="114" customFormat="false" ht="18.65" hidden="false" customHeight="false" outlineLevel="0" collapsed="false">
      <c r="A114" s="13" t="n">
        <v>113</v>
      </c>
      <c r="B114" s="14" t="s">
        <v>259</v>
      </c>
      <c r="C114" s="15" t="s">
        <v>260</v>
      </c>
      <c r="D114" s="16" t="s">
        <v>180</v>
      </c>
      <c r="E114" s="16" t="s">
        <v>180</v>
      </c>
      <c r="F114" s="16" t="str">
        <f aca="false">REPLACE(E114, 1, 3, "")</f>
        <v>11</v>
      </c>
      <c r="G114" s="17" t="str">
        <f aca="true">IFERROR(VLOOKUP(B114,INDIRECT("'"&amp;F114&amp;"'!D3:D"),1,FALSE()), "Not found")</f>
        <v>Not found</v>
      </c>
      <c r="H114" s="18" t="n">
        <f aca="true">INDIRECT("'"&amp;F114&amp;"'!D1")</f>
        <v>0</v>
      </c>
      <c r="I114" s="18" t="str">
        <f aca="false">IFERROR(__xludf.dummyfunction("REGEXEXTRACT(ADDRESS(ROW(), 24+$H114), ""[A-Z]+"")"),"X")</f>
        <v>X</v>
      </c>
      <c r="J114" s="18" t="str">
        <f aca="false">IFERROR(__xludf.dummyfunction("REGEXEXTRACT(ADDRESS(ROW(), 30+$H114), ""[A-Z]+"")"),"AD")</f>
        <v>AD</v>
      </c>
      <c r="K114" s="18" t="str">
        <f aca="false">IFERROR(__xludf.dummyfunction("REGEXEXTRACT(ADDRESS(ROW(), 36+$H114), ""[A-Z]+"")"),"AJ")</f>
        <v>AJ</v>
      </c>
      <c r="L114" s="18" t="str">
        <f aca="false">IFERROR(__xludf.dummyfunction("REGEXEXTRACT(ADDRESS(ROW(), 42+$H114), ""[A-Z]+"")"),"AP")</f>
        <v>AP</v>
      </c>
      <c r="M114" s="18" t="str">
        <f aca="false">IFERROR(__xludf.dummyfunction("REGEXEXTRACT(ADDRESS(ROW(), 48+$H114), ""[A-Z]+"")"),"AV")</f>
        <v>AV</v>
      </c>
      <c r="N114" s="18" t="str">
        <f aca="false">IFERROR(__xludf.dummyfunction("REGEXEXTRACT(ADDRESS(ROW(), 50+$H114), ""[A-Z]+"")"),"AX")</f>
        <v>AX</v>
      </c>
      <c r="O114" s="18" t="str">
        <f aca="false">IFERROR(__xludf.dummyfunction("REGEXEXTRACT(ADDRESS(ROW(), 51+$H114), ""[A-Z]+"")"),"AY")</f>
        <v>AY</v>
      </c>
      <c r="P114" s="18" t="str">
        <f aca="false">IFERROR(__xludf.dummyfunction("REGEXEXTRACT(ADDRESS(ROW(), 54+$H114), ""[A-Z]+"")"),"BB")</f>
        <v>BB</v>
      </c>
      <c r="Q114" s="18" t="str">
        <f aca="false">IFERROR(__xludf.dummyfunction("REGEXEXTRACT(ADDRESS(ROW(), 59+$H114), ""[A-Z]+"")"),"BG")</f>
        <v>BG</v>
      </c>
      <c r="R114" s="18" t="str">
        <f aca="false">IFERROR(__xludf.dummyfunction("REGEXEXTRACT(ADDRESS(ROW(), 60+$H114), ""[A-Z]+"")"),"BH")</f>
        <v>BH</v>
      </c>
      <c r="S114" s="18" t="str">
        <f aca="false">IFERROR(__xludf.dummyfunction("REGEXEXTRACT(ADDRESS(ROW(), 62+$H114), ""[A-Z]+"")"),"BJ")</f>
        <v>BJ</v>
      </c>
      <c r="T114" s="18" t="str">
        <f aca="false">IFERROR(__xludf.dummyfunction("REGEXEXTRACT(ADDRESS(ROW(), 63+$H114), ""[A-Z]+"")"),"BK")</f>
        <v>BK</v>
      </c>
      <c r="U114" s="19" t="n">
        <f aca="false">IFERROR(__xludf.dummyfunction("IFERROR(QUERY(INDIRECT(""'""&amp;F114&amp;""'!C3:""&amp;T114&amp;""""), ""SELECT ""&amp;I114&amp;"", ""&amp;J114&amp;"", ""&amp;K114&amp;"", ""&amp;L114&amp;"", ""&amp;M114&amp;"", ""&amp;N114&amp;"", ""&amp;O114&amp;"", ""&amp;P114&amp;"", ""&amp;Q114&amp;"", ""&amp;R114&amp;"", ""&amp;S114&amp;"" WHERE '""&amp;B114&amp;""' = D"", 0), """")"),10)</f>
        <v>10</v>
      </c>
      <c r="V114" s="22" t="n">
        <f aca="false">IFERROR(__xludf.dummyfunction("""COMPUTED_VALUE"""),10)</f>
        <v>10</v>
      </c>
      <c r="W114" s="22" t="n">
        <f aca="false">IFERROR(__xludf.dummyfunction("""COMPUTED_VALUE"""),10)</f>
        <v>10</v>
      </c>
      <c r="X114" s="22" t="n">
        <f aca="false">IFERROR(__xludf.dummyfunction("""COMPUTED_VALUE"""),10)</f>
        <v>10</v>
      </c>
      <c r="Y114" s="22" t="n">
        <f aca="false">IFERROR(__xludf.dummyfunction("""COMPUTED_VALUE"""),10)</f>
        <v>10</v>
      </c>
      <c r="Z114" s="22"/>
      <c r="AA114" s="22" t="n">
        <f aca="false">IFERROR(__xludf.dummyfunction("""COMPUTED_VALUE"""),1)</f>
        <v>1</v>
      </c>
      <c r="AB114" s="22" t="n">
        <f aca="false">IFERROR(__xludf.dummyfunction("""COMPUTED_VALUE"""),6)</f>
        <v>6</v>
      </c>
      <c r="AC114" s="22" t="n">
        <f aca="false">IFERROR(__xludf.dummyfunction("""COMPUTED_VALUE"""),26)</f>
        <v>26</v>
      </c>
      <c r="AD114" s="23" t="n">
        <f aca="false">IFERROR(__xludf.dummyfunction("""COMPUTED_VALUE"""),2)</f>
        <v>2</v>
      </c>
      <c r="AE114" s="24" t="n">
        <f aca="false">IFERROR(__xludf.dummyfunction("""COMPUTED_VALUE"""),85)</f>
        <v>85</v>
      </c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</row>
    <row r="115" customFormat="false" ht="18.65" hidden="false" customHeight="false" outlineLevel="0" collapsed="false">
      <c r="A115" s="13" t="n">
        <v>114</v>
      </c>
      <c r="B115" s="14" t="s">
        <v>261</v>
      </c>
      <c r="C115" s="15" t="s">
        <v>262</v>
      </c>
      <c r="D115" s="16" t="s">
        <v>174</v>
      </c>
      <c r="E115" s="16" t="s">
        <v>174</v>
      </c>
      <c r="F115" s="16" t="str">
        <f aca="false">REPLACE(E115, 1, 3, "")</f>
        <v>08</v>
      </c>
      <c r="G115" s="17" t="str">
        <f aca="true">IFERROR(VLOOKUP(B115,INDIRECT("'"&amp;F115&amp;"'!D3:D"),1,FALSE()), "Not found")</f>
        <v>Not found</v>
      </c>
      <c r="H115" s="18" t="n">
        <f aca="true">INDIRECT("'"&amp;F115&amp;"'!D1")</f>
        <v>0</v>
      </c>
      <c r="I115" s="18" t="str">
        <f aca="false">IFERROR(__xludf.dummyfunction("REGEXEXTRACT(ADDRESS(ROW(), 24+$H115), ""[A-Z]+"")"),"X")</f>
        <v>X</v>
      </c>
      <c r="J115" s="18" t="str">
        <f aca="false">IFERROR(__xludf.dummyfunction("REGEXEXTRACT(ADDRESS(ROW(), 30+$H115), ""[A-Z]+"")"),"AD")</f>
        <v>AD</v>
      </c>
      <c r="K115" s="18" t="str">
        <f aca="false">IFERROR(__xludf.dummyfunction("REGEXEXTRACT(ADDRESS(ROW(), 36+$H115), ""[A-Z]+"")"),"AJ")</f>
        <v>AJ</v>
      </c>
      <c r="L115" s="18" t="str">
        <f aca="false">IFERROR(__xludf.dummyfunction("REGEXEXTRACT(ADDRESS(ROW(), 42+$H115), ""[A-Z]+"")"),"AP")</f>
        <v>AP</v>
      </c>
      <c r="M115" s="18" t="str">
        <f aca="false">IFERROR(__xludf.dummyfunction("REGEXEXTRACT(ADDRESS(ROW(), 48+$H115), ""[A-Z]+"")"),"AV")</f>
        <v>AV</v>
      </c>
      <c r="N115" s="18" t="str">
        <f aca="false">IFERROR(__xludf.dummyfunction("REGEXEXTRACT(ADDRESS(ROW(), 50+$H115), ""[A-Z]+"")"),"AX")</f>
        <v>AX</v>
      </c>
      <c r="O115" s="18" t="str">
        <f aca="false">IFERROR(__xludf.dummyfunction("REGEXEXTRACT(ADDRESS(ROW(), 51+$H115), ""[A-Z]+"")"),"AY")</f>
        <v>AY</v>
      </c>
      <c r="P115" s="18" t="str">
        <f aca="false">IFERROR(__xludf.dummyfunction("REGEXEXTRACT(ADDRESS(ROW(), 54+$H115), ""[A-Z]+"")"),"BB")</f>
        <v>BB</v>
      </c>
      <c r="Q115" s="18" t="str">
        <f aca="false">IFERROR(__xludf.dummyfunction("REGEXEXTRACT(ADDRESS(ROW(), 59+$H115), ""[A-Z]+"")"),"BG")</f>
        <v>BG</v>
      </c>
      <c r="R115" s="18" t="str">
        <f aca="false">IFERROR(__xludf.dummyfunction("REGEXEXTRACT(ADDRESS(ROW(), 60+$H115), ""[A-Z]+"")"),"BH")</f>
        <v>BH</v>
      </c>
      <c r="S115" s="18" t="str">
        <f aca="false">IFERROR(__xludf.dummyfunction("REGEXEXTRACT(ADDRESS(ROW(), 62+$H115), ""[A-Z]+"")"),"BJ")</f>
        <v>BJ</v>
      </c>
      <c r="T115" s="18" t="str">
        <f aca="false">IFERROR(__xludf.dummyfunction("REGEXEXTRACT(ADDRESS(ROW(), 63+$H115), ""[A-Z]+"")"),"BK")</f>
        <v>BK</v>
      </c>
      <c r="U115" s="19" t="n">
        <f aca="false">IFERROR(__xludf.dummyfunction("IFERROR(QUERY(INDIRECT(""'""&amp;F115&amp;""'!C3:""&amp;T115&amp;""""), ""SELECT ""&amp;I115&amp;"", ""&amp;J115&amp;"", ""&amp;K115&amp;"", ""&amp;L115&amp;"", ""&amp;M115&amp;"", ""&amp;N115&amp;"", ""&amp;O115&amp;"", ""&amp;P115&amp;"", ""&amp;Q115&amp;"", ""&amp;R115&amp;"", ""&amp;S115&amp;"" WHERE '""&amp;B115&amp;""' = D"", 0), """")"),10)</f>
        <v>10</v>
      </c>
      <c r="V115" s="22" t="n">
        <f aca="false">IFERROR(__xludf.dummyfunction("""COMPUTED_VALUE"""),10)</f>
        <v>10</v>
      </c>
      <c r="W115" s="22" t="n">
        <f aca="false">IFERROR(__xludf.dummyfunction("""COMPUTED_VALUE"""),10)</f>
        <v>10</v>
      </c>
      <c r="X115" s="22" t="n">
        <f aca="false">IFERROR(__xludf.dummyfunction("""COMPUTED_VALUE"""),10)</f>
        <v>10</v>
      </c>
      <c r="Y115" s="22" t="n">
        <f aca="false">IFERROR(__xludf.dummyfunction("""COMPUTED_VALUE"""),10)</f>
        <v>10</v>
      </c>
      <c r="Z115" s="22" t="n">
        <f aca="false">IFERROR(__xludf.dummyfunction("""COMPUTED_VALUE"""),3)</f>
        <v>3</v>
      </c>
      <c r="AA115" s="22" t="n">
        <f aca="false">IFERROR(__xludf.dummyfunction("""COMPUTED_VALUE"""),1.5)</f>
        <v>1.5</v>
      </c>
      <c r="AB115" s="22" t="n">
        <f aca="false">IFERROR(__xludf.dummyfunction("""COMPUTED_VALUE"""),10)</f>
        <v>10</v>
      </c>
      <c r="AC115" s="22" t="n">
        <f aca="false">IFERROR(__xludf.dummyfunction("""COMPUTED_VALUE"""),30)</f>
        <v>30</v>
      </c>
      <c r="AD115" s="23" t="n">
        <f aca="false">IFERROR(__xludf.dummyfunction("""COMPUTED_VALUE"""),2)</f>
        <v>2</v>
      </c>
      <c r="AE115" s="24" t="n">
        <f aca="false">IFERROR(__xludf.dummyfunction("""COMPUTED_VALUE"""),96.5)</f>
        <v>96.5</v>
      </c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</row>
    <row r="116" customFormat="false" ht="18.65" hidden="false" customHeight="false" outlineLevel="0" collapsed="false">
      <c r="A116" s="13" t="n">
        <v>115</v>
      </c>
      <c r="B116" s="14" t="s">
        <v>263</v>
      </c>
      <c r="C116" s="15" t="s">
        <v>264</v>
      </c>
      <c r="D116" s="16" t="s">
        <v>213</v>
      </c>
      <c r="E116" s="16" t="s">
        <v>213</v>
      </c>
      <c r="F116" s="16" t="str">
        <f aca="false">REPLACE(E116, 1, 3, "")</f>
        <v>16</v>
      </c>
      <c r="G116" s="17" t="str">
        <f aca="true">IFERROR(VLOOKUP(B116,INDIRECT("'"&amp;F116&amp;"'!D3:D"),1,FALSE()), "Not found")</f>
        <v>Not found</v>
      </c>
      <c r="H116" s="18" t="n">
        <f aca="true">INDIRECT("'"&amp;F116&amp;"'!D1")</f>
        <v>0</v>
      </c>
      <c r="I116" s="18" t="str">
        <f aca="false">IFERROR(__xludf.dummyfunction("REGEXEXTRACT(ADDRESS(ROW(), 24+$H116), ""[A-Z]+"")"),"X")</f>
        <v>X</v>
      </c>
      <c r="J116" s="18" t="str">
        <f aca="false">IFERROR(__xludf.dummyfunction("REGEXEXTRACT(ADDRESS(ROW(), 30+$H116), ""[A-Z]+"")"),"AD")</f>
        <v>AD</v>
      </c>
      <c r="K116" s="18" t="str">
        <f aca="false">IFERROR(__xludf.dummyfunction("REGEXEXTRACT(ADDRESS(ROW(), 36+$H116), ""[A-Z]+"")"),"AJ")</f>
        <v>AJ</v>
      </c>
      <c r="L116" s="18" t="str">
        <f aca="false">IFERROR(__xludf.dummyfunction("REGEXEXTRACT(ADDRESS(ROW(), 42+$H116), ""[A-Z]+"")"),"AP")</f>
        <v>AP</v>
      </c>
      <c r="M116" s="18" t="str">
        <f aca="false">IFERROR(__xludf.dummyfunction("REGEXEXTRACT(ADDRESS(ROW(), 48+$H116), ""[A-Z]+"")"),"AV")</f>
        <v>AV</v>
      </c>
      <c r="N116" s="18" t="str">
        <f aca="false">IFERROR(__xludf.dummyfunction("REGEXEXTRACT(ADDRESS(ROW(), 50+$H116), ""[A-Z]+"")"),"AX")</f>
        <v>AX</v>
      </c>
      <c r="O116" s="18" t="str">
        <f aca="false">IFERROR(__xludf.dummyfunction("REGEXEXTRACT(ADDRESS(ROW(), 51+$H116), ""[A-Z]+"")"),"AY")</f>
        <v>AY</v>
      </c>
      <c r="P116" s="18" t="str">
        <f aca="false">IFERROR(__xludf.dummyfunction("REGEXEXTRACT(ADDRESS(ROW(), 54+$H116), ""[A-Z]+"")"),"BB")</f>
        <v>BB</v>
      </c>
      <c r="Q116" s="18" t="str">
        <f aca="false">IFERROR(__xludf.dummyfunction("REGEXEXTRACT(ADDRESS(ROW(), 59+$H116), ""[A-Z]+"")"),"BG")</f>
        <v>BG</v>
      </c>
      <c r="R116" s="18" t="str">
        <f aca="false">IFERROR(__xludf.dummyfunction("REGEXEXTRACT(ADDRESS(ROW(), 60+$H116), ""[A-Z]+"")"),"BH")</f>
        <v>BH</v>
      </c>
      <c r="S116" s="18" t="str">
        <f aca="false">IFERROR(__xludf.dummyfunction("REGEXEXTRACT(ADDRESS(ROW(), 62+$H116), ""[A-Z]+"")"),"BJ")</f>
        <v>BJ</v>
      </c>
      <c r="T116" s="18" t="str">
        <f aca="false">IFERROR(__xludf.dummyfunction("REGEXEXTRACT(ADDRESS(ROW(), 63+$H116), ""[A-Z]+"")"),"BK")</f>
        <v>BK</v>
      </c>
      <c r="U116" s="19" t="n">
        <f aca="false">IFERROR(__xludf.dummyfunction("IFERROR(QUERY(INDIRECT(""'""&amp;F116&amp;""'!C3:""&amp;T116&amp;""""), ""SELECT ""&amp;I116&amp;"", ""&amp;J116&amp;"", ""&amp;K116&amp;"", ""&amp;L116&amp;"", ""&amp;M116&amp;"", ""&amp;N116&amp;"", ""&amp;O116&amp;"", ""&amp;P116&amp;"", ""&amp;Q116&amp;"", ""&amp;R116&amp;"", ""&amp;S116&amp;"" WHERE '""&amp;B116&amp;""' = D"", 0), """")"),10)</f>
        <v>10</v>
      </c>
      <c r="V116" s="22" t="n">
        <f aca="false">IFERROR(__xludf.dummyfunction("""COMPUTED_VALUE"""),8.5)</f>
        <v>8.5</v>
      </c>
      <c r="W116" s="22" t="n">
        <f aca="false">IFERROR(__xludf.dummyfunction("""COMPUTED_VALUE"""),8.5)</f>
        <v>8.5</v>
      </c>
      <c r="X116" s="22" t="n">
        <f aca="false">IFERROR(__xludf.dummyfunction("""COMPUTED_VALUE"""),9.5)</f>
        <v>9.5</v>
      </c>
      <c r="Y116" s="22" t="n">
        <f aca="false">IFERROR(__xludf.dummyfunction("""COMPUTED_VALUE"""),0)</f>
        <v>0</v>
      </c>
      <c r="Z116" s="22" t="n">
        <f aca="false">IFERROR(__xludf.dummyfunction("""COMPUTED_VALUE"""),0)</f>
        <v>0</v>
      </c>
      <c r="AA116" s="22"/>
      <c r="AB116" s="22" t="n">
        <f aca="false">IFERROR(__xludf.dummyfunction("""COMPUTED_VALUE"""),6)</f>
        <v>6</v>
      </c>
      <c r="AC116" s="22" t="n">
        <f aca="false">IFERROR(__xludf.dummyfunction("""COMPUTED_VALUE"""),24)</f>
        <v>24</v>
      </c>
      <c r="AD116" s="23" t="n">
        <f aca="false">IFERROR(__xludf.dummyfunction("""COMPUTED_VALUE"""),1)</f>
        <v>1</v>
      </c>
      <c r="AE116" s="24" t="n">
        <f aca="false">IFERROR(__xludf.dummyfunction("""COMPUTED_VALUE"""),67.5)</f>
        <v>67.5</v>
      </c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</row>
    <row r="117" customFormat="false" ht="18.65" hidden="false" customHeight="false" outlineLevel="0" collapsed="false">
      <c r="A117" s="13" t="n">
        <v>116</v>
      </c>
      <c r="B117" s="14" t="s">
        <v>265</v>
      </c>
      <c r="C117" s="15" t="s">
        <v>266</v>
      </c>
      <c r="D117" s="16" t="s">
        <v>180</v>
      </c>
      <c r="E117" s="16" t="s">
        <v>180</v>
      </c>
      <c r="F117" s="16" t="str">
        <f aca="false">REPLACE(E117, 1, 3, "")</f>
        <v>11</v>
      </c>
      <c r="G117" s="17" t="str">
        <f aca="true">IFERROR(VLOOKUP(B117,INDIRECT("'"&amp;F117&amp;"'!D3:D"),1,FALSE()), "Not found")</f>
        <v>Not found</v>
      </c>
      <c r="H117" s="18" t="n">
        <f aca="true">INDIRECT("'"&amp;F117&amp;"'!D1")</f>
        <v>0</v>
      </c>
      <c r="I117" s="18" t="str">
        <f aca="false">IFERROR(__xludf.dummyfunction("REGEXEXTRACT(ADDRESS(ROW(), 24+$H117), ""[A-Z]+"")"),"X")</f>
        <v>X</v>
      </c>
      <c r="J117" s="18" t="str">
        <f aca="false">IFERROR(__xludf.dummyfunction("REGEXEXTRACT(ADDRESS(ROW(), 30+$H117), ""[A-Z]+"")"),"AD")</f>
        <v>AD</v>
      </c>
      <c r="K117" s="18" t="str">
        <f aca="false">IFERROR(__xludf.dummyfunction("REGEXEXTRACT(ADDRESS(ROW(), 36+$H117), ""[A-Z]+"")"),"AJ")</f>
        <v>AJ</v>
      </c>
      <c r="L117" s="18" t="str">
        <f aca="false">IFERROR(__xludf.dummyfunction("REGEXEXTRACT(ADDRESS(ROW(), 42+$H117), ""[A-Z]+"")"),"AP")</f>
        <v>AP</v>
      </c>
      <c r="M117" s="18" t="str">
        <f aca="false">IFERROR(__xludf.dummyfunction("REGEXEXTRACT(ADDRESS(ROW(), 48+$H117), ""[A-Z]+"")"),"AV")</f>
        <v>AV</v>
      </c>
      <c r="N117" s="18" t="str">
        <f aca="false">IFERROR(__xludf.dummyfunction("REGEXEXTRACT(ADDRESS(ROW(), 50+$H117), ""[A-Z]+"")"),"AX")</f>
        <v>AX</v>
      </c>
      <c r="O117" s="18" t="str">
        <f aca="false">IFERROR(__xludf.dummyfunction("REGEXEXTRACT(ADDRESS(ROW(), 51+$H117), ""[A-Z]+"")"),"AY")</f>
        <v>AY</v>
      </c>
      <c r="P117" s="18" t="str">
        <f aca="false">IFERROR(__xludf.dummyfunction("REGEXEXTRACT(ADDRESS(ROW(), 54+$H117), ""[A-Z]+"")"),"BB")</f>
        <v>BB</v>
      </c>
      <c r="Q117" s="18" t="str">
        <f aca="false">IFERROR(__xludf.dummyfunction("REGEXEXTRACT(ADDRESS(ROW(), 59+$H117), ""[A-Z]+"")"),"BG")</f>
        <v>BG</v>
      </c>
      <c r="R117" s="18" t="str">
        <f aca="false">IFERROR(__xludf.dummyfunction("REGEXEXTRACT(ADDRESS(ROW(), 60+$H117), ""[A-Z]+"")"),"BH")</f>
        <v>BH</v>
      </c>
      <c r="S117" s="18" t="str">
        <f aca="false">IFERROR(__xludf.dummyfunction("REGEXEXTRACT(ADDRESS(ROW(), 62+$H117), ""[A-Z]+"")"),"BJ")</f>
        <v>BJ</v>
      </c>
      <c r="T117" s="18" t="str">
        <f aca="false">IFERROR(__xludf.dummyfunction("REGEXEXTRACT(ADDRESS(ROW(), 63+$H117), ""[A-Z]+"")"),"BK")</f>
        <v>BK</v>
      </c>
      <c r="U117" s="19" t="n">
        <f aca="false">IFERROR(__xludf.dummyfunction("IFERROR(QUERY(INDIRECT(""'""&amp;F117&amp;""'!C3:""&amp;T117&amp;""""), ""SELECT ""&amp;I117&amp;"", ""&amp;J117&amp;"", ""&amp;K117&amp;"", ""&amp;L117&amp;"", ""&amp;M117&amp;"", ""&amp;N117&amp;"", ""&amp;O117&amp;"", ""&amp;P117&amp;"", ""&amp;Q117&amp;"", ""&amp;R117&amp;"", ""&amp;S117&amp;"" WHERE '""&amp;B117&amp;""' = D"", 0), """")"),10)</f>
        <v>10</v>
      </c>
      <c r="V117" s="22" t="n">
        <f aca="false">IFERROR(__xludf.dummyfunction("""COMPUTED_VALUE"""),10)</f>
        <v>10</v>
      </c>
      <c r="W117" s="22" t="n">
        <f aca="false">IFERROR(__xludf.dummyfunction("""COMPUTED_VALUE"""),10)</f>
        <v>10</v>
      </c>
      <c r="X117" s="22" t="n">
        <f aca="false">IFERROR(__xludf.dummyfunction("""COMPUTED_VALUE"""),10)</f>
        <v>10</v>
      </c>
      <c r="Y117" s="22" t="n">
        <f aca="false">IFERROR(__xludf.dummyfunction("""COMPUTED_VALUE"""),10)</f>
        <v>10</v>
      </c>
      <c r="Z117" s="22"/>
      <c r="AA117" s="22"/>
      <c r="AB117" s="22" t="n">
        <f aca="false">IFERROR(__xludf.dummyfunction("""COMPUTED_VALUE"""),6)</f>
        <v>6</v>
      </c>
      <c r="AC117" s="22" t="n">
        <f aca="false">IFERROR(__xludf.dummyfunction("""COMPUTED_VALUE"""),26)</f>
        <v>26</v>
      </c>
      <c r="AD117" s="23" t="n">
        <f aca="false">IFERROR(__xludf.dummyfunction("""COMPUTED_VALUE"""),3)</f>
        <v>3</v>
      </c>
      <c r="AE117" s="24" t="n">
        <f aca="false">IFERROR(__xludf.dummyfunction("""COMPUTED_VALUE"""),85)</f>
        <v>85</v>
      </c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</row>
    <row r="118" customFormat="false" ht="18.65" hidden="false" customHeight="false" outlineLevel="0" collapsed="false">
      <c r="A118" s="13" t="n">
        <v>117</v>
      </c>
      <c r="B118" s="14" t="s">
        <v>267</v>
      </c>
      <c r="C118" s="15" t="s">
        <v>268</v>
      </c>
      <c r="D118" s="16" t="s">
        <v>223</v>
      </c>
      <c r="E118" s="16" t="s">
        <v>223</v>
      </c>
      <c r="F118" s="16" t="str">
        <f aca="false">REPLACE(E118, 1, 3, "")</f>
        <v>17</v>
      </c>
      <c r="G118" s="17" t="str">
        <f aca="true">IFERROR(VLOOKUP(B118,INDIRECT("'"&amp;F118&amp;"'!D3:D"),1,FALSE()), "Not found")</f>
        <v>Not found</v>
      </c>
      <c r="H118" s="18" t="n">
        <f aca="true">INDIRECT("'"&amp;F118&amp;"'!D1")</f>
        <v>0</v>
      </c>
      <c r="I118" s="18" t="str">
        <f aca="false">IFERROR(__xludf.dummyfunction("REGEXEXTRACT(ADDRESS(ROW(), 24+$H118), ""[A-Z]+"")"),"X")</f>
        <v>X</v>
      </c>
      <c r="J118" s="18" t="str">
        <f aca="false">IFERROR(__xludf.dummyfunction("REGEXEXTRACT(ADDRESS(ROW(), 30+$H118), ""[A-Z]+"")"),"AD")</f>
        <v>AD</v>
      </c>
      <c r="K118" s="18" t="str">
        <f aca="false">IFERROR(__xludf.dummyfunction("REGEXEXTRACT(ADDRESS(ROW(), 36+$H118), ""[A-Z]+"")"),"AJ")</f>
        <v>AJ</v>
      </c>
      <c r="L118" s="18" t="str">
        <f aca="false">IFERROR(__xludf.dummyfunction("REGEXEXTRACT(ADDRESS(ROW(), 42+$H118), ""[A-Z]+"")"),"AP")</f>
        <v>AP</v>
      </c>
      <c r="M118" s="18" t="str">
        <f aca="false">IFERROR(__xludf.dummyfunction("REGEXEXTRACT(ADDRESS(ROW(), 48+$H118), ""[A-Z]+"")"),"AV")</f>
        <v>AV</v>
      </c>
      <c r="N118" s="18" t="str">
        <f aca="false">IFERROR(__xludf.dummyfunction("REGEXEXTRACT(ADDRESS(ROW(), 50+$H118), ""[A-Z]+"")"),"AX")</f>
        <v>AX</v>
      </c>
      <c r="O118" s="18" t="str">
        <f aca="false">IFERROR(__xludf.dummyfunction("REGEXEXTRACT(ADDRESS(ROW(), 51+$H118), ""[A-Z]+"")"),"AY")</f>
        <v>AY</v>
      </c>
      <c r="P118" s="18" t="str">
        <f aca="false">IFERROR(__xludf.dummyfunction("REGEXEXTRACT(ADDRESS(ROW(), 54+$H118), ""[A-Z]+"")"),"BB")</f>
        <v>BB</v>
      </c>
      <c r="Q118" s="18" t="str">
        <f aca="false">IFERROR(__xludf.dummyfunction("REGEXEXTRACT(ADDRESS(ROW(), 59+$H118), ""[A-Z]+"")"),"BG")</f>
        <v>BG</v>
      </c>
      <c r="R118" s="18" t="str">
        <f aca="false">IFERROR(__xludf.dummyfunction("REGEXEXTRACT(ADDRESS(ROW(), 60+$H118), ""[A-Z]+"")"),"BH")</f>
        <v>BH</v>
      </c>
      <c r="S118" s="18" t="str">
        <f aca="false">IFERROR(__xludf.dummyfunction("REGEXEXTRACT(ADDRESS(ROW(), 62+$H118), ""[A-Z]+"")"),"BJ")</f>
        <v>BJ</v>
      </c>
      <c r="T118" s="18" t="str">
        <f aca="false">IFERROR(__xludf.dummyfunction("REGEXEXTRACT(ADDRESS(ROW(), 63+$H118), ""[A-Z]+"")"),"BK")</f>
        <v>BK</v>
      </c>
      <c r="U118" s="19" t="str">
        <f aca="false">IFERROR(__xludf.dummyfunction("IFERROR(QUERY(INDIRECT(""'""&amp;F118&amp;""'!C3:""&amp;T118&amp;""""), ""SELECT ""&amp;I118&amp;"", ""&amp;J118&amp;"", ""&amp;K118&amp;"", ""&amp;L118&amp;"", ""&amp;M118&amp;"", ""&amp;N118&amp;"", ""&amp;O118&amp;"", ""&amp;P118&amp;"", ""&amp;Q118&amp;"", ""&amp;R118&amp;"", ""&amp;S118&amp;"" WHERE '""&amp;B118&amp;""' = D"", 0), """")"),"")</f>
        <v/>
      </c>
      <c r="V118" s="22"/>
      <c r="W118" s="22"/>
      <c r="X118" s="22"/>
      <c r="Y118" s="22" t="n">
        <f aca="false">IFERROR(__xludf.dummyfunction("""COMPUTED_VALUE"""),0)</f>
        <v>0</v>
      </c>
      <c r="Z118" s="22"/>
      <c r="AA118" s="22"/>
      <c r="AB118" s="22" t="n">
        <f aca="false">IFERROR(__xludf.dummyfunction("""COMPUTED_VALUE"""),6)</f>
        <v>6</v>
      </c>
      <c r="AC118" s="22"/>
      <c r="AD118" s="23"/>
      <c r="AE118" s="24" t="n">
        <f aca="false">IFERROR(__xludf.dummyfunction("""COMPUTED_VALUE"""),6)</f>
        <v>6</v>
      </c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</row>
    <row r="119" customFormat="false" ht="18.65" hidden="false" customHeight="false" outlineLevel="0" collapsed="false">
      <c r="A119" s="13" t="n">
        <v>118</v>
      </c>
      <c r="B119" s="14" t="s">
        <v>269</v>
      </c>
      <c r="C119" s="15" t="s">
        <v>270</v>
      </c>
      <c r="D119" s="16" t="s">
        <v>194</v>
      </c>
      <c r="E119" s="16" t="s">
        <v>194</v>
      </c>
      <c r="F119" s="16" t="str">
        <f aca="false">REPLACE(E119, 1, 3, "")</f>
        <v>10</v>
      </c>
      <c r="G119" s="17" t="str">
        <f aca="true">IFERROR(VLOOKUP(B119,INDIRECT("'"&amp;F119&amp;"'!D3:D"),1,FALSE()), "Not found")</f>
        <v>Not found</v>
      </c>
      <c r="H119" s="18" t="n">
        <f aca="true">INDIRECT("'"&amp;F119&amp;"'!D1")</f>
        <v>0</v>
      </c>
      <c r="I119" s="18" t="str">
        <f aca="false">IFERROR(__xludf.dummyfunction("REGEXEXTRACT(ADDRESS(ROW(), 24+$H119), ""[A-Z]+"")"),"X")</f>
        <v>X</v>
      </c>
      <c r="J119" s="18" t="str">
        <f aca="false">IFERROR(__xludf.dummyfunction("REGEXEXTRACT(ADDRESS(ROW(), 30+$H119), ""[A-Z]+"")"),"AD")</f>
        <v>AD</v>
      </c>
      <c r="K119" s="18" t="str">
        <f aca="false">IFERROR(__xludf.dummyfunction("REGEXEXTRACT(ADDRESS(ROW(), 36+$H119), ""[A-Z]+"")"),"AJ")</f>
        <v>AJ</v>
      </c>
      <c r="L119" s="18" t="str">
        <f aca="false">IFERROR(__xludf.dummyfunction("REGEXEXTRACT(ADDRESS(ROW(), 42+$H119), ""[A-Z]+"")"),"AP")</f>
        <v>AP</v>
      </c>
      <c r="M119" s="18" t="str">
        <f aca="false">IFERROR(__xludf.dummyfunction("REGEXEXTRACT(ADDRESS(ROW(), 48+$H119), ""[A-Z]+"")"),"AV")</f>
        <v>AV</v>
      </c>
      <c r="N119" s="18" t="str">
        <f aca="false">IFERROR(__xludf.dummyfunction("REGEXEXTRACT(ADDRESS(ROW(), 50+$H119), ""[A-Z]+"")"),"AX")</f>
        <v>AX</v>
      </c>
      <c r="O119" s="18" t="str">
        <f aca="false">IFERROR(__xludf.dummyfunction("REGEXEXTRACT(ADDRESS(ROW(), 51+$H119), ""[A-Z]+"")"),"AY")</f>
        <v>AY</v>
      </c>
      <c r="P119" s="18" t="str">
        <f aca="false">IFERROR(__xludf.dummyfunction("REGEXEXTRACT(ADDRESS(ROW(), 54+$H119), ""[A-Z]+"")"),"BB")</f>
        <v>BB</v>
      </c>
      <c r="Q119" s="18" t="str">
        <f aca="false">IFERROR(__xludf.dummyfunction("REGEXEXTRACT(ADDRESS(ROW(), 59+$H119), ""[A-Z]+"")"),"BG")</f>
        <v>BG</v>
      </c>
      <c r="R119" s="18" t="str">
        <f aca="false">IFERROR(__xludf.dummyfunction("REGEXEXTRACT(ADDRESS(ROW(), 60+$H119), ""[A-Z]+"")"),"BH")</f>
        <v>BH</v>
      </c>
      <c r="S119" s="18" t="str">
        <f aca="false">IFERROR(__xludf.dummyfunction("REGEXEXTRACT(ADDRESS(ROW(), 62+$H119), ""[A-Z]+"")"),"BJ")</f>
        <v>BJ</v>
      </c>
      <c r="T119" s="18" t="str">
        <f aca="false">IFERROR(__xludf.dummyfunction("REGEXEXTRACT(ADDRESS(ROW(), 63+$H119), ""[A-Z]+"")"),"BK")</f>
        <v>BK</v>
      </c>
      <c r="U119" s="19" t="n">
        <f aca="false">IFERROR(__xludf.dummyfunction("IFERROR(QUERY(INDIRECT(""'""&amp;F119&amp;""'!C3:""&amp;T119&amp;""""), ""SELECT ""&amp;I119&amp;"", ""&amp;J119&amp;"", ""&amp;K119&amp;"", ""&amp;L119&amp;"", ""&amp;M119&amp;"", ""&amp;N119&amp;"", ""&amp;O119&amp;"", ""&amp;P119&amp;"", ""&amp;Q119&amp;"", ""&amp;R119&amp;"", ""&amp;S119&amp;"" WHERE '""&amp;B119&amp;""' = D"", 0), """")"),8.5)</f>
        <v>8.5</v>
      </c>
      <c r="V119" s="22" t="n">
        <f aca="false">IFERROR(__xludf.dummyfunction("""COMPUTED_VALUE"""),9.3)</f>
        <v>9.3</v>
      </c>
      <c r="W119" s="22" t="n">
        <f aca="false">IFERROR(__xludf.dummyfunction("""COMPUTED_VALUE"""),8)</f>
        <v>8</v>
      </c>
      <c r="X119" s="22" t="n">
        <f aca="false">IFERROR(__xludf.dummyfunction("""COMPUTED_VALUE"""),9.4)</f>
        <v>9.4</v>
      </c>
      <c r="Y119" s="22" t="n">
        <f aca="false">IFERROR(__xludf.dummyfunction("""COMPUTED_VALUE"""),0)</f>
        <v>0</v>
      </c>
      <c r="Z119" s="22" t="n">
        <f aca="false">IFERROR(__xludf.dummyfunction("""COMPUTED_VALUE"""),0)</f>
        <v>0</v>
      </c>
      <c r="AA119" s="22"/>
      <c r="AB119" s="22" t="n">
        <f aca="false">IFERROR(__xludf.dummyfunction("""COMPUTED_VALUE"""),10)</f>
        <v>10</v>
      </c>
      <c r="AC119" s="22" t="n">
        <f aca="false">IFERROR(__xludf.dummyfunction("""COMPUTED_VALUE"""),28)</f>
        <v>28</v>
      </c>
      <c r="AD119" s="23" t="n">
        <f aca="false">IFERROR(__xludf.dummyfunction("""COMPUTED_VALUE"""),1)</f>
        <v>1</v>
      </c>
      <c r="AE119" s="24" t="n">
        <f aca="false">IFERROR(__xludf.dummyfunction("""COMPUTED_VALUE"""),74.2)</f>
        <v>74.2</v>
      </c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</row>
    <row r="120" customFormat="false" ht="18.65" hidden="false" customHeight="false" outlineLevel="0" collapsed="false">
      <c r="A120" s="13" t="n">
        <v>119</v>
      </c>
      <c r="B120" s="14" t="s">
        <v>271</v>
      </c>
      <c r="C120" s="15" t="s">
        <v>272</v>
      </c>
      <c r="D120" s="16" t="s">
        <v>235</v>
      </c>
      <c r="E120" s="16" t="s">
        <v>235</v>
      </c>
      <c r="F120" s="16" t="str">
        <f aca="false">REPLACE(E120, 1, 3, "")</f>
        <v>18</v>
      </c>
      <c r="G120" s="17" t="str">
        <f aca="true">IFERROR(VLOOKUP(B120,INDIRECT("'"&amp;F120&amp;"'!D3:D"),1,FALSE()), "Not found")</f>
        <v>Not found</v>
      </c>
      <c r="H120" s="18" t="n">
        <f aca="true">INDIRECT("'"&amp;F120&amp;"'!D1")</f>
        <v>0</v>
      </c>
      <c r="I120" s="18" t="str">
        <f aca="false">IFERROR(__xludf.dummyfunction("REGEXEXTRACT(ADDRESS(ROW(), 24+$H120), ""[A-Z]+"")"),"X")</f>
        <v>X</v>
      </c>
      <c r="J120" s="18" t="str">
        <f aca="false">IFERROR(__xludf.dummyfunction("REGEXEXTRACT(ADDRESS(ROW(), 30+$H120), ""[A-Z]+"")"),"AD")</f>
        <v>AD</v>
      </c>
      <c r="K120" s="18" t="str">
        <f aca="false">IFERROR(__xludf.dummyfunction("REGEXEXTRACT(ADDRESS(ROW(), 36+$H120), ""[A-Z]+"")"),"AJ")</f>
        <v>AJ</v>
      </c>
      <c r="L120" s="18" t="str">
        <f aca="false">IFERROR(__xludf.dummyfunction("REGEXEXTRACT(ADDRESS(ROW(), 42+$H120), ""[A-Z]+"")"),"AP")</f>
        <v>AP</v>
      </c>
      <c r="M120" s="18" t="str">
        <f aca="false">IFERROR(__xludf.dummyfunction("REGEXEXTRACT(ADDRESS(ROW(), 48+$H120), ""[A-Z]+"")"),"AV")</f>
        <v>AV</v>
      </c>
      <c r="N120" s="18" t="str">
        <f aca="false">IFERROR(__xludf.dummyfunction("REGEXEXTRACT(ADDRESS(ROW(), 50+$H120), ""[A-Z]+"")"),"AX")</f>
        <v>AX</v>
      </c>
      <c r="O120" s="18" t="str">
        <f aca="false">IFERROR(__xludf.dummyfunction("REGEXEXTRACT(ADDRESS(ROW(), 51+$H120), ""[A-Z]+"")"),"AY")</f>
        <v>AY</v>
      </c>
      <c r="P120" s="18" t="str">
        <f aca="false">IFERROR(__xludf.dummyfunction("REGEXEXTRACT(ADDRESS(ROW(), 54+$H120), ""[A-Z]+"")"),"BB")</f>
        <v>BB</v>
      </c>
      <c r="Q120" s="18" t="str">
        <f aca="false">IFERROR(__xludf.dummyfunction("REGEXEXTRACT(ADDRESS(ROW(), 59+$H120), ""[A-Z]+"")"),"BG")</f>
        <v>BG</v>
      </c>
      <c r="R120" s="18" t="str">
        <f aca="false">IFERROR(__xludf.dummyfunction("REGEXEXTRACT(ADDRESS(ROW(), 60+$H120), ""[A-Z]+"")"),"BH")</f>
        <v>BH</v>
      </c>
      <c r="S120" s="18" t="str">
        <f aca="false">IFERROR(__xludf.dummyfunction("REGEXEXTRACT(ADDRESS(ROW(), 62+$H120), ""[A-Z]+"")"),"BJ")</f>
        <v>BJ</v>
      </c>
      <c r="T120" s="18" t="str">
        <f aca="false">IFERROR(__xludf.dummyfunction("REGEXEXTRACT(ADDRESS(ROW(), 63+$H120), ""[A-Z]+"")"),"BK")</f>
        <v>BK</v>
      </c>
      <c r="U120" s="19" t="n">
        <f aca="false">IFERROR(__xludf.dummyfunction("IFERROR(QUERY(INDIRECT(""'""&amp;F120&amp;""'!C3:""&amp;T120&amp;""""), ""SELECT ""&amp;I120&amp;"", ""&amp;J120&amp;"", ""&amp;K120&amp;"", ""&amp;L120&amp;"", ""&amp;M120&amp;"", ""&amp;N120&amp;"", ""&amp;O120&amp;"", ""&amp;P120&amp;"", ""&amp;Q120&amp;"", ""&amp;R120&amp;"", ""&amp;S120&amp;"" WHERE '""&amp;B120&amp;""' = D"", 0), """")"),9.5)</f>
        <v>9.5</v>
      </c>
      <c r="V120" s="22" t="n">
        <f aca="false">IFERROR(__xludf.dummyfunction("""COMPUTED_VALUE"""),9)</f>
        <v>9</v>
      </c>
      <c r="W120" s="22" t="n">
        <f aca="false">IFERROR(__xludf.dummyfunction("""COMPUTED_VALUE"""),9)</f>
        <v>9</v>
      </c>
      <c r="X120" s="22" t="n">
        <f aca="false">IFERROR(__xludf.dummyfunction("""COMPUTED_VALUE"""),9)</f>
        <v>9</v>
      </c>
      <c r="Y120" s="22" t="n">
        <f aca="false">IFERROR(__xludf.dummyfunction("""COMPUTED_VALUE"""),10)</f>
        <v>10</v>
      </c>
      <c r="Z120" s="22" t="n">
        <f aca="false">IFERROR(__xludf.dummyfunction("""COMPUTED_VALUE"""),3)</f>
        <v>3</v>
      </c>
      <c r="AA120" s="22"/>
      <c r="AB120" s="22" t="n">
        <f aca="false">IFERROR(__xludf.dummyfunction("""COMPUTED_VALUE"""),8)</f>
        <v>8</v>
      </c>
      <c r="AC120" s="22" t="n">
        <f aca="false">IFERROR(__xludf.dummyfunction("""COMPUTED_VALUE"""),27)</f>
        <v>27</v>
      </c>
      <c r="AD120" s="23"/>
      <c r="AE120" s="24" t="n">
        <f aca="false">IFERROR(__xludf.dummyfunction("""COMPUTED_VALUE"""),84.5)</f>
        <v>84.5</v>
      </c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</row>
    <row r="121" customFormat="false" ht="18.65" hidden="false" customHeight="false" outlineLevel="0" collapsed="false">
      <c r="A121" s="13" t="n">
        <v>120</v>
      </c>
      <c r="B121" s="14" t="s">
        <v>273</v>
      </c>
      <c r="C121" s="15" t="s">
        <v>274</v>
      </c>
      <c r="D121" s="16" t="s">
        <v>180</v>
      </c>
      <c r="E121" s="16" t="s">
        <v>180</v>
      </c>
      <c r="F121" s="16" t="str">
        <f aca="false">REPLACE(E121, 1, 3, "")</f>
        <v>11</v>
      </c>
      <c r="G121" s="17" t="str">
        <f aca="true">IFERROR(VLOOKUP(B121,INDIRECT("'"&amp;F121&amp;"'!D3:D"),1,FALSE()), "Not found")</f>
        <v>Not found</v>
      </c>
      <c r="H121" s="18" t="n">
        <f aca="true">INDIRECT("'"&amp;F121&amp;"'!D1")</f>
        <v>0</v>
      </c>
      <c r="I121" s="18" t="str">
        <f aca="false">IFERROR(__xludf.dummyfunction("REGEXEXTRACT(ADDRESS(ROW(), 24+$H121), ""[A-Z]+"")"),"X")</f>
        <v>X</v>
      </c>
      <c r="J121" s="18" t="str">
        <f aca="false">IFERROR(__xludf.dummyfunction("REGEXEXTRACT(ADDRESS(ROW(), 30+$H121), ""[A-Z]+"")"),"AD")</f>
        <v>AD</v>
      </c>
      <c r="K121" s="18" t="str">
        <f aca="false">IFERROR(__xludf.dummyfunction("REGEXEXTRACT(ADDRESS(ROW(), 36+$H121), ""[A-Z]+"")"),"AJ")</f>
        <v>AJ</v>
      </c>
      <c r="L121" s="18" t="str">
        <f aca="false">IFERROR(__xludf.dummyfunction("REGEXEXTRACT(ADDRESS(ROW(), 42+$H121), ""[A-Z]+"")"),"AP")</f>
        <v>AP</v>
      </c>
      <c r="M121" s="18" t="str">
        <f aca="false">IFERROR(__xludf.dummyfunction("REGEXEXTRACT(ADDRESS(ROW(), 48+$H121), ""[A-Z]+"")"),"AV")</f>
        <v>AV</v>
      </c>
      <c r="N121" s="18" t="str">
        <f aca="false">IFERROR(__xludf.dummyfunction("REGEXEXTRACT(ADDRESS(ROW(), 50+$H121), ""[A-Z]+"")"),"AX")</f>
        <v>AX</v>
      </c>
      <c r="O121" s="18" t="str">
        <f aca="false">IFERROR(__xludf.dummyfunction("REGEXEXTRACT(ADDRESS(ROW(), 51+$H121), ""[A-Z]+"")"),"AY")</f>
        <v>AY</v>
      </c>
      <c r="P121" s="18" t="str">
        <f aca="false">IFERROR(__xludf.dummyfunction("REGEXEXTRACT(ADDRESS(ROW(), 54+$H121), ""[A-Z]+"")"),"BB")</f>
        <v>BB</v>
      </c>
      <c r="Q121" s="18" t="str">
        <f aca="false">IFERROR(__xludf.dummyfunction("REGEXEXTRACT(ADDRESS(ROW(), 59+$H121), ""[A-Z]+"")"),"BG")</f>
        <v>BG</v>
      </c>
      <c r="R121" s="18" t="str">
        <f aca="false">IFERROR(__xludf.dummyfunction("REGEXEXTRACT(ADDRESS(ROW(), 60+$H121), ""[A-Z]+"")"),"BH")</f>
        <v>BH</v>
      </c>
      <c r="S121" s="18" t="str">
        <f aca="false">IFERROR(__xludf.dummyfunction("REGEXEXTRACT(ADDRESS(ROW(), 62+$H121), ""[A-Z]+"")"),"BJ")</f>
        <v>BJ</v>
      </c>
      <c r="T121" s="18" t="str">
        <f aca="false">IFERROR(__xludf.dummyfunction("REGEXEXTRACT(ADDRESS(ROW(), 63+$H121), ""[A-Z]+"")"),"BK")</f>
        <v>BK</v>
      </c>
      <c r="U121" s="19" t="n">
        <f aca="false">IFERROR(__xludf.dummyfunction("IFERROR(QUERY(INDIRECT(""'""&amp;F121&amp;""'!C3:""&amp;T121&amp;""""), ""SELECT ""&amp;I121&amp;"", ""&amp;J121&amp;"", ""&amp;K121&amp;"", ""&amp;L121&amp;"", ""&amp;M121&amp;"", ""&amp;N121&amp;"", ""&amp;O121&amp;"", ""&amp;P121&amp;"", ""&amp;Q121&amp;"", ""&amp;R121&amp;"", ""&amp;S121&amp;"" WHERE '""&amp;B121&amp;""' = D"", 0), """")"),10)</f>
        <v>10</v>
      </c>
      <c r="V121" s="22" t="n">
        <f aca="false">IFERROR(__xludf.dummyfunction("""COMPUTED_VALUE"""),10)</f>
        <v>10</v>
      </c>
      <c r="W121" s="22" t="n">
        <f aca="false">IFERROR(__xludf.dummyfunction("""COMPUTED_VALUE"""),10)</f>
        <v>10</v>
      </c>
      <c r="X121" s="22" t="n">
        <f aca="false">IFERROR(__xludf.dummyfunction("""COMPUTED_VALUE"""),8)</f>
        <v>8</v>
      </c>
      <c r="Y121" s="22" t="n">
        <f aca="false">IFERROR(__xludf.dummyfunction("""COMPUTED_VALUE"""),0)</f>
        <v>0</v>
      </c>
      <c r="Z121" s="22" t="n">
        <f aca="false">IFERROR(__xludf.dummyfunction("""COMPUTED_VALUE"""),1)</f>
        <v>1</v>
      </c>
      <c r="AA121" s="22"/>
      <c r="AB121" s="22" t="n">
        <f aca="false">IFERROR(__xludf.dummyfunction("""COMPUTED_VALUE"""),7)</f>
        <v>7</v>
      </c>
      <c r="AC121" s="22"/>
      <c r="AD121" s="23"/>
      <c r="AE121" s="24" t="n">
        <f aca="false">IFERROR(__xludf.dummyfunction("""COMPUTED_VALUE"""),46)</f>
        <v>46</v>
      </c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</row>
    <row r="122" customFormat="false" ht="18.65" hidden="false" customHeight="false" outlineLevel="0" collapsed="false">
      <c r="A122" s="13" t="n">
        <v>121</v>
      </c>
      <c r="B122" s="14" t="s">
        <v>275</v>
      </c>
      <c r="C122" s="15" t="s">
        <v>276</v>
      </c>
      <c r="D122" s="16" t="s">
        <v>174</v>
      </c>
      <c r="E122" s="16" t="s">
        <v>174</v>
      </c>
      <c r="F122" s="16" t="str">
        <f aca="false">REPLACE(E122, 1, 3, "")</f>
        <v>08</v>
      </c>
      <c r="G122" s="17" t="str">
        <f aca="true">IFERROR(VLOOKUP(B122,INDIRECT("'"&amp;F122&amp;"'!D3:D"),1,FALSE()), "Not found")</f>
        <v>Not found</v>
      </c>
      <c r="H122" s="18" t="n">
        <f aca="true">INDIRECT("'"&amp;F122&amp;"'!D1")</f>
        <v>0</v>
      </c>
      <c r="I122" s="18" t="str">
        <f aca="false">IFERROR(__xludf.dummyfunction("REGEXEXTRACT(ADDRESS(ROW(), 24+$H122), ""[A-Z]+"")"),"X")</f>
        <v>X</v>
      </c>
      <c r="J122" s="18" t="str">
        <f aca="false">IFERROR(__xludf.dummyfunction("REGEXEXTRACT(ADDRESS(ROW(), 30+$H122), ""[A-Z]+"")"),"AD")</f>
        <v>AD</v>
      </c>
      <c r="K122" s="18" t="str">
        <f aca="false">IFERROR(__xludf.dummyfunction("REGEXEXTRACT(ADDRESS(ROW(), 36+$H122), ""[A-Z]+"")"),"AJ")</f>
        <v>AJ</v>
      </c>
      <c r="L122" s="18" t="str">
        <f aca="false">IFERROR(__xludf.dummyfunction("REGEXEXTRACT(ADDRESS(ROW(), 42+$H122), ""[A-Z]+"")"),"AP")</f>
        <v>AP</v>
      </c>
      <c r="M122" s="18" t="str">
        <f aca="false">IFERROR(__xludf.dummyfunction("REGEXEXTRACT(ADDRESS(ROW(), 48+$H122), ""[A-Z]+"")"),"AV")</f>
        <v>AV</v>
      </c>
      <c r="N122" s="18" t="str">
        <f aca="false">IFERROR(__xludf.dummyfunction("REGEXEXTRACT(ADDRESS(ROW(), 50+$H122), ""[A-Z]+"")"),"AX")</f>
        <v>AX</v>
      </c>
      <c r="O122" s="18" t="str">
        <f aca="false">IFERROR(__xludf.dummyfunction("REGEXEXTRACT(ADDRESS(ROW(), 51+$H122), ""[A-Z]+"")"),"AY")</f>
        <v>AY</v>
      </c>
      <c r="P122" s="18" t="str">
        <f aca="false">IFERROR(__xludf.dummyfunction("REGEXEXTRACT(ADDRESS(ROW(), 54+$H122), ""[A-Z]+"")"),"BB")</f>
        <v>BB</v>
      </c>
      <c r="Q122" s="18" t="str">
        <f aca="false">IFERROR(__xludf.dummyfunction("REGEXEXTRACT(ADDRESS(ROW(), 59+$H122), ""[A-Z]+"")"),"BG")</f>
        <v>BG</v>
      </c>
      <c r="R122" s="18" t="str">
        <f aca="false">IFERROR(__xludf.dummyfunction("REGEXEXTRACT(ADDRESS(ROW(), 60+$H122), ""[A-Z]+"")"),"BH")</f>
        <v>BH</v>
      </c>
      <c r="S122" s="18" t="str">
        <f aca="false">IFERROR(__xludf.dummyfunction("REGEXEXTRACT(ADDRESS(ROW(), 62+$H122), ""[A-Z]+"")"),"BJ")</f>
        <v>BJ</v>
      </c>
      <c r="T122" s="18" t="str">
        <f aca="false">IFERROR(__xludf.dummyfunction("REGEXEXTRACT(ADDRESS(ROW(), 63+$H122), ""[A-Z]+"")"),"BK")</f>
        <v>BK</v>
      </c>
      <c r="U122" s="19" t="n">
        <f aca="false">IFERROR(__xludf.dummyfunction("IFERROR(QUERY(INDIRECT(""'""&amp;F122&amp;""'!C3:""&amp;T122&amp;""""), ""SELECT ""&amp;I122&amp;"", ""&amp;J122&amp;"", ""&amp;K122&amp;"", ""&amp;L122&amp;"", ""&amp;M122&amp;"", ""&amp;N122&amp;"", ""&amp;O122&amp;"", ""&amp;P122&amp;"", ""&amp;Q122&amp;"", ""&amp;R122&amp;"", ""&amp;S122&amp;"" WHERE '""&amp;B122&amp;""' = D"", 0), """")"),10)</f>
        <v>10</v>
      </c>
      <c r="V122" s="22" t="n">
        <f aca="false">IFERROR(__xludf.dummyfunction("""COMPUTED_VALUE"""),9)</f>
        <v>9</v>
      </c>
      <c r="W122" s="22" t="n">
        <f aca="false">IFERROR(__xludf.dummyfunction("""COMPUTED_VALUE"""),9)</f>
        <v>9</v>
      </c>
      <c r="X122" s="22" t="n">
        <f aca="false">IFERROR(__xludf.dummyfunction("""COMPUTED_VALUE"""),7)</f>
        <v>7</v>
      </c>
      <c r="Y122" s="22" t="n">
        <f aca="false">IFERROR(__xludf.dummyfunction("""COMPUTED_VALUE"""),0)</f>
        <v>0</v>
      </c>
      <c r="Z122" s="22" t="n">
        <f aca="false">IFERROR(__xludf.dummyfunction("""COMPUTED_VALUE"""),0)</f>
        <v>0</v>
      </c>
      <c r="AA122" s="22"/>
      <c r="AB122" s="22" t="n">
        <f aca="false">IFERROR(__xludf.dummyfunction("""COMPUTED_VALUE"""),6)</f>
        <v>6</v>
      </c>
      <c r="AC122" s="22" t="n">
        <f aca="false">IFERROR(__xludf.dummyfunction("""COMPUTED_VALUE"""),19)</f>
        <v>19</v>
      </c>
      <c r="AD122" s="23"/>
      <c r="AE122" s="24" t="n">
        <f aca="false">IFERROR(__xludf.dummyfunction("""COMPUTED_VALUE"""),60)</f>
        <v>60</v>
      </c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</row>
    <row r="123" customFormat="false" ht="18.65" hidden="false" customHeight="false" outlineLevel="0" collapsed="false">
      <c r="A123" s="13" t="n">
        <v>122</v>
      </c>
      <c r="B123" s="14" t="s">
        <v>277</v>
      </c>
      <c r="C123" s="15" t="s">
        <v>278</v>
      </c>
      <c r="D123" s="16" t="s">
        <v>279</v>
      </c>
      <c r="E123" s="16" t="s">
        <v>279</v>
      </c>
      <c r="F123" s="16" t="str">
        <f aca="false">REPLACE(E123, 1, 3, "")</f>
        <v>07</v>
      </c>
      <c r="G123" s="17" t="str">
        <f aca="true">IFERROR(VLOOKUP(B123,INDIRECT("'"&amp;F123&amp;"'!D3:D"),1,FALSE()), "Not found")</f>
        <v>465774</v>
      </c>
      <c r="H123" s="18" t="n">
        <f aca="true">INDIRECT("'"&amp;F123&amp;"'!D1")</f>
        <v>0</v>
      </c>
      <c r="I123" s="18" t="str">
        <f aca="false">IFERROR(__xludf.dummyfunction("REGEXEXTRACT(ADDRESS(ROW(), 24+$H123), ""[A-Z]+"")"),"X")</f>
        <v>X</v>
      </c>
      <c r="J123" s="18" t="str">
        <f aca="false">IFERROR(__xludf.dummyfunction("REGEXEXTRACT(ADDRESS(ROW(), 30+$H123), ""[A-Z]+"")"),"AD")</f>
        <v>AD</v>
      </c>
      <c r="K123" s="18" t="str">
        <f aca="false">IFERROR(__xludf.dummyfunction("REGEXEXTRACT(ADDRESS(ROW(), 36+$H123), ""[A-Z]+"")"),"AJ")</f>
        <v>AJ</v>
      </c>
      <c r="L123" s="18" t="str">
        <f aca="false">IFERROR(__xludf.dummyfunction("REGEXEXTRACT(ADDRESS(ROW(), 42+$H123), ""[A-Z]+"")"),"AP")</f>
        <v>AP</v>
      </c>
      <c r="M123" s="18" t="str">
        <f aca="false">IFERROR(__xludf.dummyfunction("REGEXEXTRACT(ADDRESS(ROW(), 48+$H123), ""[A-Z]+"")"),"AV")</f>
        <v>AV</v>
      </c>
      <c r="N123" s="18" t="str">
        <f aca="false">IFERROR(__xludf.dummyfunction("REGEXEXTRACT(ADDRESS(ROW(), 50+$H123), ""[A-Z]+"")"),"AX")</f>
        <v>AX</v>
      </c>
      <c r="O123" s="18" t="str">
        <f aca="false">IFERROR(__xludf.dummyfunction("REGEXEXTRACT(ADDRESS(ROW(), 51+$H123), ""[A-Z]+"")"),"AY")</f>
        <v>AY</v>
      </c>
      <c r="P123" s="18" t="str">
        <f aca="false">IFERROR(__xludf.dummyfunction("REGEXEXTRACT(ADDRESS(ROW(), 54+$H123), ""[A-Z]+"")"),"BB")</f>
        <v>BB</v>
      </c>
      <c r="Q123" s="18" t="str">
        <f aca="false">IFERROR(__xludf.dummyfunction("REGEXEXTRACT(ADDRESS(ROW(), 59+$H123), ""[A-Z]+"")"),"BG")</f>
        <v>BG</v>
      </c>
      <c r="R123" s="18" t="str">
        <f aca="false">IFERROR(__xludf.dummyfunction("REGEXEXTRACT(ADDRESS(ROW(), 60+$H123), ""[A-Z]+"")"),"BH")</f>
        <v>BH</v>
      </c>
      <c r="S123" s="18" t="str">
        <f aca="false">IFERROR(__xludf.dummyfunction("REGEXEXTRACT(ADDRESS(ROW(), 62+$H123), ""[A-Z]+"")"),"BJ")</f>
        <v>BJ</v>
      </c>
      <c r="T123" s="18" t="str">
        <f aca="false">IFERROR(__xludf.dummyfunction("REGEXEXTRACT(ADDRESS(ROW(), 63+$H123), ""[A-Z]+"")"),"BK")</f>
        <v>BK</v>
      </c>
      <c r="U123" s="19" t="n">
        <f aca="false">IFERROR(__xludf.dummyfunction("IFERROR(QUERY(INDIRECT(""'""&amp;F123&amp;""'!C3:""&amp;T123&amp;""""), ""SELECT ""&amp;I123&amp;"", ""&amp;J123&amp;"", ""&amp;K123&amp;"", ""&amp;L123&amp;"", ""&amp;M123&amp;"", ""&amp;N123&amp;"", ""&amp;O123&amp;"", ""&amp;P123&amp;"", ""&amp;Q123&amp;"", ""&amp;R123&amp;"", ""&amp;S123&amp;"" WHERE '""&amp;B123&amp;""' = D"", 0), """")"),10)</f>
        <v>10</v>
      </c>
      <c r="V123" s="22" t="n">
        <f aca="false">IFERROR(__xludf.dummyfunction("""COMPUTED_VALUE"""),10)</f>
        <v>10</v>
      </c>
      <c r="W123" s="22" t="n">
        <f aca="false">IFERROR(__xludf.dummyfunction("""COMPUTED_VALUE"""),8.5)</f>
        <v>8.5</v>
      </c>
      <c r="X123" s="22" t="n">
        <f aca="false">IFERROR(__xludf.dummyfunction("""COMPUTED_VALUE"""),8)</f>
        <v>8</v>
      </c>
      <c r="Y123" s="22" t="n">
        <f aca="false">IFERROR(__xludf.dummyfunction("""COMPUTED_VALUE"""),10)</f>
        <v>10</v>
      </c>
      <c r="Z123" s="22" t="n">
        <f aca="false">IFERROR(__xludf.dummyfunction("""COMPUTED_VALUE"""),0)</f>
        <v>0</v>
      </c>
      <c r="AA123" s="22" t="n">
        <f aca="false">IFERROR(__xludf.dummyfunction("""COMPUTED_VALUE"""),0)</f>
        <v>0</v>
      </c>
      <c r="AB123" s="22" t="n">
        <f aca="false">IFERROR(__xludf.dummyfunction("""COMPUTED_VALUE"""),7)</f>
        <v>7</v>
      </c>
      <c r="AC123" s="22" t="n">
        <f aca="false">IFERROR(__xludf.dummyfunction("""COMPUTED_VALUE"""),28)</f>
        <v>28</v>
      </c>
      <c r="AD123" s="23" t="n">
        <f aca="false">IFERROR(__xludf.dummyfunction("""COMPUTED_VALUE"""),2)</f>
        <v>2</v>
      </c>
      <c r="AE123" s="24" t="n">
        <f aca="false">IFERROR(__xludf.dummyfunction("""COMPUTED_VALUE"""),83.5)</f>
        <v>83.5</v>
      </c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</row>
    <row r="124" customFormat="false" ht="18.65" hidden="false" customHeight="false" outlineLevel="0" collapsed="false">
      <c r="A124" s="13" t="n">
        <v>123</v>
      </c>
      <c r="B124" s="14" t="s">
        <v>280</v>
      </c>
      <c r="C124" s="15" t="s">
        <v>281</v>
      </c>
      <c r="D124" s="16" t="s">
        <v>174</v>
      </c>
      <c r="E124" s="16" t="s">
        <v>174</v>
      </c>
      <c r="F124" s="16" t="str">
        <f aca="false">REPLACE(E124, 1, 3, "")</f>
        <v>08</v>
      </c>
      <c r="G124" s="17" t="str">
        <f aca="true">IFERROR(VLOOKUP(B124,INDIRECT("'"&amp;F124&amp;"'!D3:D"),1,FALSE()), "Not found")</f>
        <v>Not found</v>
      </c>
      <c r="H124" s="18" t="n">
        <f aca="true">INDIRECT("'"&amp;F124&amp;"'!D1")</f>
        <v>0</v>
      </c>
      <c r="I124" s="18" t="str">
        <f aca="false">IFERROR(__xludf.dummyfunction("REGEXEXTRACT(ADDRESS(ROW(), 24+$H124), ""[A-Z]+"")"),"X")</f>
        <v>X</v>
      </c>
      <c r="J124" s="18" t="str">
        <f aca="false">IFERROR(__xludf.dummyfunction("REGEXEXTRACT(ADDRESS(ROW(), 30+$H124), ""[A-Z]+"")"),"AD")</f>
        <v>AD</v>
      </c>
      <c r="K124" s="18" t="str">
        <f aca="false">IFERROR(__xludf.dummyfunction("REGEXEXTRACT(ADDRESS(ROW(), 36+$H124), ""[A-Z]+"")"),"AJ")</f>
        <v>AJ</v>
      </c>
      <c r="L124" s="18" t="str">
        <f aca="false">IFERROR(__xludf.dummyfunction("REGEXEXTRACT(ADDRESS(ROW(), 42+$H124), ""[A-Z]+"")"),"AP")</f>
        <v>AP</v>
      </c>
      <c r="M124" s="18" t="str">
        <f aca="false">IFERROR(__xludf.dummyfunction("REGEXEXTRACT(ADDRESS(ROW(), 48+$H124), ""[A-Z]+"")"),"AV")</f>
        <v>AV</v>
      </c>
      <c r="N124" s="18" t="str">
        <f aca="false">IFERROR(__xludf.dummyfunction("REGEXEXTRACT(ADDRESS(ROW(), 50+$H124), ""[A-Z]+"")"),"AX")</f>
        <v>AX</v>
      </c>
      <c r="O124" s="18" t="str">
        <f aca="false">IFERROR(__xludf.dummyfunction("REGEXEXTRACT(ADDRESS(ROW(), 51+$H124), ""[A-Z]+"")"),"AY")</f>
        <v>AY</v>
      </c>
      <c r="P124" s="18" t="str">
        <f aca="false">IFERROR(__xludf.dummyfunction("REGEXEXTRACT(ADDRESS(ROW(), 54+$H124), ""[A-Z]+"")"),"BB")</f>
        <v>BB</v>
      </c>
      <c r="Q124" s="18" t="str">
        <f aca="false">IFERROR(__xludf.dummyfunction("REGEXEXTRACT(ADDRESS(ROW(), 59+$H124), ""[A-Z]+"")"),"BG")</f>
        <v>BG</v>
      </c>
      <c r="R124" s="18" t="str">
        <f aca="false">IFERROR(__xludf.dummyfunction("REGEXEXTRACT(ADDRESS(ROW(), 60+$H124), ""[A-Z]+"")"),"BH")</f>
        <v>BH</v>
      </c>
      <c r="S124" s="18" t="str">
        <f aca="false">IFERROR(__xludf.dummyfunction("REGEXEXTRACT(ADDRESS(ROW(), 62+$H124), ""[A-Z]+"")"),"BJ")</f>
        <v>BJ</v>
      </c>
      <c r="T124" s="18" t="str">
        <f aca="false">IFERROR(__xludf.dummyfunction("REGEXEXTRACT(ADDRESS(ROW(), 63+$H124), ""[A-Z]+"")"),"BK")</f>
        <v>BK</v>
      </c>
      <c r="U124" s="19" t="n">
        <f aca="false">IFERROR(__xludf.dummyfunction("IFERROR(QUERY(INDIRECT(""'""&amp;F124&amp;""'!C3:""&amp;T124&amp;""""), ""SELECT ""&amp;I124&amp;"", ""&amp;J124&amp;"", ""&amp;K124&amp;"", ""&amp;L124&amp;"", ""&amp;M124&amp;"", ""&amp;N124&amp;"", ""&amp;O124&amp;"", ""&amp;P124&amp;"", ""&amp;Q124&amp;"", ""&amp;R124&amp;"", ""&amp;S124&amp;"" WHERE '""&amp;B124&amp;""' = D"", 0), """")"),9)</f>
        <v>9</v>
      </c>
      <c r="V124" s="22" t="n">
        <f aca="false">IFERROR(__xludf.dummyfunction("""COMPUTED_VALUE"""),9)</f>
        <v>9</v>
      </c>
      <c r="W124" s="22" t="n">
        <f aca="false">IFERROR(__xludf.dummyfunction("""COMPUTED_VALUE"""),9)</f>
        <v>9</v>
      </c>
      <c r="X124" s="22" t="n">
        <f aca="false">IFERROR(__xludf.dummyfunction("""COMPUTED_VALUE"""),8)</f>
        <v>8</v>
      </c>
      <c r="Y124" s="22" t="n">
        <f aca="false">IFERROR(__xludf.dummyfunction("""COMPUTED_VALUE"""),0)</f>
        <v>0</v>
      </c>
      <c r="Z124" s="22"/>
      <c r="AA124" s="22"/>
      <c r="AB124" s="22" t="n">
        <f aca="false">IFERROR(__xludf.dummyfunction("""COMPUTED_VALUE"""),6)</f>
        <v>6</v>
      </c>
      <c r="AC124" s="22"/>
      <c r="AD124" s="23"/>
      <c r="AE124" s="24" t="n">
        <f aca="false">IFERROR(__xludf.dummyfunction("""COMPUTED_VALUE"""),41)</f>
        <v>41</v>
      </c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</row>
    <row r="125" customFormat="false" ht="18.65" hidden="false" customHeight="false" outlineLevel="0" collapsed="false">
      <c r="A125" s="13" t="n">
        <v>124</v>
      </c>
      <c r="B125" s="14" t="s">
        <v>282</v>
      </c>
      <c r="C125" s="15" t="s">
        <v>283</v>
      </c>
      <c r="D125" s="16" t="s">
        <v>177</v>
      </c>
      <c r="E125" s="16" t="s">
        <v>177</v>
      </c>
      <c r="F125" s="16" t="str">
        <f aca="false">REPLACE(E125, 1, 3, "")</f>
        <v>19</v>
      </c>
      <c r="G125" s="17" t="str">
        <f aca="true">IFERROR(VLOOKUP(B125,INDIRECT("'"&amp;F125&amp;"'!D3:D"),1,FALSE()), "Not found")</f>
        <v>Not found</v>
      </c>
      <c r="H125" s="18" t="n">
        <f aca="true">INDIRECT("'"&amp;F125&amp;"'!D1")</f>
        <v>0</v>
      </c>
      <c r="I125" s="18" t="str">
        <f aca="false">IFERROR(__xludf.dummyfunction("REGEXEXTRACT(ADDRESS(ROW(), 24+$H125), ""[A-Z]+"")"),"X")</f>
        <v>X</v>
      </c>
      <c r="J125" s="18" t="str">
        <f aca="false">IFERROR(__xludf.dummyfunction("REGEXEXTRACT(ADDRESS(ROW(), 30+$H125), ""[A-Z]+"")"),"AD")</f>
        <v>AD</v>
      </c>
      <c r="K125" s="18" t="str">
        <f aca="false">IFERROR(__xludf.dummyfunction("REGEXEXTRACT(ADDRESS(ROW(), 36+$H125), ""[A-Z]+"")"),"AJ")</f>
        <v>AJ</v>
      </c>
      <c r="L125" s="18" t="str">
        <f aca="false">IFERROR(__xludf.dummyfunction("REGEXEXTRACT(ADDRESS(ROW(), 42+$H125), ""[A-Z]+"")"),"AP")</f>
        <v>AP</v>
      </c>
      <c r="M125" s="18" t="str">
        <f aca="false">IFERROR(__xludf.dummyfunction("REGEXEXTRACT(ADDRESS(ROW(), 48+$H125), ""[A-Z]+"")"),"AV")</f>
        <v>AV</v>
      </c>
      <c r="N125" s="18" t="str">
        <f aca="false">IFERROR(__xludf.dummyfunction("REGEXEXTRACT(ADDRESS(ROW(), 50+$H125), ""[A-Z]+"")"),"AX")</f>
        <v>AX</v>
      </c>
      <c r="O125" s="18" t="str">
        <f aca="false">IFERROR(__xludf.dummyfunction("REGEXEXTRACT(ADDRESS(ROW(), 51+$H125), ""[A-Z]+"")"),"AY")</f>
        <v>AY</v>
      </c>
      <c r="P125" s="18" t="str">
        <f aca="false">IFERROR(__xludf.dummyfunction("REGEXEXTRACT(ADDRESS(ROW(), 54+$H125), ""[A-Z]+"")"),"BB")</f>
        <v>BB</v>
      </c>
      <c r="Q125" s="18" t="str">
        <f aca="false">IFERROR(__xludf.dummyfunction("REGEXEXTRACT(ADDRESS(ROW(), 59+$H125), ""[A-Z]+"")"),"BG")</f>
        <v>BG</v>
      </c>
      <c r="R125" s="18" t="str">
        <f aca="false">IFERROR(__xludf.dummyfunction("REGEXEXTRACT(ADDRESS(ROW(), 60+$H125), ""[A-Z]+"")"),"BH")</f>
        <v>BH</v>
      </c>
      <c r="S125" s="18" t="str">
        <f aca="false">IFERROR(__xludf.dummyfunction("REGEXEXTRACT(ADDRESS(ROW(), 62+$H125), ""[A-Z]+"")"),"BJ")</f>
        <v>BJ</v>
      </c>
      <c r="T125" s="18" t="str">
        <f aca="false">IFERROR(__xludf.dummyfunction("REGEXEXTRACT(ADDRESS(ROW(), 63+$H125), ""[A-Z]+"")"),"BK")</f>
        <v>BK</v>
      </c>
      <c r="U125" s="19" t="n">
        <f aca="false">IFERROR(__xludf.dummyfunction("IFERROR(QUERY(INDIRECT(""'""&amp;F125&amp;""'!C3:""&amp;T125&amp;""""), ""SELECT ""&amp;I125&amp;"", ""&amp;J125&amp;"", ""&amp;K125&amp;"", ""&amp;L125&amp;"", ""&amp;M125&amp;"", ""&amp;N125&amp;"", ""&amp;O125&amp;"", ""&amp;P125&amp;"", ""&amp;Q125&amp;"", ""&amp;R125&amp;"", ""&amp;S125&amp;"" WHERE '""&amp;B125&amp;""' = D"", 0), """")"),10)</f>
        <v>10</v>
      </c>
      <c r="V125" s="22" t="n">
        <f aca="false">IFERROR(__xludf.dummyfunction("""COMPUTED_VALUE"""),10)</f>
        <v>10</v>
      </c>
      <c r="W125" s="22" t="n">
        <f aca="false">IFERROR(__xludf.dummyfunction("""COMPUTED_VALUE"""),10)</f>
        <v>10</v>
      </c>
      <c r="X125" s="22" t="n">
        <f aca="false">IFERROR(__xludf.dummyfunction("""COMPUTED_VALUE"""),10)</f>
        <v>10</v>
      </c>
      <c r="Y125" s="22" t="n">
        <f aca="false">IFERROR(__xludf.dummyfunction("""COMPUTED_VALUE"""),0)</f>
        <v>0</v>
      </c>
      <c r="Z125" s="22"/>
      <c r="AA125" s="22" t="n">
        <f aca="false">IFERROR(__xludf.dummyfunction("""COMPUTED_VALUE"""),0)</f>
        <v>0</v>
      </c>
      <c r="AB125" s="22" t="n">
        <f aca="false">IFERROR(__xludf.dummyfunction("""COMPUTED_VALUE"""),7)</f>
        <v>7</v>
      </c>
      <c r="AC125" s="22" t="n">
        <f aca="false">IFERROR(__xludf.dummyfunction("""COMPUTED_VALUE"""),27)</f>
        <v>27</v>
      </c>
      <c r="AD125" s="23" t="n">
        <f aca="false">IFERROR(__xludf.dummyfunction("""COMPUTED_VALUE"""),1)</f>
        <v>1</v>
      </c>
      <c r="AE125" s="24" t="n">
        <f aca="false">IFERROR(__xludf.dummyfunction("""COMPUTED_VALUE"""),75)</f>
        <v>75</v>
      </c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</row>
    <row r="126" customFormat="false" ht="18.65" hidden="false" customHeight="false" outlineLevel="0" collapsed="false">
      <c r="A126" s="13" t="n">
        <v>125</v>
      </c>
      <c r="B126" s="14" t="s">
        <v>284</v>
      </c>
      <c r="C126" s="15" t="s">
        <v>285</v>
      </c>
      <c r="D126" s="16" t="s">
        <v>232</v>
      </c>
      <c r="E126" s="16" t="s">
        <v>232</v>
      </c>
      <c r="F126" s="16" t="str">
        <f aca="false">REPLACE(E126, 1, 3, "")</f>
        <v>09</v>
      </c>
      <c r="G126" s="17" t="str">
        <f aca="true">IFERROR(VLOOKUP(B126,INDIRECT("'"&amp;F126&amp;"'!D3:D"),1,FALSE()), "Not found")</f>
        <v>Not found</v>
      </c>
      <c r="H126" s="18" t="n">
        <f aca="true">INDIRECT("'"&amp;F126&amp;"'!D1")</f>
        <v>0</v>
      </c>
      <c r="I126" s="18" t="str">
        <f aca="false">IFERROR(__xludf.dummyfunction("REGEXEXTRACT(ADDRESS(ROW(), 24+$H126), ""[A-Z]+"")"),"X")</f>
        <v>X</v>
      </c>
      <c r="J126" s="18" t="str">
        <f aca="false">IFERROR(__xludf.dummyfunction("REGEXEXTRACT(ADDRESS(ROW(), 30+$H126), ""[A-Z]+"")"),"AD")</f>
        <v>AD</v>
      </c>
      <c r="K126" s="18" t="str">
        <f aca="false">IFERROR(__xludf.dummyfunction("REGEXEXTRACT(ADDRESS(ROW(), 36+$H126), ""[A-Z]+"")"),"AJ")</f>
        <v>AJ</v>
      </c>
      <c r="L126" s="18" t="str">
        <f aca="false">IFERROR(__xludf.dummyfunction("REGEXEXTRACT(ADDRESS(ROW(), 42+$H126), ""[A-Z]+"")"),"AP")</f>
        <v>AP</v>
      </c>
      <c r="M126" s="18" t="str">
        <f aca="false">IFERROR(__xludf.dummyfunction("REGEXEXTRACT(ADDRESS(ROW(), 48+$H126), ""[A-Z]+"")"),"AV")</f>
        <v>AV</v>
      </c>
      <c r="N126" s="18" t="str">
        <f aca="false">IFERROR(__xludf.dummyfunction("REGEXEXTRACT(ADDRESS(ROW(), 50+$H126), ""[A-Z]+"")"),"AX")</f>
        <v>AX</v>
      </c>
      <c r="O126" s="18" t="str">
        <f aca="false">IFERROR(__xludf.dummyfunction("REGEXEXTRACT(ADDRESS(ROW(), 51+$H126), ""[A-Z]+"")"),"AY")</f>
        <v>AY</v>
      </c>
      <c r="P126" s="18" t="str">
        <f aca="false">IFERROR(__xludf.dummyfunction("REGEXEXTRACT(ADDRESS(ROW(), 54+$H126), ""[A-Z]+"")"),"BB")</f>
        <v>BB</v>
      </c>
      <c r="Q126" s="18" t="str">
        <f aca="false">IFERROR(__xludf.dummyfunction("REGEXEXTRACT(ADDRESS(ROW(), 59+$H126), ""[A-Z]+"")"),"BG")</f>
        <v>BG</v>
      </c>
      <c r="R126" s="18" t="str">
        <f aca="false">IFERROR(__xludf.dummyfunction("REGEXEXTRACT(ADDRESS(ROW(), 60+$H126), ""[A-Z]+"")"),"BH")</f>
        <v>BH</v>
      </c>
      <c r="S126" s="18" t="str">
        <f aca="false">IFERROR(__xludf.dummyfunction("REGEXEXTRACT(ADDRESS(ROW(), 62+$H126), ""[A-Z]+"")"),"BJ")</f>
        <v>BJ</v>
      </c>
      <c r="T126" s="18" t="str">
        <f aca="false">IFERROR(__xludf.dummyfunction("REGEXEXTRACT(ADDRESS(ROW(), 63+$H126), ""[A-Z]+"")"),"BK")</f>
        <v>BK</v>
      </c>
      <c r="U126" s="19" t="n">
        <f aca="false">IFERROR(__xludf.dummyfunction("IFERROR(QUERY(INDIRECT(""'""&amp;F126&amp;""'!C3:""&amp;T126&amp;""""), ""SELECT ""&amp;I126&amp;"", ""&amp;J126&amp;"", ""&amp;K126&amp;"", ""&amp;L126&amp;"", ""&amp;M126&amp;"", ""&amp;N126&amp;"", ""&amp;O126&amp;"", ""&amp;P126&amp;"", ""&amp;Q126&amp;"", ""&amp;R126&amp;"", ""&amp;S126&amp;"" WHERE '""&amp;B126&amp;""' = D"", 0), """")"),8)</f>
        <v>8</v>
      </c>
      <c r="V126" s="22" t="n">
        <f aca="false">IFERROR(__xludf.dummyfunction("""COMPUTED_VALUE"""),10)</f>
        <v>10</v>
      </c>
      <c r="W126" s="22" t="n">
        <f aca="false">IFERROR(__xludf.dummyfunction("""COMPUTED_VALUE"""),9.5)</f>
        <v>9.5</v>
      </c>
      <c r="X126" s="22" t="n">
        <f aca="false">IFERROR(__xludf.dummyfunction("""COMPUTED_VALUE"""),10)</f>
        <v>10</v>
      </c>
      <c r="Y126" s="22" t="n">
        <f aca="false">IFERROR(__xludf.dummyfunction("""COMPUTED_VALUE"""),9)</f>
        <v>9</v>
      </c>
      <c r="Z126" s="22" t="n">
        <f aca="false">IFERROR(__xludf.dummyfunction("""COMPUTED_VALUE"""),2)</f>
        <v>2</v>
      </c>
      <c r="AA126" s="22" t="n">
        <f aca="false">IFERROR(__xludf.dummyfunction("""COMPUTED_VALUE"""),1)</f>
        <v>1</v>
      </c>
      <c r="AB126" s="22" t="n">
        <f aca="false">IFERROR(__xludf.dummyfunction("""COMPUTED_VALUE"""),9)</f>
        <v>9</v>
      </c>
      <c r="AC126" s="22" t="n">
        <f aca="false">IFERROR(__xludf.dummyfunction("""COMPUTED_VALUE"""),27)</f>
        <v>27</v>
      </c>
      <c r="AD126" s="23"/>
      <c r="AE126" s="24" t="n">
        <f aca="false">IFERROR(__xludf.dummyfunction("""COMPUTED_VALUE"""),85.5)</f>
        <v>85.5</v>
      </c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</row>
    <row r="127" customFormat="false" ht="18.65" hidden="false" customHeight="false" outlineLevel="0" collapsed="false">
      <c r="A127" s="13" t="n">
        <v>126</v>
      </c>
      <c r="B127" s="14" t="s">
        <v>286</v>
      </c>
      <c r="C127" s="15" t="s">
        <v>287</v>
      </c>
      <c r="D127" s="16" t="s">
        <v>194</v>
      </c>
      <c r="E127" s="16" t="s">
        <v>194</v>
      </c>
      <c r="F127" s="16" t="str">
        <f aca="false">REPLACE(E127, 1, 3, "")</f>
        <v>10</v>
      </c>
      <c r="G127" s="17" t="str">
        <f aca="true">IFERROR(VLOOKUP(B127,INDIRECT("'"&amp;F127&amp;"'!D3:D"),1,FALSE()), "Not found")</f>
        <v>Not found</v>
      </c>
      <c r="H127" s="18" t="n">
        <f aca="true">INDIRECT("'"&amp;F127&amp;"'!D1")</f>
        <v>0</v>
      </c>
      <c r="I127" s="18" t="str">
        <f aca="false">IFERROR(__xludf.dummyfunction("REGEXEXTRACT(ADDRESS(ROW(), 24+$H127), ""[A-Z]+"")"),"X")</f>
        <v>X</v>
      </c>
      <c r="J127" s="18" t="str">
        <f aca="false">IFERROR(__xludf.dummyfunction("REGEXEXTRACT(ADDRESS(ROW(), 30+$H127), ""[A-Z]+"")"),"AD")</f>
        <v>AD</v>
      </c>
      <c r="K127" s="18" t="str">
        <f aca="false">IFERROR(__xludf.dummyfunction("REGEXEXTRACT(ADDRESS(ROW(), 36+$H127), ""[A-Z]+"")"),"AJ")</f>
        <v>AJ</v>
      </c>
      <c r="L127" s="18" t="str">
        <f aca="false">IFERROR(__xludf.dummyfunction("REGEXEXTRACT(ADDRESS(ROW(), 42+$H127), ""[A-Z]+"")"),"AP")</f>
        <v>AP</v>
      </c>
      <c r="M127" s="18" t="str">
        <f aca="false">IFERROR(__xludf.dummyfunction("REGEXEXTRACT(ADDRESS(ROW(), 48+$H127), ""[A-Z]+"")"),"AV")</f>
        <v>AV</v>
      </c>
      <c r="N127" s="18" t="str">
        <f aca="false">IFERROR(__xludf.dummyfunction("REGEXEXTRACT(ADDRESS(ROW(), 50+$H127), ""[A-Z]+"")"),"AX")</f>
        <v>AX</v>
      </c>
      <c r="O127" s="18" t="str">
        <f aca="false">IFERROR(__xludf.dummyfunction("REGEXEXTRACT(ADDRESS(ROW(), 51+$H127), ""[A-Z]+"")"),"AY")</f>
        <v>AY</v>
      </c>
      <c r="P127" s="18" t="str">
        <f aca="false">IFERROR(__xludf.dummyfunction("REGEXEXTRACT(ADDRESS(ROW(), 54+$H127), ""[A-Z]+"")"),"BB")</f>
        <v>BB</v>
      </c>
      <c r="Q127" s="18" t="str">
        <f aca="false">IFERROR(__xludf.dummyfunction("REGEXEXTRACT(ADDRESS(ROW(), 59+$H127), ""[A-Z]+"")"),"BG")</f>
        <v>BG</v>
      </c>
      <c r="R127" s="18" t="str">
        <f aca="false">IFERROR(__xludf.dummyfunction("REGEXEXTRACT(ADDRESS(ROW(), 60+$H127), ""[A-Z]+"")"),"BH")</f>
        <v>BH</v>
      </c>
      <c r="S127" s="18" t="str">
        <f aca="false">IFERROR(__xludf.dummyfunction("REGEXEXTRACT(ADDRESS(ROW(), 62+$H127), ""[A-Z]+"")"),"BJ")</f>
        <v>BJ</v>
      </c>
      <c r="T127" s="18" t="str">
        <f aca="false">IFERROR(__xludf.dummyfunction("REGEXEXTRACT(ADDRESS(ROW(), 63+$H127), ""[A-Z]+"")"),"BK")</f>
        <v>BK</v>
      </c>
      <c r="U127" s="19" t="n">
        <f aca="false">IFERROR(__xludf.dummyfunction("IFERROR(QUERY(INDIRECT(""'""&amp;F127&amp;""'!C3:""&amp;T127&amp;""""), ""SELECT ""&amp;I127&amp;"", ""&amp;J127&amp;"", ""&amp;K127&amp;"", ""&amp;L127&amp;"", ""&amp;M127&amp;"", ""&amp;N127&amp;"", ""&amp;O127&amp;"", ""&amp;P127&amp;"", ""&amp;Q127&amp;"", ""&amp;R127&amp;"", ""&amp;S127&amp;"" WHERE '""&amp;B127&amp;""' = D"", 0), """")"),7.8)</f>
        <v>7.8</v>
      </c>
      <c r="V127" s="22"/>
      <c r="W127" s="22"/>
      <c r="X127" s="22"/>
      <c r="Y127" s="22" t="n">
        <f aca="false">IFERROR(__xludf.dummyfunction("""COMPUTED_VALUE"""),0)</f>
        <v>0</v>
      </c>
      <c r="Z127" s="22"/>
      <c r="AA127" s="22"/>
      <c r="AB127" s="22" t="n">
        <f aca="false">IFERROR(__xludf.dummyfunction("""COMPUTED_VALUE"""),0)</f>
        <v>0</v>
      </c>
      <c r="AC127" s="22"/>
      <c r="AD127" s="23"/>
      <c r="AE127" s="24" t="n">
        <f aca="false">IFERROR(__xludf.dummyfunction("""COMPUTED_VALUE"""),7.8)</f>
        <v>7.8</v>
      </c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</row>
    <row r="128" customFormat="false" ht="18.65" hidden="false" customHeight="false" outlineLevel="0" collapsed="false">
      <c r="A128" s="13" t="n">
        <v>127</v>
      </c>
      <c r="B128" s="14" t="s">
        <v>288</v>
      </c>
      <c r="C128" s="15" t="s">
        <v>289</v>
      </c>
      <c r="D128" s="16" t="s">
        <v>180</v>
      </c>
      <c r="E128" s="16" t="s">
        <v>180</v>
      </c>
      <c r="F128" s="16" t="str">
        <f aca="false">REPLACE(E128, 1, 3, "")</f>
        <v>11</v>
      </c>
      <c r="G128" s="17" t="str">
        <f aca="true">IFERROR(VLOOKUP(B128,INDIRECT("'"&amp;F128&amp;"'!D3:D"),1,FALSE()), "Not found")</f>
        <v>Not found</v>
      </c>
      <c r="H128" s="18" t="n">
        <f aca="true">INDIRECT("'"&amp;F128&amp;"'!D1")</f>
        <v>0</v>
      </c>
      <c r="I128" s="18" t="str">
        <f aca="false">IFERROR(__xludf.dummyfunction("REGEXEXTRACT(ADDRESS(ROW(), 24+$H128), ""[A-Z]+"")"),"X")</f>
        <v>X</v>
      </c>
      <c r="J128" s="18" t="str">
        <f aca="false">IFERROR(__xludf.dummyfunction("REGEXEXTRACT(ADDRESS(ROW(), 30+$H128), ""[A-Z]+"")"),"AD")</f>
        <v>AD</v>
      </c>
      <c r="K128" s="18" t="str">
        <f aca="false">IFERROR(__xludf.dummyfunction("REGEXEXTRACT(ADDRESS(ROW(), 36+$H128), ""[A-Z]+"")"),"AJ")</f>
        <v>AJ</v>
      </c>
      <c r="L128" s="18" t="str">
        <f aca="false">IFERROR(__xludf.dummyfunction("REGEXEXTRACT(ADDRESS(ROW(), 42+$H128), ""[A-Z]+"")"),"AP")</f>
        <v>AP</v>
      </c>
      <c r="M128" s="18" t="str">
        <f aca="false">IFERROR(__xludf.dummyfunction("REGEXEXTRACT(ADDRESS(ROW(), 48+$H128), ""[A-Z]+"")"),"AV")</f>
        <v>AV</v>
      </c>
      <c r="N128" s="18" t="str">
        <f aca="false">IFERROR(__xludf.dummyfunction("REGEXEXTRACT(ADDRESS(ROW(), 50+$H128), ""[A-Z]+"")"),"AX")</f>
        <v>AX</v>
      </c>
      <c r="O128" s="18" t="str">
        <f aca="false">IFERROR(__xludf.dummyfunction("REGEXEXTRACT(ADDRESS(ROW(), 51+$H128), ""[A-Z]+"")"),"AY")</f>
        <v>AY</v>
      </c>
      <c r="P128" s="18" t="str">
        <f aca="false">IFERROR(__xludf.dummyfunction("REGEXEXTRACT(ADDRESS(ROW(), 54+$H128), ""[A-Z]+"")"),"BB")</f>
        <v>BB</v>
      </c>
      <c r="Q128" s="18" t="str">
        <f aca="false">IFERROR(__xludf.dummyfunction("REGEXEXTRACT(ADDRESS(ROW(), 59+$H128), ""[A-Z]+"")"),"BG")</f>
        <v>BG</v>
      </c>
      <c r="R128" s="18" t="str">
        <f aca="false">IFERROR(__xludf.dummyfunction("REGEXEXTRACT(ADDRESS(ROW(), 60+$H128), ""[A-Z]+"")"),"BH")</f>
        <v>BH</v>
      </c>
      <c r="S128" s="18" t="str">
        <f aca="false">IFERROR(__xludf.dummyfunction("REGEXEXTRACT(ADDRESS(ROW(), 62+$H128), ""[A-Z]+"")"),"BJ")</f>
        <v>BJ</v>
      </c>
      <c r="T128" s="18" t="str">
        <f aca="false">IFERROR(__xludf.dummyfunction("REGEXEXTRACT(ADDRESS(ROW(), 63+$H128), ""[A-Z]+"")"),"BK")</f>
        <v>BK</v>
      </c>
      <c r="U128" s="19" t="n">
        <f aca="false">IFERROR(__xludf.dummyfunction("IFERROR(QUERY(INDIRECT(""'""&amp;F128&amp;""'!C3:""&amp;T128&amp;""""), ""SELECT ""&amp;I128&amp;"", ""&amp;J128&amp;"", ""&amp;K128&amp;"", ""&amp;L128&amp;"", ""&amp;M128&amp;"", ""&amp;N128&amp;"", ""&amp;O128&amp;"", ""&amp;P128&amp;"", ""&amp;Q128&amp;"", ""&amp;R128&amp;"", ""&amp;S128&amp;"" WHERE '""&amp;B128&amp;""' = D"", 0), """")"),10)</f>
        <v>10</v>
      </c>
      <c r="V128" s="22" t="n">
        <f aca="false">IFERROR(__xludf.dummyfunction("""COMPUTED_VALUE"""),10)</f>
        <v>10</v>
      </c>
      <c r="W128" s="22" t="n">
        <f aca="false">IFERROR(__xludf.dummyfunction("""COMPUTED_VALUE"""),10)</f>
        <v>10</v>
      </c>
      <c r="X128" s="22" t="n">
        <f aca="false">IFERROR(__xludf.dummyfunction("""COMPUTED_VALUE"""),10)</f>
        <v>10</v>
      </c>
      <c r="Y128" s="22" t="n">
        <f aca="false">IFERROR(__xludf.dummyfunction("""COMPUTED_VALUE"""),10)</f>
        <v>10</v>
      </c>
      <c r="Z128" s="22" t="n">
        <f aca="false">IFERROR(__xludf.dummyfunction("""COMPUTED_VALUE"""),0)</f>
        <v>0</v>
      </c>
      <c r="AA128" s="22"/>
      <c r="AB128" s="22" t="n">
        <f aca="false">IFERROR(__xludf.dummyfunction("""COMPUTED_VALUE"""),7)</f>
        <v>7</v>
      </c>
      <c r="AC128" s="22" t="n">
        <f aca="false">IFERROR(__xludf.dummyfunction("""COMPUTED_VALUE"""),25)</f>
        <v>25</v>
      </c>
      <c r="AD128" s="23" t="n">
        <f aca="false">IFERROR(__xludf.dummyfunction("""COMPUTED_VALUE"""),2)</f>
        <v>2</v>
      </c>
      <c r="AE128" s="24" t="n">
        <f aca="false">IFERROR(__xludf.dummyfunction("""COMPUTED_VALUE"""),84)</f>
        <v>84</v>
      </c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</row>
    <row r="129" customFormat="false" ht="18.65" hidden="false" customHeight="false" outlineLevel="0" collapsed="false">
      <c r="A129" s="13" t="n">
        <v>128</v>
      </c>
      <c r="B129" s="14" t="s">
        <v>290</v>
      </c>
      <c r="C129" s="15" t="s">
        <v>291</v>
      </c>
      <c r="D129" s="16" t="s">
        <v>223</v>
      </c>
      <c r="E129" s="16" t="s">
        <v>223</v>
      </c>
      <c r="F129" s="16" t="str">
        <f aca="false">REPLACE(E129, 1, 3, "")</f>
        <v>17</v>
      </c>
      <c r="G129" s="17" t="str">
        <f aca="true">IFERROR(VLOOKUP(B129,INDIRECT("'"&amp;F129&amp;"'!D3:D"),1,FALSE()), "Not found")</f>
        <v>Not found</v>
      </c>
      <c r="H129" s="18" t="n">
        <f aca="true">INDIRECT("'"&amp;F129&amp;"'!D1")</f>
        <v>0</v>
      </c>
      <c r="I129" s="18" t="str">
        <f aca="false">IFERROR(__xludf.dummyfunction("REGEXEXTRACT(ADDRESS(ROW(), 24+$H129), ""[A-Z]+"")"),"X")</f>
        <v>X</v>
      </c>
      <c r="J129" s="18" t="str">
        <f aca="false">IFERROR(__xludf.dummyfunction("REGEXEXTRACT(ADDRESS(ROW(), 30+$H129), ""[A-Z]+"")"),"AD")</f>
        <v>AD</v>
      </c>
      <c r="K129" s="18" t="str">
        <f aca="false">IFERROR(__xludf.dummyfunction("REGEXEXTRACT(ADDRESS(ROW(), 36+$H129), ""[A-Z]+"")"),"AJ")</f>
        <v>AJ</v>
      </c>
      <c r="L129" s="18" t="str">
        <f aca="false">IFERROR(__xludf.dummyfunction("REGEXEXTRACT(ADDRESS(ROW(), 42+$H129), ""[A-Z]+"")"),"AP")</f>
        <v>AP</v>
      </c>
      <c r="M129" s="18" t="str">
        <f aca="false">IFERROR(__xludf.dummyfunction("REGEXEXTRACT(ADDRESS(ROW(), 48+$H129), ""[A-Z]+"")"),"AV")</f>
        <v>AV</v>
      </c>
      <c r="N129" s="18" t="str">
        <f aca="false">IFERROR(__xludf.dummyfunction("REGEXEXTRACT(ADDRESS(ROW(), 50+$H129), ""[A-Z]+"")"),"AX")</f>
        <v>AX</v>
      </c>
      <c r="O129" s="18" t="str">
        <f aca="false">IFERROR(__xludf.dummyfunction("REGEXEXTRACT(ADDRESS(ROW(), 51+$H129), ""[A-Z]+"")"),"AY")</f>
        <v>AY</v>
      </c>
      <c r="P129" s="18" t="str">
        <f aca="false">IFERROR(__xludf.dummyfunction("REGEXEXTRACT(ADDRESS(ROW(), 54+$H129), ""[A-Z]+"")"),"BB")</f>
        <v>BB</v>
      </c>
      <c r="Q129" s="18" t="str">
        <f aca="false">IFERROR(__xludf.dummyfunction("REGEXEXTRACT(ADDRESS(ROW(), 59+$H129), ""[A-Z]+"")"),"BG")</f>
        <v>BG</v>
      </c>
      <c r="R129" s="18" t="str">
        <f aca="false">IFERROR(__xludf.dummyfunction("REGEXEXTRACT(ADDRESS(ROW(), 60+$H129), ""[A-Z]+"")"),"BH")</f>
        <v>BH</v>
      </c>
      <c r="S129" s="18" t="str">
        <f aca="false">IFERROR(__xludf.dummyfunction("REGEXEXTRACT(ADDRESS(ROW(), 62+$H129), ""[A-Z]+"")"),"BJ")</f>
        <v>BJ</v>
      </c>
      <c r="T129" s="18" t="str">
        <f aca="false">IFERROR(__xludf.dummyfunction("REGEXEXTRACT(ADDRESS(ROW(), 63+$H129), ""[A-Z]+"")"),"BK")</f>
        <v>BK</v>
      </c>
      <c r="U129" s="19" t="n">
        <f aca="false">IFERROR(__xludf.dummyfunction("IFERROR(QUERY(INDIRECT(""'""&amp;F129&amp;""'!C3:""&amp;T129&amp;""""), ""SELECT ""&amp;I129&amp;"", ""&amp;J129&amp;"", ""&amp;K129&amp;"", ""&amp;L129&amp;"", ""&amp;M129&amp;"", ""&amp;N129&amp;"", ""&amp;O129&amp;"", ""&amp;P129&amp;"", ""&amp;Q129&amp;"", ""&amp;R129&amp;"", ""&amp;S129&amp;"" WHERE '""&amp;B129&amp;""' = D"", 0), """")"),8)</f>
        <v>8</v>
      </c>
      <c r="V129" s="22" t="n">
        <f aca="false">IFERROR(__xludf.dummyfunction("""COMPUTED_VALUE"""),8.5)</f>
        <v>8.5</v>
      </c>
      <c r="W129" s="22" t="n">
        <f aca="false">IFERROR(__xludf.dummyfunction("""COMPUTED_VALUE"""),9.7)</f>
        <v>9.7</v>
      </c>
      <c r="X129" s="22" t="n">
        <f aca="false">IFERROR(__xludf.dummyfunction("""COMPUTED_VALUE"""),9.2)</f>
        <v>9.2</v>
      </c>
      <c r="Y129" s="22" t="n">
        <f aca="false">IFERROR(__xludf.dummyfunction("""COMPUTED_VALUE"""),9)</f>
        <v>9</v>
      </c>
      <c r="Z129" s="22" t="n">
        <f aca="false">IFERROR(__xludf.dummyfunction("""COMPUTED_VALUE"""),1)</f>
        <v>1</v>
      </c>
      <c r="AA129" s="22" t="n">
        <f aca="false">IFERROR(__xludf.dummyfunction("""COMPUTED_VALUE"""),2)</f>
        <v>2</v>
      </c>
      <c r="AB129" s="22" t="n">
        <f aca="false">IFERROR(__xludf.dummyfunction("""COMPUTED_VALUE"""),10)</f>
        <v>10</v>
      </c>
      <c r="AC129" s="22" t="n">
        <f aca="false">IFERROR(__xludf.dummyfunction("""COMPUTED_VALUE"""),30)</f>
        <v>30</v>
      </c>
      <c r="AD129" s="23" t="n">
        <f aca="false">IFERROR(__xludf.dummyfunction("""COMPUTED_VALUE"""),3)</f>
        <v>3</v>
      </c>
      <c r="AE129" s="24" t="n">
        <f aca="false">IFERROR(__xludf.dummyfunction("""COMPUTED_VALUE"""),90.4)</f>
        <v>90.4</v>
      </c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</row>
    <row r="130" customFormat="false" ht="18.65" hidden="false" customHeight="false" outlineLevel="0" collapsed="false">
      <c r="A130" s="13" t="n">
        <v>129</v>
      </c>
      <c r="B130" s="14" t="s">
        <v>292</v>
      </c>
      <c r="C130" s="15" t="s">
        <v>293</v>
      </c>
      <c r="D130" s="16" t="s">
        <v>191</v>
      </c>
      <c r="E130" s="16" t="s">
        <v>191</v>
      </c>
      <c r="F130" s="16" t="str">
        <f aca="false">REPLACE(E130, 1, 3, "")</f>
        <v>12</v>
      </c>
      <c r="G130" s="17" t="str">
        <f aca="true">IFERROR(VLOOKUP(B130,INDIRECT("'"&amp;F130&amp;"'!D3:D"),1,FALSE()), "Not found")</f>
        <v>Not found</v>
      </c>
      <c r="H130" s="18" t="n">
        <f aca="true">INDIRECT("'"&amp;F130&amp;"'!D1")</f>
        <v>0</v>
      </c>
      <c r="I130" s="18" t="str">
        <f aca="false">IFERROR(__xludf.dummyfunction("REGEXEXTRACT(ADDRESS(ROW(), 24+$H130), ""[A-Z]+"")"),"X")</f>
        <v>X</v>
      </c>
      <c r="J130" s="18" t="str">
        <f aca="false">IFERROR(__xludf.dummyfunction("REGEXEXTRACT(ADDRESS(ROW(), 30+$H130), ""[A-Z]+"")"),"AD")</f>
        <v>AD</v>
      </c>
      <c r="K130" s="18" t="str">
        <f aca="false">IFERROR(__xludf.dummyfunction("REGEXEXTRACT(ADDRESS(ROW(), 36+$H130), ""[A-Z]+"")"),"AJ")</f>
        <v>AJ</v>
      </c>
      <c r="L130" s="18" t="str">
        <f aca="false">IFERROR(__xludf.dummyfunction("REGEXEXTRACT(ADDRESS(ROW(), 42+$H130), ""[A-Z]+"")"),"AP")</f>
        <v>AP</v>
      </c>
      <c r="M130" s="18" t="str">
        <f aca="false">IFERROR(__xludf.dummyfunction("REGEXEXTRACT(ADDRESS(ROW(), 48+$H130), ""[A-Z]+"")"),"AV")</f>
        <v>AV</v>
      </c>
      <c r="N130" s="18" t="str">
        <f aca="false">IFERROR(__xludf.dummyfunction("REGEXEXTRACT(ADDRESS(ROW(), 50+$H130), ""[A-Z]+"")"),"AX")</f>
        <v>AX</v>
      </c>
      <c r="O130" s="18" t="str">
        <f aca="false">IFERROR(__xludf.dummyfunction("REGEXEXTRACT(ADDRESS(ROW(), 51+$H130), ""[A-Z]+"")"),"AY")</f>
        <v>AY</v>
      </c>
      <c r="P130" s="18" t="str">
        <f aca="false">IFERROR(__xludf.dummyfunction("REGEXEXTRACT(ADDRESS(ROW(), 54+$H130), ""[A-Z]+"")"),"BB")</f>
        <v>BB</v>
      </c>
      <c r="Q130" s="18" t="str">
        <f aca="false">IFERROR(__xludf.dummyfunction("REGEXEXTRACT(ADDRESS(ROW(), 59+$H130), ""[A-Z]+"")"),"BG")</f>
        <v>BG</v>
      </c>
      <c r="R130" s="18" t="str">
        <f aca="false">IFERROR(__xludf.dummyfunction("REGEXEXTRACT(ADDRESS(ROW(), 60+$H130), ""[A-Z]+"")"),"BH")</f>
        <v>BH</v>
      </c>
      <c r="S130" s="18" t="str">
        <f aca="false">IFERROR(__xludf.dummyfunction("REGEXEXTRACT(ADDRESS(ROW(), 62+$H130), ""[A-Z]+"")"),"BJ")</f>
        <v>BJ</v>
      </c>
      <c r="T130" s="18" t="str">
        <f aca="false">IFERROR(__xludf.dummyfunction("REGEXEXTRACT(ADDRESS(ROW(), 63+$H130), ""[A-Z]+"")"),"BK")</f>
        <v>BK</v>
      </c>
      <c r="U130" s="19" t="n">
        <f aca="false">IFERROR(__xludf.dummyfunction("IFERROR(QUERY(INDIRECT(""'""&amp;F130&amp;""'!C3:""&amp;T130&amp;""""), ""SELECT ""&amp;I130&amp;"", ""&amp;J130&amp;"", ""&amp;K130&amp;"", ""&amp;L130&amp;"", ""&amp;M130&amp;"", ""&amp;N130&amp;"", ""&amp;O130&amp;"", ""&amp;P130&amp;"", ""&amp;Q130&amp;"", ""&amp;R130&amp;"", ""&amp;S130&amp;"" WHERE '""&amp;B130&amp;""' = D"", 0), """")"),9.5)</f>
        <v>9.5</v>
      </c>
      <c r="V130" s="22" t="n">
        <f aca="false">IFERROR(__xludf.dummyfunction("""COMPUTED_VALUE"""),10)</f>
        <v>10</v>
      </c>
      <c r="W130" s="22" t="n">
        <f aca="false">IFERROR(__xludf.dummyfunction("""COMPUTED_VALUE"""),10)</f>
        <v>10</v>
      </c>
      <c r="X130" s="22" t="n">
        <f aca="false">IFERROR(__xludf.dummyfunction("""COMPUTED_VALUE"""),10)</f>
        <v>10</v>
      </c>
      <c r="Y130" s="22" t="n">
        <f aca="false">IFERROR(__xludf.dummyfunction("""COMPUTED_VALUE"""),0)</f>
        <v>0</v>
      </c>
      <c r="Z130" s="22" t="n">
        <f aca="false">IFERROR(__xludf.dummyfunction("""COMPUTED_VALUE"""),0)</f>
        <v>0</v>
      </c>
      <c r="AA130" s="22" t="n">
        <f aca="false">IFERROR(__xludf.dummyfunction("""COMPUTED_VALUE"""),0)</f>
        <v>0</v>
      </c>
      <c r="AB130" s="22" t="n">
        <f aca="false">IFERROR(__xludf.dummyfunction("""COMPUTED_VALUE"""),10)</f>
        <v>10</v>
      </c>
      <c r="AC130" s="22" t="n">
        <f aca="false">IFERROR(__xludf.dummyfunction("""COMPUTED_VALUE"""),0)</f>
        <v>0</v>
      </c>
      <c r="AD130" s="23"/>
      <c r="AE130" s="24" t="n">
        <f aca="false">IFERROR(__xludf.dummyfunction("""COMPUTED_VALUE"""),49.5)</f>
        <v>49.5</v>
      </c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</row>
    <row r="131" customFormat="false" ht="18.65" hidden="false" customHeight="false" outlineLevel="0" collapsed="false">
      <c r="A131" s="13" t="n">
        <v>130</v>
      </c>
      <c r="B131" s="14" t="s">
        <v>294</v>
      </c>
      <c r="C131" s="15" t="s">
        <v>295</v>
      </c>
      <c r="D131" s="16" t="s">
        <v>183</v>
      </c>
      <c r="E131" s="16" t="s">
        <v>183</v>
      </c>
      <c r="F131" s="16" t="str">
        <f aca="false">REPLACE(E131, 1, 3, "")</f>
        <v>14</v>
      </c>
      <c r="G131" s="17" t="str">
        <f aca="true">IFERROR(VLOOKUP(B131,INDIRECT("'"&amp;F131&amp;"'!D3:D"),1,FALSE()), "Not found")</f>
        <v>Not found</v>
      </c>
      <c r="H131" s="18" t="n">
        <f aca="true">INDIRECT("'"&amp;F131&amp;"'!D1")</f>
        <v>0</v>
      </c>
      <c r="I131" s="18" t="str">
        <f aca="false">IFERROR(__xludf.dummyfunction("REGEXEXTRACT(ADDRESS(ROW(), 24+$H131), ""[A-Z]+"")"),"X")</f>
        <v>X</v>
      </c>
      <c r="J131" s="18" t="str">
        <f aca="false">IFERROR(__xludf.dummyfunction("REGEXEXTRACT(ADDRESS(ROW(), 30+$H131), ""[A-Z]+"")"),"AD")</f>
        <v>AD</v>
      </c>
      <c r="K131" s="18" t="str">
        <f aca="false">IFERROR(__xludf.dummyfunction("REGEXEXTRACT(ADDRESS(ROW(), 36+$H131), ""[A-Z]+"")"),"AJ")</f>
        <v>AJ</v>
      </c>
      <c r="L131" s="18" t="str">
        <f aca="false">IFERROR(__xludf.dummyfunction("REGEXEXTRACT(ADDRESS(ROW(), 42+$H131), ""[A-Z]+"")"),"AP")</f>
        <v>AP</v>
      </c>
      <c r="M131" s="18" t="str">
        <f aca="false">IFERROR(__xludf.dummyfunction("REGEXEXTRACT(ADDRESS(ROW(), 48+$H131), ""[A-Z]+"")"),"AV")</f>
        <v>AV</v>
      </c>
      <c r="N131" s="18" t="str">
        <f aca="false">IFERROR(__xludf.dummyfunction("REGEXEXTRACT(ADDRESS(ROW(), 50+$H131), ""[A-Z]+"")"),"AX")</f>
        <v>AX</v>
      </c>
      <c r="O131" s="18" t="str">
        <f aca="false">IFERROR(__xludf.dummyfunction("REGEXEXTRACT(ADDRESS(ROW(), 51+$H131), ""[A-Z]+"")"),"AY")</f>
        <v>AY</v>
      </c>
      <c r="P131" s="18" t="str">
        <f aca="false">IFERROR(__xludf.dummyfunction("REGEXEXTRACT(ADDRESS(ROW(), 54+$H131), ""[A-Z]+"")"),"BB")</f>
        <v>BB</v>
      </c>
      <c r="Q131" s="18" t="str">
        <f aca="false">IFERROR(__xludf.dummyfunction("REGEXEXTRACT(ADDRESS(ROW(), 59+$H131), ""[A-Z]+"")"),"BG")</f>
        <v>BG</v>
      </c>
      <c r="R131" s="18" t="str">
        <f aca="false">IFERROR(__xludf.dummyfunction("REGEXEXTRACT(ADDRESS(ROW(), 60+$H131), ""[A-Z]+"")"),"BH")</f>
        <v>BH</v>
      </c>
      <c r="S131" s="18" t="str">
        <f aca="false">IFERROR(__xludf.dummyfunction("REGEXEXTRACT(ADDRESS(ROW(), 62+$H131), ""[A-Z]+"")"),"BJ")</f>
        <v>BJ</v>
      </c>
      <c r="T131" s="18" t="str">
        <f aca="false">IFERROR(__xludf.dummyfunction("REGEXEXTRACT(ADDRESS(ROW(), 63+$H131), ""[A-Z]+"")"),"BK")</f>
        <v>BK</v>
      </c>
      <c r="U131" s="19" t="str">
        <f aca="false">IFERROR(__xludf.dummyfunction("IFERROR(QUERY(INDIRECT(""'""&amp;F131&amp;""'!C3:""&amp;T131&amp;""""), ""SELECT ""&amp;I131&amp;"", ""&amp;J131&amp;"", ""&amp;K131&amp;"", ""&amp;L131&amp;"", ""&amp;M131&amp;"", ""&amp;N131&amp;"", ""&amp;O131&amp;"", ""&amp;P131&amp;"", ""&amp;Q131&amp;"", ""&amp;R131&amp;"", ""&amp;S131&amp;"" WHERE '""&amp;B131&amp;""' = D"", 0), """")"),"")</f>
        <v/>
      </c>
      <c r="V131" s="22"/>
      <c r="W131" s="22"/>
      <c r="X131" s="22"/>
      <c r="Y131" s="22"/>
      <c r="Z131" s="22"/>
      <c r="AA131" s="22"/>
      <c r="AB131" s="22"/>
      <c r="AC131" s="22"/>
      <c r="AD131" s="23"/>
      <c r="AE131" s="24" t="n">
        <f aca="false">IFERROR(__xludf.dummyfunction("""COMPUTED_VALUE"""),0)</f>
        <v>0</v>
      </c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</row>
    <row r="132" customFormat="false" ht="18.65" hidden="false" customHeight="false" outlineLevel="0" collapsed="false">
      <c r="A132" s="13" t="n">
        <v>131</v>
      </c>
      <c r="B132" s="14" t="s">
        <v>296</v>
      </c>
      <c r="C132" s="15" t="s">
        <v>297</v>
      </c>
      <c r="D132" s="16" t="s">
        <v>244</v>
      </c>
      <c r="E132" s="16" t="s">
        <v>244</v>
      </c>
      <c r="F132" s="16" t="str">
        <f aca="false">REPLACE(E132, 1, 3, "")</f>
        <v>13</v>
      </c>
      <c r="G132" s="17" t="str">
        <f aca="true">IFERROR(VLOOKUP(B132,INDIRECT("'"&amp;F132&amp;"'!D3:D"),1,FALSE()), "Not found")</f>
        <v>Not found</v>
      </c>
      <c r="H132" s="18" t="n">
        <f aca="true">INDIRECT("'"&amp;F132&amp;"'!D1")</f>
        <v>0</v>
      </c>
      <c r="I132" s="18" t="str">
        <f aca="false">IFERROR(__xludf.dummyfunction("REGEXEXTRACT(ADDRESS(ROW(), 24+$H132), ""[A-Z]+"")"),"X")</f>
        <v>X</v>
      </c>
      <c r="J132" s="18" t="str">
        <f aca="false">IFERROR(__xludf.dummyfunction("REGEXEXTRACT(ADDRESS(ROW(), 30+$H132), ""[A-Z]+"")"),"AD")</f>
        <v>AD</v>
      </c>
      <c r="K132" s="18" t="str">
        <f aca="false">IFERROR(__xludf.dummyfunction("REGEXEXTRACT(ADDRESS(ROW(), 36+$H132), ""[A-Z]+"")"),"AJ")</f>
        <v>AJ</v>
      </c>
      <c r="L132" s="18" t="str">
        <f aca="false">IFERROR(__xludf.dummyfunction("REGEXEXTRACT(ADDRESS(ROW(), 42+$H132), ""[A-Z]+"")"),"AP")</f>
        <v>AP</v>
      </c>
      <c r="M132" s="18" t="str">
        <f aca="false">IFERROR(__xludf.dummyfunction("REGEXEXTRACT(ADDRESS(ROW(), 48+$H132), ""[A-Z]+"")"),"AV")</f>
        <v>AV</v>
      </c>
      <c r="N132" s="18" t="str">
        <f aca="false">IFERROR(__xludf.dummyfunction("REGEXEXTRACT(ADDRESS(ROW(), 50+$H132), ""[A-Z]+"")"),"AX")</f>
        <v>AX</v>
      </c>
      <c r="O132" s="18" t="str">
        <f aca="false">IFERROR(__xludf.dummyfunction("REGEXEXTRACT(ADDRESS(ROW(), 51+$H132), ""[A-Z]+"")"),"AY")</f>
        <v>AY</v>
      </c>
      <c r="P132" s="18" t="str">
        <f aca="false">IFERROR(__xludf.dummyfunction("REGEXEXTRACT(ADDRESS(ROW(), 54+$H132), ""[A-Z]+"")"),"BB")</f>
        <v>BB</v>
      </c>
      <c r="Q132" s="18" t="str">
        <f aca="false">IFERROR(__xludf.dummyfunction("REGEXEXTRACT(ADDRESS(ROW(), 59+$H132), ""[A-Z]+"")"),"BG")</f>
        <v>BG</v>
      </c>
      <c r="R132" s="18" t="str">
        <f aca="false">IFERROR(__xludf.dummyfunction("REGEXEXTRACT(ADDRESS(ROW(), 60+$H132), ""[A-Z]+"")"),"BH")</f>
        <v>BH</v>
      </c>
      <c r="S132" s="18" t="str">
        <f aca="false">IFERROR(__xludf.dummyfunction("REGEXEXTRACT(ADDRESS(ROW(), 62+$H132), ""[A-Z]+"")"),"BJ")</f>
        <v>BJ</v>
      </c>
      <c r="T132" s="18" t="str">
        <f aca="false">IFERROR(__xludf.dummyfunction("REGEXEXTRACT(ADDRESS(ROW(), 63+$H132), ""[A-Z]+"")"),"BK")</f>
        <v>BK</v>
      </c>
      <c r="U132" s="19" t="n">
        <f aca="false">IFERROR(__xludf.dummyfunction("IFERROR(QUERY(INDIRECT(""'""&amp;F132&amp;""'!C3:""&amp;T132&amp;""""), ""SELECT ""&amp;I132&amp;"", ""&amp;J132&amp;"", ""&amp;K132&amp;"", ""&amp;L132&amp;"", ""&amp;M132&amp;"", ""&amp;N132&amp;"", ""&amp;O132&amp;"", ""&amp;P132&amp;"", ""&amp;Q132&amp;"", ""&amp;R132&amp;"", ""&amp;S132&amp;"" WHERE '""&amp;B132&amp;""' = D"", 0), """")"),9)</f>
        <v>9</v>
      </c>
      <c r="V132" s="22" t="n">
        <f aca="false">IFERROR(__xludf.dummyfunction("""COMPUTED_VALUE"""),8.5)</f>
        <v>8.5</v>
      </c>
      <c r="W132" s="22" t="n">
        <f aca="false">IFERROR(__xludf.dummyfunction("""COMPUTED_VALUE"""),9)</f>
        <v>9</v>
      </c>
      <c r="X132" s="22" t="n">
        <f aca="false">IFERROR(__xludf.dummyfunction("""COMPUTED_VALUE"""),8.7)</f>
        <v>8.7</v>
      </c>
      <c r="Y132" s="22" t="n">
        <f aca="false">IFERROR(__xludf.dummyfunction("""COMPUTED_VALUE"""),0)</f>
        <v>0</v>
      </c>
      <c r="Z132" s="22" t="n">
        <f aca="false">IFERROR(__xludf.dummyfunction("""COMPUTED_VALUE"""),0)</f>
        <v>0</v>
      </c>
      <c r="AA132" s="22"/>
      <c r="AB132" s="22" t="n">
        <f aca="false">IFERROR(__xludf.dummyfunction("""COMPUTED_VALUE"""),6)</f>
        <v>6</v>
      </c>
      <c r="AC132" s="22" t="n">
        <f aca="false">IFERROR(__xludf.dummyfunction("""COMPUTED_VALUE"""),27)</f>
        <v>27</v>
      </c>
      <c r="AD132" s="23"/>
      <c r="AE132" s="24" t="n">
        <f aca="false">IFERROR(__xludf.dummyfunction("""COMPUTED_VALUE"""),68.2)</f>
        <v>68.2</v>
      </c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</row>
    <row r="133" customFormat="false" ht="18.65" hidden="false" customHeight="false" outlineLevel="0" collapsed="false">
      <c r="A133" s="13" t="n">
        <v>132</v>
      </c>
      <c r="B133" s="14" t="s">
        <v>298</v>
      </c>
      <c r="C133" s="15" t="s">
        <v>299</v>
      </c>
      <c r="D133" s="16" t="s">
        <v>183</v>
      </c>
      <c r="E133" s="16" t="s">
        <v>183</v>
      </c>
      <c r="F133" s="16" t="str">
        <f aca="false">REPLACE(E133, 1, 3, "")</f>
        <v>14</v>
      </c>
      <c r="G133" s="17" t="str">
        <f aca="true">IFERROR(VLOOKUP(B133,INDIRECT("'"&amp;F133&amp;"'!D3:D"),1,FALSE()), "Not found")</f>
        <v>Not found</v>
      </c>
      <c r="H133" s="18" t="n">
        <f aca="true">INDIRECT("'"&amp;F133&amp;"'!D1")</f>
        <v>0</v>
      </c>
      <c r="I133" s="18" t="str">
        <f aca="false">IFERROR(__xludf.dummyfunction("REGEXEXTRACT(ADDRESS(ROW(), 24+$H133), ""[A-Z]+"")"),"X")</f>
        <v>X</v>
      </c>
      <c r="J133" s="18" t="str">
        <f aca="false">IFERROR(__xludf.dummyfunction("REGEXEXTRACT(ADDRESS(ROW(), 30+$H133), ""[A-Z]+"")"),"AD")</f>
        <v>AD</v>
      </c>
      <c r="K133" s="18" t="str">
        <f aca="false">IFERROR(__xludf.dummyfunction("REGEXEXTRACT(ADDRESS(ROW(), 36+$H133), ""[A-Z]+"")"),"AJ")</f>
        <v>AJ</v>
      </c>
      <c r="L133" s="18" t="str">
        <f aca="false">IFERROR(__xludf.dummyfunction("REGEXEXTRACT(ADDRESS(ROW(), 42+$H133), ""[A-Z]+"")"),"AP")</f>
        <v>AP</v>
      </c>
      <c r="M133" s="18" t="str">
        <f aca="false">IFERROR(__xludf.dummyfunction("REGEXEXTRACT(ADDRESS(ROW(), 48+$H133), ""[A-Z]+"")"),"AV")</f>
        <v>AV</v>
      </c>
      <c r="N133" s="18" t="str">
        <f aca="false">IFERROR(__xludf.dummyfunction("REGEXEXTRACT(ADDRESS(ROW(), 50+$H133), ""[A-Z]+"")"),"AX")</f>
        <v>AX</v>
      </c>
      <c r="O133" s="18" t="str">
        <f aca="false">IFERROR(__xludf.dummyfunction("REGEXEXTRACT(ADDRESS(ROW(), 51+$H133), ""[A-Z]+"")"),"AY")</f>
        <v>AY</v>
      </c>
      <c r="P133" s="18" t="str">
        <f aca="false">IFERROR(__xludf.dummyfunction("REGEXEXTRACT(ADDRESS(ROW(), 54+$H133), ""[A-Z]+"")"),"BB")</f>
        <v>BB</v>
      </c>
      <c r="Q133" s="18" t="str">
        <f aca="false">IFERROR(__xludf.dummyfunction("REGEXEXTRACT(ADDRESS(ROW(), 59+$H133), ""[A-Z]+"")"),"BG")</f>
        <v>BG</v>
      </c>
      <c r="R133" s="18" t="str">
        <f aca="false">IFERROR(__xludf.dummyfunction("REGEXEXTRACT(ADDRESS(ROW(), 60+$H133), ""[A-Z]+"")"),"BH")</f>
        <v>BH</v>
      </c>
      <c r="S133" s="18" t="str">
        <f aca="false">IFERROR(__xludf.dummyfunction("REGEXEXTRACT(ADDRESS(ROW(), 62+$H133), ""[A-Z]+"")"),"BJ")</f>
        <v>BJ</v>
      </c>
      <c r="T133" s="18" t="str">
        <f aca="false">IFERROR(__xludf.dummyfunction("REGEXEXTRACT(ADDRESS(ROW(), 63+$H133), ""[A-Z]+"")"),"BK")</f>
        <v>BK</v>
      </c>
      <c r="U133" s="19" t="n">
        <f aca="false">IFERROR(__xludf.dummyfunction("IFERROR(QUERY(INDIRECT(""'""&amp;F133&amp;""'!C3:""&amp;T133&amp;""""), ""SELECT ""&amp;I133&amp;"", ""&amp;J133&amp;"", ""&amp;K133&amp;"", ""&amp;L133&amp;"", ""&amp;M133&amp;"", ""&amp;N133&amp;"", ""&amp;O133&amp;"", ""&amp;P133&amp;"", ""&amp;Q133&amp;"", ""&amp;R133&amp;"", ""&amp;S133&amp;"" WHERE '""&amp;B133&amp;""' = D"", 0), """")"),10)</f>
        <v>10</v>
      </c>
      <c r="V133" s="22" t="n">
        <f aca="false">IFERROR(__xludf.dummyfunction("""COMPUTED_VALUE"""),10)</f>
        <v>10</v>
      </c>
      <c r="W133" s="22" t="n">
        <f aca="false">IFERROR(__xludf.dummyfunction("""COMPUTED_VALUE"""),8)</f>
        <v>8</v>
      </c>
      <c r="X133" s="22" t="n">
        <f aca="false">IFERROR(__xludf.dummyfunction("""COMPUTED_VALUE"""),6)</f>
        <v>6</v>
      </c>
      <c r="Y133" s="22" t="n">
        <f aca="false">IFERROR(__xludf.dummyfunction("""COMPUTED_VALUE"""),0)</f>
        <v>0</v>
      </c>
      <c r="Z133" s="22" t="n">
        <f aca="false">IFERROR(__xludf.dummyfunction("""COMPUTED_VALUE"""),0)</f>
        <v>0</v>
      </c>
      <c r="AA133" s="22" t="n">
        <f aca="false">IFERROR(__xludf.dummyfunction("""COMPUTED_VALUE"""),1)</f>
        <v>1</v>
      </c>
      <c r="AB133" s="22" t="n">
        <f aca="false">IFERROR(__xludf.dummyfunction("""COMPUTED_VALUE"""),6)</f>
        <v>6</v>
      </c>
      <c r="AC133" s="22" t="n">
        <f aca="false">IFERROR(__xludf.dummyfunction("""COMPUTED_VALUE"""),24)</f>
        <v>24</v>
      </c>
      <c r="AD133" s="23"/>
      <c r="AE133" s="24" t="n">
        <f aca="false">IFERROR(__xludf.dummyfunction("""COMPUTED_VALUE"""),65)</f>
        <v>65</v>
      </c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</row>
    <row r="134" customFormat="false" ht="18.65" hidden="false" customHeight="false" outlineLevel="0" collapsed="false">
      <c r="A134" s="13" t="n">
        <v>133</v>
      </c>
      <c r="B134" s="14" t="s">
        <v>300</v>
      </c>
      <c r="C134" s="15" t="s">
        <v>301</v>
      </c>
      <c r="D134" s="16" t="s">
        <v>218</v>
      </c>
      <c r="E134" s="16" t="s">
        <v>218</v>
      </c>
      <c r="F134" s="16" t="str">
        <f aca="false">REPLACE(E134, 1, 3, "")</f>
        <v>15</v>
      </c>
      <c r="G134" s="17" t="str">
        <f aca="true">IFERROR(VLOOKUP(B134,INDIRECT("'"&amp;F134&amp;"'!D3:D"),1,FALSE()), "Not found")</f>
        <v>Not found</v>
      </c>
      <c r="H134" s="18" t="n">
        <f aca="true">INDIRECT("'"&amp;F134&amp;"'!D1")</f>
        <v>0</v>
      </c>
      <c r="I134" s="18" t="str">
        <f aca="false">IFERROR(__xludf.dummyfunction("REGEXEXTRACT(ADDRESS(ROW(), 24+$H134), ""[A-Z]+"")"),"X")</f>
        <v>X</v>
      </c>
      <c r="J134" s="18" t="str">
        <f aca="false">IFERROR(__xludf.dummyfunction("REGEXEXTRACT(ADDRESS(ROW(), 30+$H134), ""[A-Z]+"")"),"AD")</f>
        <v>AD</v>
      </c>
      <c r="K134" s="18" t="str">
        <f aca="false">IFERROR(__xludf.dummyfunction("REGEXEXTRACT(ADDRESS(ROW(), 36+$H134), ""[A-Z]+"")"),"AJ")</f>
        <v>AJ</v>
      </c>
      <c r="L134" s="18" t="str">
        <f aca="false">IFERROR(__xludf.dummyfunction("REGEXEXTRACT(ADDRESS(ROW(), 42+$H134), ""[A-Z]+"")"),"AP")</f>
        <v>AP</v>
      </c>
      <c r="M134" s="18" t="str">
        <f aca="false">IFERROR(__xludf.dummyfunction("REGEXEXTRACT(ADDRESS(ROW(), 48+$H134), ""[A-Z]+"")"),"AV")</f>
        <v>AV</v>
      </c>
      <c r="N134" s="18" t="str">
        <f aca="false">IFERROR(__xludf.dummyfunction("REGEXEXTRACT(ADDRESS(ROW(), 50+$H134), ""[A-Z]+"")"),"AX")</f>
        <v>AX</v>
      </c>
      <c r="O134" s="18" t="str">
        <f aca="false">IFERROR(__xludf.dummyfunction("REGEXEXTRACT(ADDRESS(ROW(), 51+$H134), ""[A-Z]+"")"),"AY")</f>
        <v>AY</v>
      </c>
      <c r="P134" s="18" t="str">
        <f aca="false">IFERROR(__xludf.dummyfunction("REGEXEXTRACT(ADDRESS(ROW(), 54+$H134), ""[A-Z]+"")"),"BB")</f>
        <v>BB</v>
      </c>
      <c r="Q134" s="18" t="str">
        <f aca="false">IFERROR(__xludf.dummyfunction("REGEXEXTRACT(ADDRESS(ROW(), 59+$H134), ""[A-Z]+"")"),"BG")</f>
        <v>BG</v>
      </c>
      <c r="R134" s="18" t="str">
        <f aca="false">IFERROR(__xludf.dummyfunction("REGEXEXTRACT(ADDRESS(ROW(), 60+$H134), ""[A-Z]+"")"),"BH")</f>
        <v>BH</v>
      </c>
      <c r="S134" s="18" t="str">
        <f aca="false">IFERROR(__xludf.dummyfunction("REGEXEXTRACT(ADDRESS(ROW(), 62+$H134), ""[A-Z]+"")"),"BJ")</f>
        <v>BJ</v>
      </c>
      <c r="T134" s="18" t="str">
        <f aca="false">IFERROR(__xludf.dummyfunction("REGEXEXTRACT(ADDRESS(ROW(), 63+$H134), ""[A-Z]+"")"),"BK")</f>
        <v>BK</v>
      </c>
      <c r="U134" s="19" t="n">
        <f aca="false">IFERROR(__xludf.dummyfunction("IFERROR(QUERY(INDIRECT(""'""&amp;F134&amp;""'!C3:""&amp;T134&amp;""""), ""SELECT ""&amp;I134&amp;"", ""&amp;J134&amp;"", ""&amp;K134&amp;"", ""&amp;L134&amp;"", ""&amp;M134&amp;"", ""&amp;N134&amp;"", ""&amp;O134&amp;"", ""&amp;P134&amp;"", ""&amp;Q134&amp;"", ""&amp;R134&amp;"", ""&amp;S134&amp;"" WHERE '""&amp;B134&amp;""' = D"", 0), """")"),9)</f>
        <v>9</v>
      </c>
      <c r="V134" s="22" t="n">
        <f aca="false">IFERROR(__xludf.dummyfunction("""COMPUTED_VALUE"""),9.3)</f>
        <v>9.3</v>
      </c>
      <c r="W134" s="22" t="n">
        <f aca="false">IFERROR(__xludf.dummyfunction("""COMPUTED_VALUE"""),9.7)</f>
        <v>9.7</v>
      </c>
      <c r="X134" s="22" t="n">
        <f aca="false">IFERROR(__xludf.dummyfunction("""COMPUTED_VALUE"""),9)</f>
        <v>9</v>
      </c>
      <c r="Y134" s="22" t="n">
        <f aca="false">IFERROR(__xludf.dummyfunction("""COMPUTED_VALUE"""),10)</f>
        <v>10</v>
      </c>
      <c r="Z134" s="22" t="n">
        <f aca="false">IFERROR(__xludf.dummyfunction("""COMPUTED_VALUE"""),0)</f>
        <v>0</v>
      </c>
      <c r="AA134" s="22" t="n">
        <f aca="false">IFERROR(__xludf.dummyfunction("""COMPUTED_VALUE"""),1)</f>
        <v>1</v>
      </c>
      <c r="AB134" s="22" t="n">
        <f aca="false">IFERROR(__xludf.dummyfunction("""COMPUTED_VALUE"""),10)</f>
        <v>10</v>
      </c>
      <c r="AC134" s="22" t="n">
        <f aca="false">IFERROR(__xludf.dummyfunction("""COMPUTED_VALUE"""),30)</f>
        <v>30</v>
      </c>
      <c r="AD134" s="23" t="n">
        <f aca="false">IFERROR(__xludf.dummyfunction("""COMPUTED_VALUE"""),3)</f>
        <v>3</v>
      </c>
      <c r="AE134" s="24" t="n">
        <f aca="false">IFERROR(__xludf.dummyfunction("""COMPUTED_VALUE"""),91)</f>
        <v>91</v>
      </c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</row>
    <row r="135" customFormat="false" ht="18.65" hidden="false" customHeight="false" outlineLevel="0" collapsed="false">
      <c r="A135" s="13" t="n">
        <v>134</v>
      </c>
      <c r="B135" s="14" t="s">
        <v>302</v>
      </c>
      <c r="C135" s="15" t="s">
        <v>303</v>
      </c>
      <c r="D135" s="16" t="s">
        <v>191</v>
      </c>
      <c r="E135" s="16" t="s">
        <v>191</v>
      </c>
      <c r="F135" s="16" t="str">
        <f aca="false">REPLACE(E135, 1, 3, "")</f>
        <v>12</v>
      </c>
      <c r="G135" s="17" t="str">
        <f aca="true">IFERROR(VLOOKUP(B135,INDIRECT("'"&amp;F135&amp;"'!D3:D"),1,FALSE()), "Not found")</f>
        <v>Not found</v>
      </c>
      <c r="H135" s="18" t="n">
        <f aca="true">INDIRECT("'"&amp;F135&amp;"'!D1")</f>
        <v>0</v>
      </c>
      <c r="I135" s="18" t="str">
        <f aca="false">IFERROR(__xludf.dummyfunction("REGEXEXTRACT(ADDRESS(ROW(), 24+$H135), ""[A-Z]+"")"),"X")</f>
        <v>X</v>
      </c>
      <c r="J135" s="18" t="str">
        <f aca="false">IFERROR(__xludf.dummyfunction("REGEXEXTRACT(ADDRESS(ROW(), 30+$H135), ""[A-Z]+"")"),"AD")</f>
        <v>AD</v>
      </c>
      <c r="K135" s="18" t="str">
        <f aca="false">IFERROR(__xludf.dummyfunction("REGEXEXTRACT(ADDRESS(ROW(), 36+$H135), ""[A-Z]+"")"),"AJ")</f>
        <v>AJ</v>
      </c>
      <c r="L135" s="18" t="str">
        <f aca="false">IFERROR(__xludf.dummyfunction("REGEXEXTRACT(ADDRESS(ROW(), 42+$H135), ""[A-Z]+"")"),"AP")</f>
        <v>AP</v>
      </c>
      <c r="M135" s="18" t="str">
        <f aca="false">IFERROR(__xludf.dummyfunction("REGEXEXTRACT(ADDRESS(ROW(), 48+$H135), ""[A-Z]+"")"),"AV")</f>
        <v>AV</v>
      </c>
      <c r="N135" s="18" t="str">
        <f aca="false">IFERROR(__xludf.dummyfunction("REGEXEXTRACT(ADDRESS(ROW(), 50+$H135), ""[A-Z]+"")"),"AX")</f>
        <v>AX</v>
      </c>
      <c r="O135" s="18" t="str">
        <f aca="false">IFERROR(__xludf.dummyfunction("REGEXEXTRACT(ADDRESS(ROW(), 51+$H135), ""[A-Z]+"")"),"AY")</f>
        <v>AY</v>
      </c>
      <c r="P135" s="18" t="str">
        <f aca="false">IFERROR(__xludf.dummyfunction("REGEXEXTRACT(ADDRESS(ROW(), 54+$H135), ""[A-Z]+"")"),"BB")</f>
        <v>BB</v>
      </c>
      <c r="Q135" s="18" t="str">
        <f aca="false">IFERROR(__xludf.dummyfunction("REGEXEXTRACT(ADDRESS(ROW(), 59+$H135), ""[A-Z]+"")"),"BG")</f>
        <v>BG</v>
      </c>
      <c r="R135" s="18" t="str">
        <f aca="false">IFERROR(__xludf.dummyfunction("REGEXEXTRACT(ADDRESS(ROW(), 60+$H135), ""[A-Z]+"")"),"BH")</f>
        <v>BH</v>
      </c>
      <c r="S135" s="18" t="str">
        <f aca="false">IFERROR(__xludf.dummyfunction("REGEXEXTRACT(ADDRESS(ROW(), 62+$H135), ""[A-Z]+"")"),"BJ")</f>
        <v>BJ</v>
      </c>
      <c r="T135" s="18" t="str">
        <f aca="false">IFERROR(__xludf.dummyfunction("REGEXEXTRACT(ADDRESS(ROW(), 63+$H135), ""[A-Z]+"")"),"BK")</f>
        <v>BK</v>
      </c>
      <c r="U135" s="19" t="n">
        <f aca="false">IFERROR(__xludf.dummyfunction("IFERROR(QUERY(INDIRECT(""'""&amp;F135&amp;""'!C3:""&amp;T135&amp;""""), ""SELECT ""&amp;I135&amp;"", ""&amp;J135&amp;"", ""&amp;K135&amp;"", ""&amp;L135&amp;"", ""&amp;M135&amp;"", ""&amp;N135&amp;"", ""&amp;O135&amp;"", ""&amp;P135&amp;"", ""&amp;Q135&amp;"", ""&amp;R135&amp;"", ""&amp;S135&amp;"" WHERE '""&amp;B135&amp;""' = D"", 0), """")"),9.5)</f>
        <v>9.5</v>
      </c>
      <c r="V135" s="22" t="n">
        <f aca="false">IFERROR(__xludf.dummyfunction("""COMPUTED_VALUE"""),10)</f>
        <v>10</v>
      </c>
      <c r="W135" s="22" t="n">
        <f aca="false">IFERROR(__xludf.dummyfunction("""COMPUTED_VALUE"""),9)</f>
        <v>9</v>
      </c>
      <c r="X135" s="22" t="n">
        <f aca="false">IFERROR(__xludf.dummyfunction("""COMPUTED_VALUE"""),9.5)</f>
        <v>9.5</v>
      </c>
      <c r="Y135" s="22" t="n">
        <f aca="false">IFERROR(__xludf.dummyfunction("""COMPUTED_VALUE"""),0)</f>
        <v>0</v>
      </c>
      <c r="Z135" s="22" t="n">
        <f aca="false">IFERROR(__xludf.dummyfunction("""COMPUTED_VALUE"""),0)</f>
        <v>0</v>
      </c>
      <c r="AA135" s="22" t="n">
        <f aca="false">IFERROR(__xludf.dummyfunction("""COMPUTED_VALUE"""),2.5)</f>
        <v>2.5</v>
      </c>
      <c r="AB135" s="22" t="n">
        <f aca="false">IFERROR(__xludf.dummyfunction("""COMPUTED_VALUE"""),10)</f>
        <v>10</v>
      </c>
      <c r="AC135" s="22" t="n">
        <f aca="false">IFERROR(__xludf.dummyfunction("""COMPUTED_VALUE"""),29)</f>
        <v>29</v>
      </c>
      <c r="AD135" s="23"/>
      <c r="AE135" s="24" t="n">
        <f aca="false">IFERROR(__xludf.dummyfunction("""COMPUTED_VALUE"""),79.5)</f>
        <v>79.5</v>
      </c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</row>
    <row r="136" customFormat="false" ht="18.65" hidden="false" customHeight="false" outlineLevel="0" collapsed="false">
      <c r="A136" s="13" t="n">
        <v>135</v>
      </c>
      <c r="B136" s="14" t="s">
        <v>304</v>
      </c>
      <c r="C136" s="15" t="s">
        <v>305</v>
      </c>
      <c r="D136" s="16" t="s">
        <v>180</v>
      </c>
      <c r="E136" s="16" t="s">
        <v>180</v>
      </c>
      <c r="F136" s="16" t="str">
        <f aca="false">REPLACE(E136, 1, 3, "")</f>
        <v>11</v>
      </c>
      <c r="G136" s="17" t="str">
        <f aca="true">IFERROR(VLOOKUP(B136,INDIRECT("'"&amp;F136&amp;"'!D3:D"),1,FALSE()), "Not found")</f>
        <v>Not found</v>
      </c>
      <c r="H136" s="18" t="n">
        <f aca="true">INDIRECT("'"&amp;F136&amp;"'!D1")</f>
        <v>0</v>
      </c>
      <c r="I136" s="18" t="str">
        <f aca="false">IFERROR(__xludf.dummyfunction("REGEXEXTRACT(ADDRESS(ROW(), 24+$H136), ""[A-Z]+"")"),"X")</f>
        <v>X</v>
      </c>
      <c r="J136" s="18" t="str">
        <f aca="false">IFERROR(__xludf.dummyfunction("REGEXEXTRACT(ADDRESS(ROW(), 30+$H136), ""[A-Z]+"")"),"AD")</f>
        <v>AD</v>
      </c>
      <c r="K136" s="18" t="str">
        <f aca="false">IFERROR(__xludf.dummyfunction("REGEXEXTRACT(ADDRESS(ROW(), 36+$H136), ""[A-Z]+"")"),"AJ")</f>
        <v>AJ</v>
      </c>
      <c r="L136" s="18" t="str">
        <f aca="false">IFERROR(__xludf.dummyfunction("REGEXEXTRACT(ADDRESS(ROW(), 42+$H136), ""[A-Z]+"")"),"AP")</f>
        <v>AP</v>
      </c>
      <c r="M136" s="18" t="str">
        <f aca="false">IFERROR(__xludf.dummyfunction("REGEXEXTRACT(ADDRESS(ROW(), 48+$H136), ""[A-Z]+"")"),"AV")</f>
        <v>AV</v>
      </c>
      <c r="N136" s="18" t="str">
        <f aca="false">IFERROR(__xludf.dummyfunction("REGEXEXTRACT(ADDRESS(ROW(), 50+$H136), ""[A-Z]+"")"),"AX")</f>
        <v>AX</v>
      </c>
      <c r="O136" s="18" t="str">
        <f aca="false">IFERROR(__xludf.dummyfunction("REGEXEXTRACT(ADDRESS(ROW(), 51+$H136), ""[A-Z]+"")"),"AY")</f>
        <v>AY</v>
      </c>
      <c r="P136" s="18" t="str">
        <f aca="false">IFERROR(__xludf.dummyfunction("REGEXEXTRACT(ADDRESS(ROW(), 54+$H136), ""[A-Z]+"")"),"BB")</f>
        <v>BB</v>
      </c>
      <c r="Q136" s="18" t="str">
        <f aca="false">IFERROR(__xludf.dummyfunction("REGEXEXTRACT(ADDRESS(ROW(), 59+$H136), ""[A-Z]+"")"),"BG")</f>
        <v>BG</v>
      </c>
      <c r="R136" s="18" t="str">
        <f aca="false">IFERROR(__xludf.dummyfunction("REGEXEXTRACT(ADDRESS(ROW(), 60+$H136), ""[A-Z]+"")"),"BH")</f>
        <v>BH</v>
      </c>
      <c r="S136" s="18" t="str">
        <f aca="false">IFERROR(__xludf.dummyfunction("REGEXEXTRACT(ADDRESS(ROW(), 62+$H136), ""[A-Z]+"")"),"BJ")</f>
        <v>BJ</v>
      </c>
      <c r="T136" s="18" t="str">
        <f aca="false">IFERROR(__xludf.dummyfunction("REGEXEXTRACT(ADDRESS(ROW(), 63+$H136), ""[A-Z]+"")"),"BK")</f>
        <v>BK</v>
      </c>
      <c r="U136" s="19" t="n">
        <f aca="false">IFERROR(__xludf.dummyfunction("IFERROR(QUERY(INDIRECT(""'""&amp;F136&amp;""'!C3:""&amp;T136&amp;""""), ""SELECT ""&amp;I136&amp;"", ""&amp;J136&amp;"", ""&amp;K136&amp;"", ""&amp;L136&amp;"", ""&amp;M136&amp;"", ""&amp;N136&amp;"", ""&amp;O136&amp;"", ""&amp;P136&amp;"", ""&amp;Q136&amp;"", ""&amp;R136&amp;"", ""&amp;S136&amp;"" WHERE '""&amp;B136&amp;""' = D"", 0), """")"),10)</f>
        <v>10</v>
      </c>
      <c r="V136" s="22" t="n">
        <f aca="false">IFERROR(__xludf.dummyfunction("""COMPUTED_VALUE"""),10)</f>
        <v>10</v>
      </c>
      <c r="W136" s="22" t="n">
        <f aca="false">IFERROR(__xludf.dummyfunction("""COMPUTED_VALUE"""),9.5)</f>
        <v>9.5</v>
      </c>
      <c r="X136" s="22"/>
      <c r="Y136" s="22"/>
      <c r="Z136" s="22"/>
      <c r="AA136" s="22" t="n">
        <f aca="false">IFERROR(__xludf.dummyfunction("""COMPUTED_VALUE"""),1)</f>
        <v>1</v>
      </c>
      <c r="AB136" s="22" t="n">
        <f aca="false">IFERROR(__xludf.dummyfunction("""COMPUTED_VALUE"""),0)</f>
        <v>0</v>
      </c>
      <c r="AC136" s="22"/>
      <c r="AD136" s="23"/>
      <c r="AE136" s="24" t="n">
        <f aca="false">IFERROR(__xludf.dummyfunction("""COMPUTED_VALUE"""),30.5)</f>
        <v>30.5</v>
      </c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</row>
    <row r="137" customFormat="false" ht="18.65" hidden="false" customHeight="false" outlineLevel="0" collapsed="false">
      <c r="A137" s="13" t="n">
        <v>136</v>
      </c>
      <c r="B137" s="14" t="s">
        <v>306</v>
      </c>
      <c r="C137" s="15" t="s">
        <v>307</v>
      </c>
      <c r="D137" s="16" t="s">
        <v>186</v>
      </c>
      <c r="E137" s="16" t="s">
        <v>186</v>
      </c>
      <c r="F137" s="16" t="str">
        <f aca="false">REPLACE(E137, 1, 3, "")</f>
        <v>06</v>
      </c>
      <c r="G137" s="17" t="str">
        <f aca="true">IFERROR(VLOOKUP(B137,INDIRECT("'"&amp;F137&amp;"'!D3:D"),1,FALSE()), "Not found")</f>
        <v>Not found</v>
      </c>
      <c r="H137" s="18" t="n">
        <f aca="true">INDIRECT("'"&amp;F137&amp;"'!D1")</f>
        <v>0</v>
      </c>
      <c r="I137" s="18" t="str">
        <f aca="false">IFERROR(__xludf.dummyfunction("REGEXEXTRACT(ADDRESS(ROW(), 24+$H137), ""[A-Z]+"")"),"X")</f>
        <v>X</v>
      </c>
      <c r="J137" s="18" t="str">
        <f aca="false">IFERROR(__xludf.dummyfunction("REGEXEXTRACT(ADDRESS(ROW(), 30+$H137), ""[A-Z]+"")"),"AD")</f>
        <v>AD</v>
      </c>
      <c r="K137" s="18" t="str">
        <f aca="false">IFERROR(__xludf.dummyfunction("REGEXEXTRACT(ADDRESS(ROW(), 36+$H137), ""[A-Z]+"")"),"AJ")</f>
        <v>AJ</v>
      </c>
      <c r="L137" s="18" t="str">
        <f aca="false">IFERROR(__xludf.dummyfunction("REGEXEXTRACT(ADDRESS(ROW(), 42+$H137), ""[A-Z]+"")"),"AP")</f>
        <v>AP</v>
      </c>
      <c r="M137" s="18" t="str">
        <f aca="false">IFERROR(__xludf.dummyfunction("REGEXEXTRACT(ADDRESS(ROW(), 48+$H137), ""[A-Z]+"")"),"AV")</f>
        <v>AV</v>
      </c>
      <c r="N137" s="18" t="str">
        <f aca="false">IFERROR(__xludf.dummyfunction("REGEXEXTRACT(ADDRESS(ROW(), 50+$H137), ""[A-Z]+"")"),"AX")</f>
        <v>AX</v>
      </c>
      <c r="O137" s="18" t="str">
        <f aca="false">IFERROR(__xludf.dummyfunction("REGEXEXTRACT(ADDRESS(ROW(), 51+$H137), ""[A-Z]+"")"),"AY")</f>
        <v>AY</v>
      </c>
      <c r="P137" s="18" t="str">
        <f aca="false">IFERROR(__xludf.dummyfunction("REGEXEXTRACT(ADDRESS(ROW(), 54+$H137), ""[A-Z]+"")"),"BB")</f>
        <v>BB</v>
      </c>
      <c r="Q137" s="18" t="str">
        <f aca="false">IFERROR(__xludf.dummyfunction("REGEXEXTRACT(ADDRESS(ROW(), 59+$H137), ""[A-Z]+"")"),"BG")</f>
        <v>BG</v>
      </c>
      <c r="R137" s="18" t="str">
        <f aca="false">IFERROR(__xludf.dummyfunction("REGEXEXTRACT(ADDRESS(ROW(), 60+$H137), ""[A-Z]+"")"),"BH")</f>
        <v>BH</v>
      </c>
      <c r="S137" s="18" t="str">
        <f aca="false">IFERROR(__xludf.dummyfunction("REGEXEXTRACT(ADDRESS(ROW(), 62+$H137), ""[A-Z]+"")"),"BJ")</f>
        <v>BJ</v>
      </c>
      <c r="T137" s="18" t="str">
        <f aca="false">IFERROR(__xludf.dummyfunction("REGEXEXTRACT(ADDRESS(ROW(), 63+$H137), ""[A-Z]+"")"),"BK")</f>
        <v>BK</v>
      </c>
      <c r="U137" s="19" t="n">
        <f aca="false">IFERROR(__xludf.dummyfunction("IFERROR(QUERY(INDIRECT(""'""&amp;F137&amp;""'!C3:""&amp;T137&amp;""""), ""SELECT ""&amp;I137&amp;"", ""&amp;J137&amp;"", ""&amp;K137&amp;"", ""&amp;L137&amp;"", ""&amp;M137&amp;"", ""&amp;N137&amp;"", ""&amp;O137&amp;"", ""&amp;P137&amp;"", ""&amp;Q137&amp;"", ""&amp;R137&amp;"", ""&amp;S137&amp;"" WHERE '""&amp;B137&amp;""' = D"", 0), """")"),9)</f>
        <v>9</v>
      </c>
      <c r="V137" s="22" t="n">
        <f aca="false">IFERROR(__xludf.dummyfunction("""COMPUTED_VALUE"""),10)</f>
        <v>10</v>
      </c>
      <c r="W137" s="22" t="n">
        <f aca="false">IFERROR(__xludf.dummyfunction("""COMPUTED_VALUE"""),8)</f>
        <v>8</v>
      </c>
      <c r="X137" s="22" t="n">
        <f aca="false">IFERROR(__xludf.dummyfunction("""COMPUTED_VALUE"""),9)</f>
        <v>9</v>
      </c>
      <c r="Y137" s="22" t="n">
        <f aca="false">IFERROR(__xludf.dummyfunction("""COMPUTED_VALUE"""),10)</f>
        <v>10</v>
      </c>
      <c r="Z137" s="22" t="n">
        <f aca="false">IFERROR(__xludf.dummyfunction("""COMPUTED_VALUE"""),0)</f>
        <v>0</v>
      </c>
      <c r="AA137" s="22" t="n">
        <f aca="false">IFERROR(__xludf.dummyfunction("""COMPUTED_VALUE"""),1)</f>
        <v>1</v>
      </c>
      <c r="AB137" s="22" t="n">
        <f aca="false">IFERROR(__xludf.dummyfunction("""COMPUTED_VALUE"""),10)</f>
        <v>10</v>
      </c>
      <c r="AC137" s="22" t="n">
        <f aca="false">IFERROR(__xludf.dummyfunction("""COMPUTED_VALUE"""),29)</f>
        <v>29</v>
      </c>
      <c r="AD137" s="23"/>
      <c r="AE137" s="24" t="n">
        <f aca="false">IFERROR(__xludf.dummyfunction("""COMPUTED_VALUE"""),86)</f>
        <v>86</v>
      </c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</row>
    <row r="138" customFormat="false" ht="18.65" hidden="false" customHeight="false" outlineLevel="0" collapsed="false">
      <c r="A138" s="13" t="n">
        <v>137</v>
      </c>
      <c r="B138" s="14" t="s">
        <v>308</v>
      </c>
      <c r="C138" s="15" t="s">
        <v>309</v>
      </c>
      <c r="D138" s="16" t="s">
        <v>223</v>
      </c>
      <c r="E138" s="16" t="s">
        <v>223</v>
      </c>
      <c r="F138" s="16" t="str">
        <f aca="false">REPLACE(E138, 1, 3, "")</f>
        <v>17</v>
      </c>
      <c r="G138" s="17" t="str">
        <f aca="true">IFERROR(VLOOKUP(B138,INDIRECT("'"&amp;F138&amp;"'!D3:D"),1,FALSE()), "Not found")</f>
        <v>Not found</v>
      </c>
      <c r="H138" s="18" t="n">
        <f aca="true">INDIRECT("'"&amp;F138&amp;"'!D1")</f>
        <v>0</v>
      </c>
      <c r="I138" s="18" t="str">
        <f aca="false">IFERROR(__xludf.dummyfunction("REGEXEXTRACT(ADDRESS(ROW(), 24+$H138), ""[A-Z]+"")"),"X")</f>
        <v>X</v>
      </c>
      <c r="J138" s="18" t="str">
        <f aca="false">IFERROR(__xludf.dummyfunction("REGEXEXTRACT(ADDRESS(ROW(), 30+$H138), ""[A-Z]+"")"),"AD")</f>
        <v>AD</v>
      </c>
      <c r="K138" s="18" t="str">
        <f aca="false">IFERROR(__xludf.dummyfunction("REGEXEXTRACT(ADDRESS(ROW(), 36+$H138), ""[A-Z]+"")"),"AJ")</f>
        <v>AJ</v>
      </c>
      <c r="L138" s="18" t="str">
        <f aca="false">IFERROR(__xludf.dummyfunction("REGEXEXTRACT(ADDRESS(ROW(), 42+$H138), ""[A-Z]+"")"),"AP")</f>
        <v>AP</v>
      </c>
      <c r="M138" s="18" t="str">
        <f aca="false">IFERROR(__xludf.dummyfunction("REGEXEXTRACT(ADDRESS(ROW(), 48+$H138), ""[A-Z]+"")"),"AV")</f>
        <v>AV</v>
      </c>
      <c r="N138" s="18" t="str">
        <f aca="false">IFERROR(__xludf.dummyfunction("REGEXEXTRACT(ADDRESS(ROW(), 50+$H138), ""[A-Z]+"")"),"AX")</f>
        <v>AX</v>
      </c>
      <c r="O138" s="18" t="str">
        <f aca="false">IFERROR(__xludf.dummyfunction("REGEXEXTRACT(ADDRESS(ROW(), 51+$H138), ""[A-Z]+"")"),"AY")</f>
        <v>AY</v>
      </c>
      <c r="P138" s="18" t="str">
        <f aca="false">IFERROR(__xludf.dummyfunction("REGEXEXTRACT(ADDRESS(ROW(), 54+$H138), ""[A-Z]+"")"),"BB")</f>
        <v>BB</v>
      </c>
      <c r="Q138" s="18" t="str">
        <f aca="false">IFERROR(__xludf.dummyfunction("REGEXEXTRACT(ADDRESS(ROW(), 59+$H138), ""[A-Z]+"")"),"BG")</f>
        <v>BG</v>
      </c>
      <c r="R138" s="18" t="str">
        <f aca="false">IFERROR(__xludf.dummyfunction("REGEXEXTRACT(ADDRESS(ROW(), 60+$H138), ""[A-Z]+"")"),"BH")</f>
        <v>BH</v>
      </c>
      <c r="S138" s="18" t="str">
        <f aca="false">IFERROR(__xludf.dummyfunction("REGEXEXTRACT(ADDRESS(ROW(), 62+$H138), ""[A-Z]+"")"),"BJ")</f>
        <v>BJ</v>
      </c>
      <c r="T138" s="18" t="str">
        <f aca="false">IFERROR(__xludf.dummyfunction("REGEXEXTRACT(ADDRESS(ROW(), 63+$H138), ""[A-Z]+"")"),"BK")</f>
        <v>BK</v>
      </c>
      <c r="U138" s="19" t="n">
        <f aca="false">IFERROR(__xludf.dummyfunction("IFERROR(QUERY(INDIRECT(""'""&amp;F138&amp;""'!C3:""&amp;T138&amp;""""), ""SELECT ""&amp;I138&amp;"", ""&amp;J138&amp;"", ""&amp;K138&amp;"", ""&amp;L138&amp;"", ""&amp;M138&amp;"", ""&amp;N138&amp;"", ""&amp;O138&amp;"", ""&amp;P138&amp;"", ""&amp;Q138&amp;"", ""&amp;R138&amp;"", ""&amp;S138&amp;"" WHERE '""&amp;B138&amp;""' = D"", 0), """")"),8.7)</f>
        <v>8.7</v>
      </c>
      <c r="V138" s="22" t="n">
        <f aca="false">IFERROR(__xludf.dummyfunction("""COMPUTED_VALUE"""),9)</f>
        <v>9</v>
      </c>
      <c r="W138" s="22" t="n">
        <f aca="false">IFERROR(__xludf.dummyfunction("""COMPUTED_VALUE"""),7)</f>
        <v>7</v>
      </c>
      <c r="X138" s="22" t="n">
        <f aca="false">IFERROR(__xludf.dummyfunction("""COMPUTED_VALUE"""),9)</f>
        <v>9</v>
      </c>
      <c r="Y138" s="22" t="n">
        <f aca="false">IFERROR(__xludf.dummyfunction("""COMPUTED_VALUE"""),0)</f>
        <v>0</v>
      </c>
      <c r="Z138" s="22" t="n">
        <f aca="false">IFERROR(__xludf.dummyfunction("""COMPUTED_VALUE"""),2)</f>
        <v>2</v>
      </c>
      <c r="AA138" s="22" t="n">
        <f aca="false">IFERROR(__xludf.dummyfunction("""COMPUTED_VALUE"""),1)</f>
        <v>1</v>
      </c>
      <c r="AB138" s="22" t="n">
        <f aca="false">IFERROR(__xludf.dummyfunction("""COMPUTED_VALUE"""),7)</f>
        <v>7</v>
      </c>
      <c r="AC138" s="22" t="n">
        <f aca="false">IFERROR(__xludf.dummyfunction("""COMPUTED_VALUE"""),30)</f>
        <v>30</v>
      </c>
      <c r="AD138" s="23" t="n">
        <f aca="false">IFERROR(__xludf.dummyfunction("""COMPUTED_VALUE"""),1)</f>
        <v>1</v>
      </c>
      <c r="AE138" s="24" t="n">
        <f aca="false">IFERROR(__xludf.dummyfunction("""COMPUTED_VALUE"""),74.7)</f>
        <v>74.7</v>
      </c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</row>
    <row r="139" customFormat="false" ht="18.65" hidden="false" customHeight="false" outlineLevel="0" collapsed="false">
      <c r="A139" s="13" t="n">
        <v>138</v>
      </c>
      <c r="B139" s="14" t="s">
        <v>310</v>
      </c>
      <c r="C139" s="15" t="s">
        <v>311</v>
      </c>
      <c r="D139" s="16" t="s">
        <v>174</v>
      </c>
      <c r="E139" s="16" t="s">
        <v>174</v>
      </c>
      <c r="F139" s="16" t="str">
        <f aca="false">REPLACE(E139, 1, 3, "")</f>
        <v>08</v>
      </c>
      <c r="G139" s="17" t="str">
        <f aca="true">IFERROR(VLOOKUP(B139,INDIRECT("'"&amp;F139&amp;"'!D3:D"),1,FALSE()), "Not found")</f>
        <v>Not found</v>
      </c>
      <c r="H139" s="18" t="n">
        <f aca="true">INDIRECT("'"&amp;F139&amp;"'!D1")</f>
        <v>0</v>
      </c>
      <c r="I139" s="18" t="str">
        <f aca="false">IFERROR(__xludf.dummyfunction("REGEXEXTRACT(ADDRESS(ROW(), 24+$H139), ""[A-Z]+"")"),"X")</f>
        <v>X</v>
      </c>
      <c r="J139" s="18" t="str">
        <f aca="false">IFERROR(__xludf.dummyfunction("REGEXEXTRACT(ADDRESS(ROW(), 30+$H139), ""[A-Z]+"")"),"AD")</f>
        <v>AD</v>
      </c>
      <c r="K139" s="18" t="str">
        <f aca="false">IFERROR(__xludf.dummyfunction("REGEXEXTRACT(ADDRESS(ROW(), 36+$H139), ""[A-Z]+"")"),"AJ")</f>
        <v>AJ</v>
      </c>
      <c r="L139" s="18" t="str">
        <f aca="false">IFERROR(__xludf.dummyfunction("REGEXEXTRACT(ADDRESS(ROW(), 42+$H139), ""[A-Z]+"")"),"AP")</f>
        <v>AP</v>
      </c>
      <c r="M139" s="18" t="str">
        <f aca="false">IFERROR(__xludf.dummyfunction("REGEXEXTRACT(ADDRESS(ROW(), 48+$H139), ""[A-Z]+"")"),"AV")</f>
        <v>AV</v>
      </c>
      <c r="N139" s="18" t="str">
        <f aca="false">IFERROR(__xludf.dummyfunction("REGEXEXTRACT(ADDRESS(ROW(), 50+$H139), ""[A-Z]+"")"),"AX")</f>
        <v>AX</v>
      </c>
      <c r="O139" s="18" t="str">
        <f aca="false">IFERROR(__xludf.dummyfunction("REGEXEXTRACT(ADDRESS(ROW(), 51+$H139), ""[A-Z]+"")"),"AY")</f>
        <v>AY</v>
      </c>
      <c r="P139" s="18" t="str">
        <f aca="false">IFERROR(__xludf.dummyfunction("REGEXEXTRACT(ADDRESS(ROW(), 54+$H139), ""[A-Z]+"")"),"BB")</f>
        <v>BB</v>
      </c>
      <c r="Q139" s="18" t="str">
        <f aca="false">IFERROR(__xludf.dummyfunction("REGEXEXTRACT(ADDRESS(ROW(), 59+$H139), ""[A-Z]+"")"),"BG")</f>
        <v>BG</v>
      </c>
      <c r="R139" s="18" t="str">
        <f aca="false">IFERROR(__xludf.dummyfunction("REGEXEXTRACT(ADDRESS(ROW(), 60+$H139), ""[A-Z]+"")"),"BH")</f>
        <v>BH</v>
      </c>
      <c r="S139" s="18" t="str">
        <f aca="false">IFERROR(__xludf.dummyfunction("REGEXEXTRACT(ADDRESS(ROW(), 62+$H139), ""[A-Z]+"")"),"BJ")</f>
        <v>BJ</v>
      </c>
      <c r="T139" s="18" t="str">
        <f aca="false">IFERROR(__xludf.dummyfunction("REGEXEXTRACT(ADDRESS(ROW(), 63+$H139), ""[A-Z]+"")"),"BK")</f>
        <v>BK</v>
      </c>
      <c r="U139" s="19" t="n">
        <f aca="false">IFERROR(__xludf.dummyfunction("IFERROR(QUERY(INDIRECT(""'""&amp;F139&amp;""'!C3:""&amp;T139&amp;""""), ""SELECT ""&amp;I139&amp;"", ""&amp;J139&amp;"", ""&amp;K139&amp;"", ""&amp;L139&amp;"", ""&amp;M139&amp;"", ""&amp;N139&amp;"", ""&amp;O139&amp;"", ""&amp;P139&amp;"", ""&amp;Q139&amp;"", ""&amp;R139&amp;"", ""&amp;S139&amp;"" WHERE '""&amp;B139&amp;""' = D"", 0), """")"),10)</f>
        <v>10</v>
      </c>
      <c r="V139" s="22" t="n">
        <f aca="false">IFERROR(__xludf.dummyfunction("""COMPUTED_VALUE"""),10)</f>
        <v>10</v>
      </c>
      <c r="W139" s="22" t="n">
        <f aca="false">IFERROR(__xludf.dummyfunction("""COMPUTED_VALUE"""),9)</f>
        <v>9</v>
      </c>
      <c r="X139" s="22" t="n">
        <f aca="false">IFERROR(__xludf.dummyfunction("""COMPUTED_VALUE"""),8)</f>
        <v>8</v>
      </c>
      <c r="Y139" s="22" t="n">
        <f aca="false">IFERROR(__xludf.dummyfunction("""COMPUTED_VALUE"""),0)</f>
        <v>0</v>
      </c>
      <c r="Z139" s="22"/>
      <c r="AA139" s="22" t="n">
        <f aca="false">IFERROR(__xludf.dummyfunction("""COMPUTED_VALUE"""),1)</f>
        <v>1</v>
      </c>
      <c r="AB139" s="22" t="n">
        <f aca="false">IFERROR(__xludf.dummyfunction("""COMPUTED_VALUE"""),10)</f>
        <v>10</v>
      </c>
      <c r="AC139" s="22" t="n">
        <f aca="false">IFERROR(__xludf.dummyfunction("""COMPUTED_VALUE"""),0)</f>
        <v>0</v>
      </c>
      <c r="AD139" s="23"/>
      <c r="AE139" s="24" t="n">
        <f aca="false">IFERROR(__xludf.dummyfunction("""COMPUTED_VALUE"""),48)</f>
        <v>48</v>
      </c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</row>
    <row r="140" customFormat="false" ht="18.65" hidden="false" customHeight="false" outlineLevel="0" collapsed="false">
      <c r="A140" s="13" t="n">
        <v>139</v>
      </c>
      <c r="B140" s="14" t="s">
        <v>312</v>
      </c>
      <c r="C140" s="15" t="s">
        <v>313</v>
      </c>
      <c r="D140" s="16" t="s">
        <v>194</v>
      </c>
      <c r="E140" s="16" t="s">
        <v>194</v>
      </c>
      <c r="F140" s="16" t="str">
        <f aca="false">REPLACE(E140, 1, 3, "")</f>
        <v>10</v>
      </c>
      <c r="G140" s="17" t="str">
        <f aca="true">IFERROR(VLOOKUP(B140,INDIRECT("'"&amp;F140&amp;"'!D3:D"),1,FALSE()), "Not found")</f>
        <v>Not found</v>
      </c>
      <c r="H140" s="18" t="n">
        <f aca="true">INDIRECT("'"&amp;F140&amp;"'!D1")</f>
        <v>0</v>
      </c>
      <c r="I140" s="18" t="str">
        <f aca="false">IFERROR(__xludf.dummyfunction("REGEXEXTRACT(ADDRESS(ROW(), 24+$H140), ""[A-Z]+"")"),"X")</f>
        <v>X</v>
      </c>
      <c r="J140" s="18" t="str">
        <f aca="false">IFERROR(__xludf.dummyfunction("REGEXEXTRACT(ADDRESS(ROW(), 30+$H140), ""[A-Z]+"")"),"AD")</f>
        <v>AD</v>
      </c>
      <c r="K140" s="18" t="str">
        <f aca="false">IFERROR(__xludf.dummyfunction("REGEXEXTRACT(ADDRESS(ROW(), 36+$H140), ""[A-Z]+"")"),"AJ")</f>
        <v>AJ</v>
      </c>
      <c r="L140" s="18" t="str">
        <f aca="false">IFERROR(__xludf.dummyfunction("REGEXEXTRACT(ADDRESS(ROW(), 42+$H140), ""[A-Z]+"")"),"AP")</f>
        <v>AP</v>
      </c>
      <c r="M140" s="18" t="str">
        <f aca="false">IFERROR(__xludf.dummyfunction("REGEXEXTRACT(ADDRESS(ROW(), 48+$H140), ""[A-Z]+"")"),"AV")</f>
        <v>AV</v>
      </c>
      <c r="N140" s="18" t="str">
        <f aca="false">IFERROR(__xludf.dummyfunction("REGEXEXTRACT(ADDRESS(ROW(), 50+$H140), ""[A-Z]+"")"),"AX")</f>
        <v>AX</v>
      </c>
      <c r="O140" s="18" t="str">
        <f aca="false">IFERROR(__xludf.dummyfunction("REGEXEXTRACT(ADDRESS(ROW(), 51+$H140), ""[A-Z]+"")"),"AY")</f>
        <v>AY</v>
      </c>
      <c r="P140" s="18" t="str">
        <f aca="false">IFERROR(__xludf.dummyfunction("REGEXEXTRACT(ADDRESS(ROW(), 54+$H140), ""[A-Z]+"")"),"BB")</f>
        <v>BB</v>
      </c>
      <c r="Q140" s="18" t="str">
        <f aca="false">IFERROR(__xludf.dummyfunction("REGEXEXTRACT(ADDRESS(ROW(), 59+$H140), ""[A-Z]+"")"),"BG")</f>
        <v>BG</v>
      </c>
      <c r="R140" s="18" t="str">
        <f aca="false">IFERROR(__xludf.dummyfunction("REGEXEXTRACT(ADDRESS(ROW(), 60+$H140), ""[A-Z]+"")"),"BH")</f>
        <v>BH</v>
      </c>
      <c r="S140" s="18" t="str">
        <f aca="false">IFERROR(__xludf.dummyfunction("REGEXEXTRACT(ADDRESS(ROW(), 62+$H140), ""[A-Z]+"")"),"BJ")</f>
        <v>BJ</v>
      </c>
      <c r="T140" s="18" t="str">
        <f aca="false">IFERROR(__xludf.dummyfunction("REGEXEXTRACT(ADDRESS(ROW(), 63+$H140), ""[A-Z]+"")"),"BK")</f>
        <v>BK</v>
      </c>
      <c r="U140" s="19" t="n">
        <f aca="false">IFERROR(__xludf.dummyfunction("IFERROR(QUERY(INDIRECT(""'""&amp;F140&amp;""'!C3:""&amp;T140&amp;""""), ""SELECT ""&amp;I140&amp;"", ""&amp;J140&amp;"", ""&amp;K140&amp;"", ""&amp;L140&amp;"", ""&amp;M140&amp;"", ""&amp;N140&amp;"", ""&amp;O140&amp;"", ""&amp;P140&amp;"", ""&amp;Q140&amp;"", ""&amp;R140&amp;"", ""&amp;S140&amp;"" WHERE '""&amp;B140&amp;""' = D"", 0), """")"),8.5)</f>
        <v>8.5</v>
      </c>
      <c r="V140" s="22" t="n">
        <f aca="false">IFERROR(__xludf.dummyfunction("""COMPUTED_VALUE"""),8)</f>
        <v>8</v>
      </c>
      <c r="W140" s="22" t="n">
        <f aca="false">IFERROR(__xludf.dummyfunction("""COMPUTED_VALUE"""),8)</f>
        <v>8</v>
      </c>
      <c r="X140" s="22" t="n">
        <f aca="false">IFERROR(__xludf.dummyfunction("""COMPUTED_VALUE"""),8.5)</f>
        <v>8.5</v>
      </c>
      <c r="Y140" s="22" t="n">
        <f aca="false">IFERROR(__xludf.dummyfunction("""COMPUTED_VALUE"""),0)</f>
        <v>0</v>
      </c>
      <c r="Z140" s="22" t="n">
        <f aca="false">IFERROR(__xludf.dummyfunction("""COMPUTED_VALUE"""),0)</f>
        <v>0</v>
      </c>
      <c r="AA140" s="22"/>
      <c r="AB140" s="22" t="n">
        <f aca="false">IFERROR(__xludf.dummyfunction("""COMPUTED_VALUE"""),10)</f>
        <v>10</v>
      </c>
      <c r="AC140" s="22" t="n">
        <f aca="false">IFERROR(__xludf.dummyfunction("""COMPUTED_VALUE"""),25)</f>
        <v>25</v>
      </c>
      <c r="AD140" s="23"/>
      <c r="AE140" s="24" t="n">
        <f aca="false">IFERROR(__xludf.dummyfunction("""COMPUTED_VALUE"""),68)</f>
        <v>68</v>
      </c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</row>
    <row r="141" customFormat="false" ht="18.65" hidden="false" customHeight="false" outlineLevel="0" collapsed="false">
      <c r="A141" s="13" t="n">
        <v>140</v>
      </c>
      <c r="B141" s="14" t="s">
        <v>314</v>
      </c>
      <c r="C141" s="15" t="s">
        <v>315</v>
      </c>
      <c r="D141" s="16" t="s">
        <v>232</v>
      </c>
      <c r="E141" s="16" t="s">
        <v>232</v>
      </c>
      <c r="F141" s="16" t="str">
        <f aca="false">REPLACE(E141, 1, 3, "")</f>
        <v>09</v>
      </c>
      <c r="G141" s="17" t="str">
        <f aca="true">IFERROR(VLOOKUP(B141,INDIRECT("'"&amp;F141&amp;"'!D3:D"),1,FALSE()), "Not found")</f>
        <v>Not found</v>
      </c>
      <c r="H141" s="18" t="n">
        <f aca="true">INDIRECT("'"&amp;F141&amp;"'!D1")</f>
        <v>0</v>
      </c>
      <c r="I141" s="18" t="str">
        <f aca="false">IFERROR(__xludf.dummyfunction("REGEXEXTRACT(ADDRESS(ROW(), 24+$H141), ""[A-Z]+"")"),"X")</f>
        <v>X</v>
      </c>
      <c r="J141" s="18" t="str">
        <f aca="false">IFERROR(__xludf.dummyfunction("REGEXEXTRACT(ADDRESS(ROW(), 30+$H141), ""[A-Z]+"")"),"AD")</f>
        <v>AD</v>
      </c>
      <c r="K141" s="18" t="str">
        <f aca="false">IFERROR(__xludf.dummyfunction("REGEXEXTRACT(ADDRESS(ROW(), 36+$H141), ""[A-Z]+"")"),"AJ")</f>
        <v>AJ</v>
      </c>
      <c r="L141" s="18" t="str">
        <f aca="false">IFERROR(__xludf.dummyfunction("REGEXEXTRACT(ADDRESS(ROW(), 42+$H141), ""[A-Z]+"")"),"AP")</f>
        <v>AP</v>
      </c>
      <c r="M141" s="18" t="str">
        <f aca="false">IFERROR(__xludf.dummyfunction("REGEXEXTRACT(ADDRESS(ROW(), 48+$H141), ""[A-Z]+"")"),"AV")</f>
        <v>AV</v>
      </c>
      <c r="N141" s="18" t="str">
        <f aca="false">IFERROR(__xludf.dummyfunction("REGEXEXTRACT(ADDRESS(ROW(), 50+$H141), ""[A-Z]+"")"),"AX")</f>
        <v>AX</v>
      </c>
      <c r="O141" s="18" t="str">
        <f aca="false">IFERROR(__xludf.dummyfunction("REGEXEXTRACT(ADDRESS(ROW(), 51+$H141), ""[A-Z]+"")"),"AY")</f>
        <v>AY</v>
      </c>
      <c r="P141" s="18" t="str">
        <f aca="false">IFERROR(__xludf.dummyfunction("REGEXEXTRACT(ADDRESS(ROW(), 54+$H141), ""[A-Z]+"")"),"BB")</f>
        <v>BB</v>
      </c>
      <c r="Q141" s="18" t="str">
        <f aca="false">IFERROR(__xludf.dummyfunction("REGEXEXTRACT(ADDRESS(ROW(), 59+$H141), ""[A-Z]+"")"),"BG")</f>
        <v>BG</v>
      </c>
      <c r="R141" s="18" t="str">
        <f aca="false">IFERROR(__xludf.dummyfunction("REGEXEXTRACT(ADDRESS(ROW(), 60+$H141), ""[A-Z]+"")"),"BH")</f>
        <v>BH</v>
      </c>
      <c r="S141" s="18" t="str">
        <f aca="false">IFERROR(__xludf.dummyfunction("REGEXEXTRACT(ADDRESS(ROW(), 62+$H141), ""[A-Z]+"")"),"BJ")</f>
        <v>BJ</v>
      </c>
      <c r="T141" s="18" t="str">
        <f aca="false">IFERROR(__xludf.dummyfunction("REGEXEXTRACT(ADDRESS(ROW(), 63+$H141), ""[A-Z]+"")"),"BK")</f>
        <v>BK</v>
      </c>
      <c r="U141" s="19" t="n">
        <f aca="false">IFERROR(__xludf.dummyfunction("IFERROR(QUERY(INDIRECT(""'""&amp;F141&amp;""'!C3:""&amp;T141&amp;""""), ""SELECT ""&amp;I141&amp;"", ""&amp;J141&amp;"", ""&amp;K141&amp;"", ""&amp;L141&amp;"", ""&amp;M141&amp;"", ""&amp;N141&amp;"", ""&amp;O141&amp;"", ""&amp;P141&amp;"", ""&amp;Q141&amp;"", ""&amp;R141&amp;"", ""&amp;S141&amp;"" WHERE '""&amp;B141&amp;""' = D"", 0), """")"),7.5)</f>
        <v>7.5</v>
      </c>
      <c r="V141" s="22" t="n">
        <f aca="false">IFERROR(__xludf.dummyfunction("""COMPUTED_VALUE"""),8)</f>
        <v>8</v>
      </c>
      <c r="W141" s="22" t="n">
        <f aca="false">IFERROR(__xludf.dummyfunction("""COMPUTED_VALUE"""),9)</f>
        <v>9</v>
      </c>
      <c r="X141" s="22" t="n">
        <f aca="false">IFERROR(__xludf.dummyfunction("""COMPUTED_VALUE"""),9)</f>
        <v>9</v>
      </c>
      <c r="Y141" s="22" t="n">
        <f aca="false">IFERROR(__xludf.dummyfunction("""COMPUTED_VALUE"""),0)</f>
        <v>0</v>
      </c>
      <c r="Z141" s="22" t="n">
        <f aca="false">IFERROR(__xludf.dummyfunction("""COMPUTED_VALUE"""),0)</f>
        <v>0</v>
      </c>
      <c r="AA141" s="22" t="n">
        <f aca="false">IFERROR(__xludf.dummyfunction("""COMPUTED_VALUE"""),2)</f>
        <v>2</v>
      </c>
      <c r="AB141" s="22" t="n">
        <f aca="false">IFERROR(__xludf.dummyfunction("""COMPUTED_VALUE"""),7)</f>
        <v>7</v>
      </c>
      <c r="AC141" s="22" t="n">
        <f aca="false">IFERROR(__xludf.dummyfunction("""COMPUTED_VALUE"""),18)</f>
        <v>18</v>
      </c>
      <c r="AD141" s="23"/>
      <c r="AE141" s="24" t="n">
        <f aca="false">IFERROR(__xludf.dummyfunction("""COMPUTED_VALUE"""),60.5)</f>
        <v>60.5</v>
      </c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</row>
    <row r="142" customFormat="false" ht="18.65" hidden="false" customHeight="false" outlineLevel="0" collapsed="false">
      <c r="A142" s="13" t="n">
        <v>141</v>
      </c>
      <c r="B142" s="14" t="s">
        <v>316</v>
      </c>
      <c r="C142" s="15" t="s">
        <v>317</v>
      </c>
      <c r="D142" s="16" t="s">
        <v>244</v>
      </c>
      <c r="E142" s="16" t="s">
        <v>244</v>
      </c>
      <c r="F142" s="16" t="str">
        <f aca="false">REPLACE(E142, 1, 3, "")</f>
        <v>13</v>
      </c>
      <c r="G142" s="17" t="str">
        <f aca="true">IFERROR(VLOOKUP(B142,INDIRECT("'"&amp;F142&amp;"'!D3:D"),1,FALSE()), "Not found")</f>
        <v>Not found</v>
      </c>
      <c r="H142" s="18" t="n">
        <f aca="true">INDIRECT("'"&amp;F142&amp;"'!D1")</f>
        <v>0</v>
      </c>
      <c r="I142" s="18" t="str">
        <f aca="false">IFERROR(__xludf.dummyfunction("REGEXEXTRACT(ADDRESS(ROW(), 24+$H142), ""[A-Z]+"")"),"X")</f>
        <v>X</v>
      </c>
      <c r="J142" s="18" t="str">
        <f aca="false">IFERROR(__xludf.dummyfunction("REGEXEXTRACT(ADDRESS(ROW(), 30+$H142), ""[A-Z]+"")"),"AD")</f>
        <v>AD</v>
      </c>
      <c r="K142" s="18" t="str">
        <f aca="false">IFERROR(__xludf.dummyfunction("REGEXEXTRACT(ADDRESS(ROW(), 36+$H142), ""[A-Z]+"")"),"AJ")</f>
        <v>AJ</v>
      </c>
      <c r="L142" s="18" t="str">
        <f aca="false">IFERROR(__xludf.dummyfunction("REGEXEXTRACT(ADDRESS(ROW(), 42+$H142), ""[A-Z]+"")"),"AP")</f>
        <v>AP</v>
      </c>
      <c r="M142" s="18" t="str">
        <f aca="false">IFERROR(__xludf.dummyfunction("REGEXEXTRACT(ADDRESS(ROW(), 48+$H142), ""[A-Z]+"")"),"AV")</f>
        <v>AV</v>
      </c>
      <c r="N142" s="18" t="str">
        <f aca="false">IFERROR(__xludf.dummyfunction("REGEXEXTRACT(ADDRESS(ROW(), 50+$H142), ""[A-Z]+"")"),"AX")</f>
        <v>AX</v>
      </c>
      <c r="O142" s="18" t="str">
        <f aca="false">IFERROR(__xludf.dummyfunction("REGEXEXTRACT(ADDRESS(ROW(), 51+$H142), ""[A-Z]+"")"),"AY")</f>
        <v>AY</v>
      </c>
      <c r="P142" s="18" t="str">
        <f aca="false">IFERROR(__xludf.dummyfunction("REGEXEXTRACT(ADDRESS(ROW(), 54+$H142), ""[A-Z]+"")"),"BB")</f>
        <v>BB</v>
      </c>
      <c r="Q142" s="18" t="str">
        <f aca="false">IFERROR(__xludf.dummyfunction("REGEXEXTRACT(ADDRESS(ROW(), 59+$H142), ""[A-Z]+"")"),"BG")</f>
        <v>BG</v>
      </c>
      <c r="R142" s="18" t="str">
        <f aca="false">IFERROR(__xludf.dummyfunction("REGEXEXTRACT(ADDRESS(ROW(), 60+$H142), ""[A-Z]+"")"),"BH")</f>
        <v>BH</v>
      </c>
      <c r="S142" s="18" t="str">
        <f aca="false">IFERROR(__xludf.dummyfunction("REGEXEXTRACT(ADDRESS(ROW(), 62+$H142), ""[A-Z]+"")"),"BJ")</f>
        <v>BJ</v>
      </c>
      <c r="T142" s="18" t="str">
        <f aca="false">IFERROR(__xludf.dummyfunction("REGEXEXTRACT(ADDRESS(ROW(), 63+$H142), ""[A-Z]+"")"),"BK")</f>
        <v>BK</v>
      </c>
      <c r="U142" s="19" t="n">
        <f aca="false">IFERROR(__xludf.dummyfunction("IFERROR(QUERY(INDIRECT(""'""&amp;F142&amp;""'!C3:""&amp;T142&amp;""""), ""SELECT ""&amp;I142&amp;"", ""&amp;J142&amp;"", ""&amp;K142&amp;"", ""&amp;L142&amp;"", ""&amp;M142&amp;"", ""&amp;N142&amp;"", ""&amp;O142&amp;"", ""&amp;P142&amp;"", ""&amp;Q142&amp;"", ""&amp;R142&amp;"", ""&amp;S142&amp;"" WHERE '""&amp;B142&amp;""' = D"", 0), """")"),9)</f>
        <v>9</v>
      </c>
      <c r="V142" s="22" t="n">
        <f aca="false">IFERROR(__xludf.dummyfunction("""COMPUTED_VALUE"""),9)</f>
        <v>9</v>
      </c>
      <c r="W142" s="22" t="n">
        <f aca="false">IFERROR(__xludf.dummyfunction("""COMPUTED_VALUE"""),9.5)</f>
        <v>9.5</v>
      </c>
      <c r="X142" s="22" t="n">
        <f aca="false">IFERROR(__xludf.dummyfunction("""COMPUTED_VALUE"""),9)</f>
        <v>9</v>
      </c>
      <c r="Y142" s="22" t="n">
        <f aca="false">IFERROR(__xludf.dummyfunction("""COMPUTED_VALUE"""),8.9)</f>
        <v>8.9</v>
      </c>
      <c r="Z142" s="22" t="n">
        <f aca="false">IFERROR(__xludf.dummyfunction("""COMPUTED_VALUE"""),1)</f>
        <v>1</v>
      </c>
      <c r="AA142" s="22"/>
      <c r="AB142" s="22" t="n">
        <f aca="false">IFERROR(__xludf.dummyfunction("""COMPUTED_VALUE"""),9.5)</f>
        <v>9.5</v>
      </c>
      <c r="AC142" s="22" t="n">
        <f aca="false">IFERROR(__xludf.dummyfunction("""COMPUTED_VALUE"""),0)</f>
        <v>0</v>
      </c>
      <c r="AD142" s="23"/>
      <c r="AE142" s="24" t="n">
        <f aca="false">IFERROR(__xludf.dummyfunction("""COMPUTED_VALUE"""),55.9)</f>
        <v>55.9</v>
      </c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</row>
    <row r="143" customFormat="false" ht="18.65" hidden="false" customHeight="false" outlineLevel="0" collapsed="false">
      <c r="A143" s="13" t="n">
        <v>142</v>
      </c>
      <c r="B143" s="14" t="s">
        <v>318</v>
      </c>
      <c r="C143" s="15" t="s">
        <v>319</v>
      </c>
      <c r="D143" s="16" t="s">
        <v>232</v>
      </c>
      <c r="E143" s="16" t="s">
        <v>232</v>
      </c>
      <c r="F143" s="16" t="str">
        <f aca="false">REPLACE(E143, 1, 3, "")</f>
        <v>09</v>
      </c>
      <c r="G143" s="17" t="str">
        <f aca="true">IFERROR(VLOOKUP(B143,INDIRECT("'"&amp;F143&amp;"'!D3:D"),1,FALSE()), "Not found")</f>
        <v>Not found</v>
      </c>
      <c r="H143" s="18" t="n">
        <f aca="true">INDIRECT("'"&amp;F143&amp;"'!D1")</f>
        <v>0</v>
      </c>
      <c r="I143" s="18" t="str">
        <f aca="false">IFERROR(__xludf.dummyfunction("REGEXEXTRACT(ADDRESS(ROW(), 24+$H143), ""[A-Z]+"")"),"X")</f>
        <v>X</v>
      </c>
      <c r="J143" s="18" t="str">
        <f aca="false">IFERROR(__xludf.dummyfunction("REGEXEXTRACT(ADDRESS(ROW(), 30+$H143), ""[A-Z]+"")"),"AD")</f>
        <v>AD</v>
      </c>
      <c r="K143" s="18" t="str">
        <f aca="false">IFERROR(__xludf.dummyfunction("REGEXEXTRACT(ADDRESS(ROW(), 36+$H143), ""[A-Z]+"")"),"AJ")</f>
        <v>AJ</v>
      </c>
      <c r="L143" s="18" t="str">
        <f aca="false">IFERROR(__xludf.dummyfunction("REGEXEXTRACT(ADDRESS(ROW(), 42+$H143), ""[A-Z]+"")"),"AP")</f>
        <v>AP</v>
      </c>
      <c r="M143" s="18" t="str">
        <f aca="false">IFERROR(__xludf.dummyfunction("REGEXEXTRACT(ADDRESS(ROW(), 48+$H143), ""[A-Z]+"")"),"AV")</f>
        <v>AV</v>
      </c>
      <c r="N143" s="18" t="str">
        <f aca="false">IFERROR(__xludf.dummyfunction("REGEXEXTRACT(ADDRESS(ROW(), 50+$H143), ""[A-Z]+"")"),"AX")</f>
        <v>AX</v>
      </c>
      <c r="O143" s="18" t="str">
        <f aca="false">IFERROR(__xludf.dummyfunction("REGEXEXTRACT(ADDRESS(ROW(), 51+$H143), ""[A-Z]+"")"),"AY")</f>
        <v>AY</v>
      </c>
      <c r="P143" s="18" t="str">
        <f aca="false">IFERROR(__xludf.dummyfunction("REGEXEXTRACT(ADDRESS(ROW(), 54+$H143), ""[A-Z]+"")"),"BB")</f>
        <v>BB</v>
      </c>
      <c r="Q143" s="18" t="str">
        <f aca="false">IFERROR(__xludf.dummyfunction("REGEXEXTRACT(ADDRESS(ROW(), 59+$H143), ""[A-Z]+"")"),"BG")</f>
        <v>BG</v>
      </c>
      <c r="R143" s="18" t="str">
        <f aca="false">IFERROR(__xludf.dummyfunction("REGEXEXTRACT(ADDRESS(ROW(), 60+$H143), ""[A-Z]+"")"),"BH")</f>
        <v>BH</v>
      </c>
      <c r="S143" s="18" t="str">
        <f aca="false">IFERROR(__xludf.dummyfunction("REGEXEXTRACT(ADDRESS(ROW(), 62+$H143), ""[A-Z]+"")"),"BJ")</f>
        <v>BJ</v>
      </c>
      <c r="T143" s="18" t="str">
        <f aca="false">IFERROR(__xludf.dummyfunction("REGEXEXTRACT(ADDRESS(ROW(), 63+$H143), ""[A-Z]+"")"),"BK")</f>
        <v>BK</v>
      </c>
      <c r="U143" s="19" t="n">
        <f aca="false">IFERROR(__xludf.dummyfunction("IFERROR(QUERY(INDIRECT(""'""&amp;F143&amp;""'!C3:""&amp;T143&amp;""""), ""SELECT ""&amp;I143&amp;"", ""&amp;J143&amp;"", ""&amp;K143&amp;"", ""&amp;L143&amp;"", ""&amp;M143&amp;"", ""&amp;N143&amp;"", ""&amp;O143&amp;"", ""&amp;P143&amp;"", ""&amp;Q143&amp;"", ""&amp;R143&amp;"", ""&amp;S143&amp;"" WHERE '""&amp;B143&amp;""' = D"", 0), """")"),9)</f>
        <v>9</v>
      </c>
      <c r="V143" s="22" t="n">
        <f aca="false">IFERROR(__xludf.dummyfunction("""COMPUTED_VALUE"""),10)</f>
        <v>10</v>
      </c>
      <c r="W143" s="22" t="n">
        <f aca="false">IFERROR(__xludf.dummyfunction("""COMPUTED_VALUE"""),9)</f>
        <v>9</v>
      </c>
      <c r="X143" s="22" t="n">
        <f aca="false">IFERROR(__xludf.dummyfunction("""COMPUTED_VALUE"""),9)</f>
        <v>9</v>
      </c>
      <c r="Y143" s="22" t="n">
        <f aca="false">IFERROR(__xludf.dummyfunction("""COMPUTED_VALUE"""),0)</f>
        <v>0</v>
      </c>
      <c r="Z143" s="22" t="n">
        <f aca="false">IFERROR(__xludf.dummyfunction("""COMPUTED_VALUE"""),1)</f>
        <v>1</v>
      </c>
      <c r="AA143" s="22" t="n">
        <f aca="false">IFERROR(__xludf.dummyfunction("""COMPUTED_VALUE"""),1)</f>
        <v>1</v>
      </c>
      <c r="AB143" s="22" t="n">
        <f aca="false">IFERROR(__xludf.dummyfunction("""COMPUTED_VALUE"""),9)</f>
        <v>9</v>
      </c>
      <c r="AC143" s="22" t="n">
        <f aca="false">IFERROR(__xludf.dummyfunction("""COMPUTED_VALUE"""),28)</f>
        <v>28</v>
      </c>
      <c r="AD143" s="23"/>
      <c r="AE143" s="24" t="n">
        <f aca="false">IFERROR(__xludf.dummyfunction("""COMPUTED_VALUE"""),76)</f>
        <v>76</v>
      </c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</row>
    <row r="144" customFormat="false" ht="18.65" hidden="false" customHeight="false" outlineLevel="0" collapsed="false">
      <c r="A144" s="13" t="n">
        <v>143</v>
      </c>
      <c r="B144" s="14" t="s">
        <v>320</v>
      </c>
      <c r="C144" s="15" t="s">
        <v>321</v>
      </c>
      <c r="D144" s="16" t="s">
        <v>232</v>
      </c>
      <c r="E144" s="16" t="s">
        <v>232</v>
      </c>
      <c r="F144" s="16" t="str">
        <f aca="false">REPLACE(E144, 1, 3, "")</f>
        <v>09</v>
      </c>
      <c r="G144" s="17" t="str">
        <f aca="true">IFERROR(VLOOKUP(B144,INDIRECT("'"&amp;F144&amp;"'!D3:D"),1,FALSE()), "Not found")</f>
        <v>Not found</v>
      </c>
      <c r="H144" s="18" t="n">
        <f aca="true">INDIRECT("'"&amp;F144&amp;"'!D1")</f>
        <v>0</v>
      </c>
      <c r="I144" s="18" t="str">
        <f aca="false">IFERROR(__xludf.dummyfunction("REGEXEXTRACT(ADDRESS(ROW(), 24+$H144), ""[A-Z]+"")"),"X")</f>
        <v>X</v>
      </c>
      <c r="J144" s="18" t="str">
        <f aca="false">IFERROR(__xludf.dummyfunction("REGEXEXTRACT(ADDRESS(ROW(), 30+$H144), ""[A-Z]+"")"),"AD")</f>
        <v>AD</v>
      </c>
      <c r="K144" s="18" t="str">
        <f aca="false">IFERROR(__xludf.dummyfunction("REGEXEXTRACT(ADDRESS(ROW(), 36+$H144), ""[A-Z]+"")"),"AJ")</f>
        <v>AJ</v>
      </c>
      <c r="L144" s="18" t="str">
        <f aca="false">IFERROR(__xludf.dummyfunction("REGEXEXTRACT(ADDRESS(ROW(), 42+$H144), ""[A-Z]+"")"),"AP")</f>
        <v>AP</v>
      </c>
      <c r="M144" s="18" t="str">
        <f aca="false">IFERROR(__xludf.dummyfunction("REGEXEXTRACT(ADDRESS(ROW(), 48+$H144), ""[A-Z]+"")"),"AV")</f>
        <v>AV</v>
      </c>
      <c r="N144" s="18" t="str">
        <f aca="false">IFERROR(__xludf.dummyfunction("REGEXEXTRACT(ADDRESS(ROW(), 50+$H144), ""[A-Z]+"")"),"AX")</f>
        <v>AX</v>
      </c>
      <c r="O144" s="18" t="str">
        <f aca="false">IFERROR(__xludf.dummyfunction("REGEXEXTRACT(ADDRESS(ROW(), 51+$H144), ""[A-Z]+"")"),"AY")</f>
        <v>AY</v>
      </c>
      <c r="P144" s="18" t="str">
        <f aca="false">IFERROR(__xludf.dummyfunction("REGEXEXTRACT(ADDRESS(ROW(), 54+$H144), ""[A-Z]+"")"),"BB")</f>
        <v>BB</v>
      </c>
      <c r="Q144" s="18" t="str">
        <f aca="false">IFERROR(__xludf.dummyfunction("REGEXEXTRACT(ADDRESS(ROW(), 59+$H144), ""[A-Z]+"")"),"BG")</f>
        <v>BG</v>
      </c>
      <c r="R144" s="18" t="str">
        <f aca="false">IFERROR(__xludf.dummyfunction("REGEXEXTRACT(ADDRESS(ROW(), 60+$H144), ""[A-Z]+"")"),"BH")</f>
        <v>BH</v>
      </c>
      <c r="S144" s="18" t="str">
        <f aca="false">IFERROR(__xludf.dummyfunction("REGEXEXTRACT(ADDRESS(ROW(), 62+$H144), ""[A-Z]+"")"),"BJ")</f>
        <v>BJ</v>
      </c>
      <c r="T144" s="18" t="str">
        <f aca="false">IFERROR(__xludf.dummyfunction("REGEXEXTRACT(ADDRESS(ROW(), 63+$H144), ""[A-Z]+"")"),"BK")</f>
        <v>BK</v>
      </c>
      <c r="U144" s="19" t="n">
        <f aca="false">IFERROR(__xludf.dummyfunction("IFERROR(QUERY(INDIRECT(""'""&amp;F144&amp;""'!C3:""&amp;T144&amp;""""), ""SELECT ""&amp;I144&amp;"", ""&amp;J144&amp;"", ""&amp;K144&amp;"", ""&amp;L144&amp;"", ""&amp;M144&amp;"", ""&amp;N144&amp;"", ""&amp;O144&amp;"", ""&amp;P144&amp;"", ""&amp;Q144&amp;"", ""&amp;R144&amp;"", ""&amp;S144&amp;"" WHERE '""&amp;B144&amp;""' = D"", 0), """")"),10)</f>
        <v>10</v>
      </c>
      <c r="V144" s="22" t="n">
        <f aca="false">IFERROR(__xludf.dummyfunction("""COMPUTED_VALUE"""),8)</f>
        <v>8</v>
      </c>
      <c r="W144" s="22" t="n">
        <f aca="false">IFERROR(__xludf.dummyfunction("""COMPUTED_VALUE"""),9)</f>
        <v>9</v>
      </c>
      <c r="X144" s="22" t="n">
        <f aca="false">IFERROR(__xludf.dummyfunction("""COMPUTED_VALUE"""),8.5)</f>
        <v>8.5</v>
      </c>
      <c r="Y144" s="22" t="n">
        <f aca="false">IFERROR(__xludf.dummyfunction("""COMPUTED_VALUE"""),0)</f>
        <v>0</v>
      </c>
      <c r="Z144" s="22" t="n">
        <f aca="false">IFERROR(__xludf.dummyfunction("""COMPUTED_VALUE"""),0)</f>
        <v>0</v>
      </c>
      <c r="AA144" s="22"/>
      <c r="AB144" s="22" t="n">
        <f aca="false">IFERROR(__xludf.dummyfunction("""COMPUTED_VALUE"""),6)</f>
        <v>6</v>
      </c>
      <c r="AC144" s="22" t="n">
        <f aca="false">IFERROR(__xludf.dummyfunction("""COMPUTED_VALUE"""),27)</f>
        <v>27</v>
      </c>
      <c r="AD144" s="23"/>
      <c r="AE144" s="24" t="n">
        <f aca="false">IFERROR(__xludf.dummyfunction("""COMPUTED_VALUE"""),68.5)</f>
        <v>68.5</v>
      </c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</row>
    <row r="145" customFormat="false" ht="18.65" hidden="false" customHeight="false" outlineLevel="0" collapsed="false">
      <c r="A145" s="13" t="n">
        <v>144</v>
      </c>
      <c r="B145" s="14" t="s">
        <v>322</v>
      </c>
      <c r="C145" s="15" t="s">
        <v>323</v>
      </c>
      <c r="D145" s="16" t="s">
        <v>194</v>
      </c>
      <c r="E145" s="16" t="s">
        <v>194</v>
      </c>
      <c r="F145" s="16" t="str">
        <f aca="false">REPLACE(E145, 1, 3, "")</f>
        <v>10</v>
      </c>
      <c r="G145" s="17" t="str">
        <f aca="true">IFERROR(VLOOKUP(B145,INDIRECT("'"&amp;F145&amp;"'!D3:D"),1,FALSE()), "Not found")</f>
        <v>Not found</v>
      </c>
      <c r="H145" s="18" t="n">
        <f aca="true">INDIRECT("'"&amp;F145&amp;"'!D1")</f>
        <v>0</v>
      </c>
      <c r="I145" s="18" t="str">
        <f aca="false">IFERROR(__xludf.dummyfunction("REGEXEXTRACT(ADDRESS(ROW(), 24+$H145), ""[A-Z]+"")"),"X")</f>
        <v>X</v>
      </c>
      <c r="J145" s="18" t="str">
        <f aca="false">IFERROR(__xludf.dummyfunction("REGEXEXTRACT(ADDRESS(ROW(), 30+$H145), ""[A-Z]+"")"),"AD")</f>
        <v>AD</v>
      </c>
      <c r="K145" s="18" t="str">
        <f aca="false">IFERROR(__xludf.dummyfunction("REGEXEXTRACT(ADDRESS(ROW(), 36+$H145), ""[A-Z]+"")"),"AJ")</f>
        <v>AJ</v>
      </c>
      <c r="L145" s="18" t="str">
        <f aca="false">IFERROR(__xludf.dummyfunction("REGEXEXTRACT(ADDRESS(ROW(), 42+$H145), ""[A-Z]+"")"),"AP")</f>
        <v>AP</v>
      </c>
      <c r="M145" s="18" t="str">
        <f aca="false">IFERROR(__xludf.dummyfunction("REGEXEXTRACT(ADDRESS(ROW(), 48+$H145), ""[A-Z]+"")"),"AV")</f>
        <v>AV</v>
      </c>
      <c r="N145" s="18" t="str">
        <f aca="false">IFERROR(__xludf.dummyfunction("REGEXEXTRACT(ADDRESS(ROW(), 50+$H145), ""[A-Z]+"")"),"AX")</f>
        <v>AX</v>
      </c>
      <c r="O145" s="18" t="str">
        <f aca="false">IFERROR(__xludf.dummyfunction("REGEXEXTRACT(ADDRESS(ROW(), 51+$H145), ""[A-Z]+"")"),"AY")</f>
        <v>AY</v>
      </c>
      <c r="P145" s="18" t="str">
        <f aca="false">IFERROR(__xludf.dummyfunction("REGEXEXTRACT(ADDRESS(ROW(), 54+$H145), ""[A-Z]+"")"),"BB")</f>
        <v>BB</v>
      </c>
      <c r="Q145" s="18" t="str">
        <f aca="false">IFERROR(__xludf.dummyfunction("REGEXEXTRACT(ADDRESS(ROW(), 59+$H145), ""[A-Z]+"")"),"BG")</f>
        <v>BG</v>
      </c>
      <c r="R145" s="18" t="str">
        <f aca="false">IFERROR(__xludf.dummyfunction("REGEXEXTRACT(ADDRESS(ROW(), 60+$H145), ""[A-Z]+"")"),"BH")</f>
        <v>BH</v>
      </c>
      <c r="S145" s="18" t="str">
        <f aca="false">IFERROR(__xludf.dummyfunction("REGEXEXTRACT(ADDRESS(ROW(), 62+$H145), ""[A-Z]+"")"),"BJ")</f>
        <v>BJ</v>
      </c>
      <c r="T145" s="18" t="str">
        <f aca="false">IFERROR(__xludf.dummyfunction("REGEXEXTRACT(ADDRESS(ROW(), 63+$H145), ""[A-Z]+"")"),"BK")</f>
        <v>BK</v>
      </c>
      <c r="U145" s="19" t="n">
        <f aca="false">IFERROR(__xludf.dummyfunction("IFERROR(QUERY(INDIRECT(""'""&amp;F145&amp;""'!C3:""&amp;T145&amp;""""), ""SELECT ""&amp;I145&amp;"", ""&amp;J145&amp;"", ""&amp;K145&amp;"", ""&amp;L145&amp;"", ""&amp;M145&amp;"", ""&amp;N145&amp;"", ""&amp;O145&amp;"", ""&amp;P145&amp;"", ""&amp;Q145&amp;"", ""&amp;R145&amp;"", ""&amp;S145&amp;"" WHERE '""&amp;B145&amp;""' = D"", 0), """")"),8.3)</f>
        <v>8.3</v>
      </c>
      <c r="V145" s="22" t="n">
        <f aca="false">IFERROR(__xludf.dummyfunction("""COMPUTED_VALUE"""),10)</f>
        <v>10</v>
      </c>
      <c r="W145" s="22" t="n">
        <f aca="false">IFERROR(__xludf.dummyfunction("""COMPUTED_VALUE"""),9)</f>
        <v>9</v>
      </c>
      <c r="X145" s="22" t="n">
        <f aca="false">IFERROR(__xludf.dummyfunction("""COMPUTED_VALUE"""),9)</f>
        <v>9</v>
      </c>
      <c r="Y145" s="22" t="n">
        <f aca="false">IFERROR(__xludf.dummyfunction("""COMPUTED_VALUE"""),8)</f>
        <v>8</v>
      </c>
      <c r="Z145" s="22" t="n">
        <f aca="false">IFERROR(__xludf.dummyfunction("""COMPUTED_VALUE"""),0)</f>
        <v>0</v>
      </c>
      <c r="AA145" s="22" t="n">
        <f aca="false">IFERROR(__xludf.dummyfunction("""COMPUTED_VALUE"""),2)</f>
        <v>2</v>
      </c>
      <c r="AB145" s="22" t="n">
        <f aca="false">IFERROR(__xludf.dummyfunction("""COMPUTED_VALUE"""),10)</f>
        <v>10</v>
      </c>
      <c r="AC145" s="22" t="n">
        <f aca="false">IFERROR(__xludf.dummyfunction("""COMPUTED_VALUE"""),28)</f>
        <v>28</v>
      </c>
      <c r="AD145" s="23"/>
      <c r="AE145" s="24" t="n">
        <f aca="false">IFERROR(__xludf.dummyfunction("""COMPUTED_VALUE"""),84.3)</f>
        <v>84.3</v>
      </c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</row>
    <row r="146" customFormat="false" ht="18.65" hidden="false" customHeight="false" outlineLevel="0" collapsed="false">
      <c r="A146" s="13" t="n">
        <v>145</v>
      </c>
      <c r="B146" s="14" t="s">
        <v>324</v>
      </c>
      <c r="C146" s="15" t="s">
        <v>325</v>
      </c>
      <c r="D146" s="16" t="s">
        <v>191</v>
      </c>
      <c r="E146" s="16" t="s">
        <v>191</v>
      </c>
      <c r="F146" s="16" t="str">
        <f aca="false">REPLACE(E146, 1, 3, "")</f>
        <v>12</v>
      </c>
      <c r="G146" s="17" t="str">
        <f aca="true">IFERROR(VLOOKUP(B146,INDIRECT("'"&amp;F146&amp;"'!D3:D"),1,FALSE()), "Not found")</f>
        <v>Not found</v>
      </c>
      <c r="H146" s="18" t="n">
        <f aca="true">INDIRECT("'"&amp;F146&amp;"'!D1")</f>
        <v>0</v>
      </c>
      <c r="I146" s="18" t="str">
        <f aca="false">IFERROR(__xludf.dummyfunction("REGEXEXTRACT(ADDRESS(ROW(), 24+$H146), ""[A-Z]+"")"),"X")</f>
        <v>X</v>
      </c>
      <c r="J146" s="18" t="str">
        <f aca="false">IFERROR(__xludf.dummyfunction("REGEXEXTRACT(ADDRESS(ROW(), 30+$H146), ""[A-Z]+"")"),"AD")</f>
        <v>AD</v>
      </c>
      <c r="K146" s="18" t="str">
        <f aca="false">IFERROR(__xludf.dummyfunction("REGEXEXTRACT(ADDRESS(ROW(), 36+$H146), ""[A-Z]+"")"),"AJ")</f>
        <v>AJ</v>
      </c>
      <c r="L146" s="18" t="str">
        <f aca="false">IFERROR(__xludf.dummyfunction("REGEXEXTRACT(ADDRESS(ROW(), 42+$H146), ""[A-Z]+"")"),"AP")</f>
        <v>AP</v>
      </c>
      <c r="M146" s="18" t="str">
        <f aca="false">IFERROR(__xludf.dummyfunction("REGEXEXTRACT(ADDRESS(ROW(), 48+$H146), ""[A-Z]+"")"),"AV")</f>
        <v>AV</v>
      </c>
      <c r="N146" s="18" t="str">
        <f aca="false">IFERROR(__xludf.dummyfunction("REGEXEXTRACT(ADDRESS(ROW(), 50+$H146), ""[A-Z]+"")"),"AX")</f>
        <v>AX</v>
      </c>
      <c r="O146" s="18" t="str">
        <f aca="false">IFERROR(__xludf.dummyfunction("REGEXEXTRACT(ADDRESS(ROW(), 51+$H146), ""[A-Z]+"")"),"AY")</f>
        <v>AY</v>
      </c>
      <c r="P146" s="18" t="str">
        <f aca="false">IFERROR(__xludf.dummyfunction("REGEXEXTRACT(ADDRESS(ROW(), 54+$H146), ""[A-Z]+"")"),"BB")</f>
        <v>BB</v>
      </c>
      <c r="Q146" s="18" t="str">
        <f aca="false">IFERROR(__xludf.dummyfunction("REGEXEXTRACT(ADDRESS(ROW(), 59+$H146), ""[A-Z]+"")"),"BG")</f>
        <v>BG</v>
      </c>
      <c r="R146" s="18" t="str">
        <f aca="false">IFERROR(__xludf.dummyfunction("REGEXEXTRACT(ADDRESS(ROW(), 60+$H146), ""[A-Z]+"")"),"BH")</f>
        <v>BH</v>
      </c>
      <c r="S146" s="18" t="str">
        <f aca="false">IFERROR(__xludf.dummyfunction("REGEXEXTRACT(ADDRESS(ROW(), 62+$H146), ""[A-Z]+"")"),"BJ")</f>
        <v>BJ</v>
      </c>
      <c r="T146" s="18" t="str">
        <f aca="false">IFERROR(__xludf.dummyfunction("REGEXEXTRACT(ADDRESS(ROW(), 63+$H146), ""[A-Z]+"")"),"BK")</f>
        <v>BK</v>
      </c>
      <c r="U146" s="19" t="n">
        <f aca="false">IFERROR(__xludf.dummyfunction("IFERROR(QUERY(INDIRECT(""'""&amp;F146&amp;""'!C3:""&amp;T146&amp;""""), ""SELECT ""&amp;I146&amp;"", ""&amp;J146&amp;"", ""&amp;K146&amp;"", ""&amp;L146&amp;"", ""&amp;M146&amp;"", ""&amp;N146&amp;"", ""&amp;O146&amp;"", ""&amp;P146&amp;"", ""&amp;Q146&amp;"", ""&amp;R146&amp;"", ""&amp;S146&amp;"" WHERE '""&amp;B146&amp;""' = D"", 0), """")"),7)</f>
        <v>7</v>
      </c>
      <c r="V146" s="22" t="n">
        <f aca="false">IFERROR(__xludf.dummyfunction("""COMPUTED_VALUE"""),9)</f>
        <v>9</v>
      </c>
      <c r="W146" s="22" t="n">
        <f aca="false">IFERROR(__xludf.dummyfunction("""COMPUTED_VALUE"""),7)</f>
        <v>7</v>
      </c>
      <c r="X146" s="22" t="n">
        <f aca="false">IFERROR(__xludf.dummyfunction("""COMPUTED_VALUE"""),7)</f>
        <v>7</v>
      </c>
      <c r="Y146" s="22" t="n">
        <f aca="false">IFERROR(__xludf.dummyfunction("""COMPUTED_VALUE"""),0)</f>
        <v>0</v>
      </c>
      <c r="Z146" s="22" t="n">
        <f aca="false">IFERROR(__xludf.dummyfunction("""COMPUTED_VALUE"""),0)</f>
        <v>0</v>
      </c>
      <c r="AA146" s="22"/>
      <c r="AB146" s="22" t="n">
        <f aca="false">IFERROR(__xludf.dummyfunction("""COMPUTED_VALUE"""),7)</f>
        <v>7</v>
      </c>
      <c r="AC146" s="22" t="n">
        <f aca="false">IFERROR(__xludf.dummyfunction("""COMPUTED_VALUE"""),0)</f>
        <v>0</v>
      </c>
      <c r="AD146" s="23"/>
      <c r="AE146" s="24" t="n">
        <f aca="false">IFERROR(__xludf.dummyfunction("""COMPUTED_VALUE"""),37)</f>
        <v>37</v>
      </c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</row>
    <row r="147" customFormat="false" ht="18.65" hidden="false" customHeight="false" outlineLevel="0" collapsed="false">
      <c r="A147" s="13" t="n">
        <v>146</v>
      </c>
      <c r="B147" s="14" t="s">
        <v>326</v>
      </c>
      <c r="C147" s="15" t="s">
        <v>327</v>
      </c>
      <c r="D147" s="16" t="s">
        <v>180</v>
      </c>
      <c r="E147" s="16" t="s">
        <v>180</v>
      </c>
      <c r="F147" s="16" t="str">
        <f aca="false">REPLACE(E147, 1, 3, "")</f>
        <v>11</v>
      </c>
      <c r="G147" s="17" t="str">
        <f aca="true">IFERROR(VLOOKUP(B147,INDIRECT("'"&amp;F147&amp;"'!D3:D"),1,FALSE()), "Not found")</f>
        <v>Not found</v>
      </c>
      <c r="H147" s="18" t="n">
        <f aca="true">INDIRECT("'"&amp;F147&amp;"'!D1")</f>
        <v>0</v>
      </c>
      <c r="I147" s="18" t="str">
        <f aca="false">IFERROR(__xludf.dummyfunction("REGEXEXTRACT(ADDRESS(ROW(), 24+$H147), ""[A-Z]+"")"),"X")</f>
        <v>X</v>
      </c>
      <c r="J147" s="18" t="str">
        <f aca="false">IFERROR(__xludf.dummyfunction("REGEXEXTRACT(ADDRESS(ROW(), 30+$H147), ""[A-Z]+"")"),"AD")</f>
        <v>AD</v>
      </c>
      <c r="K147" s="18" t="str">
        <f aca="false">IFERROR(__xludf.dummyfunction("REGEXEXTRACT(ADDRESS(ROW(), 36+$H147), ""[A-Z]+"")"),"AJ")</f>
        <v>AJ</v>
      </c>
      <c r="L147" s="18" t="str">
        <f aca="false">IFERROR(__xludf.dummyfunction("REGEXEXTRACT(ADDRESS(ROW(), 42+$H147), ""[A-Z]+"")"),"AP")</f>
        <v>AP</v>
      </c>
      <c r="M147" s="18" t="str">
        <f aca="false">IFERROR(__xludf.dummyfunction("REGEXEXTRACT(ADDRESS(ROW(), 48+$H147), ""[A-Z]+"")"),"AV")</f>
        <v>AV</v>
      </c>
      <c r="N147" s="18" t="str">
        <f aca="false">IFERROR(__xludf.dummyfunction("REGEXEXTRACT(ADDRESS(ROW(), 50+$H147), ""[A-Z]+"")"),"AX")</f>
        <v>AX</v>
      </c>
      <c r="O147" s="18" t="str">
        <f aca="false">IFERROR(__xludf.dummyfunction("REGEXEXTRACT(ADDRESS(ROW(), 51+$H147), ""[A-Z]+"")"),"AY")</f>
        <v>AY</v>
      </c>
      <c r="P147" s="18" t="str">
        <f aca="false">IFERROR(__xludf.dummyfunction("REGEXEXTRACT(ADDRESS(ROW(), 54+$H147), ""[A-Z]+"")"),"BB")</f>
        <v>BB</v>
      </c>
      <c r="Q147" s="18" t="str">
        <f aca="false">IFERROR(__xludf.dummyfunction("REGEXEXTRACT(ADDRESS(ROW(), 59+$H147), ""[A-Z]+"")"),"BG")</f>
        <v>BG</v>
      </c>
      <c r="R147" s="18" t="str">
        <f aca="false">IFERROR(__xludf.dummyfunction("REGEXEXTRACT(ADDRESS(ROW(), 60+$H147), ""[A-Z]+"")"),"BH")</f>
        <v>BH</v>
      </c>
      <c r="S147" s="18" t="str">
        <f aca="false">IFERROR(__xludf.dummyfunction("REGEXEXTRACT(ADDRESS(ROW(), 62+$H147), ""[A-Z]+"")"),"BJ")</f>
        <v>BJ</v>
      </c>
      <c r="T147" s="18" t="str">
        <f aca="false">IFERROR(__xludf.dummyfunction("REGEXEXTRACT(ADDRESS(ROW(), 63+$H147), ""[A-Z]+"")"),"BK")</f>
        <v>BK</v>
      </c>
      <c r="U147" s="19" t="n">
        <f aca="false">IFERROR(__xludf.dummyfunction("IFERROR(QUERY(INDIRECT(""'""&amp;F147&amp;""'!C3:""&amp;T147&amp;""""), ""SELECT ""&amp;I147&amp;"", ""&amp;J147&amp;"", ""&amp;K147&amp;"", ""&amp;L147&amp;"", ""&amp;M147&amp;"", ""&amp;N147&amp;"", ""&amp;O147&amp;"", ""&amp;P147&amp;"", ""&amp;Q147&amp;"", ""&amp;R147&amp;"", ""&amp;S147&amp;"" WHERE '""&amp;B147&amp;""' = D"", 0), """")"),10)</f>
        <v>10</v>
      </c>
      <c r="V147" s="22" t="n">
        <f aca="false">IFERROR(__xludf.dummyfunction("""COMPUTED_VALUE"""),10)</f>
        <v>10</v>
      </c>
      <c r="W147" s="22" t="n">
        <f aca="false">IFERROR(__xludf.dummyfunction("""COMPUTED_VALUE"""),10)</f>
        <v>10</v>
      </c>
      <c r="X147" s="22" t="n">
        <f aca="false">IFERROR(__xludf.dummyfunction("""COMPUTED_VALUE"""),10)</f>
        <v>10</v>
      </c>
      <c r="Y147" s="22" t="n">
        <f aca="false">IFERROR(__xludf.dummyfunction("""COMPUTED_VALUE"""),10)</f>
        <v>10</v>
      </c>
      <c r="Z147" s="22" t="n">
        <f aca="false">IFERROR(__xludf.dummyfunction("""COMPUTED_VALUE"""),2)</f>
        <v>2</v>
      </c>
      <c r="AA147" s="22" t="n">
        <f aca="false">IFERROR(__xludf.dummyfunction("""COMPUTED_VALUE"""),0)</f>
        <v>0</v>
      </c>
      <c r="AB147" s="22" t="n">
        <f aca="false">IFERROR(__xludf.dummyfunction("""COMPUTED_VALUE"""),6)</f>
        <v>6</v>
      </c>
      <c r="AC147" s="22" t="n">
        <f aca="false">IFERROR(__xludf.dummyfunction("""COMPUTED_VALUE"""),28)</f>
        <v>28</v>
      </c>
      <c r="AD147" s="23"/>
      <c r="AE147" s="24" t="n">
        <f aca="false">IFERROR(__xludf.dummyfunction("""COMPUTED_VALUE"""),86)</f>
        <v>86</v>
      </c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</row>
    <row r="148" customFormat="false" ht="18.65" hidden="false" customHeight="false" outlineLevel="0" collapsed="false">
      <c r="A148" s="13" t="n">
        <v>147</v>
      </c>
      <c r="B148" s="14" t="s">
        <v>328</v>
      </c>
      <c r="C148" s="15" t="s">
        <v>329</v>
      </c>
      <c r="D148" s="16" t="s">
        <v>244</v>
      </c>
      <c r="E148" s="16" t="s">
        <v>244</v>
      </c>
      <c r="F148" s="16" t="str">
        <f aca="false">REPLACE(E148, 1, 3, "")</f>
        <v>13</v>
      </c>
      <c r="G148" s="17" t="str">
        <f aca="true">IFERROR(VLOOKUP(B148,INDIRECT("'"&amp;F148&amp;"'!D3:D"),1,FALSE()), "Not found")</f>
        <v>Not found</v>
      </c>
      <c r="H148" s="18" t="n">
        <f aca="true">INDIRECT("'"&amp;F148&amp;"'!D1")</f>
        <v>0</v>
      </c>
      <c r="I148" s="18" t="str">
        <f aca="false">IFERROR(__xludf.dummyfunction("REGEXEXTRACT(ADDRESS(ROW(), 24+$H148), ""[A-Z]+"")"),"X")</f>
        <v>X</v>
      </c>
      <c r="J148" s="18" t="str">
        <f aca="false">IFERROR(__xludf.dummyfunction("REGEXEXTRACT(ADDRESS(ROW(), 30+$H148), ""[A-Z]+"")"),"AD")</f>
        <v>AD</v>
      </c>
      <c r="K148" s="18" t="str">
        <f aca="false">IFERROR(__xludf.dummyfunction("REGEXEXTRACT(ADDRESS(ROW(), 36+$H148), ""[A-Z]+"")"),"AJ")</f>
        <v>AJ</v>
      </c>
      <c r="L148" s="18" t="str">
        <f aca="false">IFERROR(__xludf.dummyfunction("REGEXEXTRACT(ADDRESS(ROW(), 42+$H148), ""[A-Z]+"")"),"AP")</f>
        <v>AP</v>
      </c>
      <c r="M148" s="18" t="str">
        <f aca="false">IFERROR(__xludf.dummyfunction("REGEXEXTRACT(ADDRESS(ROW(), 48+$H148), ""[A-Z]+"")"),"AV")</f>
        <v>AV</v>
      </c>
      <c r="N148" s="18" t="str">
        <f aca="false">IFERROR(__xludf.dummyfunction("REGEXEXTRACT(ADDRESS(ROW(), 50+$H148), ""[A-Z]+"")"),"AX")</f>
        <v>AX</v>
      </c>
      <c r="O148" s="18" t="str">
        <f aca="false">IFERROR(__xludf.dummyfunction("REGEXEXTRACT(ADDRESS(ROW(), 51+$H148), ""[A-Z]+"")"),"AY")</f>
        <v>AY</v>
      </c>
      <c r="P148" s="18" t="str">
        <f aca="false">IFERROR(__xludf.dummyfunction("REGEXEXTRACT(ADDRESS(ROW(), 54+$H148), ""[A-Z]+"")"),"BB")</f>
        <v>BB</v>
      </c>
      <c r="Q148" s="18" t="str">
        <f aca="false">IFERROR(__xludf.dummyfunction("REGEXEXTRACT(ADDRESS(ROW(), 59+$H148), ""[A-Z]+"")"),"BG")</f>
        <v>BG</v>
      </c>
      <c r="R148" s="18" t="str">
        <f aca="false">IFERROR(__xludf.dummyfunction("REGEXEXTRACT(ADDRESS(ROW(), 60+$H148), ""[A-Z]+"")"),"BH")</f>
        <v>BH</v>
      </c>
      <c r="S148" s="18" t="str">
        <f aca="false">IFERROR(__xludf.dummyfunction("REGEXEXTRACT(ADDRESS(ROW(), 62+$H148), ""[A-Z]+"")"),"BJ")</f>
        <v>BJ</v>
      </c>
      <c r="T148" s="18" t="str">
        <f aca="false">IFERROR(__xludf.dummyfunction("REGEXEXTRACT(ADDRESS(ROW(), 63+$H148), ""[A-Z]+"")"),"BK")</f>
        <v>BK</v>
      </c>
      <c r="U148" s="19" t="n">
        <f aca="false">IFERROR(__xludf.dummyfunction("IFERROR(QUERY(INDIRECT(""'""&amp;F148&amp;""'!C3:""&amp;T148&amp;""""), ""SELECT ""&amp;I148&amp;"", ""&amp;J148&amp;"", ""&amp;K148&amp;"", ""&amp;L148&amp;"", ""&amp;M148&amp;"", ""&amp;N148&amp;"", ""&amp;O148&amp;"", ""&amp;P148&amp;"", ""&amp;Q148&amp;"", ""&amp;R148&amp;"", ""&amp;S148&amp;"" WHERE '""&amp;B148&amp;""' = D"", 0), """")"),7)</f>
        <v>7</v>
      </c>
      <c r="V148" s="22" t="n">
        <f aca="false">IFERROR(__xludf.dummyfunction("""COMPUTED_VALUE"""),9)</f>
        <v>9</v>
      </c>
      <c r="W148" s="22" t="n">
        <f aca="false">IFERROR(__xludf.dummyfunction("""COMPUTED_VALUE"""),8.7)</f>
        <v>8.7</v>
      </c>
      <c r="X148" s="22" t="n">
        <f aca="false">IFERROR(__xludf.dummyfunction("""COMPUTED_VALUE"""),9)</f>
        <v>9</v>
      </c>
      <c r="Y148" s="22" t="n">
        <f aca="false">IFERROR(__xludf.dummyfunction("""COMPUTED_VALUE"""),0)</f>
        <v>0</v>
      </c>
      <c r="Z148" s="22"/>
      <c r="AA148" s="22"/>
      <c r="AB148" s="22" t="n">
        <f aca="false">IFERROR(__xludf.dummyfunction("""COMPUTED_VALUE"""),10)</f>
        <v>10</v>
      </c>
      <c r="AC148" s="22" t="n">
        <f aca="false">IFERROR(__xludf.dummyfunction("""COMPUTED_VALUE"""),0)</f>
        <v>0</v>
      </c>
      <c r="AD148" s="23"/>
      <c r="AE148" s="24" t="n">
        <f aca="false">IFERROR(__xludf.dummyfunction("""COMPUTED_VALUE"""),43.7)</f>
        <v>43.7</v>
      </c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</row>
    <row r="149" customFormat="false" ht="18.65" hidden="false" customHeight="false" outlineLevel="0" collapsed="false">
      <c r="A149" s="13" t="n">
        <v>148</v>
      </c>
      <c r="B149" s="14" t="s">
        <v>330</v>
      </c>
      <c r="C149" s="15" t="s">
        <v>331</v>
      </c>
      <c r="D149" s="16" t="s">
        <v>183</v>
      </c>
      <c r="E149" s="16" t="s">
        <v>183</v>
      </c>
      <c r="F149" s="16" t="str">
        <f aca="false">REPLACE(E149, 1, 3, "")</f>
        <v>14</v>
      </c>
      <c r="G149" s="17" t="str">
        <f aca="true">IFERROR(VLOOKUP(B149,INDIRECT("'"&amp;F149&amp;"'!D3:D"),1,FALSE()), "Not found")</f>
        <v>Not found</v>
      </c>
      <c r="H149" s="18" t="n">
        <f aca="true">INDIRECT("'"&amp;F149&amp;"'!D1")</f>
        <v>0</v>
      </c>
      <c r="I149" s="18" t="str">
        <f aca="false">IFERROR(__xludf.dummyfunction("REGEXEXTRACT(ADDRESS(ROW(), 24+$H149), ""[A-Z]+"")"),"X")</f>
        <v>X</v>
      </c>
      <c r="J149" s="18" t="str">
        <f aca="false">IFERROR(__xludf.dummyfunction("REGEXEXTRACT(ADDRESS(ROW(), 30+$H149), ""[A-Z]+"")"),"AD")</f>
        <v>AD</v>
      </c>
      <c r="K149" s="18" t="str">
        <f aca="false">IFERROR(__xludf.dummyfunction("REGEXEXTRACT(ADDRESS(ROW(), 36+$H149), ""[A-Z]+"")"),"AJ")</f>
        <v>AJ</v>
      </c>
      <c r="L149" s="18" t="str">
        <f aca="false">IFERROR(__xludf.dummyfunction("REGEXEXTRACT(ADDRESS(ROW(), 42+$H149), ""[A-Z]+"")"),"AP")</f>
        <v>AP</v>
      </c>
      <c r="M149" s="18" t="str">
        <f aca="false">IFERROR(__xludf.dummyfunction("REGEXEXTRACT(ADDRESS(ROW(), 48+$H149), ""[A-Z]+"")"),"AV")</f>
        <v>AV</v>
      </c>
      <c r="N149" s="18" t="str">
        <f aca="false">IFERROR(__xludf.dummyfunction("REGEXEXTRACT(ADDRESS(ROW(), 50+$H149), ""[A-Z]+"")"),"AX")</f>
        <v>AX</v>
      </c>
      <c r="O149" s="18" t="str">
        <f aca="false">IFERROR(__xludf.dummyfunction("REGEXEXTRACT(ADDRESS(ROW(), 51+$H149), ""[A-Z]+"")"),"AY")</f>
        <v>AY</v>
      </c>
      <c r="P149" s="18" t="str">
        <f aca="false">IFERROR(__xludf.dummyfunction("REGEXEXTRACT(ADDRESS(ROW(), 54+$H149), ""[A-Z]+"")"),"BB")</f>
        <v>BB</v>
      </c>
      <c r="Q149" s="18" t="str">
        <f aca="false">IFERROR(__xludf.dummyfunction("REGEXEXTRACT(ADDRESS(ROW(), 59+$H149), ""[A-Z]+"")"),"BG")</f>
        <v>BG</v>
      </c>
      <c r="R149" s="18" t="str">
        <f aca="false">IFERROR(__xludf.dummyfunction("REGEXEXTRACT(ADDRESS(ROW(), 60+$H149), ""[A-Z]+"")"),"BH")</f>
        <v>BH</v>
      </c>
      <c r="S149" s="18" t="str">
        <f aca="false">IFERROR(__xludf.dummyfunction("REGEXEXTRACT(ADDRESS(ROW(), 62+$H149), ""[A-Z]+"")"),"BJ")</f>
        <v>BJ</v>
      </c>
      <c r="T149" s="18" t="str">
        <f aca="false">IFERROR(__xludf.dummyfunction("REGEXEXTRACT(ADDRESS(ROW(), 63+$H149), ""[A-Z]+"")"),"BK")</f>
        <v>BK</v>
      </c>
      <c r="U149" s="19" t="str">
        <f aca="false">IFERROR(__xludf.dummyfunction("IFERROR(QUERY(INDIRECT(""'""&amp;F149&amp;""'!C3:""&amp;T149&amp;""""), ""SELECT ""&amp;I149&amp;"", ""&amp;J149&amp;"", ""&amp;K149&amp;"", ""&amp;L149&amp;"", ""&amp;M149&amp;"", ""&amp;N149&amp;"", ""&amp;O149&amp;"", ""&amp;P149&amp;"", ""&amp;Q149&amp;"", ""&amp;R149&amp;"", ""&amp;S149&amp;"" WHERE '""&amp;B149&amp;""' = D"", 0), """")"),"")</f>
        <v/>
      </c>
      <c r="V149" s="22"/>
      <c r="W149" s="22"/>
      <c r="X149" s="22"/>
      <c r="Y149" s="22" t="n">
        <f aca="false">IFERROR(__xludf.dummyfunction("""COMPUTED_VALUE"""),0)</f>
        <v>0</v>
      </c>
      <c r="Z149" s="22" t="n">
        <f aca="false">IFERROR(__xludf.dummyfunction("""COMPUTED_VALUE"""),1)</f>
        <v>1</v>
      </c>
      <c r="AA149" s="22"/>
      <c r="AB149" s="22"/>
      <c r="AC149" s="22"/>
      <c r="AD149" s="23"/>
      <c r="AE149" s="24" t="n">
        <f aca="false">IFERROR(__xludf.dummyfunction("""COMPUTED_VALUE"""),1)</f>
        <v>1</v>
      </c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</row>
    <row r="150" customFormat="false" ht="18.65" hidden="false" customHeight="false" outlineLevel="0" collapsed="false">
      <c r="A150" s="13" t="n">
        <v>149</v>
      </c>
      <c r="B150" s="14" t="s">
        <v>332</v>
      </c>
      <c r="C150" s="15" t="s">
        <v>333</v>
      </c>
      <c r="D150" s="16" t="s">
        <v>218</v>
      </c>
      <c r="E150" s="16" t="s">
        <v>218</v>
      </c>
      <c r="F150" s="16" t="str">
        <f aca="false">REPLACE(E150, 1, 3, "")</f>
        <v>15</v>
      </c>
      <c r="G150" s="17" t="str">
        <f aca="true">IFERROR(VLOOKUP(B150,INDIRECT("'"&amp;F150&amp;"'!D3:D"),1,FALSE()), "Not found")</f>
        <v>Not found</v>
      </c>
      <c r="H150" s="18" t="n">
        <f aca="true">INDIRECT("'"&amp;F150&amp;"'!D1")</f>
        <v>0</v>
      </c>
      <c r="I150" s="18" t="str">
        <f aca="false">IFERROR(__xludf.dummyfunction("REGEXEXTRACT(ADDRESS(ROW(), 24+$H150), ""[A-Z]+"")"),"X")</f>
        <v>X</v>
      </c>
      <c r="J150" s="18" t="str">
        <f aca="false">IFERROR(__xludf.dummyfunction("REGEXEXTRACT(ADDRESS(ROW(), 30+$H150), ""[A-Z]+"")"),"AD")</f>
        <v>AD</v>
      </c>
      <c r="K150" s="18" t="str">
        <f aca="false">IFERROR(__xludf.dummyfunction("REGEXEXTRACT(ADDRESS(ROW(), 36+$H150), ""[A-Z]+"")"),"AJ")</f>
        <v>AJ</v>
      </c>
      <c r="L150" s="18" t="str">
        <f aca="false">IFERROR(__xludf.dummyfunction("REGEXEXTRACT(ADDRESS(ROW(), 42+$H150), ""[A-Z]+"")"),"AP")</f>
        <v>AP</v>
      </c>
      <c r="M150" s="18" t="str">
        <f aca="false">IFERROR(__xludf.dummyfunction("REGEXEXTRACT(ADDRESS(ROW(), 48+$H150), ""[A-Z]+"")"),"AV")</f>
        <v>AV</v>
      </c>
      <c r="N150" s="18" t="str">
        <f aca="false">IFERROR(__xludf.dummyfunction("REGEXEXTRACT(ADDRESS(ROW(), 50+$H150), ""[A-Z]+"")"),"AX")</f>
        <v>AX</v>
      </c>
      <c r="O150" s="18" t="str">
        <f aca="false">IFERROR(__xludf.dummyfunction("REGEXEXTRACT(ADDRESS(ROW(), 51+$H150), ""[A-Z]+"")"),"AY")</f>
        <v>AY</v>
      </c>
      <c r="P150" s="18" t="str">
        <f aca="false">IFERROR(__xludf.dummyfunction("REGEXEXTRACT(ADDRESS(ROW(), 54+$H150), ""[A-Z]+"")"),"BB")</f>
        <v>BB</v>
      </c>
      <c r="Q150" s="18" t="str">
        <f aca="false">IFERROR(__xludf.dummyfunction("REGEXEXTRACT(ADDRESS(ROW(), 59+$H150), ""[A-Z]+"")"),"BG")</f>
        <v>BG</v>
      </c>
      <c r="R150" s="18" t="str">
        <f aca="false">IFERROR(__xludf.dummyfunction("REGEXEXTRACT(ADDRESS(ROW(), 60+$H150), ""[A-Z]+"")"),"BH")</f>
        <v>BH</v>
      </c>
      <c r="S150" s="18" t="str">
        <f aca="false">IFERROR(__xludf.dummyfunction("REGEXEXTRACT(ADDRESS(ROW(), 62+$H150), ""[A-Z]+"")"),"BJ")</f>
        <v>BJ</v>
      </c>
      <c r="T150" s="18" t="str">
        <f aca="false">IFERROR(__xludf.dummyfunction("REGEXEXTRACT(ADDRESS(ROW(), 63+$H150), ""[A-Z]+"")"),"BK")</f>
        <v>BK</v>
      </c>
      <c r="U150" s="19" t="n">
        <f aca="false">IFERROR(__xludf.dummyfunction("IFERROR(QUERY(INDIRECT(""'""&amp;F150&amp;""'!C3:""&amp;T150&amp;""""), ""SELECT ""&amp;I150&amp;"", ""&amp;J150&amp;"", ""&amp;K150&amp;"", ""&amp;L150&amp;"", ""&amp;M150&amp;"", ""&amp;N150&amp;"", ""&amp;O150&amp;"", ""&amp;P150&amp;"", ""&amp;Q150&amp;"", ""&amp;R150&amp;"", ""&amp;S150&amp;"" WHERE '""&amp;B150&amp;""' = D"", 0), """")"),8.5)</f>
        <v>8.5</v>
      </c>
      <c r="V150" s="22" t="n">
        <f aca="false">IFERROR(__xludf.dummyfunction("""COMPUTED_VALUE"""),9)</f>
        <v>9</v>
      </c>
      <c r="W150" s="22" t="n">
        <f aca="false">IFERROR(__xludf.dummyfunction("""COMPUTED_VALUE"""),8.7)</f>
        <v>8.7</v>
      </c>
      <c r="X150" s="22" t="n">
        <f aca="false">IFERROR(__xludf.dummyfunction("""COMPUTED_VALUE"""),8.3)</f>
        <v>8.3</v>
      </c>
      <c r="Y150" s="22" t="n">
        <f aca="false">IFERROR(__xludf.dummyfunction("""COMPUTED_VALUE"""),0)</f>
        <v>0</v>
      </c>
      <c r="Z150" s="22"/>
      <c r="AA150" s="22"/>
      <c r="AB150" s="22" t="n">
        <f aca="false">IFERROR(__xludf.dummyfunction("""COMPUTED_VALUE"""),10)</f>
        <v>10</v>
      </c>
      <c r="AC150" s="22" t="n">
        <f aca="false">IFERROR(__xludf.dummyfunction("""COMPUTED_VALUE"""),0)</f>
        <v>0</v>
      </c>
      <c r="AD150" s="23"/>
      <c r="AE150" s="24" t="n">
        <f aca="false">IFERROR(__xludf.dummyfunction("""COMPUTED_VALUE"""),44.5)</f>
        <v>44.5</v>
      </c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</row>
    <row r="151" customFormat="false" ht="18.65" hidden="false" customHeight="false" outlineLevel="0" collapsed="false">
      <c r="A151" s="13" t="n">
        <v>150</v>
      </c>
      <c r="B151" s="14" t="s">
        <v>334</v>
      </c>
      <c r="C151" s="15" t="s">
        <v>335</v>
      </c>
      <c r="D151" s="16" t="s">
        <v>213</v>
      </c>
      <c r="E151" s="16" t="s">
        <v>213</v>
      </c>
      <c r="F151" s="16" t="str">
        <f aca="false">REPLACE(E151, 1, 3, "")</f>
        <v>16</v>
      </c>
      <c r="G151" s="17" t="str">
        <f aca="true">IFERROR(VLOOKUP(B151,INDIRECT("'"&amp;F151&amp;"'!D3:D"),1,FALSE()), "Not found")</f>
        <v>Not found</v>
      </c>
      <c r="H151" s="18" t="n">
        <f aca="true">INDIRECT("'"&amp;F151&amp;"'!D1")</f>
        <v>0</v>
      </c>
      <c r="I151" s="18" t="str">
        <f aca="false">IFERROR(__xludf.dummyfunction("REGEXEXTRACT(ADDRESS(ROW(), 24+$H151), ""[A-Z]+"")"),"X")</f>
        <v>X</v>
      </c>
      <c r="J151" s="18" t="str">
        <f aca="false">IFERROR(__xludf.dummyfunction("REGEXEXTRACT(ADDRESS(ROW(), 30+$H151), ""[A-Z]+"")"),"AD")</f>
        <v>AD</v>
      </c>
      <c r="K151" s="18" t="str">
        <f aca="false">IFERROR(__xludf.dummyfunction("REGEXEXTRACT(ADDRESS(ROW(), 36+$H151), ""[A-Z]+"")"),"AJ")</f>
        <v>AJ</v>
      </c>
      <c r="L151" s="18" t="str">
        <f aca="false">IFERROR(__xludf.dummyfunction("REGEXEXTRACT(ADDRESS(ROW(), 42+$H151), ""[A-Z]+"")"),"AP")</f>
        <v>AP</v>
      </c>
      <c r="M151" s="18" t="str">
        <f aca="false">IFERROR(__xludf.dummyfunction("REGEXEXTRACT(ADDRESS(ROW(), 48+$H151), ""[A-Z]+"")"),"AV")</f>
        <v>AV</v>
      </c>
      <c r="N151" s="18" t="str">
        <f aca="false">IFERROR(__xludf.dummyfunction("REGEXEXTRACT(ADDRESS(ROW(), 50+$H151), ""[A-Z]+"")"),"AX")</f>
        <v>AX</v>
      </c>
      <c r="O151" s="18" t="str">
        <f aca="false">IFERROR(__xludf.dummyfunction("REGEXEXTRACT(ADDRESS(ROW(), 51+$H151), ""[A-Z]+"")"),"AY")</f>
        <v>AY</v>
      </c>
      <c r="P151" s="18" t="str">
        <f aca="false">IFERROR(__xludf.dummyfunction("REGEXEXTRACT(ADDRESS(ROW(), 54+$H151), ""[A-Z]+"")"),"BB")</f>
        <v>BB</v>
      </c>
      <c r="Q151" s="18" t="str">
        <f aca="false">IFERROR(__xludf.dummyfunction("REGEXEXTRACT(ADDRESS(ROW(), 59+$H151), ""[A-Z]+"")"),"BG")</f>
        <v>BG</v>
      </c>
      <c r="R151" s="18" t="str">
        <f aca="false">IFERROR(__xludf.dummyfunction("REGEXEXTRACT(ADDRESS(ROW(), 60+$H151), ""[A-Z]+"")"),"BH")</f>
        <v>BH</v>
      </c>
      <c r="S151" s="18" t="str">
        <f aca="false">IFERROR(__xludf.dummyfunction("REGEXEXTRACT(ADDRESS(ROW(), 62+$H151), ""[A-Z]+"")"),"BJ")</f>
        <v>BJ</v>
      </c>
      <c r="T151" s="18" t="str">
        <f aca="false">IFERROR(__xludf.dummyfunction("REGEXEXTRACT(ADDRESS(ROW(), 63+$H151), ""[A-Z]+"")"),"BK")</f>
        <v>BK</v>
      </c>
      <c r="U151" s="19" t="n">
        <f aca="false">IFERROR(__xludf.dummyfunction("IFERROR(QUERY(INDIRECT(""'""&amp;F151&amp;""'!C3:""&amp;T151&amp;""""), ""SELECT ""&amp;I151&amp;"", ""&amp;J151&amp;"", ""&amp;K151&amp;"", ""&amp;L151&amp;"", ""&amp;M151&amp;"", ""&amp;N151&amp;"", ""&amp;O151&amp;"", ""&amp;P151&amp;"", ""&amp;Q151&amp;"", ""&amp;R151&amp;"", ""&amp;S151&amp;"" WHERE '""&amp;B151&amp;""' = D"", 0), """")"),7)</f>
        <v>7</v>
      </c>
      <c r="V151" s="22" t="n">
        <f aca="false">IFERROR(__xludf.dummyfunction("""COMPUTED_VALUE"""),7)</f>
        <v>7</v>
      </c>
      <c r="W151" s="22"/>
      <c r="X151" s="22"/>
      <c r="Y151" s="22" t="n">
        <f aca="false">IFERROR(__xludf.dummyfunction("""COMPUTED_VALUE"""),0)</f>
        <v>0</v>
      </c>
      <c r="Z151" s="22"/>
      <c r="AA151" s="22"/>
      <c r="AB151" s="22" t="n">
        <f aca="false">IFERROR(__xludf.dummyfunction("""COMPUTED_VALUE"""),0)</f>
        <v>0</v>
      </c>
      <c r="AC151" s="22"/>
      <c r="AD151" s="23"/>
      <c r="AE151" s="24" t="n">
        <f aca="false">IFERROR(__xludf.dummyfunction("""COMPUTED_VALUE"""),14)</f>
        <v>14</v>
      </c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</row>
    <row r="152" customFormat="false" ht="18.65" hidden="false" customHeight="false" outlineLevel="0" collapsed="false">
      <c r="A152" s="13" t="n">
        <v>151</v>
      </c>
      <c r="B152" s="14" t="s">
        <v>336</v>
      </c>
      <c r="C152" s="15" t="s">
        <v>337</v>
      </c>
      <c r="D152" s="16" t="s">
        <v>223</v>
      </c>
      <c r="E152" s="16" t="s">
        <v>223</v>
      </c>
      <c r="F152" s="16" t="str">
        <f aca="false">REPLACE(E152, 1, 3, "")</f>
        <v>17</v>
      </c>
      <c r="G152" s="17" t="str">
        <f aca="true">IFERROR(VLOOKUP(B152,INDIRECT("'"&amp;F152&amp;"'!D3:D"),1,FALSE()), "Not found")</f>
        <v>Not found</v>
      </c>
      <c r="H152" s="18" t="n">
        <f aca="true">INDIRECT("'"&amp;F152&amp;"'!D1")</f>
        <v>0</v>
      </c>
      <c r="I152" s="18" t="str">
        <f aca="false">IFERROR(__xludf.dummyfunction("REGEXEXTRACT(ADDRESS(ROW(), 24+$H152), ""[A-Z]+"")"),"X")</f>
        <v>X</v>
      </c>
      <c r="J152" s="18" t="str">
        <f aca="false">IFERROR(__xludf.dummyfunction("REGEXEXTRACT(ADDRESS(ROW(), 30+$H152), ""[A-Z]+"")"),"AD")</f>
        <v>AD</v>
      </c>
      <c r="K152" s="18" t="str">
        <f aca="false">IFERROR(__xludf.dummyfunction("REGEXEXTRACT(ADDRESS(ROW(), 36+$H152), ""[A-Z]+"")"),"AJ")</f>
        <v>AJ</v>
      </c>
      <c r="L152" s="18" t="str">
        <f aca="false">IFERROR(__xludf.dummyfunction("REGEXEXTRACT(ADDRESS(ROW(), 42+$H152), ""[A-Z]+"")"),"AP")</f>
        <v>AP</v>
      </c>
      <c r="M152" s="18" t="str">
        <f aca="false">IFERROR(__xludf.dummyfunction("REGEXEXTRACT(ADDRESS(ROW(), 48+$H152), ""[A-Z]+"")"),"AV")</f>
        <v>AV</v>
      </c>
      <c r="N152" s="18" t="str">
        <f aca="false">IFERROR(__xludf.dummyfunction("REGEXEXTRACT(ADDRESS(ROW(), 50+$H152), ""[A-Z]+"")"),"AX")</f>
        <v>AX</v>
      </c>
      <c r="O152" s="18" t="str">
        <f aca="false">IFERROR(__xludf.dummyfunction("REGEXEXTRACT(ADDRESS(ROW(), 51+$H152), ""[A-Z]+"")"),"AY")</f>
        <v>AY</v>
      </c>
      <c r="P152" s="18" t="str">
        <f aca="false">IFERROR(__xludf.dummyfunction("REGEXEXTRACT(ADDRESS(ROW(), 54+$H152), ""[A-Z]+"")"),"BB")</f>
        <v>BB</v>
      </c>
      <c r="Q152" s="18" t="str">
        <f aca="false">IFERROR(__xludf.dummyfunction("REGEXEXTRACT(ADDRESS(ROW(), 59+$H152), ""[A-Z]+"")"),"BG")</f>
        <v>BG</v>
      </c>
      <c r="R152" s="18" t="str">
        <f aca="false">IFERROR(__xludf.dummyfunction("REGEXEXTRACT(ADDRESS(ROW(), 60+$H152), ""[A-Z]+"")"),"BH")</f>
        <v>BH</v>
      </c>
      <c r="S152" s="18" t="str">
        <f aca="false">IFERROR(__xludf.dummyfunction("REGEXEXTRACT(ADDRESS(ROW(), 62+$H152), ""[A-Z]+"")"),"BJ")</f>
        <v>BJ</v>
      </c>
      <c r="T152" s="18" t="str">
        <f aca="false">IFERROR(__xludf.dummyfunction("REGEXEXTRACT(ADDRESS(ROW(), 63+$H152), ""[A-Z]+"")"),"BK")</f>
        <v>BK</v>
      </c>
      <c r="U152" s="19" t="n">
        <f aca="false">IFERROR(__xludf.dummyfunction("IFERROR(QUERY(INDIRECT(""'""&amp;F152&amp;""'!C3:""&amp;T152&amp;""""), ""SELECT ""&amp;I152&amp;"", ""&amp;J152&amp;"", ""&amp;K152&amp;"", ""&amp;L152&amp;"", ""&amp;M152&amp;"", ""&amp;N152&amp;"", ""&amp;O152&amp;"", ""&amp;P152&amp;"", ""&amp;Q152&amp;"", ""&amp;R152&amp;"", ""&amp;S152&amp;"" WHERE '""&amp;B152&amp;""' = D"", 0), """")"),8.5)</f>
        <v>8.5</v>
      </c>
      <c r="V152" s="22" t="n">
        <f aca="false">IFERROR(__xludf.dummyfunction("""COMPUTED_VALUE"""),9.3)</f>
        <v>9.3</v>
      </c>
      <c r="W152" s="22" t="n">
        <f aca="false">IFERROR(__xludf.dummyfunction("""COMPUTED_VALUE"""),9)</f>
        <v>9</v>
      </c>
      <c r="X152" s="22" t="n">
        <f aca="false">IFERROR(__xludf.dummyfunction("""COMPUTED_VALUE"""),9.3)</f>
        <v>9.3</v>
      </c>
      <c r="Y152" s="22" t="n">
        <f aca="false">IFERROR(__xludf.dummyfunction("""COMPUTED_VALUE"""),7)</f>
        <v>7</v>
      </c>
      <c r="Z152" s="22" t="n">
        <f aca="false">IFERROR(__xludf.dummyfunction("""COMPUTED_VALUE"""),1)</f>
        <v>1</v>
      </c>
      <c r="AA152" s="22" t="n">
        <f aca="false">IFERROR(__xludf.dummyfunction("""COMPUTED_VALUE"""),1)</f>
        <v>1</v>
      </c>
      <c r="AB152" s="22" t="n">
        <f aca="false">IFERROR(__xludf.dummyfunction("""COMPUTED_VALUE"""),10)</f>
        <v>10</v>
      </c>
      <c r="AC152" s="22" t="n">
        <f aca="false">IFERROR(__xludf.dummyfunction("""COMPUTED_VALUE"""),27)</f>
        <v>27</v>
      </c>
      <c r="AD152" s="23" t="n">
        <f aca="false">IFERROR(__xludf.dummyfunction("""COMPUTED_VALUE"""),1)</f>
        <v>1</v>
      </c>
      <c r="AE152" s="24" t="n">
        <f aca="false">IFERROR(__xludf.dummyfunction("""COMPUTED_VALUE"""),83.1)</f>
        <v>83.1</v>
      </c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</row>
    <row r="153" customFormat="false" ht="18.65" hidden="false" customHeight="false" outlineLevel="0" collapsed="false">
      <c r="A153" s="13" t="n">
        <v>152</v>
      </c>
      <c r="B153" s="14" t="s">
        <v>338</v>
      </c>
      <c r="C153" s="15" t="s">
        <v>339</v>
      </c>
      <c r="D153" s="16" t="s">
        <v>191</v>
      </c>
      <c r="E153" s="16" t="s">
        <v>191</v>
      </c>
      <c r="F153" s="16" t="str">
        <f aca="false">REPLACE(E153, 1, 3, "")</f>
        <v>12</v>
      </c>
      <c r="G153" s="17" t="str">
        <f aca="true">IFERROR(VLOOKUP(B153,INDIRECT("'"&amp;F153&amp;"'!D3:D"),1,FALSE()), "Not found")</f>
        <v>Not found</v>
      </c>
      <c r="H153" s="18" t="n">
        <f aca="true">INDIRECT("'"&amp;F153&amp;"'!D1")</f>
        <v>0</v>
      </c>
      <c r="I153" s="18" t="str">
        <f aca="false">IFERROR(__xludf.dummyfunction("REGEXEXTRACT(ADDRESS(ROW(), 24+$H153), ""[A-Z]+"")"),"X")</f>
        <v>X</v>
      </c>
      <c r="J153" s="18" t="str">
        <f aca="false">IFERROR(__xludf.dummyfunction("REGEXEXTRACT(ADDRESS(ROW(), 30+$H153), ""[A-Z]+"")"),"AD")</f>
        <v>AD</v>
      </c>
      <c r="K153" s="18" t="str">
        <f aca="false">IFERROR(__xludf.dummyfunction("REGEXEXTRACT(ADDRESS(ROW(), 36+$H153), ""[A-Z]+"")"),"AJ")</f>
        <v>AJ</v>
      </c>
      <c r="L153" s="18" t="str">
        <f aca="false">IFERROR(__xludf.dummyfunction("REGEXEXTRACT(ADDRESS(ROW(), 42+$H153), ""[A-Z]+"")"),"AP")</f>
        <v>AP</v>
      </c>
      <c r="M153" s="18" t="str">
        <f aca="false">IFERROR(__xludf.dummyfunction("REGEXEXTRACT(ADDRESS(ROW(), 48+$H153), ""[A-Z]+"")"),"AV")</f>
        <v>AV</v>
      </c>
      <c r="N153" s="18" t="str">
        <f aca="false">IFERROR(__xludf.dummyfunction("REGEXEXTRACT(ADDRESS(ROW(), 50+$H153), ""[A-Z]+"")"),"AX")</f>
        <v>AX</v>
      </c>
      <c r="O153" s="18" t="str">
        <f aca="false">IFERROR(__xludf.dummyfunction("REGEXEXTRACT(ADDRESS(ROW(), 51+$H153), ""[A-Z]+"")"),"AY")</f>
        <v>AY</v>
      </c>
      <c r="P153" s="18" t="str">
        <f aca="false">IFERROR(__xludf.dummyfunction("REGEXEXTRACT(ADDRESS(ROW(), 54+$H153), ""[A-Z]+"")"),"BB")</f>
        <v>BB</v>
      </c>
      <c r="Q153" s="18" t="str">
        <f aca="false">IFERROR(__xludf.dummyfunction("REGEXEXTRACT(ADDRESS(ROW(), 59+$H153), ""[A-Z]+"")"),"BG")</f>
        <v>BG</v>
      </c>
      <c r="R153" s="18" t="str">
        <f aca="false">IFERROR(__xludf.dummyfunction("REGEXEXTRACT(ADDRESS(ROW(), 60+$H153), ""[A-Z]+"")"),"BH")</f>
        <v>BH</v>
      </c>
      <c r="S153" s="18" t="str">
        <f aca="false">IFERROR(__xludf.dummyfunction("REGEXEXTRACT(ADDRESS(ROW(), 62+$H153), ""[A-Z]+"")"),"BJ")</f>
        <v>BJ</v>
      </c>
      <c r="T153" s="18" t="str">
        <f aca="false">IFERROR(__xludf.dummyfunction("REGEXEXTRACT(ADDRESS(ROW(), 63+$H153), ""[A-Z]+"")"),"BK")</f>
        <v>BK</v>
      </c>
      <c r="U153" s="19" t="n">
        <f aca="false">IFERROR(__xludf.dummyfunction("IFERROR(QUERY(INDIRECT(""'""&amp;F153&amp;""'!C3:""&amp;T153&amp;""""), ""SELECT ""&amp;I153&amp;"", ""&amp;J153&amp;"", ""&amp;K153&amp;"", ""&amp;L153&amp;"", ""&amp;M153&amp;"", ""&amp;N153&amp;"", ""&amp;O153&amp;"", ""&amp;P153&amp;"", ""&amp;Q153&amp;"", ""&amp;R153&amp;"", ""&amp;S153&amp;"" WHERE '""&amp;B153&amp;""' = D"", 0), """")"),9.5)</f>
        <v>9.5</v>
      </c>
      <c r="V153" s="22" t="n">
        <f aca="false">IFERROR(__xludf.dummyfunction("""COMPUTED_VALUE"""),9.5)</f>
        <v>9.5</v>
      </c>
      <c r="W153" s="22" t="n">
        <f aca="false">IFERROR(__xludf.dummyfunction("""COMPUTED_VALUE"""),9.5)</f>
        <v>9.5</v>
      </c>
      <c r="X153" s="22" t="n">
        <f aca="false">IFERROR(__xludf.dummyfunction("""COMPUTED_VALUE"""),10)</f>
        <v>10</v>
      </c>
      <c r="Y153" s="22" t="n">
        <f aca="false">IFERROR(__xludf.dummyfunction("""COMPUTED_VALUE"""),10)</f>
        <v>10</v>
      </c>
      <c r="Z153" s="22" t="n">
        <f aca="false">IFERROR(__xludf.dummyfunction("""COMPUTED_VALUE"""),1)</f>
        <v>1</v>
      </c>
      <c r="AA153" s="22" t="n">
        <f aca="false">IFERROR(__xludf.dummyfunction("""COMPUTED_VALUE"""),2.5)</f>
        <v>2.5</v>
      </c>
      <c r="AB153" s="22" t="n">
        <f aca="false">IFERROR(__xludf.dummyfunction("""COMPUTED_VALUE"""),10)</f>
        <v>10</v>
      </c>
      <c r="AC153" s="22" t="n">
        <f aca="false">IFERROR(__xludf.dummyfunction("""COMPUTED_VALUE"""),26)</f>
        <v>26</v>
      </c>
      <c r="AD153" s="23" t="n">
        <f aca="false">IFERROR(__xludf.dummyfunction("""COMPUTED_VALUE"""),3)</f>
        <v>3</v>
      </c>
      <c r="AE153" s="24" t="n">
        <f aca="false">IFERROR(__xludf.dummyfunction("""COMPUTED_VALUE"""),91)</f>
        <v>91</v>
      </c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</row>
    <row r="154" customFormat="false" ht="18.65" hidden="false" customHeight="false" outlineLevel="0" collapsed="false">
      <c r="A154" s="13" t="n">
        <v>153</v>
      </c>
      <c r="B154" s="14" t="s">
        <v>340</v>
      </c>
      <c r="C154" s="15" t="s">
        <v>341</v>
      </c>
      <c r="D154" s="16" t="s">
        <v>177</v>
      </c>
      <c r="E154" s="16" t="s">
        <v>177</v>
      </c>
      <c r="F154" s="16" t="str">
        <f aca="false">REPLACE(E154, 1, 3, "")</f>
        <v>19</v>
      </c>
      <c r="G154" s="17" t="str">
        <f aca="true">IFERROR(VLOOKUP(B154,INDIRECT("'"&amp;F154&amp;"'!D3:D"),1,FALSE()), "Not found")</f>
        <v>Not found</v>
      </c>
      <c r="H154" s="18" t="n">
        <f aca="true">INDIRECT("'"&amp;F154&amp;"'!D1")</f>
        <v>0</v>
      </c>
      <c r="I154" s="18" t="str">
        <f aca="false">IFERROR(__xludf.dummyfunction("REGEXEXTRACT(ADDRESS(ROW(), 24+$H154), ""[A-Z]+"")"),"X")</f>
        <v>X</v>
      </c>
      <c r="J154" s="18" t="str">
        <f aca="false">IFERROR(__xludf.dummyfunction("REGEXEXTRACT(ADDRESS(ROW(), 30+$H154), ""[A-Z]+"")"),"AD")</f>
        <v>AD</v>
      </c>
      <c r="K154" s="18" t="str">
        <f aca="false">IFERROR(__xludf.dummyfunction("REGEXEXTRACT(ADDRESS(ROW(), 36+$H154), ""[A-Z]+"")"),"AJ")</f>
        <v>AJ</v>
      </c>
      <c r="L154" s="18" t="str">
        <f aca="false">IFERROR(__xludf.dummyfunction("REGEXEXTRACT(ADDRESS(ROW(), 42+$H154), ""[A-Z]+"")"),"AP")</f>
        <v>AP</v>
      </c>
      <c r="M154" s="18" t="str">
        <f aca="false">IFERROR(__xludf.dummyfunction("REGEXEXTRACT(ADDRESS(ROW(), 48+$H154), ""[A-Z]+"")"),"AV")</f>
        <v>AV</v>
      </c>
      <c r="N154" s="18" t="str">
        <f aca="false">IFERROR(__xludf.dummyfunction("REGEXEXTRACT(ADDRESS(ROW(), 50+$H154), ""[A-Z]+"")"),"AX")</f>
        <v>AX</v>
      </c>
      <c r="O154" s="18" t="str">
        <f aca="false">IFERROR(__xludf.dummyfunction("REGEXEXTRACT(ADDRESS(ROW(), 51+$H154), ""[A-Z]+"")"),"AY")</f>
        <v>AY</v>
      </c>
      <c r="P154" s="18" t="str">
        <f aca="false">IFERROR(__xludf.dummyfunction("REGEXEXTRACT(ADDRESS(ROW(), 54+$H154), ""[A-Z]+"")"),"BB")</f>
        <v>BB</v>
      </c>
      <c r="Q154" s="18" t="str">
        <f aca="false">IFERROR(__xludf.dummyfunction("REGEXEXTRACT(ADDRESS(ROW(), 59+$H154), ""[A-Z]+"")"),"BG")</f>
        <v>BG</v>
      </c>
      <c r="R154" s="18" t="str">
        <f aca="false">IFERROR(__xludf.dummyfunction("REGEXEXTRACT(ADDRESS(ROW(), 60+$H154), ""[A-Z]+"")"),"BH")</f>
        <v>BH</v>
      </c>
      <c r="S154" s="18" t="str">
        <f aca="false">IFERROR(__xludf.dummyfunction("REGEXEXTRACT(ADDRESS(ROW(), 62+$H154), ""[A-Z]+"")"),"BJ")</f>
        <v>BJ</v>
      </c>
      <c r="T154" s="18" t="str">
        <f aca="false">IFERROR(__xludf.dummyfunction("REGEXEXTRACT(ADDRESS(ROW(), 63+$H154), ""[A-Z]+"")"),"BK")</f>
        <v>BK</v>
      </c>
      <c r="U154" s="19" t="n">
        <f aca="false">IFERROR(__xludf.dummyfunction("IFERROR(QUERY(INDIRECT(""'""&amp;F154&amp;""'!C3:""&amp;T154&amp;""""), ""SELECT ""&amp;I154&amp;"", ""&amp;J154&amp;"", ""&amp;K154&amp;"", ""&amp;L154&amp;"", ""&amp;M154&amp;"", ""&amp;N154&amp;"", ""&amp;O154&amp;"", ""&amp;P154&amp;"", ""&amp;Q154&amp;"", ""&amp;R154&amp;"", ""&amp;S154&amp;"" WHERE '""&amp;B154&amp;""' = D"", 0), """")"),10)</f>
        <v>10</v>
      </c>
      <c r="V154" s="22" t="n">
        <f aca="false">IFERROR(__xludf.dummyfunction("""COMPUTED_VALUE"""),10)</f>
        <v>10</v>
      </c>
      <c r="W154" s="22" t="n">
        <f aca="false">IFERROR(__xludf.dummyfunction("""COMPUTED_VALUE"""),10)</f>
        <v>10</v>
      </c>
      <c r="X154" s="22" t="n">
        <f aca="false">IFERROR(__xludf.dummyfunction("""COMPUTED_VALUE"""),10)</f>
        <v>10</v>
      </c>
      <c r="Y154" s="22" t="n">
        <f aca="false">IFERROR(__xludf.dummyfunction("""COMPUTED_VALUE"""),0)</f>
        <v>0</v>
      </c>
      <c r="Z154" s="22"/>
      <c r="AA154" s="22"/>
      <c r="AB154" s="22" t="n">
        <f aca="false">IFERROR(__xludf.dummyfunction("""COMPUTED_VALUE"""),6)</f>
        <v>6</v>
      </c>
      <c r="AC154" s="22" t="n">
        <f aca="false">IFERROR(__xludf.dummyfunction("""COMPUTED_VALUE"""),26)</f>
        <v>26</v>
      </c>
      <c r="AD154" s="23" t="n">
        <f aca="false">IFERROR(__xludf.dummyfunction("""COMPUTED_VALUE"""),3)</f>
        <v>3</v>
      </c>
      <c r="AE154" s="24" t="n">
        <f aca="false">IFERROR(__xludf.dummyfunction("""COMPUTED_VALUE"""),75)</f>
        <v>75</v>
      </c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</row>
    <row r="155" customFormat="false" ht="18.65" hidden="false" customHeight="false" outlineLevel="0" collapsed="false">
      <c r="A155" s="13" t="n">
        <v>154</v>
      </c>
      <c r="B155" s="14" t="s">
        <v>342</v>
      </c>
      <c r="C155" s="15" t="s">
        <v>343</v>
      </c>
      <c r="D155" s="16" t="s">
        <v>279</v>
      </c>
      <c r="E155" s="16" t="s">
        <v>279</v>
      </c>
      <c r="F155" s="16" t="str">
        <f aca="false">REPLACE(E155, 1, 3, "")</f>
        <v>07</v>
      </c>
      <c r="G155" s="17" t="str">
        <f aca="true">IFERROR(VLOOKUP(B155,INDIRECT("'"&amp;F155&amp;"'!D3:D"),1,FALSE()), "Not found")</f>
        <v>Not found</v>
      </c>
      <c r="H155" s="18" t="n">
        <f aca="true">INDIRECT("'"&amp;F155&amp;"'!D1")</f>
        <v>0</v>
      </c>
      <c r="I155" s="18" t="str">
        <f aca="false">IFERROR(__xludf.dummyfunction("REGEXEXTRACT(ADDRESS(ROW(), 24+$H155), ""[A-Z]+"")"),"X")</f>
        <v>X</v>
      </c>
      <c r="J155" s="18" t="str">
        <f aca="false">IFERROR(__xludf.dummyfunction("REGEXEXTRACT(ADDRESS(ROW(), 30+$H155), ""[A-Z]+"")"),"AD")</f>
        <v>AD</v>
      </c>
      <c r="K155" s="18" t="str">
        <f aca="false">IFERROR(__xludf.dummyfunction("REGEXEXTRACT(ADDRESS(ROW(), 36+$H155), ""[A-Z]+"")"),"AJ")</f>
        <v>AJ</v>
      </c>
      <c r="L155" s="18" t="str">
        <f aca="false">IFERROR(__xludf.dummyfunction("REGEXEXTRACT(ADDRESS(ROW(), 42+$H155), ""[A-Z]+"")"),"AP")</f>
        <v>AP</v>
      </c>
      <c r="M155" s="18" t="str">
        <f aca="false">IFERROR(__xludf.dummyfunction("REGEXEXTRACT(ADDRESS(ROW(), 48+$H155), ""[A-Z]+"")"),"AV")</f>
        <v>AV</v>
      </c>
      <c r="N155" s="18" t="str">
        <f aca="false">IFERROR(__xludf.dummyfunction("REGEXEXTRACT(ADDRESS(ROW(), 50+$H155), ""[A-Z]+"")"),"AX")</f>
        <v>AX</v>
      </c>
      <c r="O155" s="18" t="str">
        <f aca="false">IFERROR(__xludf.dummyfunction("REGEXEXTRACT(ADDRESS(ROW(), 51+$H155), ""[A-Z]+"")"),"AY")</f>
        <v>AY</v>
      </c>
      <c r="P155" s="18" t="str">
        <f aca="false">IFERROR(__xludf.dummyfunction("REGEXEXTRACT(ADDRESS(ROW(), 54+$H155), ""[A-Z]+"")"),"BB")</f>
        <v>BB</v>
      </c>
      <c r="Q155" s="18" t="str">
        <f aca="false">IFERROR(__xludf.dummyfunction("REGEXEXTRACT(ADDRESS(ROW(), 59+$H155), ""[A-Z]+"")"),"BG")</f>
        <v>BG</v>
      </c>
      <c r="R155" s="18" t="str">
        <f aca="false">IFERROR(__xludf.dummyfunction("REGEXEXTRACT(ADDRESS(ROW(), 60+$H155), ""[A-Z]+"")"),"BH")</f>
        <v>BH</v>
      </c>
      <c r="S155" s="18" t="str">
        <f aca="false">IFERROR(__xludf.dummyfunction("REGEXEXTRACT(ADDRESS(ROW(), 62+$H155), ""[A-Z]+"")"),"BJ")</f>
        <v>BJ</v>
      </c>
      <c r="T155" s="18" t="str">
        <f aca="false">IFERROR(__xludf.dummyfunction("REGEXEXTRACT(ADDRESS(ROW(), 63+$H155), ""[A-Z]+"")"),"BK")</f>
        <v>BK</v>
      </c>
      <c r="U155" s="19" t="n">
        <f aca="false">IFERROR(__xludf.dummyfunction("IFERROR(QUERY(INDIRECT(""'""&amp;F155&amp;""'!C3:""&amp;T155&amp;""""), ""SELECT ""&amp;I155&amp;"", ""&amp;J155&amp;"", ""&amp;K155&amp;"", ""&amp;L155&amp;"", ""&amp;M155&amp;"", ""&amp;N155&amp;"", ""&amp;O155&amp;"", ""&amp;P155&amp;"", ""&amp;Q155&amp;"", ""&amp;R155&amp;"", ""&amp;S155&amp;"" WHERE '""&amp;B155&amp;""' = D"", 0), """")"),9)</f>
        <v>9</v>
      </c>
      <c r="V155" s="22" t="n">
        <f aca="false">IFERROR(__xludf.dummyfunction("""COMPUTED_VALUE"""),7.5)</f>
        <v>7.5</v>
      </c>
      <c r="W155" s="22" t="n">
        <f aca="false">IFERROR(__xludf.dummyfunction("""COMPUTED_VALUE"""),6)</f>
        <v>6</v>
      </c>
      <c r="X155" s="22" t="n">
        <f aca="false">IFERROR(__xludf.dummyfunction("""COMPUTED_VALUE"""),6)</f>
        <v>6</v>
      </c>
      <c r="Y155" s="22" t="n">
        <f aca="false">IFERROR(__xludf.dummyfunction("""COMPUTED_VALUE"""),6)</f>
        <v>6</v>
      </c>
      <c r="Z155" s="22" t="n">
        <f aca="false">IFERROR(__xludf.dummyfunction("""COMPUTED_VALUE"""),0)</f>
        <v>0</v>
      </c>
      <c r="AA155" s="22"/>
      <c r="AB155" s="22" t="n">
        <f aca="false">IFERROR(__xludf.dummyfunction("""COMPUTED_VALUE"""),6)</f>
        <v>6</v>
      </c>
      <c r="AC155" s="22" t="n">
        <f aca="false">IFERROR(__xludf.dummyfunction("""COMPUTED_VALUE"""),24)</f>
        <v>24</v>
      </c>
      <c r="AD155" s="23"/>
      <c r="AE155" s="24" t="n">
        <f aca="false">IFERROR(__xludf.dummyfunction("""COMPUTED_VALUE"""),64.5)</f>
        <v>64.5</v>
      </c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</row>
    <row r="156" customFormat="false" ht="18.65" hidden="false" customHeight="false" outlineLevel="0" collapsed="false">
      <c r="A156" s="13" t="n">
        <v>155</v>
      </c>
      <c r="B156" s="14" t="s">
        <v>344</v>
      </c>
      <c r="C156" s="15" t="s">
        <v>345</v>
      </c>
      <c r="D156" s="16" t="s">
        <v>174</v>
      </c>
      <c r="E156" s="16" t="s">
        <v>174</v>
      </c>
      <c r="F156" s="16" t="str">
        <f aca="false">REPLACE(E156, 1, 3, "")</f>
        <v>08</v>
      </c>
      <c r="G156" s="17" t="str">
        <f aca="true">IFERROR(VLOOKUP(B156,INDIRECT("'"&amp;F156&amp;"'!D3:D"),1,FALSE()), "Not found")</f>
        <v>Not found</v>
      </c>
      <c r="H156" s="18" t="n">
        <f aca="true">INDIRECT("'"&amp;F156&amp;"'!D1")</f>
        <v>0</v>
      </c>
      <c r="I156" s="18" t="str">
        <f aca="false">IFERROR(__xludf.dummyfunction("REGEXEXTRACT(ADDRESS(ROW(), 24+$H156), ""[A-Z]+"")"),"X")</f>
        <v>X</v>
      </c>
      <c r="J156" s="18" t="str">
        <f aca="false">IFERROR(__xludf.dummyfunction("REGEXEXTRACT(ADDRESS(ROW(), 30+$H156), ""[A-Z]+"")"),"AD")</f>
        <v>AD</v>
      </c>
      <c r="K156" s="18" t="str">
        <f aca="false">IFERROR(__xludf.dummyfunction("REGEXEXTRACT(ADDRESS(ROW(), 36+$H156), ""[A-Z]+"")"),"AJ")</f>
        <v>AJ</v>
      </c>
      <c r="L156" s="18" t="str">
        <f aca="false">IFERROR(__xludf.dummyfunction("REGEXEXTRACT(ADDRESS(ROW(), 42+$H156), ""[A-Z]+"")"),"AP")</f>
        <v>AP</v>
      </c>
      <c r="M156" s="18" t="str">
        <f aca="false">IFERROR(__xludf.dummyfunction("REGEXEXTRACT(ADDRESS(ROW(), 48+$H156), ""[A-Z]+"")"),"AV")</f>
        <v>AV</v>
      </c>
      <c r="N156" s="18" t="str">
        <f aca="false">IFERROR(__xludf.dummyfunction("REGEXEXTRACT(ADDRESS(ROW(), 50+$H156), ""[A-Z]+"")"),"AX")</f>
        <v>AX</v>
      </c>
      <c r="O156" s="18" t="str">
        <f aca="false">IFERROR(__xludf.dummyfunction("REGEXEXTRACT(ADDRESS(ROW(), 51+$H156), ""[A-Z]+"")"),"AY")</f>
        <v>AY</v>
      </c>
      <c r="P156" s="18" t="str">
        <f aca="false">IFERROR(__xludf.dummyfunction("REGEXEXTRACT(ADDRESS(ROW(), 54+$H156), ""[A-Z]+"")"),"BB")</f>
        <v>BB</v>
      </c>
      <c r="Q156" s="18" t="str">
        <f aca="false">IFERROR(__xludf.dummyfunction("REGEXEXTRACT(ADDRESS(ROW(), 59+$H156), ""[A-Z]+"")"),"BG")</f>
        <v>BG</v>
      </c>
      <c r="R156" s="18" t="str">
        <f aca="false">IFERROR(__xludf.dummyfunction("REGEXEXTRACT(ADDRESS(ROW(), 60+$H156), ""[A-Z]+"")"),"BH")</f>
        <v>BH</v>
      </c>
      <c r="S156" s="18" t="str">
        <f aca="false">IFERROR(__xludf.dummyfunction("REGEXEXTRACT(ADDRESS(ROW(), 62+$H156), ""[A-Z]+"")"),"BJ")</f>
        <v>BJ</v>
      </c>
      <c r="T156" s="18" t="str">
        <f aca="false">IFERROR(__xludf.dummyfunction("REGEXEXTRACT(ADDRESS(ROW(), 63+$H156), ""[A-Z]+"")"),"BK")</f>
        <v>BK</v>
      </c>
      <c r="U156" s="19" t="n">
        <f aca="false">IFERROR(__xludf.dummyfunction("IFERROR(QUERY(INDIRECT(""'""&amp;F156&amp;""'!C3:""&amp;T156&amp;""""), ""SELECT ""&amp;I156&amp;"", ""&amp;J156&amp;"", ""&amp;K156&amp;"", ""&amp;L156&amp;"", ""&amp;M156&amp;"", ""&amp;N156&amp;"", ""&amp;O156&amp;"", ""&amp;P156&amp;"", ""&amp;Q156&amp;"", ""&amp;R156&amp;"", ""&amp;S156&amp;"" WHERE '""&amp;B156&amp;""' = D"", 0), """")"),10)</f>
        <v>10</v>
      </c>
      <c r="V156" s="22" t="n">
        <f aca="false">IFERROR(__xludf.dummyfunction("""COMPUTED_VALUE"""),9)</f>
        <v>9</v>
      </c>
      <c r="W156" s="22" t="n">
        <f aca="false">IFERROR(__xludf.dummyfunction("""COMPUTED_VALUE"""),10)</f>
        <v>10</v>
      </c>
      <c r="X156" s="22" t="n">
        <f aca="false">IFERROR(__xludf.dummyfunction("""COMPUTED_VALUE"""),9)</f>
        <v>9</v>
      </c>
      <c r="Y156" s="22" t="n">
        <f aca="false">IFERROR(__xludf.dummyfunction("""COMPUTED_VALUE"""),0)</f>
        <v>0</v>
      </c>
      <c r="Z156" s="22" t="n">
        <f aca="false">IFERROR(__xludf.dummyfunction("""COMPUTED_VALUE"""),1)</f>
        <v>1</v>
      </c>
      <c r="AA156" s="22" t="n">
        <f aca="false">IFERROR(__xludf.dummyfunction("""COMPUTED_VALUE"""),1.5)</f>
        <v>1.5</v>
      </c>
      <c r="AB156" s="22" t="n">
        <f aca="false">IFERROR(__xludf.dummyfunction("""COMPUTED_VALUE"""),10)</f>
        <v>10</v>
      </c>
      <c r="AC156" s="22" t="n">
        <f aca="false">IFERROR(__xludf.dummyfunction("""COMPUTED_VALUE"""),0)</f>
        <v>0</v>
      </c>
      <c r="AD156" s="23"/>
      <c r="AE156" s="24" t="n">
        <f aca="false">IFERROR(__xludf.dummyfunction("""COMPUTED_VALUE"""),50.5)</f>
        <v>50.5</v>
      </c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</row>
    <row r="157" customFormat="false" ht="18.65" hidden="false" customHeight="false" outlineLevel="0" collapsed="false">
      <c r="A157" s="13" t="n">
        <v>156</v>
      </c>
      <c r="B157" s="14" t="s">
        <v>346</v>
      </c>
      <c r="C157" s="15" t="s">
        <v>347</v>
      </c>
      <c r="D157" s="16" t="s">
        <v>235</v>
      </c>
      <c r="E157" s="16" t="s">
        <v>235</v>
      </c>
      <c r="F157" s="16" t="str">
        <f aca="false">REPLACE(E157, 1, 3, "")</f>
        <v>18</v>
      </c>
      <c r="G157" s="17" t="str">
        <f aca="true">IFERROR(VLOOKUP(B157,INDIRECT("'"&amp;F157&amp;"'!D3:D"),1,FALSE()), "Not found")</f>
        <v>Not found</v>
      </c>
      <c r="H157" s="18" t="n">
        <f aca="true">INDIRECT("'"&amp;F157&amp;"'!D1")</f>
        <v>0</v>
      </c>
      <c r="I157" s="18" t="str">
        <f aca="false">IFERROR(__xludf.dummyfunction("REGEXEXTRACT(ADDRESS(ROW(), 24+$H157), ""[A-Z]+"")"),"X")</f>
        <v>X</v>
      </c>
      <c r="J157" s="18" t="str">
        <f aca="false">IFERROR(__xludf.dummyfunction("REGEXEXTRACT(ADDRESS(ROW(), 30+$H157), ""[A-Z]+"")"),"AD")</f>
        <v>AD</v>
      </c>
      <c r="K157" s="18" t="str">
        <f aca="false">IFERROR(__xludf.dummyfunction("REGEXEXTRACT(ADDRESS(ROW(), 36+$H157), ""[A-Z]+"")"),"AJ")</f>
        <v>AJ</v>
      </c>
      <c r="L157" s="18" t="str">
        <f aca="false">IFERROR(__xludf.dummyfunction("REGEXEXTRACT(ADDRESS(ROW(), 42+$H157), ""[A-Z]+"")"),"AP")</f>
        <v>AP</v>
      </c>
      <c r="M157" s="18" t="str">
        <f aca="false">IFERROR(__xludf.dummyfunction("REGEXEXTRACT(ADDRESS(ROW(), 48+$H157), ""[A-Z]+"")"),"AV")</f>
        <v>AV</v>
      </c>
      <c r="N157" s="18" t="str">
        <f aca="false">IFERROR(__xludf.dummyfunction("REGEXEXTRACT(ADDRESS(ROW(), 50+$H157), ""[A-Z]+"")"),"AX")</f>
        <v>AX</v>
      </c>
      <c r="O157" s="18" t="str">
        <f aca="false">IFERROR(__xludf.dummyfunction("REGEXEXTRACT(ADDRESS(ROW(), 51+$H157), ""[A-Z]+"")"),"AY")</f>
        <v>AY</v>
      </c>
      <c r="P157" s="18" t="str">
        <f aca="false">IFERROR(__xludf.dummyfunction("REGEXEXTRACT(ADDRESS(ROW(), 54+$H157), ""[A-Z]+"")"),"BB")</f>
        <v>BB</v>
      </c>
      <c r="Q157" s="18" t="str">
        <f aca="false">IFERROR(__xludf.dummyfunction("REGEXEXTRACT(ADDRESS(ROW(), 59+$H157), ""[A-Z]+"")"),"BG")</f>
        <v>BG</v>
      </c>
      <c r="R157" s="18" t="str">
        <f aca="false">IFERROR(__xludf.dummyfunction("REGEXEXTRACT(ADDRESS(ROW(), 60+$H157), ""[A-Z]+"")"),"BH")</f>
        <v>BH</v>
      </c>
      <c r="S157" s="18" t="str">
        <f aca="false">IFERROR(__xludf.dummyfunction("REGEXEXTRACT(ADDRESS(ROW(), 62+$H157), ""[A-Z]+"")"),"BJ")</f>
        <v>BJ</v>
      </c>
      <c r="T157" s="18" t="str">
        <f aca="false">IFERROR(__xludf.dummyfunction("REGEXEXTRACT(ADDRESS(ROW(), 63+$H157), ""[A-Z]+"")"),"BK")</f>
        <v>BK</v>
      </c>
      <c r="U157" s="19" t="n">
        <f aca="false">IFERROR(__xludf.dummyfunction("IFERROR(QUERY(INDIRECT(""'""&amp;F157&amp;""'!C3:""&amp;T157&amp;""""), ""SELECT ""&amp;I157&amp;"", ""&amp;J157&amp;"", ""&amp;K157&amp;"", ""&amp;L157&amp;"", ""&amp;M157&amp;"", ""&amp;N157&amp;"", ""&amp;O157&amp;"", ""&amp;P157&amp;"", ""&amp;Q157&amp;"", ""&amp;R157&amp;"", ""&amp;S157&amp;"" WHERE '""&amp;B157&amp;""' = D"", 0), """")"),7)</f>
        <v>7</v>
      </c>
      <c r="V157" s="22" t="n">
        <f aca="false">IFERROR(__xludf.dummyfunction("""COMPUTED_VALUE"""),7)</f>
        <v>7</v>
      </c>
      <c r="W157" s="22"/>
      <c r="X157" s="22"/>
      <c r="Y157" s="22" t="n">
        <f aca="false">IFERROR(__xludf.dummyfunction("""COMPUTED_VALUE"""),0)</f>
        <v>0</v>
      </c>
      <c r="Z157" s="22"/>
      <c r="AA157" s="22"/>
      <c r="AB157" s="22" t="n">
        <f aca="false">IFERROR(__xludf.dummyfunction("""COMPUTED_VALUE"""),0.01)</f>
        <v>0.01</v>
      </c>
      <c r="AC157" s="22"/>
      <c r="AD157" s="23"/>
      <c r="AE157" s="24" t="n">
        <f aca="false">IFERROR(__xludf.dummyfunction("""COMPUTED_VALUE"""),14.01)</f>
        <v>14.01</v>
      </c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</row>
    <row r="158" customFormat="false" ht="18.65" hidden="false" customHeight="false" outlineLevel="0" collapsed="false">
      <c r="A158" s="13" t="n">
        <v>157</v>
      </c>
      <c r="B158" s="14" t="s">
        <v>348</v>
      </c>
      <c r="C158" s="15" t="s">
        <v>349</v>
      </c>
      <c r="D158" s="16" t="s">
        <v>244</v>
      </c>
      <c r="E158" s="16" t="s">
        <v>244</v>
      </c>
      <c r="F158" s="16" t="str">
        <f aca="false">REPLACE(E158, 1, 3, "")</f>
        <v>13</v>
      </c>
      <c r="G158" s="17" t="str">
        <f aca="true">IFERROR(VLOOKUP(B158,INDIRECT("'"&amp;F158&amp;"'!D3:D"),1,FALSE()), "Not found")</f>
        <v>Not found</v>
      </c>
      <c r="H158" s="18" t="n">
        <f aca="true">INDIRECT("'"&amp;F158&amp;"'!D1")</f>
        <v>0</v>
      </c>
      <c r="I158" s="18" t="str">
        <f aca="false">IFERROR(__xludf.dummyfunction("REGEXEXTRACT(ADDRESS(ROW(), 24+$H158), ""[A-Z]+"")"),"X")</f>
        <v>X</v>
      </c>
      <c r="J158" s="18" t="str">
        <f aca="false">IFERROR(__xludf.dummyfunction("REGEXEXTRACT(ADDRESS(ROW(), 30+$H158), ""[A-Z]+"")"),"AD")</f>
        <v>AD</v>
      </c>
      <c r="K158" s="18" t="str">
        <f aca="false">IFERROR(__xludf.dummyfunction("REGEXEXTRACT(ADDRESS(ROW(), 36+$H158), ""[A-Z]+"")"),"AJ")</f>
        <v>AJ</v>
      </c>
      <c r="L158" s="18" t="str">
        <f aca="false">IFERROR(__xludf.dummyfunction("REGEXEXTRACT(ADDRESS(ROW(), 42+$H158), ""[A-Z]+"")"),"AP")</f>
        <v>AP</v>
      </c>
      <c r="M158" s="18" t="str">
        <f aca="false">IFERROR(__xludf.dummyfunction("REGEXEXTRACT(ADDRESS(ROW(), 48+$H158), ""[A-Z]+"")"),"AV")</f>
        <v>AV</v>
      </c>
      <c r="N158" s="18" t="str">
        <f aca="false">IFERROR(__xludf.dummyfunction("REGEXEXTRACT(ADDRESS(ROW(), 50+$H158), ""[A-Z]+"")"),"AX")</f>
        <v>AX</v>
      </c>
      <c r="O158" s="18" t="str">
        <f aca="false">IFERROR(__xludf.dummyfunction("REGEXEXTRACT(ADDRESS(ROW(), 51+$H158), ""[A-Z]+"")"),"AY")</f>
        <v>AY</v>
      </c>
      <c r="P158" s="18" t="str">
        <f aca="false">IFERROR(__xludf.dummyfunction("REGEXEXTRACT(ADDRESS(ROW(), 54+$H158), ""[A-Z]+"")"),"BB")</f>
        <v>BB</v>
      </c>
      <c r="Q158" s="18" t="str">
        <f aca="false">IFERROR(__xludf.dummyfunction("REGEXEXTRACT(ADDRESS(ROW(), 59+$H158), ""[A-Z]+"")"),"BG")</f>
        <v>BG</v>
      </c>
      <c r="R158" s="18" t="str">
        <f aca="false">IFERROR(__xludf.dummyfunction("REGEXEXTRACT(ADDRESS(ROW(), 60+$H158), ""[A-Z]+"")"),"BH")</f>
        <v>BH</v>
      </c>
      <c r="S158" s="18" t="str">
        <f aca="false">IFERROR(__xludf.dummyfunction("REGEXEXTRACT(ADDRESS(ROW(), 62+$H158), ""[A-Z]+"")"),"BJ")</f>
        <v>BJ</v>
      </c>
      <c r="T158" s="18" t="str">
        <f aca="false">IFERROR(__xludf.dummyfunction("REGEXEXTRACT(ADDRESS(ROW(), 63+$H158), ""[A-Z]+"")"),"BK")</f>
        <v>BK</v>
      </c>
      <c r="U158" s="19" t="n">
        <f aca="false">IFERROR(__xludf.dummyfunction("IFERROR(QUERY(INDIRECT(""'""&amp;F158&amp;""'!C3:""&amp;T158&amp;""""), ""SELECT ""&amp;I158&amp;"", ""&amp;J158&amp;"", ""&amp;K158&amp;"", ""&amp;L158&amp;"", ""&amp;M158&amp;"", ""&amp;N158&amp;"", ""&amp;O158&amp;"", ""&amp;P158&amp;"", ""&amp;Q158&amp;"", ""&amp;R158&amp;"", ""&amp;S158&amp;"" WHERE '""&amp;B158&amp;""' = D"", 0), """")"),8.5)</f>
        <v>8.5</v>
      </c>
      <c r="V158" s="22" t="n">
        <f aca="false">IFERROR(__xludf.dummyfunction("""COMPUTED_VALUE"""),8.5)</f>
        <v>8.5</v>
      </c>
      <c r="W158" s="22" t="n">
        <f aca="false">IFERROR(__xludf.dummyfunction("""COMPUTED_VALUE"""),8.8)</f>
        <v>8.8</v>
      </c>
      <c r="X158" s="22" t="n">
        <f aca="false">IFERROR(__xludf.dummyfunction("""COMPUTED_VALUE"""),8.8)</f>
        <v>8.8</v>
      </c>
      <c r="Y158" s="22" t="n">
        <f aca="false">IFERROR(__xludf.dummyfunction("""COMPUTED_VALUE"""),0)</f>
        <v>0</v>
      </c>
      <c r="Z158" s="22"/>
      <c r="AA158" s="22" t="n">
        <f aca="false">IFERROR(__xludf.dummyfunction("""COMPUTED_VALUE"""),1)</f>
        <v>1</v>
      </c>
      <c r="AB158" s="22" t="n">
        <f aca="false">IFERROR(__xludf.dummyfunction("""COMPUTED_VALUE"""),9.5)</f>
        <v>9.5</v>
      </c>
      <c r="AC158" s="22" t="n">
        <f aca="false">IFERROR(__xludf.dummyfunction("""COMPUTED_VALUE"""),26)</f>
        <v>26</v>
      </c>
      <c r="AD158" s="23" t="n">
        <f aca="false">IFERROR(__xludf.dummyfunction("""COMPUTED_VALUE"""),3)</f>
        <v>3</v>
      </c>
      <c r="AE158" s="24" t="n">
        <f aca="false">IFERROR(__xludf.dummyfunction("""COMPUTED_VALUE"""),74.1)</f>
        <v>74.1</v>
      </c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</row>
    <row r="159" customFormat="false" ht="18.65" hidden="false" customHeight="false" outlineLevel="0" collapsed="false">
      <c r="A159" s="13" t="n">
        <v>158</v>
      </c>
      <c r="B159" s="14" t="s">
        <v>350</v>
      </c>
      <c r="C159" s="15" t="s">
        <v>351</v>
      </c>
      <c r="D159" s="16" t="s">
        <v>177</v>
      </c>
      <c r="E159" s="16" t="s">
        <v>177</v>
      </c>
      <c r="F159" s="16" t="str">
        <f aca="false">REPLACE(E159, 1, 3, "")</f>
        <v>19</v>
      </c>
      <c r="G159" s="17" t="str">
        <f aca="true">IFERROR(VLOOKUP(B159,INDIRECT("'"&amp;F159&amp;"'!D3:D"),1,FALSE()), "Not found")</f>
        <v>Not found</v>
      </c>
      <c r="H159" s="18" t="n">
        <f aca="true">INDIRECT("'"&amp;F159&amp;"'!D1")</f>
        <v>0</v>
      </c>
      <c r="I159" s="18" t="str">
        <f aca="false">IFERROR(__xludf.dummyfunction("REGEXEXTRACT(ADDRESS(ROW(), 24+$H159), ""[A-Z]+"")"),"X")</f>
        <v>X</v>
      </c>
      <c r="J159" s="18" t="str">
        <f aca="false">IFERROR(__xludf.dummyfunction("REGEXEXTRACT(ADDRESS(ROW(), 30+$H159), ""[A-Z]+"")"),"AD")</f>
        <v>AD</v>
      </c>
      <c r="K159" s="18" t="str">
        <f aca="false">IFERROR(__xludf.dummyfunction("REGEXEXTRACT(ADDRESS(ROW(), 36+$H159), ""[A-Z]+"")"),"AJ")</f>
        <v>AJ</v>
      </c>
      <c r="L159" s="18" t="str">
        <f aca="false">IFERROR(__xludf.dummyfunction("REGEXEXTRACT(ADDRESS(ROW(), 42+$H159), ""[A-Z]+"")"),"AP")</f>
        <v>AP</v>
      </c>
      <c r="M159" s="18" t="str">
        <f aca="false">IFERROR(__xludf.dummyfunction("REGEXEXTRACT(ADDRESS(ROW(), 48+$H159), ""[A-Z]+"")"),"AV")</f>
        <v>AV</v>
      </c>
      <c r="N159" s="18" t="str">
        <f aca="false">IFERROR(__xludf.dummyfunction("REGEXEXTRACT(ADDRESS(ROW(), 50+$H159), ""[A-Z]+"")"),"AX")</f>
        <v>AX</v>
      </c>
      <c r="O159" s="18" t="str">
        <f aca="false">IFERROR(__xludf.dummyfunction("REGEXEXTRACT(ADDRESS(ROW(), 51+$H159), ""[A-Z]+"")"),"AY")</f>
        <v>AY</v>
      </c>
      <c r="P159" s="18" t="str">
        <f aca="false">IFERROR(__xludf.dummyfunction("REGEXEXTRACT(ADDRESS(ROW(), 54+$H159), ""[A-Z]+"")"),"BB")</f>
        <v>BB</v>
      </c>
      <c r="Q159" s="18" t="str">
        <f aca="false">IFERROR(__xludf.dummyfunction("REGEXEXTRACT(ADDRESS(ROW(), 59+$H159), ""[A-Z]+"")"),"BG")</f>
        <v>BG</v>
      </c>
      <c r="R159" s="18" t="str">
        <f aca="false">IFERROR(__xludf.dummyfunction("REGEXEXTRACT(ADDRESS(ROW(), 60+$H159), ""[A-Z]+"")"),"BH")</f>
        <v>BH</v>
      </c>
      <c r="S159" s="18" t="str">
        <f aca="false">IFERROR(__xludf.dummyfunction("REGEXEXTRACT(ADDRESS(ROW(), 62+$H159), ""[A-Z]+"")"),"BJ")</f>
        <v>BJ</v>
      </c>
      <c r="T159" s="18" t="str">
        <f aca="false">IFERROR(__xludf.dummyfunction("REGEXEXTRACT(ADDRESS(ROW(), 63+$H159), ""[A-Z]+"")"),"BK")</f>
        <v>BK</v>
      </c>
      <c r="U159" s="19" t="n">
        <f aca="false">IFERROR(__xludf.dummyfunction("IFERROR(QUERY(INDIRECT(""'""&amp;F159&amp;""'!C3:""&amp;T159&amp;""""), ""SELECT ""&amp;I159&amp;"", ""&amp;J159&amp;"", ""&amp;K159&amp;"", ""&amp;L159&amp;"", ""&amp;M159&amp;"", ""&amp;N159&amp;"", ""&amp;O159&amp;"", ""&amp;P159&amp;"", ""&amp;Q159&amp;"", ""&amp;R159&amp;"", ""&amp;S159&amp;"" WHERE '""&amp;B159&amp;""' = D"", 0), """")"),10)</f>
        <v>10</v>
      </c>
      <c r="V159" s="22" t="n">
        <f aca="false">IFERROR(__xludf.dummyfunction("""COMPUTED_VALUE"""),10)</f>
        <v>10</v>
      </c>
      <c r="W159" s="22" t="n">
        <f aca="false">IFERROR(__xludf.dummyfunction("""COMPUTED_VALUE"""),9)</f>
        <v>9</v>
      </c>
      <c r="X159" s="22" t="n">
        <f aca="false">IFERROR(__xludf.dummyfunction("""COMPUTED_VALUE"""),9)</f>
        <v>9</v>
      </c>
      <c r="Y159" s="22" t="n">
        <f aca="false">IFERROR(__xludf.dummyfunction("""COMPUTED_VALUE"""),10)</f>
        <v>10</v>
      </c>
      <c r="Z159" s="22"/>
      <c r="AA159" s="22"/>
      <c r="AB159" s="22" t="n">
        <f aca="false">IFERROR(__xludf.dummyfunction("""COMPUTED_VALUE"""),7)</f>
        <v>7</v>
      </c>
      <c r="AC159" s="22" t="n">
        <f aca="false">IFERROR(__xludf.dummyfunction("""COMPUTED_VALUE"""),19)</f>
        <v>19</v>
      </c>
      <c r="AD159" s="23" t="n">
        <f aca="false">IFERROR(__xludf.dummyfunction("""COMPUTED_VALUE"""),2)</f>
        <v>2</v>
      </c>
      <c r="AE159" s="24" t="n">
        <f aca="false">IFERROR(__xludf.dummyfunction("""COMPUTED_VALUE"""),76)</f>
        <v>76</v>
      </c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</row>
    <row r="160" customFormat="false" ht="18.65" hidden="false" customHeight="false" outlineLevel="0" collapsed="false">
      <c r="A160" s="13" t="n">
        <v>159</v>
      </c>
      <c r="B160" s="14" t="s">
        <v>352</v>
      </c>
      <c r="C160" s="15" t="s">
        <v>353</v>
      </c>
      <c r="D160" s="16" t="s">
        <v>186</v>
      </c>
      <c r="E160" s="16" t="s">
        <v>186</v>
      </c>
      <c r="F160" s="16" t="str">
        <f aca="false">REPLACE(E160, 1, 3, "")</f>
        <v>06</v>
      </c>
      <c r="G160" s="17" t="str">
        <f aca="true">IFERROR(VLOOKUP(B160,INDIRECT("'"&amp;F160&amp;"'!D3:D"),1,FALSE()), "Not found")</f>
        <v>Not found</v>
      </c>
      <c r="H160" s="18" t="n">
        <f aca="true">INDIRECT("'"&amp;F160&amp;"'!D1")</f>
        <v>0</v>
      </c>
      <c r="I160" s="18" t="str">
        <f aca="false">IFERROR(__xludf.dummyfunction("REGEXEXTRACT(ADDRESS(ROW(), 24+$H160), ""[A-Z]+"")"),"X")</f>
        <v>X</v>
      </c>
      <c r="J160" s="18" t="str">
        <f aca="false">IFERROR(__xludf.dummyfunction("REGEXEXTRACT(ADDRESS(ROW(), 30+$H160), ""[A-Z]+"")"),"AD")</f>
        <v>AD</v>
      </c>
      <c r="K160" s="18" t="str">
        <f aca="false">IFERROR(__xludf.dummyfunction("REGEXEXTRACT(ADDRESS(ROW(), 36+$H160), ""[A-Z]+"")"),"AJ")</f>
        <v>AJ</v>
      </c>
      <c r="L160" s="18" t="str">
        <f aca="false">IFERROR(__xludf.dummyfunction("REGEXEXTRACT(ADDRESS(ROW(), 42+$H160), ""[A-Z]+"")"),"AP")</f>
        <v>AP</v>
      </c>
      <c r="M160" s="18" t="str">
        <f aca="false">IFERROR(__xludf.dummyfunction("REGEXEXTRACT(ADDRESS(ROW(), 48+$H160), ""[A-Z]+"")"),"AV")</f>
        <v>AV</v>
      </c>
      <c r="N160" s="18" t="str">
        <f aca="false">IFERROR(__xludf.dummyfunction("REGEXEXTRACT(ADDRESS(ROW(), 50+$H160), ""[A-Z]+"")"),"AX")</f>
        <v>AX</v>
      </c>
      <c r="O160" s="18" t="str">
        <f aca="false">IFERROR(__xludf.dummyfunction("REGEXEXTRACT(ADDRESS(ROW(), 51+$H160), ""[A-Z]+"")"),"AY")</f>
        <v>AY</v>
      </c>
      <c r="P160" s="18" t="str">
        <f aca="false">IFERROR(__xludf.dummyfunction("REGEXEXTRACT(ADDRESS(ROW(), 54+$H160), ""[A-Z]+"")"),"BB")</f>
        <v>BB</v>
      </c>
      <c r="Q160" s="18" t="str">
        <f aca="false">IFERROR(__xludf.dummyfunction("REGEXEXTRACT(ADDRESS(ROW(), 59+$H160), ""[A-Z]+"")"),"BG")</f>
        <v>BG</v>
      </c>
      <c r="R160" s="18" t="str">
        <f aca="false">IFERROR(__xludf.dummyfunction("REGEXEXTRACT(ADDRESS(ROW(), 60+$H160), ""[A-Z]+"")"),"BH")</f>
        <v>BH</v>
      </c>
      <c r="S160" s="18" t="str">
        <f aca="false">IFERROR(__xludf.dummyfunction("REGEXEXTRACT(ADDRESS(ROW(), 62+$H160), ""[A-Z]+"")"),"BJ")</f>
        <v>BJ</v>
      </c>
      <c r="T160" s="18" t="str">
        <f aca="false">IFERROR(__xludf.dummyfunction("REGEXEXTRACT(ADDRESS(ROW(), 63+$H160), ""[A-Z]+"")"),"BK")</f>
        <v>BK</v>
      </c>
      <c r="U160" s="19" t="n">
        <f aca="false">IFERROR(__xludf.dummyfunction("IFERROR(QUERY(INDIRECT(""'""&amp;F160&amp;""'!C3:""&amp;T160&amp;""""), ""SELECT ""&amp;I160&amp;"", ""&amp;J160&amp;"", ""&amp;K160&amp;"", ""&amp;L160&amp;"", ""&amp;M160&amp;"", ""&amp;N160&amp;"", ""&amp;O160&amp;"", ""&amp;P160&amp;"", ""&amp;Q160&amp;"", ""&amp;R160&amp;"", ""&amp;S160&amp;"" WHERE '""&amp;B160&amp;""' = D"", 0), """")"),10)</f>
        <v>10</v>
      </c>
      <c r="V160" s="22" t="n">
        <f aca="false">IFERROR(__xludf.dummyfunction("""COMPUTED_VALUE"""),9)</f>
        <v>9</v>
      </c>
      <c r="W160" s="22" t="n">
        <f aca="false">IFERROR(__xludf.dummyfunction("""COMPUTED_VALUE"""),10)</f>
        <v>10</v>
      </c>
      <c r="X160" s="22" t="n">
        <f aca="false">IFERROR(__xludf.dummyfunction("""COMPUTED_VALUE"""),10)</f>
        <v>10</v>
      </c>
      <c r="Y160" s="22" t="n">
        <f aca="false">IFERROR(__xludf.dummyfunction("""COMPUTED_VALUE"""),10)</f>
        <v>10</v>
      </c>
      <c r="Z160" s="22" t="n">
        <f aca="false">IFERROR(__xludf.dummyfunction("""COMPUTED_VALUE"""),1)</f>
        <v>1</v>
      </c>
      <c r="AA160" s="22" t="n">
        <f aca="false">IFERROR(__xludf.dummyfunction("""COMPUTED_VALUE"""),2)</f>
        <v>2</v>
      </c>
      <c r="AB160" s="22" t="n">
        <f aca="false">IFERROR(__xludf.dummyfunction("""COMPUTED_VALUE"""),7)</f>
        <v>7</v>
      </c>
      <c r="AC160" s="22" t="n">
        <f aca="false">IFERROR(__xludf.dummyfunction("""COMPUTED_VALUE"""),29)</f>
        <v>29</v>
      </c>
      <c r="AD160" s="23" t="n">
        <f aca="false">IFERROR(__xludf.dummyfunction("""COMPUTED_VALUE"""),3)</f>
        <v>3</v>
      </c>
      <c r="AE160" s="24" t="n">
        <f aca="false">IFERROR(__xludf.dummyfunction("""COMPUTED_VALUE"""),91)</f>
        <v>91</v>
      </c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</row>
    <row r="161" customFormat="false" ht="18.65" hidden="false" customHeight="false" outlineLevel="0" collapsed="false">
      <c r="A161" s="13" t="n">
        <v>160</v>
      </c>
      <c r="B161" s="14" t="s">
        <v>354</v>
      </c>
      <c r="C161" s="15" t="s">
        <v>355</v>
      </c>
      <c r="D161" s="16" t="s">
        <v>186</v>
      </c>
      <c r="E161" s="16" t="s">
        <v>186</v>
      </c>
      <c r="F161" s="16" t="str">
        <f aca="false">REPLACE(E161, 1, 3, "")</f>
        <v>06</v>
      </c>
      <c r="G161" s="17" t="str">
        <f aca="true">IFERROR(VLOOKUP(B161,INDIRECT("'"&amp;F161&amp;"'!D3:D"),1,FALSE()), "Not found")</f>
        <v>Not found</v>
      </c>
      <c r="H161" s="18" t="n">
        <f aca="true">INDIRECT("'"&amp;F161&amp;"'!D1")</f>
        <v>0</v>
      </c>
      <c r="I161" s="18" t="str">
        <f aca="false">IFERROR(__xludf.dummyfunction("REGEXEXTRACT(ADDRESS(ROW(), 24+$H161), ""[A-Z]+"")"),"X")</f>
        <v>X</v>
      </c>
      <c r="J161" s="18" t="str">
        <f aca="false">IFERROR(__xludf.dummyfunction("REGEXEXTRACT(ADDRESS(ROW(), 30+$H161), ""[A-Z]+"")"),"AD")</f>
        <v>AD</v>
      </c>
      <c r="K161" s="18" t="str">
        <f aca="false">IFERROR(__xludf.dummyfunction("REGEXEXTRACT(ADDRESS(ROW(), 36+$H161), ""[A-Z]+"")"),"AJ")</f>
        <v>AJ</v>
      </c>
      <c r="L161" s="18" t="str">
        <f aca="false">IFERROR(__xludf.dummyfunction("REGEXEXTRACT(ADDRESS(ROW(), 42+$H161), ""[A-Z]+"")"),"AP")</f>
        <v>AP</v>
      </c>
      <c r="M161" s="18" t="str">
        <f aca="false">IFERROR(__xludf.dummyfunction("REGEXEXTRACT(ADDRESS(ROW(), 48+$H161), ""[A-Z]+"")"),"AV")</f>
        <v>AV</v>
      </c>
      <c r="N161" s="18" t="str">
        <f aca="false">IFERROR(__xludf.dummyfunction("REGEXEXTRACT(ADDRESS(ROW(), 50+$H161), ""[A-Z]+"")"),"AX")</f>
        <v>AX</v>
      </c>
      <c r="O161" s="18" t="str">
        <f aca="false">IFERROR(__xludf.dummyfunction("REGEXEXTRACT(ADDRESS(ROW(), 51+$H161), ""[A-Z]+"")"),"AY")</f>
        <v>AY</v>
      </c>
      <c r="P161" s="18" t="str">
        <f aca="false">IFERROR(__xludf.dummyfunction("REGEXEXTRACT(ADDRESS(ROW(), 54+$H161), ""[A-Z]+"")"),"BB")</f>
        <v>BB</v>
      </c>
      <c r="Q161" s="18" t="str">
        <f aca="false">IFERROR(__xludf.dummyfunction("REGEXEXTRACT(ADDRESS(ROW(), 59+$H161), ""[A-Z]+"")"),"BG")</f>
        <v>BG</v>
      </c>
      <c r="R161" s="18" t="str">
        <f aca="false">IFERROR(__xludf.dummyfunction("REGEXEXTRACT(ADDRESS(ROW(), 60+$H161), ""[A-Z]+"")"),"BH")</f>
        <v>BH</v>
      </c>
      <c r="S161" s="18" t="str">
        <f aca="false">IFERROR(__xludf.dummyfunction("REGEXEXTRACT(ADDRESS(ROW(), 62+$H161), ""[A-Z]+"")"),"BJ")</f>
        <v>BJ</v>
      </c>
      <c r="T161" s="18" t="str">
        <f aca="false">IFERROR(__xludf.dummyfunction("REGEXEXTRACT(ADDRESS(ROW(), 63+$H161), ""[A-Z]+"")"),"BK")</f>
        <v>BK</v>
      </c>
      <c r="U161" s="19" t="n">
        <f aca="false">IFERROR(__xludf.dummyfunction("IFERROR(QUERY(INDIRECT(""'""&amp;F161&amp;""'!C3:""&amp;T161&amp;""""), ""SELECT ""&amp;I161&amp;"", ""&amp;J161&amp;"", ""&amp;K161&amp;"", ""&amp;L161&amp;"", ""&amp;M161&amp;"", ""&amp;N161&amp;"", ""&amp;O161&amp;"", ""&amp;P161&amp;"", ""&amp;Q161&amp;"", ""&amp;R161&amp;"", ""&amp;S161&amp;"" WHERE '""&amp;B161&amp;""' = D"", 0), """")"),9)</f>
        <v>9</v>
      </c>
      <c r="V161" s="22" t="n">
        <f aca="false">IFERROR(__xludf.dummyfunction("""COMPUTED_VALUE"""),9)</f>
        <v>9</v>
      </c>
      <c r="W161" s="22"/>
      <c r="X161" s="22"/>
      <c r="Y161" s="22" t="n">
        <f aca="false">IFERROR(__xludf.dummyfunction("""COMPUTED_VALUE"""),0)</f>
        <v>0</v>
      </c>
      <c r="Z161" s="22" t="n">
        <f aca="false">IFERROR(__xludf.dummyfunction("""COMPUTED_VALUE"""),0)</f>
        <v>0</v>
      </c>
      <c r="AA161" s="22" t="n">
        <f aca="false">IFERROR(__xludf.dummyfunction("""COMPUTED_VALUE"""),3)</f>
        <v>3</v>
      </c>
      <c r="AB161" s="22" t="n">
        <f aca="false">IFERROR(__xludf.dummyfunction("""COMPUTED_VALUE"""),7)</f>
        <v>7</v>
      </c>
      <c r="AC161" s="22"/>
      <c r="AD161" s="23"/>
      <c r="AE161" s="24" t="n">
        <f aca="false">IFERROR(__xludf.dummyfunction("""COMPUTED_VALUE"""),28)</f>
        <v>28</v>
      </c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</row>
    <row r="162" customFormat="false" ht="18.65" hidden="false" customHeight="false" outlineLevel="0" collapsed="false">
      <c r="A162" s="13" t="n">
        <v>161</v>
      </c>
      <c r="B162" s="14" t="s">
        <v>356</v>
      </c>
      <c r="C162" s="15" t="s">
        <v>357</v>
      </c>
      <c r="D162" s="16" t="s">
        <v>180</v>
      </c>
      <c r="E162" s="16" t="s">
        <v>180</v>
      </c>
      <c r="F162" s="16" t="str">
        <f aca="false">REPLACE(E162, 1, 3, "")</f>
        <v>11</v>
      </c>
      <c r="G162" s="17" t="str">
        <f aca="true">IFERROR(VLOOKUP(B162,INDIRECT("'"&amp;F162&amp;"'!D3:D"),1,FALSE()), "Not found")</f>
        <v>Not found</v>
      </c>
      <c r="H162" s="18" t="n">
        <f aca="true">INDIRECT("'"&amp;F162&amp;"'!D1")</f>
        <v>0</v>
      </c>
      <c r="I162" s="18" t="str">
        <f aca="false">IFERROR(__xludf.dummyfunction("REGEXEXTRACT(ADDRESS(ROW(), 24+$H162), ""[A-Z]+"")"),"X")</f>
        <v>X</v>
      </c>
      <c r="J162" s="18" t="str">
        <f aca="false">IFERROR(__xludf.dummyfunction("REGEXEXTRACT(ADDRESS(ROW(), 30+$H162), ""[A-Z]+"")"),"AD")</f>
        <v>AD</v>
      </c>
      <c r="K162" s="18" t="str">
        <f aca="false">IFERROR(__xludf.dummyfunction("REGEXEXTRACT(ADDRESS(ROW(), 36+$H162), ""[A-Z]+"")"),"AJ")</f>
        <v>AJ</v>
      </c>
      <c r="L162" s="18" t="str">
        <f aca="false">IFERROR(__xludf.dummyfunction("REGEXEXTRACT(ADDRESS(ROW(), 42+$H162), ""[A-Z]+"")"),"AP")</f>
        <v>AP</v>
      </c>
      <c r="M162" s="18" t="str">
        <f aca="false">IFERROR(__xludf.dummyfunction("REGEXEXTRACT(ADDRESS(ROW(), 48+$H162), ""[A-Z]+"")"),"AV")</f>
        <v>AV</v>
      </c>
      <c r="N162" s="18" t="str">
        <f aca="false">IFERROR(__xludf.dummyfunction("REGEXEXTRACT(ADDRESS(ROW(), 50+$H162), ""[A-Z]+"")"),"AX")</f>
        <v>AX</v>
      </c>
      <c r="O162" s="18" t="str">
        <f aca="false">IFERROR(__xludf.dummyfunction("REGEXEXTRACT(ADDRESS(ROW(), 51+$H162), ""[A-Z]+"")"),"AY")</f>
        <v>AY</v>
      </c>
      <c r="P162" s="18" t="str">
        <f aca="false">IFERROR(__xludf.dummyfunction("REGEXEXTRACT(ADDRESS(ROW(), 54+$H162), ""[A-Z]+"")"),"BB")</f>
        <v>BB</v>
      </c>
      <c r="Q162" s="18" t="str">
        <f aca="false">IFERROR(__xludf.dummyfunction("REGEXEXTRACT(ADDRESS(ROW(), 59+$H162), ""[A-Z]+"")"),"BG")</f>
        <v>BG</v>
      </c>
      <c r="R162" s="18" t="str">
        <f aca="false">IFERROR(__xludf.dummyfunction("REGEXEXTRACT(ADDRESS(ROW(), 60+$H162), ""[A-Z]+"")"),"BH")</f>
        <v>BH</v>
      </c>
      <c r="S162" s="18" t="str">
        <f aca="false">IFERROR(__xludf.dummyfunction("REGEXEXTRACT(ADDRESS(ROW(), 62+$H162), ""[A-Z]+"")"),"BJ")</f>
        <v>BJ</v>
      </c>
      <c r="T162" s="18" t="str">
        <f aca="false">IFERROR(__xludf.dummyfunction("REGEXEXTRACT(ADDRESS(ROW(), 63+$H162), ""[A-Z]+"")"),"BK")</f>
        <v>BK</v>
      </c>
      <c r="U162" s="19" t="n">
        <f aca="false">IFERROR(__xludf.dummyfunction("IFERROR(QUERY(INDIRECT(""'""&amp;F162&amp;""'!C3:""&amp;T162&amp;""""), ""SELECT ""&amp;I162&amp;"", ""&amp;J162&amp;"", ""&amp;K162&amp;"", ""&amp;L162&amp;"", ""&amp;M162&amp;"", ""&amp;N162&amp;"", ""&amp;O162&amp;"", ""&amp;P162&amp;"", ""&amp;Q162&amp;"", ""&amp;R162&amp;"", ""&amp;S162&amp;"" WHERE '""&amp;B162&amp;""' = D"", 0), """")"),10)</f>
        <v>10</v>
      </c>
      <c r="V162" s="22" t="n">
        <f aca="false">IFERROR(__xludf.dummyfunction("""COMPUTED_VALUE"""),10)</f>
        <v>10</v>
      </c>
      <c r="W162" s="22" t="n">
        <f aca="false">IFERROR(__xludf.dummyfunction("""COMPUTED_VALUE"""),10)</f>
        <v>10</v>
      </c>
      <c r="X162" s="22" t="n">
        <f aca="false">IFERROR(__xludf.dummyfunction("""COMPUTED_VALUE"""),10)</f>
        <v>10</v>
      </c>
      <c r="Y162" s="22" t="n">
        <f aca="false">IFERROR(__xludf.dummyfunction("""COMPUTED_VALUE"""),0)</f>
        <v>0</v>
      </c>
      <c r="Z162" s="22" t="n">
        <f aca="false">IFERROR(__xludf.dummyfunction("""COMPUTED_VALUE"""),2)</f>
        <v>2</v>
      </c>
      <c r="AA162" s="22" t="n">
        <f aca="false">IFERROR(__xludf.dummyfunction("""COMPUTED_VALUE"""),1)</f>
        <v>1</v>
      </c>
      <c r="AB162" s="22" t="n">
        <f aca="false">IFERROR(__xludf.dummyfunction("""COMPUTED_VALUE"""),6)</f>
        <v>6</v>
      </c>
      <c r="AC162" s="22"/>
      <c r="AD162" s="23"/>
      <c r="AE162" s="24" t="n">
        <f aca="false">IFERROR(__xludf.dummyfunction("""COMPUTED_VALUE"""),49)</f>
        <v>49</v>
      </c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</row>
    <row r="163" customFormat="false" ht="18.65" hidden="false" customHeight="false" outlineLevel="0" collapsed="false">
      <c r="A163" s="13" t="n">
        <v>162</v>
      </c>
      <c r="B163" s="14" t="s">
        <v>358</v>
      </c>
      <c r="C163" s="15" t="s">
        <v>359</v>
      </c>
      <c r="D163" s="16" t="s">
        <v>235</v>
      </c>
      <c r="E163" s="16" t="s">
        <v>235</v>
      </c>
      <c r="F163" s="16" t="str">
        <f aca="false">REPLACE(E163, 1, 3, "")</f>
        <v>18</v>
      </c>
      <c r="G163" s="17" t="str">
        <f aca="true">IFERROR(VLOOKUP(B163,INDIRECT("'"&amp;F163&amp;"'!D3:D"),1,FALSE()), "Not found")</f>
        <v>Not found</v>
      </c>
      <c r="H163" s="18" t="n">
        <f aca="true">INDIRECT("'"&amp;F163&amp;"'!D1")</f>
        <v>0</v>
      </c>
      <c r="I163" s="18" t="str">
        <f aca="false">IFERROR(__xludf.dummyfunction("REGEXEXTRACT(ADDRESS(ROW(), 24+$H163), ""[A-Z]+"")"),"X")</f>
        <v>X</v>
      </c>
      <c r="J163" s="18" t="str">
        <f aca="false">IFERROR(__xludf.dummyfunction("REGEXEXTRACT(ADDRESS(ROW(), 30+$H163), ""[A-Z]+"")"),"AD")</f>
        <v>AD</v>
      </c>
      <c r="K163" s="18" t="str">
        <f aca="false">IFERROR(__xludf.dummyfunction("REGEXEXTRACT(ADDRESS(ROW(), 36+$H163), ""[A-Z]+"")"),"AJ")</f>
        <v>AJ</v>
      </c>
      <c r="L163" s="18" t="str">
        <f aca="false">IFERROR(__xludf.dummyfunction("REGEXEXTRACT(ADDRESS(ROW(), 42+$H163), ""[A-Z]+"")"),"AP")</f>
        <v>AP</v>
      </c>
      <c r="M163" s="18" t="str">
        <f aca="false">IFERROR(__xludf.dummyfunction("REGEXEXTRACT(ADDRESS(ROW(), 48+$H163), ""[A-Z]+"")"),"AV")</f>
        <v>AV</v>
      </c>
      <c r="N163" s="18" t="str">
        <f aca="false">IFERROR(__xludf.dummyfunction("REGEXEXTRACT(ADDRESS(ROW(), 50+$H163), ""[A-Z]+"")"),"AX")</f>
        <v>AX</v>
      </c>
      <c r="O163" s="18" t="str">
        <f aca="false">IFERROR(__xludf.dummyfunction("REGEXEXTRACT(ADDRESS(ROW(), 51+$H163), ""[A-Z]+"")"),"AY")</f>
        <v>AY</v>
      </c>
      <c r="P163" s="18" t="str">
        <f aca="false">IFERROR(__xludf.dummyfunction("REGEXEXTRACT(ADDRESS(ROW(), 54+$H163), ""[A-Z]+"")"),"BB")</f>
        <v>BB</v>
      </c>
      <c r="Q163" s="18" t="str">
        <f aca="false">IFERROR(__xludf.dummyfunction("REGEXEXTRACT(ADDRESS(ROW(), 59+$H163), ""[A-Z]+"")"),"BG")</f>
        <v>BG</v>
      </c>
      <c r="R163" s="18" t="str">
        <f aca="false">IFERROR(__xludf.dummyfunction("REGEXEXTRACT(ADDRESS(ROW(), 60+$H163), ""[A-Z]+"")"),"BH")</f>
        <v>BH</v>
      </c>
      <c r="S163" s="18" t="str">
        <f aca="false">IFERROR(__xludf.dummyfunction("REGEXEXTRACT(ADDRESS(ROW(), 62+$H163), ""[A-Z]+"")"),"BJ")</f>
        <v>BJ</v>
      </c>
      <c r="T163" s="18" t="str">
        <f aca="false">IFERROR(__xludf.dummyfunction("REGEXEXTRACT(ADDRESS(ROW(), 63+$H163), ""[A-Z]+"")"),"BK")</f>
        <v>BK</v>
      </c>
      <c r="U163" s="19" t="n">
        <f aca="false">IFERROR(__xludf.dummyfunction("IFERROR(QUERY(INDIRECT(""'""&amp;F163&amp;""'!C3:""&amp;T163&amp;""""), ""SELECT ""&amp;I163&amp;"", ""&amp;J163&amp;"", ""&amp;K163&amp;"", ""&amp;L163&amp;"", ""&amp;M163&amp;"", ""&amp;N163&amp;"", ""&amp;O163&amp;"", ""&amp;P163&amp;"", ""&amp;Q163&amp;"", ""&amp;R163&amp;"", ""&amp;S163&amp;"" WHERE '""&amp;B163&amp;""' = D"", 0), """")"),8.5)</f>
        <v>8.5</v>
      </c>
      <c r="V163" s="22" t="n">
        <f aca="false">IFERROR(__xludf.dummyfunction("""COMPUTED_VALUE"""),8.5)</f>
        <v>8.5</v>
      </c>
      <c r="W163" s="22" t="n">
        <f aca="false">IFERROR(__xludf.dummyfunction("""COMPUTED_VALUE"""),7)</f>
        <v>7</v>
      </c>
      <c r="X163" s="22" t="n">
        <f aca="false">IFERROR(__xludf.dummyfunction("""COMPUTED_VALUE"""),6)</f>
        <v>6</v>
      </c>
      <c r="Y163" s="22" t="n">
        <f aca="false">IFERROR(__xludf.dummyfunction("""COMPUTED_VALUE"""),0)</f>
        <v>0</v>
      </c>
      <c r="Z163" s="22" t="n">
        <f aca="false">IFERROR(__xludf.dummyfunction("""COMPUTED_VALUE"""),0)</f>
        <v>0</v>
      </c>
      <c r="AA163" s="22" t="n">
        <f aca="false">IFERROR(__xludf.dummyfunction("""COMPUTED_VALUE"""),1)</f>
        <v>1</v>
      </c>
      <c r="AB163" s="22" t="n">
        <f aca="false">IFERROR(__xludf.dummyfunction("""COMPUTED_VALUE"""),7)</f>
        <v>7</v>
      </c>
      <c r="AC163" s="22" t="n">
        <f aca="false">IFERROR(__xludf.dummyfunction("""COMPUTED_VALUE"""),22)</f>
        <v>22</v>
      </c>
      <c r="AD163" s="23"/>
      <c r="AE163" s="24" t="n">
        <f aca="false">IFERROR(__xludf.dummyfunction("""COMPUTED_VALUE"""),60)</f>
        <v>60</v>
      </c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</row>
    <row r="164" customFormat="false" ht="18.65" hidden="false" customHeight="false" outlineLevel="0" collapsed="false">
      <c r="A164" s="13" t="n">
        <v>163</v>
      </c>
      <c r="B164" s="14" t="s">
        <v>360</v>
      </c>
      <c r="C164" s="15" t="s">
        <v>361</v>
      </c>
      <c r="D164" s="16" t="s">
        <v>213</v>
      </c>
      <c r="E164" s="16" t="s">
        <v>213</v>
      </c>
      <c r="F164" s="16" t="str">
        <f aca="false">REPLACE(E164, 1, 3, "")</f>
        <v>16</v>
      </c>
      <c r="G164" s="17" t="str">
        <f aca="true">IFERROR(VLOOKUP(B164,INDIRECT("'"&amp;F164&amp;"'!D3:D"),1,FALSE()), "Not found")</f>
        <v>Not found</v>
      </c>
      <c r="H164" s="18" t="n">
        <f aca="true">INDIRECT("'"&amp;F164&amp;"'!D1")</f>
        <v>0</v>
      </c>
      <c r="I164" s="18" t="str">
        <f aca="false">IFERROR(__xludf.dummyfunction("REGEXEXTRACT(ADDRESS(ROW(), 24+$H164), ""[A-Z]+"")"),"X")</f>
        <v>X</v>
      </c>
      <c r="J164" s="18" t="str">
        <f aca="false">IFERROR(__xludf.dummyfunction("REGEXEXTRACT(ADDRESS(ROW(), 30+$H164), ""[A-Z]+"")"),"AD")</f>
        <v>AD</v>
      </c>
      <c r="K164" s="18" t="str">
        <f aca="false">IFERROR(__xludf.dummyfunction("REGEXEXTRACT(ADDRESS(ROW(), 36+$H164), ""[A-Z]+"")"),"AJ")</f>
        <v>AJ</v>
      </c>
      <c r="L164" s="18" t="str">
        <f aca="false">IFERROR(__xludf.dummyfunction("REGEXEXTRACT(ADDRESS(ROW(), 42+$H164), ""[A-Z]+"")"),"AP")</f>
        <v>AP</v>
      </c>
      <c r="M164" s="18" t="str">
        <f aca="false">IFERROR(__xludf.dummyfunction("REGEXEXTRACT(ADDRESS(ROW(), 48+$H164), ""[A-Z]+"")"),"AV")</f>
        <v>AV</v>
      </c>
      <c r="N164" s="18" t="str">
        <f aca="false">IFERROR(__xludf.dummyfunction("REGEXEXTRACT(ADDRESS(ROW(), 50+$H164), ""[A-Z]+"")"),"AX")</f>
        <v>AX</v>
      </c>
      <c r="O164" s="18" t="str">
        <f aca="false">IFERROR(__xludf.dummyfunction("REGEXEXTRACT(ADDRESS(ROW(), 51+$H164), ""[A-Z]+"")"),"AY")</f>
        <v>AY</v>
      </c>
      <c r="P164" s="18" t="str">
        <f aca="false">IFERROR(__xludf.dummyfunction("REGEXEXTRACT(ADDRESS(ROW(), 54+$H164), ""[A-Z]+"")"),"BB")</f>
        <v>BB</v>
      </c>
      <c r="Q164" s="18" t="str">
        <f aca="false">IFERROR(__xludf.dummyfunction("REGEXEXTRACT(ADDRESS(ROW(), 59+$H164), ""[A-Z]+"")"),"BG")</f>
        <v>BG</v>
      </c>
      <c r="R164" s="18" t="str">
        <f aca="false">IFERROR(__xludf.dummyfunction("REGEXEXTRACT(ADDRESS(ROW(), 60+$H164), ""[A-Z]+"")"),"BH")</f>
        <v>BH</v>
      </c>
      <c r="S164" s="18" t="str">
        <f aca="false">IFERROR(__xludf.dummyfunction("REGEXEXTRACT(ADDRESS(ROW(), 62+$H164), ""[A-Z]+"")"),"BJ")</f>
        <v>BJ</v>
      </c>
      <c r="T164" s="18" t="str">
        <f aca="false">IFERROR(__xludf.dummyfunction("REGEXEXTRACT(ADDRESS(ROW(), 63+$H164), ""[A-Z]+"")"),"BK")</f>
        <v>BK</v>
      </c>
      <c r="U164" s="19" t="n">
        <f aca="false">IFERROR(__xludf.dummyfunction("IFERROR(QUERY(INDIRECT(""'""&amp;F164&amp;""'!C3:""&amp;T164&amp;""""), ""SELECT ""&amp;I164&amp;"", ""&amp;J164&amp;"", ""&amp;K164&amp;"", ""&amp;L164&amp;"", ""&amp;M164&amp;"", ""&amp;N164&amp;"", ""&amp;O164&amp;"", ""&amp;P164&amp;"", ""&amp;Q164&amp;"", ""&amp;R164&amp;"", ""&amp;S164&amp;"" WHERE '""&amp;B164&amp;""' = D"", 0), """")"),7)</f>
        <v>7</v>
      </c>
      <c r="V164" s="22" t="n">
        <f aca="false">IFERROR(__xludf.dummyfunction("""COMPUTED_VALUE"""),7)</f>
        <v>7</v>
      </c>
      <c r="W164" s="22" t="n">
        <f aca="false">IFERROR(__xludf.dummyfunction("""COMPUTED_VALUE"""),7.5)</f>
        <v>7.5</v>
      </c>
      <c r="X164" s="22" t="n">
        <f aca="false">IFERROR(__xludf.dummyfunction("""COMPUTED_VALUE"""),8.5)</f>
        <v>8.5</v>
      </c>
      <c r="Y164" s="22" t="n">
        <f aca="false">IFERROR(__xludf.dummyfunction("""COMPUTED_VALUE"""),0)</f>
        <v>0</v>
      </c>
      <c r="Z164" s="22" t="n">
        <f aca="false">IFERROR(__xludf.dummyfunction("""COMPUTED_VALUE"""),0)</f>
        <v>0</v>
      </c>
      <c r="AA164" s="22" t="n">
        <f aca="false">IFERROR(__xludf.dummyfunction("""COMPUTED_VALUE"""),2)</f>
        <v>2</v>
      </c>
      <c r="AB164" s="22" t="n">
        <f aca="false">IFERROR(__xludf.dummyfunction("""COMPUTED_VALUE"""),8)</f>
        <v>8</v>
      </c>
      <c r="AC164" s="22" t="n">
        <f aca="false">IFERROR(__xludf.dummyfunction("""COMPUTED_VALUE"""),0)</f>
        <v>0</v>
      </c>
      <c r="AD164" s="23"/>
      <c r="AE164" s="24" t="n">
        <f aca="false">IFERROR(__xludf.dummyfunction("""COMPUTED_VALUE"""),40)</f>
        <v>40</v>
      </c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</row>
    <row r="165" customFormat="false" ht="18.65" hidden="false" customHeight="false" outlineLevel="0" collapsed="false">
      <c r="A165" s="13" t="n">
        <v>164</v>
      </c>
      <c r="B165" s="14" t="s">
        <v>362</v>
      </c>
      <c r="C165" s="15" t="s">
        <v>363</v>
      </c>
      <c r="D165" s="16" t="s">
        <v>180</v>
      </c>
      <c r="E165" s="16" t="s">
        <v>180</v>
      </c>
      <c r="F165" s="16" t="str">
        <f aca="false">REPLACE(E165, 1, 3, "")</f>
        <v>11</v>
      </c>
      <c r="G165" s="17" t="str">
        <f aca="true">IFERROR(VLOOKUP(B165,INDIRECT("'"&amp;F165&amp;"'!D3:D"),1,FALSE()), "Not found")</f>
        <v>Not found</v>
      </c>
      <c r="H165" s="18" t="n">
        <f aca="true">INDIRECT("'"&amp;F165&amp;"'!D1")</f>
        <v>0</v>
      </c>
      <c r="I165" s="18" t="str">
        <f aca="false">IFERROR(__xludf.dummyfunction("REGEXEXTRACT(ADDRESS(ROW(), 24+$H165), ""[A-Z]+"")"),"X")</f>
        <v>X</v>
      </c>
      <c r="J165" s="18" t="str">
        <f aca="false">IFERROR(__xludf.dummyfunction("REGEXEXTRACT(ADDRESS(ROW(), 30+$H165), ""[A-Z]+"")"),"AD")</f>
        <v>AD</v>
      </c>
      <c r="K165" s="18" t="str">
        <f aca="false">IFERROR(__xludf.dummyfunction("REGEXEXTRACT(ADDRESS(ROW(), 36+$H165), ""[A-Z]+"")"),"AJ")</f>
        <v>AJ</v>
      </c>
      <c r="L165" s="18" t="str">
        <f aca="false">IFERROR(__xludf.dummyfunction("REGEXEXTRACT(ADDRESS(ROW(), 42+$H165), ""[A-Z]+"")"),"AP")</f>
        <v>AP</v>
      </c>
      <c r="M165" s="18" t="str">
        <f aca="false">IFERROR(__xludf.dummyfunction("REGEXEXTRACT(ADDRESS(ROW(), 48+$H165), ""[A-Z]+"")"),"AV")</f>
        <v>AV</v>
      </c>
      <c r="N165" s="18" t="str">
        <f aca="false">IFERROR(__xludf.dummyfunction("REGEXEXTRACT(ADDRESS(ROW(), 50+$H165), ""[A-Z]+"")"),"AX")</f>
        <v>AX</v>
      </c>
      <c r="O165" s="18" t="str">
        <f aca="false">IFERROR(__xludf.dummyfunction("REGEXEXTRACT(ADDRESS(ROW(), 51+$H165), ""[A-Z]+"")"),"AY")</f>
        <v>AY</v>
      </c>
      <c r="P165" s="18" t="str">
        <f aca="false">IFERROR(__xludf.dummyfunction("REGEXEXTRACT(ADDRESS(ROW(), 54+$H165), ""[A-Z]+"")"),"BB")</f>
        <v>BB</v>
      </c>
      <c r="Q165" s="18" t="str">
        <f aca="false">IFERROR(__xludf.dummyfunction("REGEXEXTRACT(ADDRESS(ROW(), 59+$H165), ""[A-Z]+"")"),"BG")</f>
        <v>BG</v>
      </c>
      <c r="R165" s="18" t="str">
        <f aca="false">IFERROR(__xludf.dummyfunction("REGEXEXTRACT(ADDRESS(ROW(), 60+$H165), ""[A-Z]+"")"),"BH")</f>
        <v>BH</v>
      </c>
      <c r="S165" s="18" t="str">
        <f aca="false">IFERROR(__xludf.dummyfunction("REGEXEXTRACT(ADDRESS(ROW(), 62+$H165), ""[A-Z]+"")"),"BJ")</f>
        <v>BJ</v>
      </c>
      <c r="T165" s="18" t="str">
        <f aca="false">IFERROR(__xludf.dummyfunction("REGEXEXTRACT(ADDRESS(ROW(), 63+$H165), ""[A-Z]+"")"),"BK")</f>
        <v>BK</v>
      </c>
      <c r="U165" s="19" t="n">
        <f aca="false">IFERROR(__xludf.dummyfunction("IFERROR(QUERY(INDIRECT(""'""&amp;F165&amp;""'!C3:""&amp;T165&amp;""""), ""SELECT ""&amp;I165&amp;"", ""&amp;J165&amp;"", ""&amp;K165&amp;"", ""&amp;L165&amp;"", ""&amp;M165&amp;"", ""&amp;N165&amp;"", ""&amp;O165&amp;"", ""&amp;P165&amp;"", ""&amp;Q165&amp;"", ""&amp;R165&amp;"", ""&amp;S165&amp;"" WHERE '""&amp;B165&amp;""' = D"", 0), """")"),10)</f>
        <v>10</v>
      </c>
      <c r="V165" s="22" t="n">
        <f aca="false">IFERROR(__xludf.dummyfunction("""COMPUTED_VALUE"""),10)</f>
        <v>10</v>
      </c>
      <c r="W165" s="22" t="n">
        <f aca="false">IFERROR(__xludf.dummyfunction("""COMPUTED_VALUE"""),10)</f>
        <v>10</v>
      </c>
      <c r="X165" s="22" t="n">
        <f aca="false">IFERROR(__xludf.dummyfunction("""COMPUTED_VALUE"""),10)</f>
        <v>10</v>
      </c>
      <c r="Y165" s="22" t="n">
        <f aca="false">IFERROR(__xludf.dummyfunction("""COMPUTED_VALUE"""),0)</f>
        <v>0</v>
      </c>
      <c r="Z165" s="22" t="n">
        <f aca="false">IFERROR(__xludf.dummyfunction("""COMPUTED_VALUE"""),0)</f>
        <v>0</v>
      </c>
      <c r="AA165" s="22" t="n">
        <f aca="false">IFERROR(__xludf.dummyfunction("""COMPUTED_VALUE"""),1)</f>
        <v>1</v>
      </c>
      <c r="AB165" s="22" t="n">
        <f aca="false">IFERROR(__xludf.dummyfunction("""COMPUTED_VALUE"""),7)</f>
        <v>7</v>
      </c>
      <c r="AC165" s="22" t="n">
        <f aca="false">IFERROR(__xludf.dummyfunction("""COMPUTED_VALUE"""),26)</f>
        <v>26</v>
      </c>
      <c r="AD165" s="23" t="n">
        <f aca="false">IFERROR(__xludf.dummyfunction("""COMPUTED_VALUE"""),1)</f>
        <v>1</v>
      </c>
      <c r="AE165" s="24" t="n">
        <f aca="false">IFERROR(__xludf.dummyfunction("""COMPUTED_VALUE"""),75)</f>
        <v>75</v>
      </c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</row>
    <row r="166" customFormat="false" ht="18.65" hidden="false" customHeight="false" outlineLevel="0" collapsed="false">
      <c r="A166" s="13" t="n">
        <v>165</v>
      </c>
      <c r="B166" s="14" t="s">
        <v>364</v>
      </c>
      <c r="C166" s="15" t="s">
        <v>365</v>
      </c>
      <c r="D166" s="16" t="s">
        <v>232</v>
      </c>
      <c r="E166" s="16" t="s">
        <v>232</v>
      </c>
      <c r="F166" s="16" t="str">
        <f aca="false">REPLACE(E166, 1, 3, "")</f>
        <v>09</v>
      </c>
      <c r="G166" s="17" t="str">
        <f aca="true">IFERROR(VLOOKUP(B166,INDIRECT("'"&amp;F166&amp;"'!D3:D"),1,FALSE()), "Not found")</f>
        <v>Not found</v>
      </c>
      <c r="H166" s="18" t="n">
        <f aca="true">INDIRECT("'"&amp;F166&amp;"'!D1")</f>
        <v>0</v>
      </c>
      <c r="I166" s="18" t="str">
        <f aca="false">IFERROR(__xludf.dummyfunction("REGEXEXTRACT(ADDRESS(ROW(), 24+$H166), ""[A-Z]+"")"),"X")</f>
        <v>X</v>
      </c>
      <c r="J166" s="18" t="str">
        <f aca="false">IFERROR(__xludf.dummyfunction("REGEXEXTRACT(ADDRESS(ROW(), 30+$H166), ""[A-Z]+"")"),"AD")</f>
        <v>AD</v>
      </c>
      <c r="K166" s="18" t="str">
        <f aca="false">IFERROR(__xludf.dummyfunction("REGEXEXTRACT(ADDRESS(ROW(), 36+$H166), ""[A-Z]+"")"),"AJ")</f>
        <v>AJ</v>
      </c>
      <c r="L166" s="18" t="str">
        <f aca="false">IFERROR(__xludf.dummyfunction("REGEXEXTRACT(ADDRESS(ROW(), 42+$H166), ""[A-Z]+"")"),"AP")</f>
        <v>AP</v>
      </c>
      <c r="M166" s="18" t="str">
        <f aca="false">IFERROR(__xludf.dummyfunction("REGEXEXTRACT(ADDRESS(ROW(), 48+$H166), ""[A-Z]+"")"),"AV")</f>
        <v>AV</v>
      </c>
      <c r="N166" s="18" t="str">
        <f aca="false">IFERROR(__xludf.dummyfunction("REGEXEXTRACT(ADDRESS(ROW(), 50+$H166), ""[A-Z]+"")"),"AX")</f>
        <v>AX</v>
      </c>
      <c r="O166" s="18" t="str">
        <f aca="false">IFERROR(__xludf.dummyfunction("REGEXEXTRACT(ADDRESS(ROW(), 51+$H166), ""[A-Z]+"")"),"AY")</f>
        <v>AY</v>
      </c>
      <c r="P166" s="18" t="str">
        <f aca="false">IFERROR(__xludf.dummyfunction("REGEXEXTRACT(ADDRESS(ROW(), 54+$H166), ""[A-Z]+"")"),"BB")</f>
        <v>BB</v>
      </c>
      <c r="Q166" s="18" t="str">
        <f aca="false">IFERROR(__xludf.dummyfunction("REGEXEXTRACT(ADDRESS(ROW(), 59+$H166), ""[A-Z]+"")"),"BG")</f>
        <v>BG</v>
      </c>
      <c r="R166" s="18" t="str">
        <f aca="false">IFERROR(__xludf.dummyfunction("REGEXEXTRACT(ADDRESS(ROW(), 60+$H166), ""[A-Z]+"")"),"BH")</f>
        <v>BH</v>
      </c>
      <c r="S166" s="18" t="str">
        <f aca="false">IFERROR(__xludf.dummyfunction("REGEXEXTRACT(ADDRESS(ROW(), 62+$H166), ""[A-Z]+"")"),"BJ")</f>
        <v>BJ</v>
      </c>
      <c r="T166" s="18" t="str">
        <f aca="false">IFERROR(__xludf.dummyfunction("REGEXEXTRACT(ADDRESS(ROW(), 63+$H166), ""[A-Z]+"")"),"BK")</f>
        <v>BK</v>
      </c>
      <c r="U166" s="19" t="n">
        <f aca="false">IFERROR(__xludf.dummyfunction("IFERROR(QUERY(INDIRECT(""'""&amp;F166&amp;""'!C3:""&amp;T166&amp;""""), ""SELECT ""&amp;I166&amp;"", ""&amp;J166&amp;"", ""&amp;K166&amp;"", ""&amp;L166&amp;"", ""&amp;M166&amp;"", ""&amp;N166&amp;"", ""&amp;O166&amp;"", ""&amp;P166&amp;"", ""&amp;Q166&amp;"", ""&amp;R166&amp;"", ""&amp;S166&amp;"" WHERE '""&amp;B166&amp;""' = D"", 0), """")"),8)</f>
        <v>8</v>
      </c>
      <c r="V166" s="22" t="n">
        <f aca="false">IFERROR(__xludf.dummyfunction("""COMPUTED_VALUE"""),8)</f>
        <v>8</v>
      </c>
      <c r="W166" s="22" t="n">
        <f aca="false">IFERROR(__xludf.dummyfunction("""COMPUTED_VALUE"""),8.5)</f>
        <v>8.5</v>
      </c>
      <c r="X166" s="22" t="n">
        <f aca="false">IFERROR(__xludf.dummyfunction("""COMPUTED_VALUE"""),9)</f>
        <v>9</v>
      </c>
      <c r="Y166" s="22" t="n">
        <f aca="false">IFERROR(__xludf.dummyfunction("""COMPUTED_VALUE"""),0)</f>
        <v>0</v>
      </c>
      <c r="Z166" s="22" t="n">
        <f aca="false">IFERROR(__xludf.dummyfunction("""COMPUTED_VALUE"""),1)</f>
        <v>1</v>
      </c>
      <c r="AA166" s="22" t="n">
        <f aca="false">IFERROR(__xludf.dummyfunction("""COMPUTED_VALUE"""),1)</f>
        <v>1</v>
      </c>
      <c r="AB166" s="22" t="n">
        <f aca="false">IFERROR(__xludf.dummyfunction("""COMPUTED_VALUE"""),7)</f>
        <v>7</v>
      </c>
      <c r="AC166" s="22" t="n">
        <f aca="false">IFERROR(__xludf.dummyfunction("""COMPUTED_VALUE"""),20)</f>
        <v>20</v>
      </c>
      <c r="AD166" s="23"/>
      <c r="AE166" s="24" t="n">
        <f aca="false">IFERROR(__xludf.dummyfunction("""COMPUTED_VALUE"""),62.5)</f>
        <v>62.5</v>
      </c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</row>
    <row r="167" customFormat="false" ht="18.65" hidden="false" customHeight="false" outlineLevel="0" collapsed="false">
      <c r="A167" s="13" t="n">
        <v>166</v>
      </c>
      <c r="B167" s="14" t="s">
        <v>366</v>
      </c>
      <c r="C167" s="15" t="s">
        <v>367</v>
      </c>
      <c r="D167" s="16" t="s">
        <v>223</v>
      </c>
      <c r="E167" s="16" t="s">
        <v>223</v>
      </c>
      <c r="F167" s="16" t="str">
        <f aca="false">REPLACE(E167, 1, 3, "")</f>
        <v>17</v>
      </c>
      <c r="G167" s="17" t="str">
        <f aca="true">IFERROR(VLOOKUP(B167,INDIRECT("'"&amp;F167&amp;"'!D3:D"),1,FALSE()), "Not found")</f>
        <v>Not found</v>
      </c>
      <c r="H167" s="18" t="n">
        <f aca="true">INDIRECT("'"&amp;F167&amp;"'!D1")</f>
        <v>0</v>
      </c>
      <c r="I167" s="18" t="str">
        <f aca="false">IFERROR(__xludf.dummyfunction("REGEXEXTRACT(ADDRESS(ROW(), 24+$H167), ""[A-Z]+"")"),"X")</f>
        <v>X</v>
      </c>
      <c r="J167" s="18" t="str">
        <f aca="false">IFERROR(__xludf.dummyfunction("REGEXEXTRACT(ADDRESS(ROW(), 30+$H167), ""[A-Z]+"")"),"AD")</f>
        <v>AD</v>
      </c>
      <c r="K167" s="18" t="str">
        <f aca="false">IFERROR(__xludf.dummyfunction("REGEXEXTRACT(ADDRESS(ROW(), 36+$H167), ""[A-Z]+"")"),"AJ")</f>
        <v>AJ</v>
      </c>
      <c r="L167" s="18" t="str">
        <f aca="false">IFERROR(__xludf.dummyfunction("REGEXEXTRACT(ADDRESS(ROW(), 42+$H167), ""[A-Z]+"")"),"AP")</f>
        <v>AP</v>
      </c>
      <c r="M167" s="18" t="str">
        <f aca="false">IFERROR(__xludf.dummyfunction("REGEXEXTRACT(ADDRESS(ROW(), 48+$H167), ""[A-Z]+"")"),"AV")</f>
        <v>AV</v>
      </c>
      <c r="N167" s="18" t="str">
        <f aca="false">IFERROR(__xludf.dummyfunction("REGEXEXTRACT(ADDRESS(ROW(), 50+$H167), ""[A-Z]+"")"),"AX")</f>
        <v>AX</v>
      </c>
      <c r="O167" s="18" t="str">
        <f aca="false">IFERROR(__xludf.dummyfunction("REGEXEXTRACT(ADDRESS(ROW(), 51+$H167), ""[A-Z]+"")"),"AY")</f>
        <v>AY</v>
      </c>
      <c r="P167" s="18" t="str">
        <f aca="false">IFERROR(__xludf.dummyfunction("REGEXEXTRACT(ADDRESS(ROW(), 54+$H167), ""[A-Z]+"")"),"BB")</f>
        <v>BB</v>
      </c>
      <c r="Q167" s="18" t="str">
        <f aca="false">IFERROR(__xludf.dummyfunction("REGEXEXTRACT(ADDRESS(ROW(), 59+$H167), ""[A-Z]+"")"),"BG")</f>
        <v>BG</v>
      </c>
      <c r="R167" s="18" t="str">
        <f aca="false">IFERROR(__xludf.dummyfunction("REGEXEXTRACT(ADDRESS(ROW(), 60+$H167), ""[A-Z]+"")"),"BH")</f>
        <v>BH</v>
      </c>
      <c r="S167" s="18" t="str">
        <f aca="false">IFERROR(__xludf.dummyfunction("REGEXEXTRACT(ADDRESS(ROW(), 62+$H167), ""[A-Z]+"")"),"BJ")</f>
        <v>BJ</v>
      </c>
      <c r="T167" s="18" t="str">
        <f aca="false">IFERROR(__xludf.dummyfunction("REGEXEXTRACT(ADDRESS(ROW(), 63+$H167), ""[A-Z]+"")"),"BK")</f>
        <v>BK</v>
      </c>
      <c r="U167" s="19" t="n">
        <f aca="false">IFERROR(__xludf.dummyfunction("IFERROR(QUERY(INDIRECT(""'""&amp;F167&amp;""'!C3:""&amp;T167&amp;""""), ""SELECT ""&amp;I167&amp;"", ""&amp;J167&amp;"", ""&amp;K167&amp;"", ""&amp;L167&amp;"", ""&amp;M167&amp;"", ""&amp;N167&amp;"", ""&amp;O167&amp;"", ""&amp;P167&amp;"", ""&amp;Q167&amp;"", ""&amp;R167&amp;"", ""&amp;S167&amp;"" WHERE '""&amp;B167&amp;""' = D"", 0), """")"),8)</f>
        <v>8</v>
      </c>
      <c r="V167" s="22" t="n">
        <f aca="false">IFERROR(__xludf.dummyfunction("""COMPUTED_VALUE"""),8.5)</f>
        <v>8.5</v>
      </c>
      <c r="W167" s="22" t="n">
        <f aca="false">IFERROR(__xludf.dummyfunction("""COMPUTED_VALUE"""),8)</f>
        <v>8</v>
      </c>
      <c r="X167" s="22" t="n">
        <f aca="false">IFERROR(__xludf.dummyfunction("""COMPUTED_VALUE"""),7)</f>
        <v>7</v>
      </c>
      <c r="Y167" s="22" t="n">
        <f aca="false">IFERROR(__xludf.dummyfunction("""COMPUTED_VALUE"""),0)</f>
        <v>0</v>
      </c>
      <c r="Z167" s="22"/>
      <c r="AA167" s="22" t="n">
        <f aca="false">IFERROR(__xludf.dummyfunction("""COMPUTED_VALUE"""),2)</f>
        <v>2</v>
      </c>
      <c r="AB167" s="22" t="n">
        <f aca="false">IFERROR(__xludf.dummyfunction("""COMPUTED_VALUE"""),10)</f>
        <v>10</v>
      </c>
      <c r="AC167" s="22" t="n">
        <f aca="false">IFERROR(__xludf.dummyfunction("""COMPUTED_VALUE"""),24)</f>
        <v>24</v>
      </c>
      <c r="AD167" s="23"/>
      <c r="AE167" s="24" t="n">
        <f aca="false">IFERROR(__xludf.dummyfunction("""COMPUTED_VALUE"""),67.5)</f>
        <v>67.5</v>
      </c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</row>
    <row r="168" customFormat="false" ht="18.65" hidden="false" customHeight="false" outlineLevel="0" collapsed="false">
      <c r="A168" s="13" t="n">
        <v>167</v>
      </c>
      <c r="B168" s="14" t="s">
        <v>368</v>
      </c>
      <c r="C168" s="15" t="s">
        <v>369</v>
      </c>
      <c r="D168" s="16" t="s">
        <v>218</v>
      </c>
      <c r="E168" s="16" t="s">
        <v>218</v>
      </c>
      <c r="F168" s="16" t="str">
        <f aca="false">REPLACE(E168, 1, 3, "")</f>
        <v>15</v>
      </c>
      <c r="G168" s="17" t="str">
        <f aca="true">IFERROR(VLOOKUP(B168,INDIRECT("'"&amp;F168&amp;"'!D3:D"),1,FALSE()), "Not found")</f>
        <v>Not found</v>
      </c>
      <c r="H168" s="18" t="n">
        <f aca="true">INDIRECT("'"&amp;F168&amp;"'!D1")</f>
        <v>0</v>
      </c>
      <c r="I168" s="18" t="str">
        <f aca="false">IFERROR(__xludf.dummyfunction("REGEXEXTRACT(ADDRESS(ROW(), 24+$H168), ""[A-Z]+"")"),"X")</f>
        <v>X</v>
      </c>
      <c r="J168" s="18" t="str">
        <f aca="false">IFERROR(__xludf.dummyfunction("REGEXEXTRACT(ADDRESS(ROW(), 30+$H168), ""[A-Z]+"")"),"AD")</f>
        <v>AD</v>
      </c>
      <c r="K168" s="18" t="str">
        <f aca="false">IFERROR(__xludf.dummyfunction("REGEXEXTRACT(ADDRESS(ROW(), 36+$H168), ""[A-Z]+"")"),"AJ")</f>
        <v>AJ</v>
      </c>
      <c r="L168" s="18" t="str">
        <f aca="false">IFERROR(__xludf.dummyfunction("REGEXEXTRACT(ADDRESS(ROW(), 42+$H168), ""[A-Z]+"")"),"AP")</f>
        <v>AP</v>
      </c>
      <c r="M168" s="18" t="str">
        <f aca="false">IFERROR(__xludf.dummyfunction("REGEXEXTRACT(ADDRESS(ROW(), 48+$H168), ""[A-Z]+"")"),"AV")</f>
        <v>AV</v>
      </c>
      <c r="N168" s="18" t="str">
        <f aca="false">IFERROR(__xludf.dummyfunction("REGEXEXTRACT(ADDRESS(ROW(), 50+$H168), ""[A-Z]+"")"),"AX")</f>
        <v>AX</v>
      </c>
      <c r="O168" s="18" t="str">
        <f aca="false">IFERROR(__xludf.dummyfunction("REGEXEXTRACT(ADDRESS(ROW(), 51+$H168), ""[A-Z]+"")"),"AY")</f>
        <v>AY</v>
      </c>
      <c r="P168" s="18" t="str">
        <f aca="false">IFERROR(__xludf.dummyfunction("REGEXEXTRACT(ADDRESS(ROW(), 54+$H168), ""[A-Z]+"")"),"BB")</f>
        <v>BB</v>
      </c>
      <c r="Q168" s="18" t="str">
        <f aca="false">IFERROR(__xludf.dummyfunction("REGEXEXTRACT(ADDRESS(ROW(), 59+$H168), ""[A-Z]+"")"),"BG")</f>
        <v>BG</v>
      </c>
      <c r="R168" s="18" t="str">
        <f aca="false">IFERROR(__xludf.dummyfunction("REGEXEXTRACT(ADDRESS(ROW(), 60+$H168), ""[A-Z]+"")"),"BH")</f>
        <v>BH</v>
      </c>
      <c r="S168" s="18" t="str">
        <f aca="false">IFERROR(__xludf.dummyfunction("REGEXEXTRACT(ADDRESS(ROW(), 62+$H168), ""[A-Z]+"")"),"BJ")</f>
        <v>BJ</v>
      </c>
      <c r="T168" s="18" t="str">
        <f aca="false">IFERROR(__xludf.dummyfunction("REGEXEXTRACT(ADDRESS(ROW(), 63+$H168), ""[A-Z]+"")"),"BK")</f>
        <v>BK</v>
      </c>
      <c r="U168" s="19" t="n">
        <f aca="false">IFERROR(__xludf.dummyfunction("IFERROR(QUERY(INDIRECT(""'""&amp;F168&amp;""'!C3:""&amp;T168&amp;""""), ""SELECT ""&amp;I168&amp;"", ""&amp;J168&amp;"", ""&amp;K168&amp;"", ""&amp;L168&amp;"", ""&amp;M168&amp;"", ""&amp;N168&amp;"", ""&amp;O168&amp;"", ""&amp;P168&amp;"", ""&amp;Q168&amp;"", ""&amp;R168&amp;"", ""&amp;S168&amp;"" WHERE '""&amp;B168&amp;""' = D"", 0), """")"),7.4)</f>
        <v>7.4</v>
      </c>
      <c r="V168" s="22" t="n">
        <f aca="false">IFERROR(__xludf.dummyfunction("""COMPUTED_VALUE"""),8.1)</f>
        <v>8.1</v>
      </c>
      <c r="W168" s="22" t="n">
        <f aca="false">IFERROR(__xludf.dummyfunction("""COMPUTED_VALUE"""),8)</f>
        <v>8</v>
      </c>
      <c r="X168" s="22" t="n">
        <f aca="false">IFERROR(__xludf.dummyfunction("""COMPUTED_VALUE"""),8)</f>
        <v>8</v>
      </c>
      <c r="Y168" s="22" t="n">
        <f aca="false">IFERROR(__xludf.dummyfunction("""COMPUTED_VALUE"""),0)</f>
        <v>0</v>
      </c>
      <c r="Z168" s="22" t="n">
        <f aca="false">IFERROR(__xludf.dummyfunction("""COMPUTED_VALUE"""),0)</f>
        <v>0</v>
      </c>
      <c r="AA168" s="22" t="n">
        <f aca="false">IFERROR(__xludf.dummyfunction("""COMPUTED_VALUE"""),1)</f>
        <v>1</v>
      </c>
      <c r="AB168" s="22" t="n">
        <f aca="false">IFERROR(__xludf.dummyfunction("""COMPUTED_VALUE"""),10)</f>
        <v>10</v>
      </c>
      <c r="AC168" s="22" t="n">
        <f aca="false">IFERROR(__xludf.dummyfunction("""COMPUTED_VALUE"""),0)</f>
        <v>0</v>
      </c>
      <c r="AD168" s="23"/>
      <c r="AE168" s="24" t="n">
        <f aca="false">IFERROR(__xludf.dummyfunction("""COMPUTED_VALUE"""),42.5)</f>
        <v>42.5</v>
      </c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</row>
    <row r="169" customFormat="false" ht="18.65" hidden="false" customHeight="false" outlineLevel="0" collapsed="false">
      <c r="A169" s="13" t="n">
        <v>168</v>
      </c>
      <c r="B169" s="14" t="s">
        <v>370</v>
      </c>
      <c r="C169" s="15" t="s">
        <v>371</v>
      </c>
      <c r="D169" s="16" t="s">
        <v>174</v>
      </c>
      <c r="E169" s="16" t="s">
        <v>174</v>
      </c>
      <c r="F169" s="16" t="str">
        <f aca="false">REPLACE(E169, 1, 3, "")</f>
        <v>08</v>
      </c>
      <c r="G169" s="17" t="str">
        <f aca="true">IFERROR(VLOOKUP(B169,INDIRECT("'"&amp;F169&amp;"'!D3:D"),1,FALSE()), "Not found")</f>
        <v>Not found</v>
      </c>
      <c r="H169" s="18" t="n">
        <f aca="true">INDIRECT("'"&amp;F169&amp;"'!D1")</f>
        <v>0</v>
      </c>
      <c r="I169" s="18" t="str">
        <f aca="false">IFERROR(__xludf.dummyfunction("REGEXEXTRACT(ADDRESS(ROW(), 24+$H169), ""[A-Z]+"")"),"X")</f>
        <v>X</v>
      </c>
      <c r="J169" s="18" t="str">
        <f aca="false">IFERROR(__xludf.dummyfunction("REGEXEXTRACT(ADDRESS(ROW(), 30+$H169), ""[A-Z]+"")"),"AD")</f>
        <v>AD</v>
      </c>
      <c r="K169" s="18" t="str">
        <f aca="false">IFERROR(__xludf.dummyfunction("REGEXEXTRACT(ADDRESS(ROW(), 36+$H169), ""[A-Z]+"")"),"AJ")</f>
        <v>AJ</v>
      </c>
      <c r="L169" s="18" t="str">
        <f aca="false">IFERROR(__xludf.dummyfunction("REGEXEXTRACT(ADDRESS(ROW(), 42+$H169), ""[A-Z]+"")"),"AP")</f>
        <v>AP</v>
      </c>
      <c r="M169" s="18" t="str">
        <f aca="false">IFERROR(__xludf.dummyfunction("REGEXEXTRACT(ADDRESS(ROW(), 48+$H169), ""[A-Z]+"")"),"AV")</f>
        <v>AV</v>
      </c>
      <c r="N169" s="18" t="str">
        <f aca="false">IFERROR(__xludf.dummyfunction("REGEXEXTRACT(ADDRESS(ROW(), 50+$H169), ""[A-Z]+"")"),"AX")</f>
        <v>AX</v>
      </c>
      <c r="O169" s="18" t="str">
        <f aca="false">IFERROR(__xludf.dummyfunction("REGEXEXTRACT(ADDRESS(ROW(), 51+$H169), ""[A-Z]+"")"),"AY")</f>
        <v>AY</v>
      </c>
      <c r="P169" s="18" t="str">
        <f aca="false">IFERROR(__xludf.dummyfunction("REGEXEXTRACT(ADDRESS(ROW(), 54+$H169), ""[A-Z]+"")"),"BB")</f>
        <v>BB</v>
      </c>
      <c r="Q169" s="18" t="str">
        <f aca="false">IFERROR(__xludf.dummyfunction("REGEXEXTRACT(ADDRESS(ROW(), 59+$H169), ""[A-Z]+"")"),"BG")</f>
        <v>BG</v>
      </c>
      <c r="R169" s="18" t="str">
        <f aca="false">IFERROR(__xludf.dummyfunction("REGEXEXTRACT(ADDRESS(ROW(), 60+$H169), ""[A-Z]+"")"),"BH")</f>
        <v>BH</v>
      </c>
      <c r="S169" s="18" t="str">
        <f aca="false">IFERROR(__xludf.dummyfunction("REGEXEXTRACT(ADDRESS(ROW(), 62+$H169), ""[A-Z]+"")"),"BJ")</f>
        <v>BJ</v>
      </c>
      <c r="T169" s="18" t="str">
        <f aca="false">IFERROR(__xludf.dummyfunction("REGEXEXTRACT(ADDRESS(ROW(), 63+$H169), ""[A-Z]+"")"),"BK")</f>
        <v>BK</v>
      </c>
      <c r="U169" s="19" t="n">
        <f aca="false">IFERROR(__xludf.dummyfunction("IFERROR(QUERY(INDIRECT(""'""&amp;F169&amp;""'!C3:""&amp;T169&amp;""""), ""SELECT ""&amp;I169&amp;"", ""&amp;J169&amp;"", ""&amp;K169&amp;"", ""&amp;L169&amp;"", ""&amp;M169&amp;"", ""&amp;N169&amp;"", ""&amp;O169&amp;"", ""&amp;P169&amp;"", ""&amp;Q169&amp;"", ""&amp;R169&amp;"", ""&amp;S169&amp;"" WHERE '""&amp;B169&amp;""' = D"", 0), """")"),10)</f>
        <v>10</v>
      </c>
      <c r="V169" s="22" t="n">
        <f aca="false">IFERROR(__xludf.dummyfunction("""COMPUTED_VALUE"""),10)</f>
        <v>10</v>
      </c>
      <c r="W169" s="22" t="n">
        <f aca="false">IFERROR(__xludf.dummyfunction("""COMPUTED_VALUE"""),9)</f>
        <v>9</v>
      </c>
      <c r="X169" s="22" t="n">
        <f aca="false">IFERROR(__xludf.dummyfunction("""COMPUTED_VALUE"""),10)</f>
        <v>10</v>
      </c>
      <c r="Y169" s="22" t="n">
        <f aca="false">IFERROR(__xludf.dummyfunction("""COMPUTED_VALUE"""),0)</f>
        <v>0</v>
      </c>
      <c r="Z169" s="22" t="n">
        <f aca="false">IFERROR(__xludf.dummyfunction("""COMPUTED_VALUE"""),1)</f>
        <v>1</v>
      </c>
      <c r="AA169" s="22" t="n">
        <f aca="false">IFERROR(__xludf.dummyfunction("""COMPUTED_VALUE"""),0)</f>
        <v>0</v>
      </c>
      <c r="AB169" s="22" t="n">
        <f aca="false">IFERROR(__xludf.dummyfunction("""COMPUTED_VALUE"""),10)</f>
        <v>10</v>
      </c>
      <c r="AC169" s="22" t="n">
        <f aca="false">IFERROR(__xludf.dummyfunction("""COMPUTED_VALUE"""),27)</f>
        <v>27</v>
      </c>
      <c r="AD169" s="23"/>
      <c r="AE169" s="24" t="n">
        <f aca="false">IFERROR(__xludf.dummyfunction("""COMPUTED_VALUE"""),77)</f>
        <v>77</v>
      </c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</row>
    <row r="170" customFormat="false" ht="18.65" hidden="false" customHeight="false" outlineLevel="0" collapsed="false">
      <c r="A170" s="13" t="n">
        <v>169</v>
      </c>
      <c r="B170" s="14" t="s">
        <v>372</v>
      </c>
      <c r="C170" s="15" t="s">
        <v>373</v>
      </c>
      <c r="D170" s="16" t="s">
        <v>232</v>
      </c>
      <c r="E170" s="16" t="s">
        <v>232</v>
      </c>
      <c r="F170" s="16" t="str">
        <f aca="false">REPLACE(E170, 1, 3, "")</f>
        <v>09</v>
      </c>
      <c r="G170" s="17" t="str">
        <f aca="true">IFERROR(VLOOKUP(B170,INDIRECT("'"&amp;F170&amp;"'!D3:D"),1,FALSE()), "Not found")</f>
        <v>Not found</v>
      </c>
      <c r="H170" s="18" t="n">
        <f aca="true">INDIRECT("'"&amp;F170&amp;"'!D1")</f>
        <v>0</v>
      </c>
      <c r="I170" s="18" t="str">
        <f aca="false">IFERROR(__xludf.dummyfunction("REGEXEXTRACT(ADDRESS(ROW(), 24+$H170), ""[A-Z]+"")"),"X")</f>
        <v>X</v>
      </c>
      <c r="J170" s="18" t="str">
        <f aca="false">IFERROR(__xludf.dummyfunction("REGEXEXTRACT(ADDRESS(ROW(), 30+$H170), ""[A-Z]+"")"),"AD")</f>
        <v>AD</v>
      </c>
      <c r="K170" s="18" t="str">
        <f aca="false">IFERROR(__xludf.dummyfunction("REGEXEXTRACT(ADDRESS(ROW(), 36+$H170), ""[A-Z]+"")"),"AJ")</f>
        <v>AJ</v>
      </c>
      <c r="L170" s="18" t="str">
        <f aca="false">IFERROR(__xludf.dummyfunction("REGEXEXTRACT(ADDRESS(ROW(), 42+$H170), ""[A-Z]+"")"),"AP")</f>
        <v>AP</v>
      </c>
      <c r="M170" s="18" t="str">
        <f aca="false">IFERROR(__xludf.dummyfunction("REGEXEXTRACT(ADDRESS(ROW(), 48+$H170), ""[A-Z]+"")"),"AV")</f>
        <v>AV</v>
      </c>
      <c r="N170" s="18" t="str">
        <f aca="false">IFERROR(__xludf.dummyfunction("REGEXEXTRACT(ADDRESS(ROW(), 50+$H170), ""[A-Z]+"")"),"AX")</f>
        <v>AX</v>
      </c>
      <c r="O170" s="18" t="str">
        <f aca="false">IFERROR(__xludf.dummyfunction("REGEXEXTRACT(ADDRESS(ROW(), 51+$H170), ""[A-Z]+"")"),"AY")</f>
        <v>AY</v>
      </c>
      <c r="P170" s="18" t="str">
        <f aca="false">IFERROR(__xludf.dummyfunction("REGEXEXTRACT(ADDRESS(ROW(), 54+$H170), ""[A-Z]+"")"),"BB")</f>
        <v>BB</v>
      </c>
      <c r="Q170" s="18" t="str">
        <f aca="false">IFERROR(__xludf.dummyfunction("REGEXEXTRACT(ADDRESS(ROW(), 59+$H170), ""[A-Z]+"")"),"BG")</f>
        <v>BG</v>
      </c>
      <c r="R170" s="18" t="str">
        <f aca="false">IFERROR(__xludf.dummyfunction("REGEXEXTRACT(ADDRESS(ROW(), 60+$H170), ""[A-Z]+"")"),"BH")</f>
        <v>BH</v>
      </c>
      <c r="S170" s="18" t="str">
        <f aca="false">IFERROR(__xludf.dummyfunction("REGEXEXTRACT(ADDRESS(ROW(), 62+$H170), ""[A-Z]+"")"),"BJ")</f>
        <v>BJ</v>
      </c>
      <c r="T170" s="18" t="str">
        <f aca="false">IFERROR(__xludf.dummyfunction("REGEXEXTRACT(ADDRESS(ROW(), 63+$H170), ""[A-Z]+"")"),"BK")</f>
        <v>BK</v>
      </c>
      <c r="U170" s="19" t="n">
        <f aca="false">IFERROR(__xludf.dummyfunction("IFERROR(QUERY(INDIRECT(""'""&amp;F170&amp;""'!C3:""&amp;T170&amp;""""), ""SELECT ""&amp;I170&amp;"", ""&amp;J170&amp;"", ""&amp;K170&amp;"", ""&amp;L170&amp;"", ""&amp;M170&amp;"", ""&amp;N170&amp;"", ""&amp;O170&amp;"", ""&amp;P170&amp;"", ""&amp;Q170&amp;"", ""&amp;R170&amp;"", ""&amp;S170&amp;"" WHERE '""&amp;B170&amp;""' = D"", 0), """")"),10)</f>
        <v>10</v>
      </c>
      <c r="V170" s="22" t="n">
        <f aca="false">IFERROR(__xludf.dummyfunction("""COMPUTED_VALUE"""),10)</f>
        <v>10</v>
      </c>
      <c r="W170" s="22" t="n">
        <f aca="false">IFERROR(__xludf.dummyfunction("""COMPUTED_VALUE"""),8.5)</f>
        <v>8.5</v>
      </c>
      <c r="X170" s="22" t="n">
        <f aca="false">IFERROR(__xludf.dummyfunction("""COMPUTED_VALUE"""),10)</f>
        <v>10</v>
      </c>
      <c r="Y170" s="22" t="n">
        <f aca="false">IFERROR(__xludf.dummyfunction("""COMPUTED_VALUE"""),10)</f>
        <v>10</v>
      </c>
      <c r="Z170" s="22" t="n">
        <f aca="false">IFERROR(__xludf.dummyfunction("""COMPUTED_VALUE"""),3)</f>
        <v>3</v>
      </c>
      <c r="AA170" s="22" t="n">
        <f aca="false">IFERROR(__xludf.dummyfunction("""COMPUTED_VALUE"""),1)</f>
        <v>1</v>
      </c>
      <c r="AB170" s="22" t="n">
        <f aca="false">IFERROR(__xludf.dummyfunction("""COMPUTED_VALUE"""),8)</f>
        <v>8</v>
      </c>
      <c r="AC170" s="22" t="n">
        <f aca="false">IFERROR(__xludf.dummyfunction("""COMPUTED_VALUE"""),25)</f>
        <v>25</v>
      </c>
      <c r="AD170" s="23"/>
      <c r="AE170" s="24" t="n">
        <f aca="false">IFERROR(__xludf.dummyfunction("""COMPUTED_VALUE"""),85.5)</f>
        <v>85.5</v>
      </c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</row>
    <row r="171" customFormat="false" ht="18.65" hidden="false" customHeight="false" outlineLevel="0" collapsed="false">
      <c r="A171" s="13" t="n">
        <v>170</v>
      </c>
      <c r="B171" s="14" t="s">
        <v>374</v>
      </c>
      <c r="C171" s="15" t="s">
        <v>375</v>
      </c>
      <c r="D171" s="16" t="s">
        <v>183</v>
      </c>
      <c r="E171" s="16" t="s">
        <v>183</v>
      </c>
      <c r="F171" s="16" t="str">
        <f aca="false">REPLACE(E171, 1, 3, "")</f>
        <v>14</v>
      </c>
      <c r="G171" s="17" t="str">
        <f aca="true">IFERROR(VLOOKUP(B171,INDIRECT("'"&amp;F171&amp;"'!D3:D"),1,FALSE()), "Not found")</f>
        <v>Not found</v>
      </c>
      <c r="H171" s="18" t="n">
        <f aca="true">INDIRECT("'"&amp;F171&amp;"'!D1")</f>
        <v>0</v>
      </c>
      <c r="I171" s="18" t="str">
        <f aca="false">IFERROR(__xludf.dummyfunction("REGEXEXTRACT(ADDRESS(ROW(), 24+$H171), ""[A-Z]+"")"),"X")</f>
        <v>X</v>
      </c>
      <c r="J171" s="18" t="str">
        <f aca="false">IFERROR(__xludf.dummyfunction("REGEXEXTRACT(ADDRESS(ROW(), 30+$H171), ""[A-Z]+"")"),"AD")</f>
        <v>AD</v>
      </c>
      <c r="K171" s="18" t="str">
        <f aca="false">IFERROR(__xludf.dummyfunction("REGEXEXTRACT(ADDRESS(ROW(), 36+$H171), ""[A-Z]+"")"),"AJ")</f>
        <v>AJ</v>
      </c>
      <c r="L171" s="18" t="str">
        <f aca="false">IFERROR(__xludf.dummyfunction("REGEXEXTRACT(ADDRESS(ROW(), 42+$H171), ""[A-Z]+"")"),"AP")</f>
        <v>AP</v>
      </c>
      <c r="M171" s="18" t="str">
        <f aca="false">IFERROR(__xludf.dummyfunction("REGEXEXTRACT(ADDRESS(ROW(), 48+$H171), ""[A-Z]+"")"),"AV")</f>
        <v>AV</v>
      </c>
      <c r="N171" s="18" t="str">
        <f aca="false">IFERROR(__xludf.dummyfunction("REGEXEXTRACT(ADDRESS(ROW(), 50+$H171), ""[A-Z]+"")"),"AX")</f>
        <v>AX</v>
      </c>
      <c r="O171" s="18" t="str">
        <f aca="false">IFERROR(__xludf.dummyfunction("REGEXEXTRACT(ADDRESS(ROW(), 51+$H171), ""[A-Z]+"")"),"AY")</f>
        <v>AY</v>
      </c>
      <c r="P171" s="18" t="str">
        <f aca="false">IFERROR(__xludf.dummyfunction("REGEXEXTRACT(ADDRESS(ROW(), 54+$H171), ""[A-Z]+"")"),"BB")</f>
        <v>BB</v>
      </c>
      <c r="Q171" s="18" t="str">
        <f aca="false">IFERROR(__xludf.dummyfunction("REGEXEXTRACT(ADDRESS(ROW(), 59+$H171), ""[A-Z]+"")"),"BG")</f>
        <v>BG</v>
      </c>
      <c r="R171" s="18" t="str">
        <f aca="false">IFERROR(__xludf.dummyfunction("REGEXEXTRACT(ADDRESS(ROW(), 60+$H171), ""[A-Z]+"")"),"BH")</f>
        <v>BH</v>
      </c>
      <c r="S171" s="18" t="str">
        <f aca="false">IFERROR(__xludf.dummyfunction("REGEXEXTRACT(ADDRESS(ROW(), 62+$H171), ""[A-Z]+"")"),"BJ")</f>
        <v>BJ</v>
      </c>
      <c r="T171" s="18" t="str">
        <f aca="false">IFERROR(__xludf.dummyfunction("REGEXEXTRACT(ADDRESS(ROW(), 63+$H171), ""[A-Z]+"")"),"BK")</f>
        <v>BK</v>
      </c>
      <c r="U171" s="19" t="n">
        <f aca="false">IFERROR(__xludf.dummyfunction("IFERROR(QUERY(INDIRECT(""'""&amp;F171&amp;""'!C3:""&amp;T171&amp;""""), ""SELECT ""&amp;I171&amp;"", ""&amp;J171&amp;"", ""&amp;K171&amp;"", ""&amp;L171&amp;"", ""&amp;M171&amp;"", ""&amp;N171&amp;"", ""&amp;O171&amp;"", ""&amp;P171&amp;"", ""&amp;Q171&amp;"", ""&amp;R171&amp;"", ""&amp;S171&amp;"" WHERE '""&amp;B171&amp;""' = D"", 0), """")"),7)</f>
        <v>7</v>
      </c>
      <c r="V171" s="22" t="n">
        <f aca="false">IFERROR(__xludf.dummyfunction("""COMPUTED_VALUE"""),6)</f>
        <v>6</v>
      </c>
      <c r="W171" s="22" t="n">
        <f aca="false">IFERROR(__xludf.dummyfunction("""COMPUTED_VALUE"""),6)</f>
        <v>6</v>
      </c>
      <c r="X171" s="22"/>
      <c r="Y171" s="22" t="n">
        <f aca="false">IFERROR(__xludf.dummyfunction("""COMPUTED_VALUE"""),0)</f>
        <v>0</v>
      </c>
      <c r="Z171" s="22" t="n">
        <f aca="false">IFERROR(__xludf.dummyfunction("""COMPUTED_VALUE"""),0)</f>
        <v>0</v>
      </c>
      <c r="AA171" s="22" t="n">
        <f aca="false">IFERROR(__xludf.dummyfunction("""COMPUTED_VALUE"""),1)</f>
        <v>1</v>
      </c>
      <c r="AB171" s="22" t="n">
        <f aca="false">IFERROR(__xludf.dummyfunction("""COMPUTED_VALUE"""),7)</f>
        <v>7</v>
      </c>
      <c r="AC171" s="22"/>
      <c r="AD171" s="23"/>
      <c r="AE171" s="24" t="n">
        <f aca="false">IFERROR(__xludf.dummyfunction("""COMPUTED_VALUE"""),27)</f>
        <v>27</v>
      </c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</row>
    <row r="172" customFormat="false" ht="18.65" hidden="false" customHeight="false" outlineLevel="0" collapsed="false">
      <c r="A172" s="13" t="n">
        <v>171</v>
      </c>
      <c r="B172" s="14" t="s">
        <v>376</v>
      </c>
      <c r="C172" s="15" t="s">
        <v>377</v>
      </c>
      <c r="D172" s="16" t="s">
        <v>194</v>
      </c>
      <c r="E172" s="16" t="s">
        <v>194</v>
      </c>
      <c r="F172" s="16" t="str">
        <f aca="false">REPLACE(E172, 1, 3, "")</f>
        <v>10</v>
      </c>
      <c r="G172" s="17" t="str">
        <f aca="true">IFERROR(VLOOKUP(B172,INDIRECT("'"&amp;F172&amp;"'!D3:D"),1,FALSE()), "Not found")</f>
        <v>Not found</v>
      </c>
      <c r="H172" s="18" t="n">
        <f aca="true">INDIRECT("'"&amp;F172&amp;"'!D1")</f>
        <v>0</v>
      </c>
      <c r="I172" s="18" t="str">
        <f aca="false">IFERROR(__xludf.dummyfunction("REGEXEXTRACT(ADDRESS(ROW(), 24+$H172), ""[A-Z]+"")"),"X")</f>
        <v>X</v>
      </c>
      <c r="J172" s="18" t="str">
        <f aca="false">IFERROR(__xludf.dummyfunction("REGEXEXTRACT(ADDRESS(ROW(), 30+$H172), ""[A-Z]+"")"),"AD")</f>
        <v>AD</v>
      </c>
      <c r="K172" s="18" t="str">
        <f aca="false">IFERROR(__xludf.dummyfunction("REGEXEXTRACT(ADDRESS(ROW(), 36+$H172), ""[A-Z]+"")"),"AJ")</f>
        <v>AJ</v>
      </c>
      <c r="L172" s="18" t="str">
        <f aca="false">IFERROR(__xludf.dummyfunction("REGEXEXTRACT(ADDRESS(ROW(), 42+$H172), ""[A-Z]+"")"),"AP")</f>
        <v>AP</v>
      </c>
      <c r="M172" s="18" t="str">
        <f aca="false">IFERROR(__xludf.dummyfunction("REGEXEXTRACT(ADDRESS(ROW(), 48+$H172), ""[A-Z]+"")"),"AV")</f>
        <v>AV</v>
      </c>
      <c r="N172" s="18" t="str">
        <f aca="false">IFERROR(__xludf.dummyfunction("REGEXEXTRACT(ADDRESS(ROW(), 50+$H172), ""[A-Z]+"")"),"AX")</f>
        <v>AX</v>
      </c>
      <c r="O172" s="18" t="str">
        <f aca="false">IFERROR(__xludf.dummyfunction("REGEXEXTRACT(ADDRESS(ROW(), 51+$H172), ""[A-Z]+"")"),"AY")</f>
        <v>AY</v>
      </c>
      <c r="P172" s="18" t="str">
        <f aca="false">IFERROR(__xludf.dummyfunction("REGEXEXTRACT(ADDRESS(ROW(), 54+$H172), ""[A-Z]+"")"),"BB")</f>
        <v>BB</v>
      </c>
      <c r="Q172" s="18" t="str">
        <f aca="false">IFERROR(__xludf.dummyfunction("REGEXEXTRACT(ADDRESS(ROW(), 59+$H172), ""[A-Z]+"")"),"BG")</f>
        <v>BG</v>
      </c>
      <c r="R172" s="18" t="str">
        <f aca="false">IFERROR(__xludf.dummyfunction("REGEXEXTRACT(ADDRESS(ROW(), 60+$H172), ""[A-Z]+"")"),"BH")</f>
        <v>BH</v>
      </c>
      <c r="S172" s="18" t="str">
        <f aca="false">IFERROR(__xludf.dummyfunction("REGEXEXTRACT(ADDRESS(ROW(), 62+$H172), ""[A-Z]+"")"),"BJ")</f>
        <v>BJ</v>
      </c>
      <c r="T172" s="18" t="str">
        <f aca="false">IFERROR(__xludf.dummyfunction("REGEXEXTRACT(ADDRESS(ROW(), 63+$H172), ""[A-Z]+"")"),"BK")</f>
        <v>BK</v>
      </c>
      <c r="U172" s="19" t="n">
        <f aca="false">IFERROR(__xludf.dummyfunction("IFERROR(QUERY(INDIRECT(""'""&amp;F172&amp;""'!C3:""&amp;T172&amp;""""), ""SELECT ""&amp;I172&amp;"", ""&amp;J172&amp;"", ""&amp;K172&amp;"", ""&amp;L172&amp;"", ""&amp;M172&amp;"", ""&amp;N172&amp;"", ""&amp;O172&amp;"", ""&amp;P172&amp;"", ""&amp;Q172&amp;"", ""&amp;R172&amp;"", ""&amp;S172&amp;"" WHERE '""&amp;B172&amp;""' = D"", 0), """")"),8.5)</f>
        <v>8.5</v>
      </c>
      <c r="V172" s="22" t="n">
        <f aca="false">IFERROR(__xludf.dummyfunction("""COMPUTED_VALUE"""),9.5)</f>
        <v>9.5</v>
      </c>
      <c r="W172" s="22" t="n">
        <f aca="false">IFERROR(__xludf.dummyfunction("""COMPUTED_VALUE"""),8.5)</f>
        <v>8.5</v>
      </c>
      <c r="X172" s="22" t="n">
        <f aca="false">IFERROR(__xludf.dummyfunction("""COMPUTED_VALUE"""),9)</f>
        <v>9</v>
      </c>
      <c r="Y172" s="22" t="n">
        <f aca="false">IFERROR(__xludf.dummyfunction("""COMPUTED_VALUE"""),9)</f>
        <v>9</v>
      </c>
      <c r="Z172" s="22" t="n">
        <f aca="false">IFERROR(__xludf.dummyfunction("""COMPUTED_VALUE"""),3)</f>
        <v>3</v>
      </c>
      <c r="AA172" s="22" t="n">
        <f aca="false">IFERROR(__xludf.dummyfunction("""COMPUTED_VALUE"""),1)</f>
        <v>1</v>
      </c>
      <c r="AB172" s="22" t="n">
        <f aca="false">IFERROR(__xludf.dummyfunction("""COMPUTED_VALUE"""),10)</f>
        <v>10</v>
      </c>
      <c r="AC172" s="22" t="n">
        <f aca="false">IFERROR(__xludf.dummyfunction("""COMPUTED_VALUE"""),25)</f>
        <v>25</v>
      </c>
      <c r="AD172" s="23"/>
      <c r="AE172" s="24" t="n">
        <f aca="false">IFERROR(__xludf.dummyfunction("""COMPUTED_VALUE"""),83.5)</f>
        <v>83.5</v>
      </c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</row>
    <row r="173" customFormat="false" ht="18.65" hidden="false" customHeight="false" outlineLevel="0" collapsed="false">
      <c r="A173" s="13" t="n">
        <v>172</v>
      </c>
      <c r="B173" s="14" t="s">
        <v>378</v>
      </c>
      <c r="C173" s="15" t="s">
        <v>379</v>
      </c>
      <c r="D173" s="16" t="s">
        <v>232</v>
      </c>
      <c r="E173" s="16" t="s">
        <v>232</v>
      </c>
      <c r="F173" s="16" t="str">
        <f aca="false">REPLACE(E173, 1, 3, "")</f>
        <v>09</v>
      </c>
      <c r="G173" s="17" t="str">
        <f aca="true">IFERROR(VLOOKUP(B173,INDIRECT("'"&amp;F173&amp;"'!D3:D"),1,FALSE()), "Not found")</f>
        <v>Not found</v>
      </c>
      <c r="H173" s="18" t="n">
        <f aca="true">INDIRECT("'"&amp;F173&amp;"'!D1")</f>
        <v>0</v>
      </c>
      <c r="I173" s="18" t="str">
        <f aca="false">IFERROR(__xludf.dummyfunction("REGEXEXTRACT(ADDRESS(ROW(), 24+$H173), ""[A-Z]+"")"),"X")</f>
        <v>X</v>
      </c>
      <c r="J173" s="18" t="str">
        <f aca="false">IFERROR(__xludf.dummyfunction("REGEXEXTRACT(ADDRESS(ROW(), 30+$H173), ""[A-Z]+"")"),"AD")</f>
        <v>AD</v>
      </c>
      <c r="K173" s="18" t="str">
        <f aca="false">IFERROR(__xludf.dummyfunction("REGEXEXTRACT(ADDRESS(ROW(), 36+$H173), ""[A-Z]+"")"),"AJ")</f>
        <v>AJ</v>
      </c>
      <c r="L173" s="18" t="str">
        <f aca="false">IFERROR(__xludf.dummyfunction("REGEXEXTRACT(ADDRESS(ROW(), 42+$H173), ""[A-Z]+"")"),"AP")</f>
        <v>AP</v>
      </c>
      <c r="M173" s="18" t="str">
        <f aca="false">IFERROR(__xludf.dummyfunction("REGEXEXTRACT(ADDRESS(ROW(), 48+$H173), ""[A-Z]+"")"),"AV")</f>
        <v>AV</v>
      </c>
      <c r="N173" s="18" t="str">
        <f aca="false">IFERROR(__xludf.dummyfunction("REGEXEXTRACT(ADDRESS(ROW(), 50+$H173), ""[A-Z]+"")"),"AX")</f>
        <v>AX</v>
      </c>
      <c r="O173" s="18" t="str">
        <f aca="false">IFERROR(__xludf.dummyfunction("REGEXEXTRACT(ADDRESS(ROW(), 51+$H173), ""[A-Z]+"")"),"AY")</f>
        <v>AY</v>
      </c>
      <c r="P173" s="18" t="str">
        <f aca="false">IFERROR(__xludf.dummyfunction("REGEXEXTRACT(ADDRESS(ROW(), 54+$H173), ""[A-Z]+"")"),"BB")</f>
        <v>BB</v>
      </c>
      <c r="Q173" s="18" t="str">
        <f aca="false">IFERROR(__xludf.dummyfunction("REGEXEXTRACT(ADDRESS(ROW(), 59+$H173), ""[A-Z]+"")"),"BG")</f>
        <v>BG</v>
      </c>
      <c r="R173" s="18" t="str">
        <f aca="false">IFERROR(__xludf.dummyfunction("REGEXEXTRACT(ADDRESS(ROW(), 60+$H173), ""[A-Z]+"")"),"BH")</f>
        <v>BH</v>
      </c>
      <c r="S173" s="18" t="str">
        <f aca="false">IFERROR(__xludf.dummyfunction("REGEXEXTRACT(ADDRESS(ROW(), 62+$H173), ""[A-Z]+"")"),"BJ")</f>
        <v>BJ</v>
      </c>
      <c r="T173" s="18" t="str">
        <f aca="false">IFERROR(__xludf.dummyfunction("REGEXEXTRACT(ADDRESS(ROW(), 63+$H173), ""[A-Z]+"")"),"BK")</f>
        <v>BK</v>
      </c>
      <c r="U173" s="19" t="n">
        <f aca="false">IFERROR(__xludf.dummyfunction("IFERROR(QUERY(INDIRECT(""'""&amp;F173&amp;""'!C3:""&amp;T173&amp;""""), ""SELECT ""&amp;I173&amp;"", ""&amp;J173&amp;"", ""&amp;K173&amp;"", ""&amp;L173&amp;"", ""&amp;M173&amp;"", ""&amp;N173&amp;"", ""&amp;O173&amp;"", ""&amp;P173&amp;"", ""&amp;Q173&amp;"", ""&amp;R173&amp;"", ""&amp;S173&amp;"" WHERE '""&amp;B173&amp;""' = D"", 0), """")"),8)</f>
        <v>8</v>
      </c>
      <c r="V173" s="22" t="n">
        <f aca="false">IFERROR(__xludf.dummyfunction("""COMPUTED_VALUE"""),8)</f>
        <v>8</v>
      </c>
      <c r="W173" s="22" t="n">
        <f aca="false">IFERROR(__xludf.dummyfunction("""COMPUTED_VALUE"""),7)</f>
        <v>7</v>
      </c>
      <c r="X173" s="22" t="n">
        <f aca="false">IFERROR(__xludf.dummyfunction("""COMPUTED_VALUE"""),9)</f>
        <v>9</v>
      </c>
      <c r="Y173" s="22" t="n">
        <f aca="false">IFERROR(__xludf.dummyfunction("""COMPUTED_VALUE"""),8)</f>
        <v>8</v>
      </c>
      <c r="Z173" s="22" t="n">
        <f aca="false">IFERROR(__xludf.dummyfunction("""COMPUTED_VALUE"""),0)</f>
        <v>0</v>
      </c>
      <c r="AA173" s="22" t="n">
        <f aca="false">IFERROR(__xludf.dummyfunction("""COMPUTED_VALUE"""),1)</f>
        <v>1</v>
      </c>
      <c r="AB173" s="22" t="n">
        <f aca="false">IFERROR(__xludf.dummyfunction("""COMPUTED_VALUE"""),8)</f>
        <v>8</v>
      </c>
      <c r="AC173" s="22" t="n">
        <f aca="false">IFERROR(__xludf.dummyfunction("""COMPUTED_VALUE"""),29)</f>
        <v>29</v>
      </c>
      <c r="AD173" s="23"/>
      <c r="AE173" s="24" t="n">
        <f aca="false">IFERROR(__xludf.dummyfunction("""COMPUTED_VALUE"""),78)</f>
        <v>78</v>
      </c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</row>
    <row r="174" customFormat="false" ht="18.65" hidden="false" customHeight="false" outlineLevel="0" collapsed="false">
      <c r="A174" s="13" t="n">
        <v>173</v>
      </c>
      <c r="B174" s="14" t="s">
        <v>380</v>
      </c>
      <c r="C174" s="15" t="s">
        <v>381</v>
      </c>
      <c r="D174" s="16" t="s">
        <v>180</v>
      </c>
      <c r="E174" s="16" t="s">
        <v>180</v>
      </c>
      <c r="F174" s="16" t="str">
        <f aca="false">REPLACE(E174, 1, 3, "")</f>
        <v>11</v>
      </c>
      <c r="G174" s="17" t="str">
        <f aca="true">IFERROR(VLOOKUP(B174,INDIRECT("'"&amp;F174&amp;"'!D3:D"),1,FALSE()), "Not found")</f>
        <v>Not found</v>
      </c>
      <c r="H174" s="18" t="n">
        <f aca="true">INDIRECT("'"&amp;F174&amp;"'!D1")</f>
        <v>0</v>
      </c>
      <c r="I174" s="18" t="str">
        <f aca="false">IFERROR(__xludf.dummyfunction("REGEXEXTRACT(ADDRESS(ROW(), 24+$H174), ""[A-Z]+"")"),"X")</f>
        <v>X</v>
      </c>
      <c r="J174" s="18" t="str">
        <f aca="false">IFERROR(__xludf.dummyfunction("REGEXEXTRACT(ADDRESS(ROW(), 30+$H174), ""[A-Z]+"")"),"AD")</f>
        <v>AD</v>
      </c>
      <c r="K174" s="18" t="str">
        <f aca="false">IFERROR(__xludf.dummyfunction("REGEXEXTRACT(ADDRESS(ROW(), 36+$H174), ""[A-Z]+"")"),"AJ")</f>
        <v>AJ</v>
      </c>
      <c r="L174" s="18" t="str">
        <f aca="false">IFERROR(__xludf.dummyfunction("REGEXEXTRACT(ADDRESS(ROW(), 42+$H174), ""[A-Z]+"")"),"AP")</f>
        <v>AP</v>
      </c>
      <c r="M174" s="18" t="str">
        <f aca="false">IFERROR(__xludf.dummyfunction("REGEXEXTRACT(ADDRESS(ROW(), 48+$H174), ""[A-Z]+"")"),"AV")</f>
        <v>AV</v>
      </c>
      <c r="N174" s="18" t="str">
        <f aca="false">IFERROR(__xludf.dummyfunction("REGEXEXTRACT(ADDRESS(ROW(), 50+$H174), ""[A-Z]+"")"),"AX")</f>
        <v>AX</v>
      </c>
      <c r="O174" s="18" t="str">
        <f aca="false">IFERROR(__xludf.dummyfunction("REGEXEXTRACT(ADDRESS(ROW(), 51+$H174), ""[A-Z]+"")"),"AY")</f>
        <v>AY</v>
      </c>
      <c r="P174" s="18" t="str">
        <f aca="false">IFERROR(__xludf.dummyfunction("REGEXEXTRACT(ADDRESS(ROW(), 54+$H174), ""[A-Z]+"")"),"BB")</f>
        <v>BB</v>
      </c>
      <c r="Q174" s="18" t="str">
        <f aca="false">IFERROR(__xludf.dummyfunction("REGEXEXTRACT(ADDRESS(ROW(), 59+$H174), ""[A-Z]+"")"),"BG")</f>
        <v>BG</v>
      </c>
      <c r="R174" s="18" t="str">
        <f aca="false">IFERROR(__xludf.dummyfunction("REGEXEXTRACT(ADDRESS(ROW(), 60+$H174), ""[A-Z]+"")"),"BH")</f>
        <v>BH</v>
      </c>
      <c r="S174" s="18" t="str">
        <f aca="false">IFERROR(__xludf.dummyfunction("REGEXEXTRACT(ADDRESS(ROW(), 62+$H174), ""[A-Z]+"")"),"BJ")</f>
        <v>BJ</v>
      </c>
      <c r="T174" s="18" t="str">
        <f aca="false">IFERROR(__xludf.dummyfunction("REGEXEXTRACT(ADDRESS(ROW(), 63+$H174), ""[A-Z]+"")"),"BK")</f>
        <v>BK</v>
      </c>
      <c r="U174" s="19" t="str">
        <f aca="false">IFERROR(__xludf.dummyfunction("IFERROR(QUERY(INDIRECT(""'""&amp;F174&amp;""'!C3:""&amp;T174&amp;""""), ""SELECT ""&amp;I174&amp;"", ""&amp;J174&amp;"", ""&amp;K174&amp;"", ""&amp;L174&amp;"", ""&amp;M174&amp;"", ""&amp;N174&amp;"", ""&amp;O174&amp;"", ""&amp;P174&amp;"", ""&amp;Q174&amp;"", ""&amp;R174&amp;"", ""&amp;S174&amp;"" WHERE '""&amp;B174&amp;""' = D"", 0), """")"),"")</f>
        <v/>
      </c>
      <c r="V174" s="22"/>
      <c r="W174" s="22"/>
      <c r="X174" s="22"/>
      <c r="Y174" s="22" t="n">
        <f aca="false">IFERROR(__xludf.dummyfunction("""COMPUTED_VALUE"""),0)</f>
        <v>0</v>
      </c>
      <c r="Z174" s="22"/>
      <c r="AA174" s="22"/>
      <c r="AB174" s="22"/>
      <c r="AC174" s="22"/>
      <c r="AD174" s="23"/>
      <c r="AE174" s="24" t="n">
        <f aca="false">IFERROR(__xludf.dummyfunction("""COMPUTED_VALUE"""),0)</f>
        <v>0</v>
      </c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</row>
    <row r="175" customFormat="false" ht="18.65" hidden="false" customHeight="false" outlineLevel="0" collapsed="false">
      <c r="A175" s="13" t="n">
        <v>174</v>
      </c>
      <c r="B175" s="14" t="s">
        <v>382</v>
      </c>
      <c r="C175" s="15" t="s">
        <v>383</v>
      </c>
      <c r="D175" s="16" t="s">
        <v>191</v>
      </c>
      <c r="E175" s="16" t="s">
        <v>191</v>
      </c>
      <c r="F175" s="16" t="str">
        <f aca="false">REPLACE(E175, 1, 3, "")</f>
        <v>12</v>
      </c>
      <c r="G175" s="17" t="str">
        <f aca="true">IFERROR(VLOOKUP(B175,INDIRECT("'"&amp;F175&amp;"'!D3:D"),1,FALSE()), "Not found")</f>
        <v>Not found</v>
      </c>
      <c r="H175" s="18" t="n">
        <f aca="true">INDIRECT("'"&amp;F175&amp;"'!D1")</f>
        <v>0</v>
      </c>
      <c r="I175" s="18" t="str">
        <f aca="false">IFERROR(__xludf.dummyfunction("REGEXEXTRACT(ADDRESS(ROW(), 24+$H175), ""[A-Z]+"")"),"X")</f>
        <v>X</v>
      </c>
      <c r="J175" s="18" t="str">
        <f aca="false">IFERROR(__xludf.dummyfunction("REGEXEXTRACT(ADDRESS(ROW(), 30+$H175), ""[A-Z]+"")"),"AD")</f>
        <v>AD</v>
      </c>
      <c r="K175" s="18" t="str">
        <f aca="false">IFERROR(__xludf.dummyfunction("REGEXEXTRACT(ADDRESS(ROW(), 36+$H175), ""[A-Z]+"")"),"AJ")</f>
        <v>AJ</v>
      </c>
      <c r="L175" s="18" t="str">
        <f aca="false">IFERROR(__xludf.dummyfunction("REGEXEXTRACT(ADDRESS(ROW(), 42+$H175), ""[A-Z]+"")"),"AP")</f>
        <v>AP</v>
      </c>
      <c r="M175" s="18" t="str">
        <f aca="false">IFERROR(__xludf.dummyfunction("REGEXEXTRACT(ADDRESS(ROW(), 48+$H175), ""[A-Z]+"")"),"AV")</f>
        <v>AV</v>
      </c>
      <c r="N175" s="18" t="str">
        <f aca="false">IFERROR(__xludf.dummyfunction("REGEXEXTRACT(ADDRESS(ROW(), 50+$H175), ""[A-Z]+"")"),"AX")</f>
        <v>AX</v>
      </c>
      <c r="O175" s="18" t="str">
        <f aca="false">IFERROR(__xludf.dummyfunction("REGEXEXTRACT(ADDRESS(ROW(), 51+$H175), ""[A-Z]+"")"),"AY")</f>
        <v>AY</v>
      </c>
      <c r="P175" s="18" t="str">
        <f aca="false">IFERROR(__xludf.dummyfunction("REGEXEXTRACT(ADDRESS(ROW(), 54+$H175), ""[A-Z]+"")"),"BB")</f>
        <v>BB</v>
      </c>
      <c r="Q175" s="18" t="str">
        <f aca="false">IFERROR(__xludf.dummyfunction("REGEXEXTRACT(ADDRESS(ROW(), 59+$H175), ""[A-Z]+"")"),"BG")</f>
        <v>BG</v>
      </c>
      <c r="R175" s="18" t="str">
        <f aca="false">IFERROR(__xludf.dummyfunction("REGEXEXTRACT(ADDRESS(ROW(), 60+$H175), ""[A-Z]+"")"),"BH")</f>
        <v>BH</v>
      </c>
      <c r="S175" s="18" t="str">
        <f aca="false">IFERROR(__xludf.dummyfunction("REGEXEXTRACT(ADDRESS(ROW(), 62+$H175), ""[A-Z]+"")"),"BJ")</f>
        <v>BJ</v>
      </c>
      <c r="T175" s="18" t="str">
        <f aca="false">IFERROR(__xludf.dummyfunction("REGEXEXTRACT(ADDRESS(ROW(), 63+$H175), ""[A-Z]+"")"),"BK")</f>
        <v>BK</v>
      </c>
      <c r="U175" s="19" t="n">
        <f aca="false">IFERROR(__xludf.dummyfunction("IFERROR(QUERY(INDIRECT(""'""&amp;F175&amp;""'!C3:""&amp;T175&amp;""""), ""SELECT ""&amp;I175&amp;"", ""&amp;J175&amp;"", ""&amp;K175&amp;"", ""&amp;L175&amp;"", ""&amp;M175&amp;"", ""&amp;N175&amp;"", ""&amp;O175&amp;"", ""&amp;P175&amp;"", ""&amp;Q175&amp;"", ""&amp;R175&amp;"", ""&amp;S175&amp;"" WHERE '""&amp;B175&amp;""' = D"", 0), """")"),10)</f>
        <v>10</v>
      </c>
      <c r="V175" s="22" t="n">
        <f aca="false">IFERROR(__xludf.dummyfunction("""COMPUTED_VALUE"""),10)</f>
        <v>10</v>
      </c>
      <c r="W175" s="22" t="n">
        <f aca="false">IFERROR(__xludf.dummyfunction("""COMPUTED_VALUE"""),9)</f>
        <v>9</v>
      </c>
      <c r="X175" s="22" t="n">
        <f aca="false">IFERROR(__xludf.dummyfunction("""COMPUTED_VALUE"""),8.5)</f>
        <v>8.5</v>
      </c>
      <c r="Y175" s="22" t="n">
        <f aca="false">IFERROR(__xludf.dummyfunction("""COMPUTED_VALUE"""),8.5)</f>
        <v>8.5</v>
      </c>
      <c r="Z175" s="22" t="n">
        <f aca="false">IFERROR(__xludf.dummyfunction("""COMPUTED_VALUE"""),0)</f>
        <v>0</v>
      </c>
      <c r="AA175" s="22" t="n">
        <f aca="false">IFERROR(__xludf.dummyfunction("""COMPUTED_VALUE"""),2)</f>
        <v>2</v>
      </c>
      <c r="AB175" s="22" t="n">
        <f aca="false">IFERROR(__xludf.dummyfunction("""COMPUTED_VALUE"""),6)</f>
        <v>6</v>
      </c>
      <c r="AC175" s="22" t="n">
        <f aca="false">IFERROR(__xludf.dummyfunction("""COMPUTED_VALUE"""),18)</f>
        <v>18</v>
      </c>
      <c r="AD175" s="23"/>
      <c r="AE175" s="24" t="n">
        <f aca="false">IFERROR(__xludf.dummyfunction("""COMPUTED_VALUE"""),72)</f>
        <v>72</v>
      </c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</row>
    <row r="176" customFormat="false" ht="18.65" hidden="false" customHeight="false" outlineLevel="0" collapsed="false">
      <c r="A176" s="13" t="n">
        <v>175</v>
      </c>
      <c r="B176" s="14" t="s">
        <v>384</v>
      </c>
      <c r="C176" s="15" t="s">
        <v>385</v>
      </c>
      <c r="D176" s="16" t="s">
        <v>244</v>
      </c>
      <c r="E176" s="16" t="s">
        <v>244</v>
      </c>
      <c r="F176" s="16" t="str">
        <f aca="false">REPLACE(E176, 1, 3, "")</f>
        <v>13</v>
      </c>
      <c r="G176" s="17" t="str">
        <f aca="true">IFERROR(VLOOKUP(B176,INDIRECT("'"&amp;F176&amp;"'!D3:D"),1,FALSE()), "Not found")</f>
        <v>Not found</v>
      </c>
      <c r="H176" s="18" t="n">
        <f aca="true">INDIRECT("'"&amp;F176&amp;"'!D1")</f>
        <v>0</v>
      </c>
      <c r="I176" s="18" t="str">
        <f aca="false">IFERROR(__xludf.dummyfunction("REGEXEXTRACT(ADDRESS(ROW(), 24+$H176), ""[A-Z]+"")"),"X")</f>
        <v>X</v>
      </c>
      <c r="J176" s="18" t="str">
        <f aca="false">IFERROR(__xludf.dummyfunction("REGEXEXTRACT(ADDRESS(ROW(), 30+$H176), ""[A-Z]+"")"),"AD")</f>
        <v>AD</v>
      </c>
      <c r="K176" s="18" t="str">
        <f aca="false">IFERROR(__xludf.dummyfunction("REGEXEXTRACT(ADDRESS(ROW(), 36+$H176), ""[A-Z]+"")"),"AJ")</f>
        <v>AJ</v>
      </c>
      <c r="L176" s="18" t="str">
        <f aca="false">IFERROR(__xludf.dummyfunction("REGEXEXTRACT(ADDRESS(ROW(), 42+$H176), ""[A-Z]+"")"),"AP")</f>
        <v>AP</v>
      </c>
      <c r="M176" s="18" t="str">
        <f aca="false">IFERROR(__xludf.dummyfunction("REGEXEXTRACT(ADDRESS(ROW(), 48+$H176), ""[A-Z]+"")"),"AV")</f>
        <v>AV</v>
      </c>
      <c r="N176" s="18" t="str">
        <f aca="false">IFERROR(__xludf.dummyfunction("REGEXEXTRACT(ADDRESS(ROW(), 50+$H176), ""[A-Z]+"")"),"AX")</f>
        <v>AX</v>
      </c>
      <c r="O176" s="18" t="str">
        <f aca="false">IFERROR(__xludf.dummyfunction("REGEXEXTRACT(ADDRESS(ROW(), 51+$H176), ""[A-Z]+"")"),"AY")</f>
        <v>AY</v>
      </c>
      <c r="P176" s="18" t="str">
        <f aca="false">IFERROR(__xludf.dummyfunction("REGEXEXTRACT(ADDRESS(ROW(), 54+$H176), ""[A-Z]+"")"),"BB")</f>
        <v>BB</v>
      </c>
      <c r="Q176" s="18" t="str">
        <f aca="false">IFERROR(__xludf.dummyfunction("REGEXEXTRACT(ADDRESS(ROW(), 59+$H176), ""[A-Z]+"")"),"BG")</f>
        <v>BG</v>
      </c>
      <c r="R176" s="18" t="str">
        <f aca="false">IFERROR(__xludf.dummyfunction("REGEXEXTRACT(ADDRESS(ROW(), 60+$H176), ""[A-Z]+"")"),"BH")</f>
        <v>BH</v>
      </c>
      <c r="S176" s="18" t="str">
        <f aca="false">IFERROR(__xludf.dummyfunction("REGEXEXTRACT(ADDRESS(ROW(), 62+$H176), ""[A-Z]+"")"),"BJ")</f>
        <v>BJ</v>
      </c>
      <c r="T176" s="18" t="str">
        <f aca="false">IFERROR(__xludf.dummyfunction("REGEXEXTRACT(ADDRESS(ROW(), 63+$H176), ""[A-Z]+"")"),"BK")</f>
        <v>BK</v>
      </c>
      <c r="U176" s="19" t="n">
        <f aca="false">IFERROR(__xludf.dummyfunction("IFERROR(QUERY(INDIRECT(""'""&amp;F176&amp;""'!C3:""&amp;T176&amp;""""), ""SELECT ""&amp;I176&amp;"", ""&amp;J176&amp;"", ""&amp;K176&amp;"", ""&amp;L176&amp;"", ""&amp;M176&amp;"", ""&amp;N176&amp;"", ""&amp;O176&amp;"", ""&amp;P176&amp;"", ""&amp;Q176&amp;"", ""&amp;R176&amp;"", ""&amp;S176&amp;"" WHERE '""&amp;B176&amp;""' = D"", 0), """")"),8.5)</f>
        <v>8.5</v>
      </c>
      <c r="V176" s="22" t="n">
        <f aca="false">IFERROR(__xludf.dummyfunction("""COMPUTED_VALUE"""),9.5)</f>
        <v>9.5</v>
      </c>
      <c r="W176" s="22" t="n">
        <f aca="false">IFERROR(__xludf.dummyfunction("""COMPUTED_VALUE"""),9)</f>
        <v>9</v>
      </c>
      <c r="X176" s="22" t="n">
        <f aca="false">IFERROR(__xludf.dummyfunction("""COMPUTED_VALUE"""),8.2)</f>
        <v>8.2</v>
      </c>
      <c r="Y176" s="22" t="n">
        <f aca="false">IFERROR(__xludf.dummyfunction("""COMPUTED_VALUE"""),0)</f>
        <v>0</v>
      </c>
      <c r="Z176" s="22" t="n">
        <f aca="false">IFERROR(__xludf.dummyfunction("""COMPUTED_VALUE"""),1)</f>
        <v>1</v>
      </c>
      <c r="AA176" s="22"/>
      <c r="AB176" s="22" t="n">
        <f aca="false">IFERROR(__xludf.dummyfunction("""COMPUTED_VALUE"""),6)</f>
        <v>6</v>
      </c>
      <c r="AC176" s="22" t="n">
        <f aca="false">IFERROR(__xludf.dummyfunction("""COMPUTED_VALUE"""),29)</f>
        <v>29</v>
      </c>
      <c r="AD176" s="23" t="n">
        <f aca="false">IFERROR(__xludf.dummyfunction("""COMPUTED_VALUE"""),3)</f>
        <v>3</v>
      </c>
      <c r="AE176" s="24" t="n">
        <f aca="false">IFERROR(__xludf.dummyfunction("""COMPUTED_VALUE"""),74.2)</f>
        <v>74.2</v>
      </c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</row>
    <row r="177" customFormat="false" ht="18.65" hidden="false" customHeight="false" outlineLevel="0" collapsed="false">
      <c r="A177" s="13" t="n">
        <v>176</v>
      </c>
      <c r="B177" s="14" t="s">
        <v>386</v>
      </c>
      <c r="C177" s="15" t="s">
        <v>387</v>
      </c>
      <c r="D177" s="16" t="s">
        <v>244</v>
      </c>
      <c r="E177" s="16" t="s">
        <v>244</v>
      </c>
      <c r="F177" s="16" t="str">
        <f aca="false">REPLACE(E177, 1, 3, "")</f>
        <v>13</v>
      </c>
      <c r="G177" s="17" t="str">
        <f aca="true">IFERROR(VLOOKUP(B177,INDIRECT("'"&amp;F177&amp;"'!D3:D"),1,FALSE()), "Not found")</f>
        <v>Not found</v>
      </c>
      <c r="H177" s="18" t="n">
        <f aca="true">INDIRECT("'"&amp;F177&amp;"'!D1")</f>
        <v>0</v>
      </c>
      <c r="I177" s="18" t="str">
        <f aca="false">IFERROR(__xludf.dummyfunction("REGEXEXTRACT(ADDRESS(ROW(), 24+$H177), ""[A-Z]+"")"),"X")</f>
        <v>X</v>
      </c>
      <c r="J177" s="18" t="str">
        <f aca="false">IFERROR(__xludf.dummyfunction("REGEXEXTRACT(ADDRESS(ROW(), 30+$H177), ""[A-Z]+"")"),"AD")</f>
        <v>AD</v>
      </c>
      <c r="K177" s="18" t="str">
        <f aca="false">IFERROR(__xludf.dummyfunction("REGEXEXTRACT(ADDRESS(ROW(), 36+$H177), ""[A-Z]+"")"),"AJ")</f>
        <v>AJ</v>
      </c>
      <c r="L177" s="18" t="str">
        <f aca="false">IFERROR(__xludf.dummyfunction("REGEXEXTRACT(ADDRESS(ROW(), 42+$H177), ""[A-Z]+"")"),"AP")</f>
        <v>AP</v>
      </c>
      <c r="M177" s="18" t="str">
        <f aca="false">IFERROR(__xludf.dummyfunction("REGEXEXTRACT(ADDRESS(ROW(), 48+$H177), ""[A-Z]+"")"),"AV")</f>
        <v>AV</v>
      </c>
      <c r="N177" s="18" t="str">
        <f aca="false">IFERROR(__xludf.dummyfunction("REGEXEXTRACT(ADDRESS(ROW(), 50+$H177), ""[A-Z]+"")"),"AX")</f>
        <v>AX</v>
      </c>
      <c r="O177" s="18" t="str">
        <f aca="false">IFERROR(__xludf.dummyfunction("REGEXEXTRACT(ADDRESS(ROW(), 51+$H177), ""[A-Z]+"")"),"AY")</f>
        <v>AY</v>
      </c>
      <c r="P177" s="18" t="str">
        <f aca="false">IFERROR(__xludf.dummyfunction("REGEXEXTRACT(ADDRESS(ROW(), 54+$H177), ""[A-Z]+"")"),"BB")</f>
        <v>BB</v>
      </c>
      <c r="Q177" s="18" t="str">
        <f aca="false">IFERROR(__xludf.dummyfunction("REGEXEXTRACT(ADDRESS(ROW(), 59+$H177), ""[A-Z]+"")"),"BG")</f>
        <v>BG</v>
      </c>
      <c r="R177" s="18" t="str">
        <f aca="false">IFERROR(__xludf.dummyfunction("REGEXEXTRACT(ADDRESS(ROW(), 60+$H177), ""[A-Z]+"")"),"BH")</f>
        <v>BH</v>
      </c>
      <c r="S177" s="18" t="str">
        <f aca="false">IFERROR(__xludf.dummyfunction("REGEXEXTRACT(ADDRESS(ROW(), 62+$H177), ""[A-Z]+"")"),"BJ")</f>
        <v>BJ</v>
      </c>
      <c r="T177" s="18" t="str">
        <f aca="false">IFERROR(__xludf.dummyfunction("REGEXEXTRACT(ADDRESS(ROW(), 63+$H177), ""[A-Z]+"")"),"BK")</f>
        <v>BK</v>
      </c>
      <c r="U177" s="19" t="n">
        <f aca="false">IFERROR(__xludf.dummyfunction("IFERROR(QUERY(INDIRECT(""'""&amp;F177&amp;""'!C3:""&amp;T177&amp;""""), ""SELECT ""&amp;I177&amp;"", ""&amp;J177&amp;"", ""&amp;K177&amp;"", ""&amp;L177&amp;"", ""&amp;M177&amp;"", ""&amp;N177&amp;"", ""&amp;O177&amp;"", ""&amp;P177&amp;"", ""&amp;Q177&amp;"", ""&amp;R177&amp;"", ""&amp;S177&amp;"" WHERE '""&amp;B177&amp;""' = D"", 0), """")"),10)</f>
        <v>10</v>
      </c>
      <c r="V177" s="22" t="n">
        <f aca="false">IFERROR(__xludf.dummyfunction("""COMPUTED_VALUE"""),9)</f>
        <v>9</v>
      </c>
      <c r="W177" s="22" t="n">
        <f aca="false">IFERROR(__xludf.dummyfunction("""COMPUTED_VALUE"""),9)</f>
        <v>9</v>
      </c>
      <c r="X177" s="22" t="n">
        <f aca="false">IFERROR(__xludf.dummyfunction("""COMPUTED_VALUE"""),9.5)</f>
        <v>9.5</v>
      </c>
      <c r="Y177" s="22" t="n">
        <f aca="false">IFERROR(__xludf.dummyfunction("""COMPUTED_VALUE"""),8.9)</f>
        <v>8.9</v>
      </c>
      <c r="Z177" s="22" t="n">
        <f aca="false">IFERROR(__xludf.dummyfunction("""COMPUTED_VALUE"""),0)</f>
        <v>0</v>
      </c>
      <c r="AA177" s="22" t="n">
        <f aca="false">IFERROR(__xludf.dummyfunction("""COMPUTED_VALUE"""),0)</f>
        <v>0</v>
      </c>
      <c r="AB177" s="22" t="n">
        <f aca="false">IFERROR(__xludf.dummyfunction("""COMPUTED_VALUE"""),6)</f>
        <v>6</v>
      </c>
      <c r="AC177" s="22" t="n">
        <f aca="false">IFERROR(__xludf.dummyfunction("""COMPUTED_VALUE"""),25)</f>
        <v>25</v>
      </c>
      <c r="AD177" s="23"/>
      <c r="AE177" s="24" t="n">
        <f aca="false">IFERROR(__xludf.dummyfunction("""COMPUTED_VALUE"""),77.4)</f>
        <v>77.4</v>
      </c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</row>
    <row r="178" customFormat="false" ht="18.65" hidden="false" customHeight="false" outlineLevel="0" collapsed="false">
      <c r="A178" s="13" t="n">
        <v>177</v>
      </c>
      <c r="B178" s="14" t="s">
        <v>388</v>
      </c>
      <c r="C178" s="15" t="s">
        <v>389</v>
      </c>
      <c r="D178" s="16" t="s">
        <v>183</v>
      </c>
      <c r="E178" s="16" t="s">
        <v>183</v>
      </c>
      <c r="F178" s="16" t="str">
        <f aca="false">REPLACE(E178, 1, 3, "")</f>
        <v>14</v>
      </c>
      <c r="G178" s="17" t="str">
        <f aca="true">IFERROR(VLOOKUP(B178,INDIRECT("'"&amp;F178&amp;"'!D3:D"),1,FALSE()), "Not found")</f>
        <v>Not found</v>
      </c>
      <c r="H178" s="18" t="n">
        <f aca="true">INDIRECT("'"&amp;F178&amp;"'!D1")</f>
        <v>0</v>
      </c>
      <c r="I178" s="18" t="str">
        <f aca="false">IFERROR(__xludf.dummyfunction("REGEXEXTRACT(ADDRESS(ROW(), 24+$H178), ""[A-Z]+"")"),"X")</f>
        <v>X</v>
      </c>
      <c r="J178" s="18" t="str">
        <f aca="false">IFERROR(__xludf.dummyfunction("REGEXEXTRACT(ADDRESS(ROW(), 30+$H178), ""[A-Z]+"")"),"AD")</f>
        <v>AD</v>
      </c>
      <c r="K178" s="18" t="str">
        <f aca="false">IFERROR(__xludf.dummyfunction("REGEXEXTRACT(ADDRESS(ROW(), 36+$H178), ""[A-Z]+"")"),"AJ")</f>
        <v>AJ</v>
      </c>
      <c r="L178" s="18" t="str">
        <f aca="false">IFERROR(__xludf.dummyfunction("REGEXEXTRACT(ADDRESS(ROW(), 42+$H178), ""[A-Z]+"")"),"AP")</f>
        <v>AP</v>
      </c>
      <c r="M178" s="18" t="str">
        <f aca="false">IFERROR(__xludf.dummyfunction("REGEXEXTRACT(ADDRESS(ROW(), 48+$H178), ""[A-Z]+"")"),"AV")</f>
        <v>AV</v>
      </c>
      <c r="N178" s="18" t="str">
        <f aca="false">IFERROR(__xludf.dummyfunction("REGEXEXTRACT(ADDRESS(ROW(), 50+$H178), ""[A-Z]+"")"),"AX")</f>
        <v>AX</v>
      </c>
      <c r="O178" s="18" t="str">
        <f aca="false">IFERROR(__xludf.dummyfunction("REGEXEXTRACT(ADDRESS(ROW(), 51+$H178), ""[A-Z]+"")"),"AY")</f>
        <v>AY</v>
      </c>
      <c r="P178" s="18" t="str">
        <f aca="false">IFERROR(__xludf.dummyfunction("REGEXEXTRACT(ADDRESS(ROW(), 54+$H178), ""[A-Z]+"")"),"BB")</f>
        <v>BB</v>
      </c>
      <c r="Q178" s="18" t="str">
        <f aca="false">IFERROR(__xludf.dummyfunction("REGEXEXTRACT(ADDRESS(ROW(), 59+$H178), ""[A-Z]+"")"),"BG")</f>
        <v>BG</v>
      </c>
      <c r="R178" s="18" t="str">
        <f aca="false">IFERROR(__xludf.dummyfunction("REGEXEXTRACT(ADDRESS(ROW(), 60+$H178), ""[A-Z]+"")"),"BH")</f>
        <v>BH</v>
      </c>
      <c r="S178" s="18" t="str">
        <f aca="false">IFERROR(__xludf.dummyfunction("REGEXEXTRACT(ADDRESS(ROW(), 62+$H178), ""[A-Z]+"")"),"BJ")</f>
        <v>BJ</v>
      </c>
      <c r="T178" s="18" t="str">
        <f aca="false">IFERROR(__xludf.dummyfunction("REGEXEXTRACT(ADDRESS(ROW(), 63+$H178), ""[A-Z]+"")"),"BK")</f>
        <v>BK</v>
      </c>
      <c r="U178" s="19" t="n">
        <f aca="false">IFERROR(__xludf.dummyfunction("IFERROR(QUERY(INDIRECT(""'""&amp;F178&amp;""'!C3:""&amp;T178&amp;""""), ""SELECT ""&amp;I178&amp;"", ""&amp;J178&amp;"", ""&amp;K178&amp;"", ""&amp;L178&amp;"", ""&amp;M178&amp;"", ""&amp;N178&amp;"", ""&amp;O178&amp;"", ""&amp;P178&amp;"", ""&amp;Q178&amp;"", ""&amp;R178&amp;"", ""&amp;S178&amp;"" WHERE '""&amp;B178&amp;""' = D"", 0), """")"),10)</f>
        <v>10</v>
      </c>
      <c r="V178" s="22" t="n">
        <f aca="false">IFERROR(__xludf.dummyfunction("""COMPUTED_VALUE"""),10)</f>
        <v>10</v>
      </c>
      <c r="W178" s="22" t="n">
        <f aca="false">IFERROR(__xludf.dummyfunction("""COMPUTED_VALUE"""),6)</f>
        <v>6</v>
      </c>
      <c r="X178" s="22" t="n">
        <f aca="false">IFERROR(__xludf.dummyfunction("""COMPUTED_VALUE"""),10)</f>
        <v>10</v>
      </c>
      <c r="Y178" s="22" t="n">
        <f aca="false">IFERROR(__xludf.dummyfunction("""COMPUTED_VALUE"""),6)</f>
        <v>6</v>
      </c>
      <c r="Z178" s="22" t="n">
        <f aca="false">IFERROR(__xludf.dummyfunction("""COMPUTED_VALUE"""),0)</f>
        <v>0</v>
      </c>
      <c r="AA178" s="22" t="n">
        <f aca="false">IFERROR(__xludf.dummyfunction("""COMPUTED_VALUE"""),1)</f>
        <v>1</v>
      </c>
      <c r="AB178" s="22" t="n">
        <f aca="false">IFERROR(__xludf.dummyfunction("""COMPUTED_VALUE"""),7)</f>
        <v>7</v>
      </c>
      <c r="AC178" s="22" t="n">
        <f aca="false">IFERROR(__xludf.dummyfunction("""COMPUTED_VALUE"""),25)</f>
        <v>25</v>
      </c>
      <c r="AD178" s="23"/>
      <c r="AE178" s="24" t="n">
        <f aca="false">IFERROR(__xludf.dummyfunction("""COMPUTED_VALUE"""),75)</f>
        <v>75</v>
      </c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</row>
    <row r="179" customFormat="false" ht="18.65" hidden="false" customHeight="false" outlineLevel="0" collapsed="false">
      <c r="A179" s="13" t="n">
        <v>178</v>
      </c>
      <c r="B179" s="14" t="s">
        <v>390</v>
      </c>
      <c r="C179" s="15" t="s">
        <v>391</v>
      </c>
      <c r="D179" s="16" t="s">
        <v>218</v>
      </c>
      <c r="E179" s="16" t="s">
        <v>218</v>
      </c>
      <c r="F179" s="16" t="str">
        <f aca="false">REPLACE(E179, 1, 3, "")</f>
        <v>15</v>
      </c>
      <c r="G179" s="17" t="str">
        <f aca="true">IFERROR(VLOOKUP(B179,INDIRECT("'"&amp;F179&amp;"'!D3:D"),1,FALSE()), "Not found")</f>
        <v>Not found</v>
      </c>
      <c r="H179" s="18" t="n">
        <f aca="true">INDIRECT("'"&amp;F179&amp;"'!D1")</f>
        <v>0</v>
      </c>
      <c r="I179" s="18" t="str">
        <f aca="false">IFERROR(__xludf.dummyfunction("REGEXEXTRACT(ADDRESS(ROW(), 24+$H179), ""[A-Z]+"")"),"X")</f>
        <v>X</v>
      </c>
      <c r="J179" s="18" t="str">
        <f aca="false">IFERROR(__xludf.dummyfunction("REGEXEXTRACT(ADDRESS(ROW(), 30+$H179), ""[A-Z]+"")"),"AD")</f>
        <v>AD</v>
      </c>
      <c r="K179" s="18" t="str">
        <f aca="false">IFERROR(__xludf.dummyfunction("REGEXEXTRACT(ADDRESS(ROW(), 36+$H179), ""[A-Z]+"")"),"AJ")</f>
        <v>AJ</v>
      </c>
      <c r="L179" s="18" t="str">
        <f aca="false">IFERROR(__xludf.dummyfunction("REGEXEXTRACT(ADDRESS(ROW(), 42+$H179), ""[A-Z]+"")"),"AP")</f>
        <v>AP</v>
      </c>
      <c r="M179" s="18" t="str">
        <f aca="false">IFERROR(__xludf.dummyfunction("REGEXEXTRACT(ADDRESS(ROW(), 48+$H179), ""[A-Z]+"")"),"AV")</f>
        <v>AV</v>
      </c>
      <c r="N179" s="18" t="str">
        <f aca="false">IFERROR(__xludf.dummyfunction("REGEXEXTRACT(ADDRESS(ROW(), 50+$H179), ""[A-Z]+"")"),"AX")</f>
        <v>AX</v>
      </c>
      <c r="O179" s="18" t="str">
        <f aca="false">IFERROR(__xludf.dummyfunction("REGEXEXTRACT(ADDRESS(ROW(), 51+$H179), ""[A-Z]+"")"),"AY")</f>
        <v>AY</v>
      </c>
      <c r="P179" s="18" t="str">
        <f aca="false">IFERROR(__xludf.dummyfunction("REGEXEXTRACT(ADDRESS(ROW(), 54+$H179), ""[A-Z]+"")"),"BB")</f>
        <v>BB</v>
      </c>
      <c r="Q179" s="18" t="str">
        <f aca="false">IFERROR(__xludf.dummyfunction("REGEXEXTRACT(ADDRESS(ROW(), 59+$H179), ""[A-Z]+"")"),"BG")</f>
        <v>BG</v>
      </c>
      <c r="R179" s="18" t="str">
        <f aca="false">IFERROR(__xludf.dummyfunction("REGEXEXTRACT(ADDRESS(ROW(), 60+$H179), ""[A-Z]+"")"),"BH")</f>
        <v>BH</v>
      </c>
      <c r="S179" s="18" t="str">
        <f aca="false">IFERROR(__xludf.dummyfunction("REGEXEXTRACT(ADDRESS(ROW(), 62+$H179), ""[A-Z]+"")"),"BJ")</f>
        <v>BJ</v>
      </c>
      <c r="T179" s="18" t="str">
        <f aca="false">IFERROR(__xludf.dummyfunction("REGEXEXTRACT(ADDRESS(ROW(), 63+$H179), ""[A-Z]+"")"),"BK")</f>
        <v>BK</v>
      </c>
      <c r="U179" s="19" t="n">
        <f aca="false">IFERROR(__xludf.dummyfunction("IFERROR(QUERY(INDIRECT(""'""&amp;F179&amp;""'!C3:""&amp;T179&amp;""""), ""SELECT ""&amp;I179&amp;"", ""&amp;J179&amp;"", ""&amp;K179&amp;"", ""&amp;L179&amp;"", ""&amp;M179&amp;"", ""&amp;N179&amp;"", ""&amp;O179&amp;"", ""&amp;P179&amp;"", ""&amp;Q179&amp;"", ""&amp;R179&amp;"", ""&amp;S179&amp;"" WHERE '""&amp;B179&amp;""' = D"", 0), """")"),8.3)</f>
        <v>8.3</v>
      </c>
      <c r="V179" s="22" t="n">
        <f aca="false">IFERROR(__xludf.dummyfunction("""COMPUTED_VALUE"""),9.1)</f>
        <v>9.1</v>
      </c>
      <c r="W179" s="22" t="n">
        <f aca="false">IFERROR(__xludf.dummyfunction("""COMPUTED_VALUE"""),8.5)</f>
        <v>8.5</v>
      </c>
      <c r="X179" s="22" t="n">
        <f aca="false">IFERROR(__xludf.dummyfunction("""COMPUTED_VALUE"""),8.2)</f>
        <v>8.2</v>
      </c>
      <c r="Y179" s="22" t="n">
        <f aca="false">IFERROR(__xludf.dummyfunction("""COMPUTED_VALUE"""),0)</f>
        <v>0</v>
      </c>
      <c r="Z179" s="22" t="n">
        <f aca="false">IFERROR(__xludf.dummyfunction("""COMPUTED_VALUE"""),1)</f>
        <v>1</v>
      </c>
      <c r="AA179" s="22" t="n">
        <f aca="false">IFERROR(__xludf.dummyfunction("""COMPUTED_VALUE"""),1)</f>
        <v>1</v>
      </c>
      <c r="AB179" s="22" t="n">
        <f aca="false">IFERROR(__xludf.dummyfunction("""COMPUTED_VALUE"""),10)</f>
        <v>10</v>
      </c>
      <c r="AC179" s="22" t="n">
        <f aca="false">IFERROR(__xludf.dummyfunction("""COMPUTED_VALUE"""),28)</f>
        <v>28</v>
      </c>
      <c r="AD179" s="23"/>
      <c r="AE179" s="24" t="n">
        <f aca="false">IFERROR(__xludf.dummyfunction("""COMPUTED_VALUE"""),74.1)</f>
        <v>74.1</v>
      </c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</row>
    <row r="180" customFormat="false" ht="18.65" hidden="false" customHeight="false" outlineLevel="0" collapsed="false">
      <c r="A180" s="13" t="n">
        <v>179</v>
      </c>
      <c r="B180" s="14" t="s">
        <v>392</v>
      </c>
      <c r="C180" s="15" t="s">
        <v>393</v>
      </c>
      <c r="D180" s="16" t="s">
        <v>279</v>
      </c>
      <c r="E180" s="16" t="s">
        <v>279</v>
      </c>
      <c r="F180" s="16" t="str">
        <f aca="false">REPLACE(E180, 1, 3, "")</f>
        <v>07</v>
      </c>
      <c r="G180" s="17" t="str">
        <f aca="true">IFERROR(VLOOKUP(B180,INDIRECT("'"&amp;F180&amp;"'!D3:D"),1,FALSE()), "Not found")</f>
        <v>Not found</v>
      </c>
      <c r="H180" s="18" t="n">
        <f aca="true">INDIRECT("'"&amp;F180&amp;"'!D1")</f>
        <v>0</v>
      </c>
      <c r="I180" s="18" t="str">
        <f aca="false">IFERROR(__xludf.dummyfunction("REGEXEXTRACT(ADDRESS(ROW(), 24+$H180), ""[A-Z]+"")"),"X")</f>
        <v>X</v>
      </c>
      <c r="J180" s="18" t="str">
        <f aca="false">IFERROR(__xludf.dummyfunction("REGEXEXTRACT(ADDRESS(ROW(), 30+$H180), ""[A-Z]+"")"),"AD")</f>
        <v>AD</v>
      </c>
      <c r="K180" s="18" t="str">
        <f aca="false">IFERROR(__xludf.dummyfunction("REGEXEXTRACT(ADDRESS(ROW(), 36+$H180), ""[A-Z]+"")"),"AJ")</f>
        <v>AJ</v>
      </c>
      <c r="L180" s="18" t="str">
        <f aca="false">IFERROR(__xludf.dummyfunction("REGEXEXTRACT(ADDRESS(ROW(), 42+$H180), ""[A-Z]+"")"),"AP")</f>
        <v>AP</v>
      </c>
      <c r="M180" s="18" t="str">
        <f aca="false">IFERROR(__xludf.dummyfunction("REGEXEXTRACT(ADDRESS(ROW(), 48+$H180), ""[A-Z]+"")"),"AV")</f>
        <v>AV</v>
      </c>
      <c r="N180" s="18" t="str">
        <f aca="false">IFERROR(__xludf.dummyfunction("REGEXEXTRACT(ADDRESS(ROW(), 50+$H180), ""[A-Z]+"")"),"AX")</f>
        <v>AX</v>
      </c>
      <c r="O180" s="18" t="str">
        <f aca="false">IFERROR(__xludf.dummyfunction("REGEXEXTRACT(ADDRESS(ROW(), 51+$H180), ""[A-Z]+"")"),"AY")</f>
        <v>AY</v>
      </c>
      <c r="P180" s="18" t="str">
        <f aca="false">IFERROR(__xludf.dummyfunction("REGEXEXTRACT(ADDRESS(ROW(), 54+$H180), ""[A-Z]+"")"),"BB")</f>
        <v>BB</v>
      </c>
      <c r="Q180" s="18" t="str">
        <f aca="false">IFERROR(__xludf.dummyfunction("REGEXEXTRACT(ADDRESS(ROW(), 59+$H180), ""[A-Z]+"")"),"BG")</f>
        <v>BG</v>
      </c>
      <c r="R180" s="18" t="str">
        <f aca="false">IFERROR(__xludf.dummyfunction("REGEXEXTRACT(ADDRESS(ROW(), 60+$H180), ""[A-Z]+"")"),"BH")</f>
        <v>BH</v>
      </c>
      <c r="S180" s="18" t="str">
        <f aca="false">IFERROR(__xludf.dummyfunction("REGEXEXTRACT(ADDRESS(ROW(), 62+$H180), ""[A-Z]+"")"),"BJ")</f>
        <v>BJ</v>
      </c>
      <c r="T180" s="18" t="str">
        <f aca="false">IFERROR(__xludf.dummyfunction("REGEXEXTRACT(ADDRESS(ROW(), 63+$H180), ""[A-Z]+"")"),"BK")</f>
        <v>BK</v>
      </c>
      <c r="U180" s="19" t="n">
        <f aca="false">IFERROR(__xludf.dummyfunction("IFERROR(QUERY(INDIRECT(""'""&amp;F180&amp;""'!C3:""&amp;T180&amp;""""), ""SELECT ""&amp;I180&amp;"", ""&amp;J180&amp;"", ""&amp;K180&amp;"", ""&amp;L180&amp;"", ""&amp;M180&amp;"", ""&amp;N180&amp;"", ""&amp;O180&amp;"", ""&amp;P180&amp;"", ""&amp;Q180&amp;"", ""&amp;R180&amp;"", ""&amp;S180&amp;"" WHERE '""&amp;B180&amp;""' = D"", 0), """")"),7.5)</f>
        <v>7.5</v>
      </c>
      <c r="V180" s="22"/>
      <c r="W180" s="22"/>
      <c r="X180" s="22"/>
      <c r="Y180" s="22"/>
      <c r="Z180" s="22"/>
      <c r="AA180" s="22"/>
      <c r="AB180" s="22" t="n">
        <f aca="false">IFERROR(__xludf.dummyfunction("""COMPUTED_VALUE"""),7)</f>
        <v>7</v>
      </c>
      <c r="AC180" s="22"/>
      <c r="AD180" s="23"/>
      <c r="AE180" s="24" t="n">
        <f aca="false">IFERROR(__xludf.dummyfunction("""COMPUTED_VALUE"""),14.5)</f>
        <v>14.5</v>
      </c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</row>
    <row r="181" customFormat="false" ht="18.65" hidden="false" customHeight="false" outlineLevel="0" collapsed="false">
      <c r="A181" s="13" t="n">
        <v>180</v>
      </c>
      <c r="B181" s="14" t="s">
        <v>394</v>
      </c>
      <c r="C181" s="15" t="s">
        <v>395</v>
      </c>
      <c r="D181" s="16" t="s">
        <v>213</v>
      </c>
      <c r="E181" s="16" t="s">
        <v>213</v>
      </c>
      <c r="F181" s="16" t="str">
        <f aca="false">REPLACE(E181, 1, 3, "")</f>
        <v>16</v>
      </c>
      <c r="G181" s="17" t="str">
        <f aca="true">IFERROR(VLOOKUP(B181,INDIRECT("'"&amp;F181&amp;"'!D3:D"),1,FALSE()), "Not found")</f>
        <v>Not found</v>
      </c>
      <c r="H181" s="18" t="n">
        <f aca="true">INDIRECT("'"&amp;F181&amp;"'!D1")</f>
        <v>0</v>
      </c>
      <c r="I181" s="18" t="str">
        <f aca="false">IFERROR(__xludf.dummyfunction("REGEXEXTRACT(ADDRESS(ROW(), 24+$H181), ""[A-Z]+"")"),"X")</f>
        <v>X</v>
      </c>
      <c r="J181" s="18" t="str">
        <f aca="false">IFERROR(__xludf.dummyfunction("REGEXEXTRACT(ADDRESS(ROW(), 30+$H181), ""[A-Z]+"")"),"AD")</f>
        <v>AD</v>
      </c>
      <c r="K181" s="18" t="str">
        <f aca="false">IFERROR(__xludf.dummyfunction("REGEXEXTRACT(ADDRESS(ROW(), 36+$H181), ""[A-Z]+"")"),"AJ")</f>
        <v>AJ</v>
      </c>
      <c r="L181" s="18" t="str">
        <f aca="false">IFERROR(__xludf.dummyfunction("REGEXEXTRACT(ADDRESS(ROW(), 42+$H181), ""[A-Z]+"")"),"AP")</f>
        <v>AP</v>
      </c>
      <c r="M181" s="18" t="str">
        <f aca="false">IFERROR(__xludf.dummyfunction("REGEXEXTRACT(ADDRESS(ROW(), 48+$H181), ""[A-Z]+"")"),"AV")</f>
        <v>AV</v>
      </c>
      <c r="N181" s="18" t="str">
        <f aca="false">IFERROR(__xludf.dummyfunction("REGEXEXTRACT(ADDRESS(ROW(), 50+$H181), ""[A-Z]+"")"),"AX")</f>
        <v>AX</v>
      </c>
      <c r="O181" s="18" t="str">
        <f aca="false">IFERROR(__xludf.dummyfunction("REGEXEXTRACT(ADDRESS(ROW(), 51+$H181), ""[A-Z]+"")"),"AY")</f>
        <v>AY</v>
      </c>
      <c r="P181" s="18" t="str">
        <f aca="false">IFERROR(__xludf.dummyfunction("REGEXEXTRACT(ADDRESS(ROW(), 54+$H181), ""[A-Z]+"")"),"BB")</f>
        <v>BB</v>
      </c>
      <c r="Q181" s="18" t="str">
        <f aca="false">IFERROR(__xludf.dummyfunction("REGEXEXTRACT(ADDRESS(ROW(), 59+$H181), ""[A-Z]+"")"),"BG")</f>
        <v>BG</v>
      </c>
      <c r="R181" s="18" t="str">
        <f aca="false">IFERROR(__xludf.dummyfunction("REGEXEXTRACT(ADDRESS(ROW(), 60+$H181), ""[A-Z]+"")"),"BH")</f>
        <v>BH</v>
      </c>
      <c r="S181" s="18" t="str">
        <f aca="false">IFERROR(__xludf.dummyfunction("REGEXEXTRACT(ADDRESS(ROW(), 62+$H181), ""[A-Z]+"")"),"BJ")</f>
        <v>BJ</v>
      </c>
      <c r="T181" s="18" t="str">
        <f aca="false">IFERROR(__xludf.dummyfunction("REGEXEXTRACT(ADDRESS(ROW(), 63+$H181), ""[A-Z]+"")"),"BK")</f>
        <v>BK</v>
      </c>
      <c r="U181" s="19" t="n">
        <f aca="false">IFERROR(__xludf.dummyfunction("IFERROR(QUERY(INDIRECT(""'""&amp;F181&amp;""'!C3:""&amp;T181&amp;""""), ""SELECT ""&amp;I181&amp;"", ""&amp;J181&amp;"", ""&amp;K181&amp;"", ""&amp;L181&amp;"", ""&amp;M181&amp;"", ""&amp;N181&amp;"", ""&amp;O181&amp;"", ""&amp;P181&amp;"", ""&amp;Q181&amp;"", ""&amp;R181&amp;"", ""&amp;S181&amp;"" WHERE '""&amp;B181&amp;""' = D"", 0), """")"),9)</f>
        <v>9</v>
      </c>
      <c r="V181" s="22" t="n">
        <f aca="false">IFERROR(__xludf.dummyfunction("""COMPUTED_VALUE"""),8)</f>
        <v>8</v>
      </c>
      <c r="W181" s="22" t="n">
        <f aca="false">IFERROR(__xludf.dummyfunction("""COMPUTED_VALUE"""),9)</f>
        <v>9</v>
      </c>
      <c r="X181" s="22" t="n">
        <f aca="false">IFERROR(__xludf.dummyfunction("""COMPUTED_VALUE"""),10)</f>
        <v>10</v>
      </c>
      <c r="Y181" s="22" t="n">
        <f aca="false">IFERROR(__xludf.dummyfunction("""COMPUTED_VALUE"""),8)</f>
        <v>8</v>
      </c>
      <c r="Z181" s="22" t="n">
        <f aca="false">IFERROR(__xludf.dummyfunction("""COMPUTED_VALUE"""),1)</f>
        <v>1</v>
      </c>
      <c r="AA181" s="22"/>
      <c r="AB181" s="22" t="n">
        <f aca="false">IFERROR(__xludf.dummyfunction("""COMPUTED_VALUE"""),10)</f>
        <v>10</v>
      </c>
      <c r="AC181" s="22" t="n">
        <f aca="false">IFERROR(__xludf.dummyfunction("""COMPUTED_VALUE"""),29)</f>
        <v>29</v>
      </c>
      <c r="AD181" s="23"/>
      <c r="AE181" s="24" t="n">
        <f aca="false">IFERROR(__xludf.dummyfunction("""COMPUTED_VALUE"""),84)</f>
        <v>84</v>
      </c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</row>
    <row r="182" customFormat="false" ht="18.65" hidden="false" customHeight="false" outlineLevel="0" collapsed="false">
      <c r="A182" s="13" t="n">
        <v>181</v>
      </c>
      <c r="B182" s="14" t="s">
        <v>396</v>
      </c>
      <c r="C182" s="15" t="s">
        <v>397</v>
      </c>
      <c r="D182" s="16" t="s">
        <v>235</v>
      </c>
      <c r="E182" s="16" t="s">
        <v>235</v>
      </c>
      <c r="F182" s="16" t="str">
        <f aca="false">REPLACE(E182, 1, 3, "")</f>
        <v>18</v>
      </c>
      <c r="G182" s="17" t="str">
        <f aca="true">IFERROR(VLOOKUP(B182,INDIRECT("'"&amp;F182&amp;"'!D3:D"),1,FALSE()), "Not found")</f>
        <v>Not found</v>
      </c>
      <c r="H182" s="18" t="n">
        <f aca="true">INDIRECT("'"&amp;F182&amp;"'!D1")</f>
        <v>0</v>
      </c>
      <c r="I182" s="18" t="str">
        <f aca="false">IFERROR(__xludf.dummyfunction("REGEXEXTRACT(ADDRESS(ROW(), 24+$H182), ""[A-Z]+"")"),"X")</f>
        <v>X</v>
      </c>
      <c r="J182" s="18" t="str">
        <f aca="false">IFERROR(__xludf.dummyfunction("REGEXEXTRACT(ADDRESS(ROW(), 30+$H182), ""[A-Z]+"")"),"AD")</f>
        <v>AD</v>
      </c>
      <c r="K182" s="18" t="str">
        <f aca="false">IFERROR(__xludf.dummyfunction("REGEXEXTRACT(ADDRESS(ROW(), 36+$H182), ""[A-Z]+"")"),"AJ")</f>
        <v>AJ</v>
      </c>
      <c r="L182" s="18" t="str">
        <f aca="false">IFERROR(__xludf.dummyfunction("REGEXEXTRACT(ADDRESS(ROW(), 42+$H182), ""[A-Z]+"")"),"AP")</f>
        <v>AP</v>
      </c>
      <c r="M182" s="18" t="str">
        <f aca="false">IFERROR(__xludf.dummyfunction("REGEXEXTRACT(ADDRESS(ROW(), 48+$H182), ""[A-Z]+"")"),"AV")</f>
        <v>AV</v>
      </c>
      <c r="N182" s="18" t="str">
        <f aca="false">IFERROR(__xludf.dummyfunction("REGEXEXTRACT(ADDRESS(ROW(), 50+$H182), ""[A-Z]+"")"),"AX")</f>
        <v>AX</v>
      </c>
      <c r="O182" s="18" t="str">
        <f aca="false">IFERROR(__xludf.dummyfunction("REGEXEXTRACT(ADDRESS(ROW(), 51+$H182), ""[A-Z]+"")"),"AY")</f>
        <v>AY</v>
      </c>
      <c r="P182" s="18" t="str">
        <f aca="false">IFERROR(__xludf.dummyfunction("REGEXEXTRACT(ADDRESS(ROW(), 54+$H182), ""[A-Z]+"")"),"BB")</f>
        <v>BB</v>
      </c>
      <c r="Q182" s="18" t="str">
        <f aca="false">IFERROR(__xludf.dummyfunction("REGEXEXTRACT(ADDRESS(ROW(), 59+$H182), ""[A-Z]+"")"),"BG")</f>
        <v>BG</v>
      </c>
      <c r="R182" s="18" t="str">
        <f aca="false">IFERROR(__xludf.dummyfunction("REGEXEXTRACT(ADDRESS(ROW(), 60+$H182), ""[A-Z]+"")"),"BH")</f>
        <v>BH</v>
      </c>
      <c r="S182" s="18" t="str">
        <f aca="false">IFERROR(__xludf.dummyfunction("REGEXEXTRACT(ADDRESS(ROW(), 62+$H182), ""[A-Z]+"")"),"BJ")</f>
        <v>BJ</v>
      </c>
      <c r="T182" s="18" t="str">
        <f aca="false">IFERROR(__xludf.dummyfunction("REGEXEXTRACT(ADDRESS(ROW(), 63+$H182), ""[A-Z]+"")"),"BK")</f>
        <v>BK</v>
      </c>
      <c r="U182" s="19" t="n">
        <f aca="false">IFERROR(__xludf.dummyfunction("IFERROR(QUERY(INDIRECT(""'""&amp;F182&amp;""'!C3:""&amp;T182&amp;""""), ""SELECT ""&amp;I182&amp;"", ""&amp;J182&amp;"", ""&amp;K182&amp;"", ""&amp;L182&amp;"", ""&amp;M182&amp;"", ""&amp;N182&amp;"", ""&amp;O182&amp;"", ""&amp;P182&amp;"", ""&amp;Q182&amp;"", ""&amp;R182&amp;"", ""&amp;S182&amp;"" WHERE '""&amp;B182&amp;""' = D"", 0), """")"),7)</f>
        <v>7</v>
      </c>
      <c r="V182" s="22" t="n">
        <f aca="false">IFERROR(__xludf.dummyfunction("""COMPUTED_VALUE"""),8)</f>
        <v>8</v>
      </c>
      <c r="W182" s="22"/>
      <c r="X182" s="22"/>
      <c r="Y182" s="22" t="n">
        <f aca="false">IFERROR(__xludf.dummyfunction("""COMPUTED_VALUE"""),0)</f>
        <v>0</v>
      </c>
      <c r="Z182" s="22" t="n">
        <f aca="false">IFERROR(__xludf.dummyfunction("""COMPUTED_VALUE"""),0)</f>
        <v>0</v>
      </c>
      <c r="AA182" s="22"/>
      <c r="AB182" s="22" t="n">
        <f aca="false">IFERROR(__xludf.dummyfunction("""COMPUTED_VALUE"""),0.02)</f>
        <v>0.02</v>
      </c>
      <c r="AC182" s="22"/>
      <c r="AD182" s="23"/>
      <c r="AE182" s="24" t="n">
        <f aca="false">IFERROR(__xludf.dummyfunction("""COMPUTED_VALUE"""),15.02)</f>
        <v>15.02</v>
      </c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</row>
    <row r="183" customFormat="false" ht="18.65" hidden="false" customHeight="false" outlineLevel="0" collapsed="false">
      <c r="A183" s="13" t="n">
        <v>182</v>
      </c>
      <c r="B183" s="14" t="s">
        <v>398</v>
      </c>
      <c r="C183" s="15" t="s">
        <v>399</v>
      </c>
      <c r="D183" s="16" t="s">
        <v>218</v>
      </c>
      <c r="E183" s="16" t="s">
        <v>218</v>
      </c>
      <c r="F183" s="16" t="str">
        <f aca="false">REPLACE(E183, 1, 3, "")</f>
        <v>15</v>
      </c>
      <c r="G183" s="17" t="str">
        <f aca="true">IFERROR(VLOOKUP(B183,INDIRECT("'"&amp;F183&amp;"'!D3:D"),1,FALSE()), "Not found")</f>
        <v>Not found</v>
      </c>
      <c r="H183" s="18" t="n">
        <f aca="true">INDIRECT("'"&amp;F183&amp;"'!D1")</f>
        <v>0</v>
      </c>
      <c r="I183" s="18" t="str">
        <f aca="false">IFERROR(__xludf.dummyfunction("REGEXEXTRACT(ADDRESS(ROW(), 24+$H183), ""[A-Z]+"")"),"X")</f>
        <v>X</v>
      </c>
      <c r="J183" s="18" t="str">
        <f aca="false">IFERROR(__xludf.dummyfunction("REGEXEXTRACT(ADDRESS(ROW(), 30+$H183), ""[A-Z]+"")"),"AD")</f>
        <v>AD</v>
      </c>
      <c r="K183" s="18" t="str">
        <f aca="false">IFERROR(__xludf.dummyfunction("REGEXEXTRACT(ADDRESS(ROW(), 36+$H183), ""[A-Z]+"")"),"AJ")</f>
        <v>AJ</v>
      </c>
      <c r="L183" s="18" t="str">
        <f aca="false">IFERROR(__xludf.dummyfunction("REGEXEXTRACT(ADDRESS(ROW(), 42+$H183), ""[A-Z]+"")"),"AP")</f>
        <v>AP</v>
      </c>
      <c r="M183" s="18" t="str">
        <f aca="false">IFERROR(__xludf.dummyfunction("REGEXEXTRACT(ADDRESS(ROW(), 48+$H183), ""[A-Z]+"")"),"AV")</f>
        <v>AV</v>
      </c>
      <c r="N183" s="18" t="str">
        <f aca="false">IFERROR(__xludf.dummyfunction("REGEXEXTRACT(ADDRESS(ROW(), 50+$H183), ""[A-Z]+"")"),"AX")</f>
        <v>AX</v>
      </c>
      <c r="O183" s="18" t="str">
        <f aca="false">IFERROR(__xludf.dummyfunction("REGEXEXTRACT(ADDRESS(ROW(), 51+$H183), ""[A-Z]+"")"),"AY")</f>
        <v>AY</v>
      </c>
      <c r="P183" s="18" t="str">
        <f aca="false">IFERROR(__xludf.dummyfunction("REGEXEXTRACT(ADDRESS(ROW(), 54+$H183), ""[A-Z]+"")"),"BB")</f>
        <v>BB</v>
      </c>
      <c r="Q183" s="18" t="str">
        <f aca="false">IFERROR(__xludf.dummyfunction("REGEXEXTRACT(ADDRESS(ROW(), 59+$H183), ""[A-Z]+"")"),"BG")</f>
        <v>BG</v>
      </c>
      <c r="R183" s="18" t="str">
        <f aca="false">IFERROR(__xludf.dummyfunction("REGEXEXTRACT(ADDRESS(ROW(), 60+$H183), ""[A-Z]+"")"),"BH")</f>
        <v>BH</v>
      </c>
      <c r="S183" s="18" t="str">
        <f aca="false">IFERROR(__xludf.dummyfunction("REGEXEXTRACT(ADDRESS(ROW(), 62+$H183), ""[A-Z]+"")"),"BJ")</f>
        <v>BJ</v>
      </c>
      <c r="T183" s="18" t="str">
        <f aca="false">IFERROR(__xludf.dummyfunction("REGEXEXTRACT(ADDRESS(ROW(), 63+$H183), ""[A-Z]+"")"),"BK")</f>
        <v>BK</v>
      </c>
      <c r="U183" s="19" t="str">
        <f aca="false">IFERROR(__xludf.dummyfunction("IFERROR(QUERY(INDIRECT(""'""&amp;F183&amp;""'!C3:""&amp;T183&amp;""""), ""SELECT ""&amp;I183&amp;"", ""&amp;J183&amp;"", ""&amp;K183&amp;"", ""&amp;L183&amp;"", ""&amp;M183&amp;"", ""&amp;N183&amp;"", ""&amp;O183&amp;"", ""&amp;P183&amp;"", ""&amp;Q183&amp;"", ""&amp;R183&amp;"", ""&amp;S183&amp;"" WHERE '""&amp;B183&amp;""' = D"", 0), """")"),"")</f>
        <v/>
      </c>
      <c r="V183" s="22"/>
      <c r="W183" s="22"/>
      <c r="X183" s="22"/>
      <c r="Y183" s="22" t="n">
        <f aca="false">IFERROR(__xludf.dummyfunction("""COMPUTED_VALUE"""),0)</f>
        <v>0</v>
      </c>
      <c r="Z183" s="22"/>
      <c r="AA183" s="22"/>
      <c r="AB183" s="22" t="n">
        <f aca="false">IFERROR(__xludf.dummyfunction("""COMPUTED_VALUE"""),0.1)</f>
        <v>0.1</v>
      </c>
      <c r="AC183" s="22"/>
      <c r="AD183" s="23"/>
      <c r="AE183" s="24" t="n">
        <f aca="false">IFERROR(__xludf.dummyfunction("""COMPUTED_VALUE"""),0.1)</f>
        <v>0.1</v>
      </c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</row>
    <row r="184" customFormat="false" ht="18.65" hidden="false" customHeight="false" outlineLevel="0" collapsed="false">
      <c r="A184" s="13" t="n">
        <v>183</v>
      </c>
      <c r="B184" s="14" t="s">
        <v>400</v>
      </c>
      <c r="C184" s="15" t="s">
        <v>401</v>
      </c>
      <c r="D184" s="16" t="s">
        <v>244</v>
      </c>
      <c r="E184" s="16" t="s">
        <v>244</v>
      </c>
      <c r="F184" s="16" t="str">
        <f aca="false">REPLACE(E184, 1, 3, "")</f>
        <v>13</v>
      </c>
      <c r="G184" s="17" t="str">
        <f aca="true">IFERROR(VLOOKUP(B184,INDIRECT("'"&amp;F184&amp;"'!D3:D"),1,FALSE()), "Not found")</f>
        <v>Not found</v>
      </c>
      <c r="H184" s="18" t="n">
        <f aca="true">INDIRECT("'"&amp;F184&amp;"'!D1")</f>
        <v>0</v>
      </c>
      <c r="I184" s="18" t="str">
        <f aca="false">IFERROR(__xludf.dummyfunction("REGEXEXTRACT(ADDRESS(ROW(), 24+$H184), ""[A-Z]+"")"),"X")</f>
        <v>X</v>
      </c>
      <c r="J184" s="18" t="str">
        <f aca="false">IFERROR(__xludf.dummyfunction("REGEXEXTRACT(ADDRESS(ROW(), 30+$H184), ""[A-Z]+"")"),"AD")</f>
        <v>AD</v>
      </c>
      <c r="K184" s="18" t="str">
        <f aca="false">IFERROR(__xludf.dummyfunction("REGEXEXTRACT(ADDRESS(ROW(), 36+$H184), ""[A-Z]+"")"),"AJ")</f>
        <v>AJ</v>
      </c>
      <c r="L184" s="18" t="str">
        <f aca="false">IFERROR(__xludf.dummyfunction("REGEXEXTRACT(ADDRESS(ROW(), 42+$H184), ""[A-Z]+"")"),"AP")</f>
        <v>AP</v>
      </c>
      <c r="M184" s="18" t="str">
        <f aca="false">IFERROR(__xludf.dummyfunction("REGEXEXTRACT(ADDRESS(ROW(), 48+$H184), ""[A-Z]+"")"),"AV")</f>
        <v>AV</v>
      </c>
      <c r="N184" s="18" t="str">
        <f aca="false">IFERROR(__xludf.dummyfunction("REGEXEXTRACT(ADDRESS(ROW(), 50+$H184), ""[A-Z]+"")"),"AX")</f>
        <v>AX</v>
      </c>
      <c r="O184" s="18" t="str">
        <f aca="false">IFERROR(__xludf.dummyfunction("REGEXEXTRACT(ADDRESS(ROW(), 51+$H184), ""[A-Z]+"")"),"AY")</f>
        <v>AY</v>
      </c>
      <c r="P184" s="18" t="str">
        <f aca="false">IFERROR(__xludf.dummyfunction("REGEXEXTRACT(ADDRESS(ROW(), 54+$H184), ""[A-Z]+"")"),"BB")</f>
        <v>BB</v>
      </c>
      <c r="Q184" s="18" t="str">
        <f aca="false">IFERROR(__xludf.dummyfunction("REGEXEXTRACT(ADDRESS(ROW(), 59+$H184), ""[A-Z]+"")"),"BG")</f>
        <v>BG</v>
      </c>
      <c r="R184" s="18" t="str">
        <f aca="false">IFERROR(__xludf.dummyfunction("REGEXEXTRACT(ADDRESS(ROW(), 60+$H184), ""[A-Z]+"")"),"BH")</f>
        <v>BH</v>
      </c>
      <c r="S184" s="18" t="str">
        <f aca="false">IFERROR(__xludf.dummyfunction("REGEXEXTRACT(ADDRESS(ROW(), 62+$H184), ""[A-Z]+"")"),"BJ")</f>
        <v>BJ</v>
      </c>
      <c r="T184" s="18" t="str">
        <f aca="false">IFERROR(__xludf.dummyfunction("REGEXEXTRACT(ADDRESS(ROW(), 63+$H184), ""[A-Z]+"")"),"BK")</f>
        <v>BK</v>
      </c>
      <c r="U184" s="19" t="n">
        <f aca="false">IFERROR(__xludf.dummyfunction("IFERROR(QUERY(INDIRECT(""'""&amp;F184&amp;""'!C3:""&amp;T184&amp;""""), ""SELECT ""&amp;I184&amp;"", ""&amp;J184&amp;"", ""&amp;K184&amp;"", ""&amp;L184&amp;"", ""&amp;M184&amp;"", ""&amp;N184&amp;"", ""&amp;O184&amp;"", ""&amp;P184&amp;"", ""&amp;Q184&amp;"", ""&amp;R184&amp;"", ""&amp;S184&amp;"" WHERE '""&amp;B184&amp;""' = D"", 0), """")"),8.5)</f>
        <v>8.5</v>
      </c>
      <c r="V184" s="22" t="n">
        <f aca="false">IFERROR(__xludf.dummyfunction("""COMPUTED_VALUE"""),8)</f>
        <v>8</v>
      </c>
      <c r="W184" s="22" t="n">
        <f aca="false">IFERROR(__xludf.dummyfunction("""COMPUTED_VALUE"""),8.8)</f>
        <v>8.8</v>
      </c>
      <c r="X184" s="22" t="n">
        <f aca="false">IFERROR(__xludf.dummyfunction("""COMPUTED_VALUE"""),9)</f>
        <v>9</v>
      </c>
      <c r="Y184" s="22" t="n">
        <f aca="false">IFERROR(__xludf.dummyfunction("""COMPUTED_VALUE"""),8.5)</f>
        <v>8.5</v>
      </c>
      <c r="Z184" s="22" t="n">
        <f aca="false">IFERROR(__xludf.dummyfunction("""COMPUTED_VALUE"""),0)</f>
        <v>0</v>
      </c>
      <c r="AA184" s="22"/>
      <c r="AB184" s="22" t="n">
        <f aca="false">IFERROR(__xludf.dummyfunction("""COMPUTED_VALUE"""),8)</f>
        <v>8</v>
      </c>
      <c r="AC184" s="22" t="n">
        <f aca="false">IFERROR(__xludf.dummyfunction("""COMPUTED_VALUE"""),25)</f>
        <v>25</v>
      </c>
      <c r="AD184" s="23"/>
      <c r="AE184" s="24" t="n">
        <f aca="false">IFERROR(__xludf.dummyfunction("""COMPUTED_VALUE"""),75.8)</f>
        <v>75.8</v>
      </c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</row>
    <row r="185" customFormat="false" ht="18.65" hidden="false" customHeight="false" outlineLevel="0" collapsed="false">
      <c r="A185" s="13" t="n">
        <v>184</v>
      </c>
      <c r="B185" s="14" t="s">
        <v>402</v>
      </c>
      <c r="C185" s="15" t="s">
        <v>403</v>
      </c>
      <c r="D185" s="16" t="s">
        <v>183</v>
      </c>
      <c r="E185" s="16" t="s">
        <v>183</v>
      </c>
      <c r="F185" s="16" t="str">
        <f aca="false">REPLACE(E185, 1, 3, "")</f>
        <v>14</v>
      </c>
      <c r="G185" s="17" t="str">
        <f aca="true">IFERROR(VLOOKUP(B185,INDIRECT("'"&amp;F185&amp;"'!D3:D"),1,FALSE()), "Not found")</f>
        <v>Not found</v>
      </c>
      <c r="H185" s="18" t="n">
        <f aca="true">INDIRECT("'"&amp;F185&amp;"'!D1")</f>
        <v>0</v>
      </c>
      <c r="I185" s="18" t="str">
        <f aca="false">IFERROR(__xludf.dummyfunction("REGEXEXTRACT(ADDRESS(ROW(), 24+$H185), ""[A-Z]+"")"),"X")</f>
        <v>X</v>
      </c>
      <c r="J185" s="18" t="str">
        <f aca="false">IFERROR(__xludf.dummyfunction("REGEXEXTRACT(ADDRESS(ROW(), 30+$H185), ""[A-Z]+"")"),"AD")</f>
        <v>AD</v>
      </c>
      <c r="K185" s="18" t="str">
        <f aca="false">IFERROR(__xludf.dummyfunction("REGEXEXTRACT(ADDRESS(ROW(), 36+$H185), ""[A-Z]+"")"),"AJ")</f>
        <v>AJ</v>
      </c>
      <c r="L185" s="18" t="str">
        <f aca="false">IFERROR(__xludf.dummyfunction("REGEXEXTRACT(ADDRESS(ROW(), 42+$H185), ""[A-Z]+"")"),"AP")</f>
        <v>AP</v>
      </c>
      <c r="M185" s="18" t="str">
        <f aca="false">IFERROR(__xludf.dummyfunction("REGEXEXTRACT(ADDRESS(ROW(), 48+$H185), ""[A-Z]+"")"),"AV")</f>
        <v>AV</v>
      </c>
      <c r="N185" s="18" t="str">
        <f aca="false">IFERROR(__xludf.dummyfunction("REGEXEXTRACT(ADDRESS(ROW(), 50+$H185), ""[A-Z]+"")"),"AX")</f>
        <v>AX</v>
      </c>
      <c r="O185" s="18" t="str">
        <f aca="false">IFERROR(__xludf.dummyfunction("REGEXEXTRACT(ADDRESS(ROW(), 51+$H185), ""[A-Z]+"")"),"AY")</f>
        <v>AY</v>
      </c>
      <c r="P185" s="18" t="str">
        <f aca="false">IFERROR(__xludf.dummyfunction("REGEXEXTRACT(ADDRESS(ROW(), 54+$H185), ""[A-Z]+"")"),"BB")</f>
        <v>BB</v>
      </c>
      <c r="Q185" s="18" t="str">
        <f aca="false">IFERROR(__xludf.dummyfunction("REGEXEXTRACT(ADDRESS(ROW(), 59+$H185), ""[A-Z]+"")"),"BG")</f>
        <v>BG</v>
      </c>
      <c r="R185" s="18" t="str">
        <f aca="false">IFERROR(__xludf.dummyfunction("REGEXEXTRACT(ADDRESS(ROW(), 60+$H185), ""[A-Z]+"")"),"BH")</f>
        <v>BH</v>
      </c>
      <c r="S185" s="18" t="str">
        <f aca="false">IFERROR(__xludf.dummyfunction("REGEXEXTRACT(ADDRESS(ROW(), 62+$H185), ""[A-Z]+"")"),"BJ")</f>
        <v>BJ</v>
      </c>
      <c r="T185" s="18" t="str">
        <f aca="false">IFERROR(__xludf.dummyfunction("REGEXEXTRACT(ADDRESS(ROW(), 63+$H185), ""[A-Z]+"")"),"BK")</f>
        <v>BK</v>
      </c>
      <c r="U185" s="19" t="n">
        <f aca="false">IFERROR(__xludf.dummyfunction("IFERROR(QUERY(INDIRECT(""'""&amp;F185&amp;""'!C3:""&amp;T185&amp;""""), ""SELECT ""&amp;I185&amp;"", ""&amp;J185&amp;"", ""&amp;K185&amp;"", ""&amp;L185&amp;"", ""&amp;M185&amp;"", ""&amp;N185&amp;"", ""&amp;O185&amp;"", ""&amp;P185&amp;"", ""&amp;Q185&amp;"", ""&amp;R185&amp;"", ""&amp;S185&amp;"" WHERE '""&amp;B185&amp;""' = D"", 0), """")"),6)</f>
        <v>6</v>
      </c>
      <c r="V185" s="22" t="n">
        <f aca="false">IFERROR(__xludf.dummyfunction("""COMPUTED_VALUE"""),6)</f>
        <v>6</v>
      </c>
      <c r="W185" s="22" t="n">
        <f aca="false">IFERROR(__xludf.dummyfunction("""COMPUTED_VALUE"""),6)</f>
        <v>6</v>
      </c>
      <c r="X185" s="22" t="n">
        <f aca="false">IFERROR(__xludf.dummyfunction("""COMPUTED_VALUE"""),6)</f>
        <v>6</v>
      </c>
      <c r="Y185" s="22" t="n">
        <f aca="false">IFERROR(__xludf.dummyfunction("""COMPUTED_VALUE"""),0)</f>
        <v>0</v>
      </c>
      <c r="Z185" s="22" t="n">
        <f aca="false">IFERROR(__xludf.dummyfunction("""COMPUTED_VALUE"""),0)</f>
        <v>0</v>
      </c>
      <c r="AA185" s="22"/>
      <c r="AB185" s="22" t="n">
        <f aca="false">IFERROR(__xludf.dummyfunction("""COMPUTED_VALUE"""),6)</f>
        <v>6</v>
      </c>
      <c r="AC185" s="22" t="n">
        <f aca="false">IFERROR(__xludf.dummyfunction("""COMPUTED_VALUE"""),30)</f>
        <v>30</v>
      </c>
      <c r="AD185" s="23"/>
      <c r="AE185" s="24" t="n">
        <f aca="false">IFERROR(__xludf.dummyfunction("""COMPUTED_VALUE"""),60)</f>
        <v>60</v>
      </c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</row>
    <row r="186" customFormat="false" ht="18.65" hidden="false" customHeight="false" outlineLevel="0" collapsed="false">
      <c r="A186" s="13" t="n">
        <v>185</v>
      </c>
      <c r="B186" s="14" t="s">
        <v>404</v>
      </c>
      <c r="C186" s="15" t="s">
        <v>405</v>
      </c>
      <c r="D186" s="16" t="s">
        <v>223</v>
      </c>
      <c r="E186" s="16" t="s">
        <v>223</v>
      </c>
      <c r="F186" s="16" t="str">
        <f aca="false">REPLACE(E186, 1, 3, "")</f>
        <v>17</v>
      </c>
      <c r="G186" s="17" t="str">
        <f aca="true">IFERROR(VLOOKUP(B186,INDIRECT("'"&amp;F186&amp;"'!D3:D"),1,FALSE()), "Not found")</f>
        <v>Not found</v>
      </c>
      <c r="H186" s="18" t="n">
        <f aca="true">INDIRECT("'"&amp;F186&amp;"'!D1")</f>
        <v>0</v>
      </c>
      <c r="I186" s="18" t="str">
        <f aca="false">IFERROR(__xludf.dummyfunction("REGEXEXTRACT(ADDRESS(ROW(), 24+$H186), ""[A-Z]+"")"),"X")</f>
        <v>X</v>
      </c>
      <c r="J186" s="18" t="str">
        <f aca="false">IFERROR(__xludf.dummyfunction("REGEXEXTRACT(ADDRESS(ROW(), 30+$H186), ""[A-Z]+"")"),"AD")</f>
        <v>AD</v>
      </c>
      <c r="K186" s="18" t="str">
        <f aca="false">IFERROR(__xludf.dummyfunction("REGEXEXTRACT(ADDRESS(ROW(), 36+$H186), ""[A-Z]+"")"),"AJ")</f>
        <v>AJ</v>
      </c>
      <c r="L186" s="18" t="str">
        <f aca="false">IFERROR(__xludf.dummyfunction("REGEXEXTRACT(ADDRESS(ROW(), 42+$H186), ""[A-Z]+"")"),"AP")</f>
        <v>AP</v>
      </c>
      <c r="M186" s="18" t="str">
        <f aca="false">IFERROR(__xludf.dummyfunction("REGEXEXTRACT(ADDRESS(ROW(), 48+$H186), ""[A-Z]+"")"),"AV")</f>
        <v>AV</v>
      </c>
      <c r="N186" s="18" t="str">
        <f aca="false">IFERROR(__xludf.dummyfunction("REGEXEXTRACT(ADDRESS(ROW(), 50+$H186), ""[A-Z]+"")"),"AX")</f>
        <v>AX</v>
      </c>
      <c r="O186" s="18" t="str">
        <f aca="false">IFERROR(__xludf.dummyfunction("REGEXEXTRACT(ADDRESS(ROW(), 51+$H186), ""[A-Z]+"")"),"AY")</f>
        <v>AY</v>
      </c>
      <c r="P186" s="18" t="str">
        <f aca="false">IFERROR(__xludf.dummyfunction("REGEXEXTRACT(ADDRESS(ROW(), 54+$H186), ""[A-Z]+"")"),"BB")</f>
        <v>BB</v>
      </c>
      <c r="Q186" s="18" t="str">
        <f aca="false">IFERROR(__xludf.dummyfunction("REGEXEXTRACT(ADDRESS(ROW(), 59+$H186), ""[A-Z]+"")"),"BG")</f>
        <v>BG</v>
      </c>
      <c r="R186" s="18" t="str">
        <f aca="false">IFERROR(__xludf.dummyfunction("REGEXEXTRACT(ADDRESS(ROW(), 60+$H186), ""[A-Z]+"")"),"BH")</f>
        <v>BH</v>
      </c>
      <c r="S186" s="18" t="str">
        <f aca="false">IFERROR(__xludf.dummyfunction("REGEXEXTRACT(ADDRESS(ROW(), 62+$H186), ""[A-Z]+"")"),"BJ")</f>
        <v>BJ</v>
      </c>
      <c r="T186" s="18" t="str">
        <f aca="false">IFERROR(__xludf.dummyfunction("REGEXEXTRACT(ADDRESS(ROW(), 63+$H186), ""[A-Z]+"")"),"BK")</f>
        <v>BK</v>
      </c>
      <c r="U186" s="19" t="n">
        <f aca="false">IFERROR(__xludf.dummyfunction("IFERROR(QUERY(INDIRECT(""'""&amp;F186&amp;""'!C3:""&amp;T186&amp;""""), ""SELECT ""&amp;I186&amp;"", ""&amp;J186&amp;"", ""&amp;K186&amp;"", ""&amp;L186&amp;"", ""&amp;M186&amp;"", ""&amp;N186&amp;"", ""&amp;O186&amp;"", ""&amp;P186&amp;"", ""&amp;Q186&amp;"", ""&amp;R186&amp;"", ""&amp;S186&amp;"" WHERE '""&amp;B186&amp;""' = D"", 0), """")"),8.5)</f>
        <v>8.5</v>
      </c>
      <c r="V186" s="22" t="n">
        <f aca="false">IFERROR(__xludf.dummyfunction("""COMPUTED_VALUE"""),8.7)</f>
        <v>8.7</v>
      </c>
      <c r="W186" s="22" t="n">
        <f aca="false">IFERROR(__xludf.dummyfunction("""COMPUTED_VALUE"""),8)</f>
        <v>8</v>
      </c>
      <c r="X186" s="22" t="n">
        <f aca="false">IFERROR(__xludf.dummyfunction("""COMPUTED_VALUE"""),8)</f>
        <v>8</v>
      </c>
      <c r="Y186" s="22" t="n">
        <f aca="false">IFERROR(__xludf.dummyfunction("""COMPUTED_VALUE"""),0)</f>
        <v>0</v>
      </c>
      <c r="Z186" s="22"/>
      <c r="AA186" s="22"/>
      <c r="AB186" s="22" t="n">
        <f aca="false">IFERROR(__xludf.dummyfunction("""COMPUTED_VALUE"""),10)</f>
        <v>10</v>
      </c>
      <c r="AC186" s="22" t="n">
        <f aca="false">IFERROR(__xludf.dummyfunction("""COMPUTED_VALUE"""),0)</f>
        <v>0</v>
      </c>
      <c r="AD186" s="23"/>
      <c r="AE186" s="24" t="n">
        <f aca="false">IFERROR(__xludf.dummyfunction("""COMPUTED_VALUE"""),43.2)</f>
        <v>43.2</v>
      </c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</row>
    <row r="187" customFormat="false" ht="18.65" hidden="false" customHeight="false" outlineLevel="0" collapsed="false">
      <c r="A187" s="13" t="n">
        <v>186</v>
      </c>
      <c r="B187" s="14" t="s">
        <v>406</v>
      </c>
      <c r="C187" s="15" t="s">
        <v>407</v>
      </c>
      <c r="D187" s="16" t="s">
        <v>235</v>
      </c>
      <c r="E187" s="16" t="s">
        <v>235</v>
      </c>
      <c r="F187" s="16" t="str">
        <f aca="false">REPLACE(E187, 1, 3, "")</f>
        <v>18</v>
      </c>
      <c r="G187" s="17" t="str">
        <f aca="true">IFERROR(VLOOKUP(B187,INDIRECT("'"&amp;F187&amp;"'!D3:D"),1,FALSE()), "Not found")</f>
        <v>Not found</v>
      </c>
      <c r="H187" s="18" t="n">
        <f aca="true">INDIRECT("'"&amp;F187&amp;"'!D1")</f>
        <v>0</v>
      </c>
      <c r="I187" s="18" t="str">
        <f aca="false">IFERROR(__xludf.dummyfunction("REGEXEXTRACT(ADDRESS(ROW(), 24+$H187), ""[A-Z]+"")"),"X")</f>
        <v>X</v>
      </c>
      <c r="J187" s="18" t="str">
        <f aca="false">IFERROR(__xludf.dummyfunction("REGEXEXTRACT(ADDRESS(ROW(), 30+$H187), ""[A-Z]+"")"),"AD")</f>
        <v>AD</v>
      </c>
      <c r="K187" s="18" t="str">
        <f aca="false">IFERROR(__xludf.dummyfunction("REGEXEXTRACT(ADDRESS(ROW(), 36+$H187), ""[A-Z]+"")"),"AJ")</f>
        <v>AJ</v>
      </c>
      <c r="L187" s="18" t="str">
        <f aca="false">IFERROR(__xludf.dummyfunction("REGEXEXTRACT(ADDRESS(ROW(), 42+$H187), ""[A-Z]+"")"),"AP")</f>
        <v>AP</v>
      </c>
      <c r="M187" s="18" t="str">
        <f aca="false">IFERROR(__xludf.dummyfunction("REGEXEXTRACT(ADDRESS(ROW(), 48+$H187), ""[A-Z]+"")"),"AV")</f>
        <v>AV</v>
      </c>
      <c r="N187" s="18" t="str">
        <f aca="false">IFERROR(__xludf.dummyfunction("REGEXEXTRACT(ADDRESS(ROW(), 50+$H187), ""[A-Z]+"")"),"AX")</f>
        <v>AX</v>
      </c>
      <c r="O187" s="18" t="str">
        <f aca="false">IFERROR(__xludf.dummyfunction("REGEXEXTRACT(ADDRESS(ROW(), 51+$H187), ""[A-Z]+"")"),"AY")</f>
        <v>AY</v>
      </c>
      <c r="P187" s="18" t="str">
        <f aca="false">IFERROR(__xludf.dummyfunction("REGEXEXTRACT(ADDRESS(ROW(), 54+$H187), ""[A-Z]+"")"),"BB")</f>
        <v>BB</v>
      </c>
      <c r="Q187" s="18" t="str">
        <f aca="false">IFERROR(__xludf.dummyfunction("REGEXEXTRACT(ADDRESS(ROW(), 59+$H187), ""[A-Z]+"")"),"BG")</f>
        <v>BG</v>
      </c>
      <c r="R187" s="18" t="str">
        <f aca="false">IFERROR(__xludf.dummyfunction("REGEXEXTRACT(ADDRESS(ROW(), 60+$H187), ""[A-Z]+"")"),"BH")</f>
        <v>BH</v>
      </c>
      <c r="S187" s="18" t="str">
        <f aca="false">IFERROR(__xludf.dummyfunction("REGEXEXTRACT(ADDRESS(ROW(), 62+$H187), ""[A-Z]+"")"),"BJ")</f>
        <v>BJ</v>
      </c>
      <c r="T187" s="18" t="str">
        <f aca="false">IFERROR(__xludf.dummyfunction("REGEXEXTRACT(ADDRESS(ROW(), 63+$H187), ""[A-Z]+"")"),"BK")</f>
        <v>BK</v>
      </c>
      <c r="U187" s="19" t="n">
        <f aca="false">IFERROR(__xludf.dummyfunction("IFERROR(QUERY(INDIRECT(""'""&amp;F187&amp;""'!C3:""&amp;T187&amp;""""), ""SELECT ""&amp;I187&amp;"", ""&amp;J187&amp;"", ""&amp;K187&amp;"", ""&amp;L187&amp;"", ""&amp;M187&amp;"", ""&amp;N187&amp;"", ""&amp;O187&amp;"", ""&amp;P187&amp;"", ""&amp;Q187&amp;"", ""&amp;R187&amp;"", ""&amp;S187&amp;"" WHERE '""&amp;B187&amp;""' = D"", 0), """")"),9)</f>
        <v>9</v>
      </c>
      <c r="V187" s="22" t="n">
        <f aca="false">IFERROR(__xludf.dummyfunction("""COMPUTED_VALUE"""),9)</f>
        <v>9</v>
      </c>
      <c r="W187" s="22" t="n">
        <f aca="false">IFERROR(__xludf.dummyfunction("""COMPUTED_VALUE"""),9.5)</f>
        <v>9.5</v>
      </c>
      <c r="X187" s="22" t="n">
        <f aca="false">IFERROR(__xludf.dummyfunction("""COMPUTED_VALUE"""),9)</f>
        <v>9</v>
      </c>
      <c r="Y187" s="22" t="n">
        <f aca="false">IFERROR(__xludf.dummyfunction("""COMPUTED_VALUE"""),9)</f>
        <v>9</v>
      </c>
      <c r="Z187" s="22" t="n">
        <f aca="false">IFERROR(__xludf.dummyfunction("""COMPUTED_VALUE"""),0)</f>
        <v>0</v>
      </c>
      <c r="AA187" s="22" t="n">
        <f aca="false">IFERROR(__xludf.dummyfunction("""COMPUTED_VALUE"""),3)</f>
        <v>3</v>
      </c>
      <c r="AB187" s="22" t="n">
        <f aca="false">IFERROR(__xludf.dummyfunction("""COMPUTED_VALUE"""),9)</f>
        <v>9</v>
      </c>
      <c r="AC187" s="22" t="n">
        <f aca="false">IFERROR(__xludf.dummyfunction("""COMPUTED_VALUE"""),30)</f>
        <v>30</v>
      </c>
      <c r="AD187" s="23" t="n">
        <f aca="false">IFERROR(__xludf.dummyfunction("""COMPUTED_VALUE"""),3)</f>
        <v>3</v>
      </c>
      <c r="AE187" s="24" t="n">
        <f aca="false">IFERROR(__xludf.dummyfunction("""COMPUTED_VALUE"""),90.5)</f>
        <v>90.5</v>
      </c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</row>
    <row r="188" customFormat="false" ht="18.65" hidden="false" customHeight="false" outlineLevel="0" collapsed="false">
      <c r="A188" s="13" t="n">
        <v>187</v>
      </c>
      <c r="B188" s="14" t="s">
        <v>408</v>
      </c>
      <c r="C188" s="15" t="s">
        <v>409</v>
      </c>
      <c r="D188" s="16" t="s">
        <v>177</v>
      </c>
      <c r="E188" s="16" t="s">
        <v>177</v>
      </c>
      <c r="F188" s="16" t="str">
        <f aca="false">REPLACE(E188, 1, 3, "")</f>
        <v>19</v>
      </c>
      <c r="G188" s="17" t="str">
        <f aca="true">IFERROR(VLOOKUP(B188,INDIRECT("'"&amp;F188&amp;"'!D3:D"),1,FALSE()), "Not found")</f>
        <v>Not found</v>
      </c>
      <c r="H188" s="18" t="n">
        <f aca="true">INDIRECT("'"&amp;F188&amp;"'!D1")</f>
        <v>0</v>
      </c>
      <c r="I188" s="18" t="str">
        <f aca="false">IFERROR(__xludf.dummyfunction("REGEXEXTRACT(ADDRESS(ROW(), 24+$H188), ""[A-Z]+"")"),"X")</f>
        <v>X</v>
      </c>
      <c r="J188" s="18" t="str">
        <f aca="false">IFERROR(__xludf.dummyfunction("REGEXEXTRACT(ADDRESS(ROW(), 30+$H188), ""[A-Z]+"")"),"AD")</f>
        <v>AD</v>
      </c>
      <c r="K188" s="18" t="str">
        <f aca="false">IFERROR(__xludf.dummyfunction("REGEXEXTRACT(ADDRESS(ROW(), 36+$H188), ""[A-Z]+"")"),"AJ")</f>
        <v>AJ</v>
      </c>
      <c r="L188" s="18" t="str">
        <f aca="false">IFERROR(__xludf.dummyfunction("REGEXEXTRACT(ADDRESS(ROW(), 42+$H188), ""[A-Z]+"")"),"AP")</f>
        <v>AP</v>
      </c>
      <c r="M188" s="18" t="str">
        <f aca="false">IFERROR(__xludf.dummyfunction("REGEXEXTRACT(ADDRESS(ROW(), 48+$H188), ""[A-Z]+"")"),"AV")</f>
        <v>AV</v>
      </c>
      <c r="N188" s="18" t="str">
        <f aca="false">IFERROR(__xludf.dummyfunction("REGEXEXTRACT(ADDRESS(ROW(), 50+$H188), ""[A-Z]+"")"),"AX")</f>
        <v>AX</v>
      </c>
      <c r="O188" s="18" t="str">
        <f aca="false">IFERROR(__xludf.dummyfunction("REGEXEXTRACT(ADDRESS(ROW(), 51+$H188), ""[A-Z]+"")"),"AY")</f>
        <v>AY</v>
      </c>
      <c r="P188" s="18" t="str">
        <f aca="false">IFERROR(__xludf.dummyfunction("REGEXEXTRACT(ADDRESS(ROW(), 54+$H188), ""[A-Z]+"")"),"BB")</f>
        <v>BB</v>
      </c>
      <c r="Q188" s="18" t="str">
        <f aca="false">IFERROR(__xludf.dummyfunction("REGEXEXTRACT(ADDRESS(ROW(), 59+$H188), ""[A-Z]+"")"),"BG")</f>
        <v>BG</v>
      </c>
      <c r="R188" s="18" t="str">
        <f aca="false">IFERROR(__xludf.dummyfunction("REGEXEXTRACT(ADDRESS(ROW(), 60+$H188), ""[A-Z]+"")"),"BH")</f>
        <v>BH</v>
      </c>
      <c r="S188" s="18" t="str">
        <f aca="false">IFERROR(__xludf.dummyfunction("REGEXEXTRACT(ADDRESS(ROW(), 62+$H188), ""[A-Z]+"")"),"BJ")</f>
        <v>BJ</v>
      </c>
      <c r="T188" s="18" t="str">
        <f aca="false">IFERROR(__xludf.dummyfunction("REGEXEXTRACT(ADDRESS(ROW(), 63+$H188), ""[A-Z]+"")"),"BK")</f>
        <v>BK</v>
      </c>
      <c r="U188" s="19" t="n">
        <f aca="false">IFERROR(__xludf.dummyfunction("IFERROR(QUERY(INDIRECT(""'""&amp;F188&amp;""'!C3:""&amp;T188&amp;""""), ""SELECT ""&amp;I188&amp;"", ""&amp;J188&amp;"", ""&amp;K188&amp;"", ""&amp;L188&amp;"", ""&amp;M188&amp;"", ""&amp;N188&amp;"", ""&amp;O188&amp;"", ""&amp;P188&amp;"", ""&amp;Q188&amp;"", ""&amp;R188&amp;"", ""&amp;S188&amp;"" WHERE '""&amp;B188&amp;""' = D"", 0), """")"),10)</f>
        <v>10</v>
      </c>
      <c r="V188" s="22" t="n">
        <f aca="false">IFERROR(__xludf.dummyfunction("""COMPUTED_VALUE"""),10)</f>
        <v>10</v>
      </c>
      <c r="W188" s="22" t="n">
        <f aca="false">IFERROR(__xludf.dummyfunction("""COMPUTED_VALUE"""),10)</f>
        <v>10</v>
      </c>
      <c r="X188" s="22" t="n">
        <f aca="false">IFERROR(__xludf.dummyfunction("""COMPUTED_VALUE"""),10)</f>
        <v>10</v>
      </c>
      <c r="Y188" s="22" t="n">
        <f aca="false">IFERROR(__xludf.dummyfunction("""COMPUTED_VALUE"""),10)</f>
        <v>10</v>
      </c>
      <c r="Z188" s="22" t="n">
        <f aca="false">IFERROR(__xludf.dummyfunction("""COMPUTED_VALUE"""),0)</f>
        <v>0</v>
      </c>
      <c r="AA188" s="22" t="n">
        <f aca="false">IFERROR(__xludf.dummyfunction("""COMPUTED_VALUE"""),0)</f>
        <v>0</v>
      </c>
      <c r="AB188" s="22" t="n">
        <f aca="false">IFERROR(__xludf.dummyfunction("""COMPUTED_VALUE"""),6)</f>
        <v>6</v>
      </c>
      <c r="AC188" s="22" t="n">
        <f aca="false">IFERROR(__xludf.dummyfunction("""COMPUTED_VALUE"""),19)</f>
        <v>19</v>
      </c>
      <c r="AD188" s="23"/>
      <c r="AE188" s="24" t="n">
        <f aca="false">IFERROR(__xludf.dummyfunction("""COMPUTED_VALUE"""),75)</f>
        <v>75</v>
      </c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</row>
    <row r="189" customFormat="false" ht="18.65" hidden="false" customHeight="false" outlineLevel="0" collapsed="false">
      <c r="A189" s="13" t="n">
        <v>188</v>
      </c>
      <c r="B189" s="14" t="s">
        <v>410</v>
      </c>
      <c r="C189" s="15" t="s">
        <v>411</v>
      </c>
      <c r="D189" s="16" t="s">
        <v>186</v>
      </c>
      <c r="E189" s="16" t="s">
        <v>186</v>
      </c>
      <c r="F189" s="16" t="str">
        <f aca="false">REPLACE(E189, 1, 3, "")</f>
        <v>06</v>
      </c>
      <c r="G189" s="17" t="str">
        <f aca="true">IFERROR(VLOOKUP(B189,INDIRECT("'"&amp;F189&amp;"'!D3:D"),1,FALSE()), "Not found")</f>
        <v>Not found</v>
      </c>
      <c r="H189" s="18" t="n">
        <f aca="true">INDIRECT("'"&amp;F189&amp;"'!D1")</f>
        <v>0</v>
      </c>
      <c r="I189" s="18" t="str">
        <f aca="false">IFERROR(__xludf.dummyfunction("REGEXEXTRACT(ADDRESS(ROW(), 24+$H189), ""[A-Z]+"")"),"X")</f>
        <v>X</v>
      </c>
      <c r="J189" s="18" t="str">
        <f aca="false">IFERROR(__xludf.dummyfunction("REGEXEXTRACT(ADDRESS(ROW(), 30+$H189), ""[A-Z]+"")"),"AD")</f>
        <v>AD</v>
      </c>
      <c r="K189" s="18" t="str">
        <f aca="false">IFERROR(__xludf.dummyfunction("REGEXEXTRACT(ADDRESS(ROW(), 36+$H189), ""[A-Z]+"")"),"AJ")</f>
        <v>AJ</v>
      </c>
      <c r="L189" s="18" t="str">
        <f aca="false">IFERROR(__xludf.dummyfunction("REGEXEXTRACT(ADDRESS(ROW(), 42+$H189), ""[A-Z]+"")"),"AP")</f>
        <v>AP</v>
      </c>
      <c r="M189" s="18" t="str">
        <f aca="false">IFERROR(__xludf.dummyfunction("REGEXEXTRACT(ADDRESS(ROW(), 48+$H189), ""[A-Z]+"")"),"AV")</f>
        <v>AV</v>
      </c>
      <c r="N189" s="18" t="str">
        <f aca="false">IFERROR(__xludf.dummyfunction("REGEXEXTRACT(ADDRESS(ROW(), 50+$H189), ""[A-Z]+"")"),"AX")</f>
        <v>AX</v>
      </c>
      <c r="O189" s="18" t="str">
        <f aca="false">IFERROR(__xludf.dummyfunction("REGEXEXTRACT(ADDRESS(ROW(), 51+$H189), ""[A-Z]+"")"),"AY")</f>
        <v>AY</v>
      </c>
      <c r="P189" s="18" t="str">
        <f aca="false">IFERROR(__xludf.dummyfunction("REGEXEXTRACT(ADDRESS(ROW(), 54+$H189), ""[A-Z]+"")"),"BB")</f>
        <v>BB</v>
      </c>
      <c r="Q189" s="18" t="str">
        <f aca="false">IFERROR(__xludf.dummyfunction("REGEXEXTRACT(ADDRESS(ROW(), 59+$H189), ""[A-Z]+"")"),"BG")</f>
        <v>BG</v>
      </c>
      <c r="R189" s="18" t="str">
        <f aca="false">IFERROR(__xludf.dummyfunction("REGEXEXTRACT(ADDRESS(ROW(), 60+$H189), ""[A-Z]+"")"),"BH")</f>
        <v>BH</v>
      </c>
      <c r="S189" s="18" t="str">
        <f aca="false">IFERROR(__xludf.dummyfunction("REGEXEXTRACT(ADDRESS(ROW(), 62+$H189), ""[A-Z]+"")"),"BJ")</f>
        <v>BJ</v>
      </c>
      <c r="T189" s="18" t="str">
        <f aca="false">IFERROR(__xludf.dummyfunction("REGEXEXTRACT(ADDRESS(ROW(), 63+$H189), ""[A-Z]+"")"),"BK")</f>
        <v>BK</v>
      </c>
      <c r="U189" s="19" t="str">
        <f aca="false">IFERROR(__xludf.dummyfunction("IFERROR(QUERY(INDIRECT(""'""&amp;F189&amp;""'!C3:""&amp;T189&amp;""""), ""SELECT ""&amp;I189&amp;"", ""&amp;J189&amp;"", ""&amp;K189&amp;"", ""&amp;L189&amp;"", ""&amp;M189&amp;"", ""&amp;N189&amp;"", ""&amp;O189&amp;"", ""&amp;P189&amp;"", ""&amp;Q189&amp;"", ""&amp;R189&amp;"", ""&amp;S189&amp;"" WHERE '""&amp;B189&amp;""' = D"", 0), """")"),"")</f>
        <v/>
      </c>
      <c r="V189" s="22"/>
      <c r="W189" s="22"/>
      <c r="X189" s="22"/>
      <c r="Y189" s="22" t="n">
        <f aca="false">IFERROR(__xludf.dummyfunction("""COMPUTED_VALUE"""),0)</f>
        <v>0</v>
      </c>
      <c r="Z189" s="22" t="n">
        <f aca="false">IFERROR(__xludf.dummyfunction("""COMPUTED_VALUE"""),0)</f>
        <v>0</v>
      </c>
      <c r="AA189" s="22"/>
      <c r="AB189" s="22"/>
      <c r="AC189" s="22"/>
      <c r="AD189" s="23"/>
      <c r="AE189" s="24" t="n">
        <f aca="false">IFERROR(__xludf.dummyfunction("""COMPUTED_VALUE"""),0)</f>
        <v>0</v>
      </c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</row>
    <row r="190" customFormat="false" ht="18.65" hidden="false" customHeight="false" outlineLevel="0" collapsed="false">
      <c r="A190" s="13" t="n">
        <v>189</v>
      </c>
      <c r="B190" s="14" t="s">
        <v>412</v>
      </c>
      <c r="C190" s="15" t="s">
        <v>413</v>
      </c>
      <c r="D190" s="16" t="s">
        <v>223</v>
      </c>
      <c r="E190" s="16" t="s">
        <v>223</v>
      </c>
      <c r="F190" s="16" t="str">
        <f aca="false">REPLACE(E190, 1, 3, "")</f>
        <v>17</v>
      </c>
      <c r="G190" s="17" t="str">
        <f aca="true">IFERROR(VLOOKUP(B190,INDIRECT("'"&amp;F190&amp;"'!D3:D"),1,FALSE()), "Not found")</f>
        <v>Not found</v>
      </c>
      <c r="H190" s="18" t="n">
        <f aca="true">INDIRECT("'"&amp;F190&amp;"'!D1")</f>
        <v>0</v>
      </c>
      <c r="I190" s="18" t="str">
        <f aca="false">IFERROR(__xludf.dummyfunction("REGEXEXTRACT(ADDRESS(ROW(), 24+$H190), ""[A-Z]+"")"),"X")</f>
        <v>X</v>
      </c>
      <c r="J190" s="18" t="str">
        <f aca="false">IFERROR(__xludf.dummyfunction("REGEXEXTRACT(ADDRESS(ROW(), 30+$H190), ""[A-Z]+"")"),"AD")</f>
        <v>AD</v>
      </c>
      <c r="K190" s="18" t="str">
        <f aca="false">IFERROR(__xludf.dummyfunction("REGEXEXTRACT(ADDRESS(ROW(), 36+$H190), ""[A-Z]+"")"),"AJ")</f>
        <v>AJ</v>
      </c>
      <c r="L190" s="18" t="str">
        <f aca="false">IFERROR(__xludf.dummyfunction("REGEXEXTRACT(ADDRESS(ROW(), 42+$H190), ""[A-Z]+"")"),"AP")</f>
        <v>AP</v>
      </c>
      <c r="M190" s="18" t="str">
        <f aca="false">IFERROR(__xludf.dummyfunction("REGEXEXTRACT(ADDRESS(ROW(), 48+$H190), ""[A-Z]+"")"),"AV")</f>
        <v>AV</v>
      </c>
      <c r="N190" s="18" t="str">
        <f aca="false">IFERROR(__xludf.dummyfunction("REGEXEXTRACT(ADDRESS(ROW(), 50+$H190), ""[A-Z]+"")"),"AX")</f>
        <v>AX</v>
      </c>
      <c r="O190" s="18" t="str">
        <f aca="false">IFERROR(__xludf.dummyfunction("REGEXEXTRACT(ADDRESS(ROW(), 51+$H190), ""[A-Z]+"")"),"AY")</f>
        <v>AY</v>
      </c>
      <c r="P190" s="18" t="str">
        <f aca="false">IFERROR(__xludf.dummyfunction("REGEXEXTRACT(ADDRESS(ROW(), 54+$H190), ""[A-Z]+"")"),"BB")</f>
        <v>BB</v>
      </c>
      <c r="Q190" s="18" t="str">
        <f aca="false">IFERROR(__xludf.dummyfunction("REGEXEXTRACT(ADDRESS(ROW(), 59+$H190), ""[A-Z]+"")"),"BG")</f>
        <v>BG</v>
      </c>
      <c r="R190" s="18" t="str">
        <f aca="false">IFERROR(__xludf.dummyfunction("REGEXEXTRACT(ADDRESS(ROW(), 60+$H190), ""[A-Z]+"")"),"BH")</f>
        <v>BH</v>
      </c>
      <c r="S190" s="18" t="str">
        <f aca="false">IFERROR(__xludf.dummyfunction("REGEXEXTRACT(ADDRESS(ROW(), 62+$H190), ""[A-Z]+"")"),"BJ")</f>
        <v>BJ</v>
      </c>
      <c r="T190" s="18" t="str">
        <f aca="false">IFERROR(__xludf.dummyfunction("REGEXEXTRACT(ADDRESS(ROW(), 63+$H190), ""[A-Z]+"")"),"BK")</f>
        <v>BK</v>
      </c>
      <c r="U190" s="19" t="str">
        <f aca="false">IFERROR(__xludf.dummyfunction("IFERROR(QUERY(INDIRECT(""'""&amp;F190&amp;""'!C3:""&amp;T190&amp;""""), ""SELECT ""&amp;I190&amp;"", ""&amp;J190&amp;"", ""&amp;K190&amp;"", ""&amp;L190&amp;"", ""&amp;M190&amp;"", ""&amp;N190&amp;"", ""&amp;O190&amp;"", ""&amp;P190&amp;"", ""&amp;Q190&amp;"", ""&amp;R190&amp;"", ""&amp;S190&amp;"" WHERE '""&amp;B190&amp;""' = D"", 0), """")"),"")</f>
        <v/>
      </c>
      <c r="V190" s="22"/>
      <c r="W190" s="22"/>
      <c r="X190" s="22"/>
      <c r="Y190" s="22" t="n">
        <f aca="false">IFERROR(__xludf.dummyfunction("""COMPUTED_VALUE"""),0)</f>
        <v>0</v>
      </c>
      <c r="Z190" s="22"/>
      <c r="AA190" s="22"/>
      <c r="AB190" s="22" t="n">
        <f aca="false">IFERROR(__xludf.dummyfunction("""COMPUTED_VALUE"""),0)</f>
        <v>0</v>
      </c>
      <c r="AC190" s="22"/>
      <c r="AD190" s="23"/>
      <c r="AE190" s="24" t="n">
        <f aca="false">IFERROR(__xludf.dummyfunction("""COMPUTED_VALUE"""),0)</f>
        <v>0</v>
      </c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</row>
    <row r="191" customFormat="false" ht="18.65" hidden="false" customHeight="false" outlineLevel="0" collapsed="false">
      <c r="A191" s="13" t="n">
        <v>190</v>
      </c>
      <c r="B191" s="14" t="s">
        <v>414</v>
      </c>
      <c r="C191" s="15" t="s">
        <v>415</v>
      </c>
      <c r="D191" s="16" t="s">
        <v>279</v>
      </c>
      <c r="E191" s="16" t="s">
        <v>279</v>
      </c>
      <c r="F191" s="16" t="str">
        <f aca="false">REPLACE(E191, 1, 3, "")</f>
        <v>07</v>
      </c>
      <c r="G191" s="17" t="str">
        <f aca="true">IFERROR(VLOOKUP(B191,INDIRECT("'"&amp;F191&amp;"'!D3:D"),1,FALSE()), "Not found")</f>
        <v>Not found</v>
      </c>
      <c r="H191" s="18" t="n">
        <f aca="true">INDIRECT("'"&amp;F191&amp;"'!D1")</f>
        <v>0</v>
      </c>
      <c r="I191" s="18" t="str">
        <f aca="false">IFERROR(__xludf.dummyfunction("REGEXEXTRACT(ADDRESS(ROW(), 24+$H191), ""[A-Z]+"")"),"X")</f>
        <v>X</v>
      </c>
      <c r="J191" s="18" t="str">
        <f aca="false">IFERROR(__xludf.dummyfunction("REGEXEXTRACT(ADDRESS(ROW(), 30+$H191), ""[A-Z]+"")"),"AD")</f>
        <v>AD</v>
      </c>
      <c r="K191" s="18" t="str">
        <f aca="false">IFERROR(__xludf.dummyfunction("REGEXEXTRACT(ADDRESS(ROW(), 36+$H191), ""[A-Z]+"")"),"AJ")</f>
        <v>AJ</v>
      </c>
      <c r="L191" s="18" t="str">
        <f aca="false">IFERROR(__xludf.dummyfunction("REGEXEXTRACT(ADDRESS(ROW(), 42+$H191), ""[A-Z]+"")"),"AP")</f>
        <v>AP</v>
      </c>
      <c r="M191" s="18" t="str">
        <f aca="false">IFERROR(__xludf.dummyfunction("REGEXEXTRACT(ADDRESS(ROW(), 48+$H191), ""[A-Z]+"")"),"AV")</f>
        <v>AV</v>
      </c>
      <c r="N191" s="18" t="str">
        <f aca="false">IFERROR(__xludf.dummyfunction("REGEXEXTRACT(ADDRESS(ROW(), 50+$H191), ""[A-Z]+"")"),"AX")</f>
        <v>AX</v>
      </c>
      <c r="O191" s="18" t="str">
        <f aca="false">IFERROR(__xludf.dummyfunction("REGEXEXTRACT(ADDRESS(ROW(), 51+$H191), ""[A-Z]+"")"),"AY")</f>
        <v>AY</v>
      </c>
      <c r="P191" s="18" t="str">
        <f aca="false">IFERROR(__xludf.dummyfunction("REGEXEXTRACT(ADDRESS(ROW(), 54+$H191), ""[A-Z]+"")"),"BB")</f>
        <v>BB</v>
      </c>
      <c r="Q191" s="18" t="str">
        <f aca="false">IFERROR(__xludf.dummyfunction("REGEXEXTRACT(ADDRESS(ROW(), 59+$H191), ""[A-Z]+"")"),"BG")</f>
        <v>BG</v>
      </c>
      <c r="R191" s="18" t="str">
        <f aca="false">IFERROR(__xludf.dummyfunction("REGEXEXTRACT(ADDRESS(ROW(), 60+$H191), ""[A-Z]+"")"),"BH")</f>
        <v>BH</v>
      </c>
      <c r="S191" s="18" t="str">
        <f aca="false">IFERROR(__xludf.dummyfunction("REGEXEXTRACT(ADDRESS(ROW(), 62+$H191), ""[A-Z]+"")"),"BJ")</f>
        <v>BJ</v>
      </c>
      <c r="T191" s="18" t="str">
        <f aca="false">IFERROR(__xludf.dummyfunction("REGEXEXTRACT(ADDRESS(ROW(), 63+$H191), ""[A-Z]+"")"),"BK")</f>
        <v>BK</v>
      </c>
      <c r="U191" s="19" t="str">
        <f aca="false">IFERROR(__xludf.dummyfunction("IFERROR(QUERY(INDIRECT(""'""&amp;F191&amp;""'!C3:""&amp;T191&amp;""""), ""SELECT ""&amp;I191&amp;"", ""&amp;J191&amp;"", ""&amp;K191&amp;"", ""&amp;L191&amp;"", ""&amp;M191&amp;"", ""&amp;N191&amp;"", ""&amp;O191&amp;"", ""&amp;P191&amp;"", ""&amp;Q191&amp;"", ""&amp;R191&amp;"", ""&amp;S191&amp;"" WHERE '""&amp;B191&amp;""' = D"", 0), """")"),"")</f>
        <v/>
      </c>
      <c r="V191" s="22"/>
      <c r="W191" s="22"/>
      <c r="X191" s="22"/>
      <c r="Y191" s="22"/>
      <c r="Z191" s="22"/>
      <c r="AA191" s="22"/>
      <c r="AB191" s="22"/>
      <c r="AC191" s="22"/>
      <c r="AD191" s="23"/>
      <c r="AE191" s="24" t="n">
        <f aca="false">IFERROR(__xludf.dummyfunction("""COMPUTED_VALUE"""),0)</f>
        <v>0</v>
      </c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</row>
    <row r="192" customFormat="false" ht="18.65" hidden="false" customHeight="false" outlineLevel="0" collapsed="false">
      <c r="A192" s="13" t="n">
        <v>191</v>
      </c>
      <c r="B192" s="14" t="s">
        <v>416</v>
      </c>
      <c r="C192" s="15" t="s">
        <v>417</v>
      </c>
      <c r="D192" s="16" t="s">
        <v>191</v>
      </c>
      <c r="E192" s="16" t="s">
        <v>191</v>
      </c>
      <c r="F192" s="16" t="str">
        <f aca="false">REPLACE(E192, 1, 3, "")</f>
        <v>12</v>
      </c>
      <c r="G192" s="17" t="str">
        <f aca="true">IFERROR(VLOOKUP(B192,INDIRECT("'"&amp;F192&amp;"'!D3:D"),1,FALSE()), "Not found")</f>
        <v>Not found</v>
      </c>
      <c r="H192" s="18" t="n">
        <f aca="true">INDIRECT("'"&amp;F192&amp;"'!D1")</f>
        <v>0</v>
      </c>
      <c r="I192" s="18" t="str">
        <f aca="false">IFERROR(__xludf.dummyfunction("REGEXEXTRACT(ADDRESS(ROW(), 24+$H192), ""[A-Z]+"")"),"X")</f>
        <v>X</v>
      </c>
      <c r="J192" s="18" t="str">
        <f aca="false">IFERROR(__xludf.dummyfunction("REGEXEXTRACT(ADDRESS(ROW(), 30+$H192), ""[A-Z]+"")"),"AD")</f>
        <v>AD</v>
      </c>
      <c r="K192" s="18" t="str">
        <f aca="false">IFERROR(__xludf.dummyfunction("REGEXEXTRACT(ADDRESS(ROW(), 36+$H192), ""[A-Z]+"")"),"AJ")</f>
        <v>AJ</v>
      </c>
      <c r="L192" s="18" t="str">
        <f aca="false">IFERROR(__xludf.dummyfunction("REGEXEXTRACT(ADDRESS(ROW(), 42+$H192), ""[A-Z]+"")"),"AP")</f>
        <v>AP</v>
      </c>
      <c r="M192" s="18" t="str">
        <f aca="false">IFERROR(__xludf.dummyfunction("REGEXEXTRACT(ADDRESS(ROW(), 48+$H192), ""[A-Z]+"")"),"AV")</f>
        <v>AV</v>
      </c>
      <c r="N192" s="18" t="str">
        <f aca="false">IFERROR(__xludf.dummyfunction("REGEXEXTRACT(ADDRESS(ROW(), 50+$H192), ""[A-Z]+"")"),"AX")</f>
        <v>AX</v>
      </c>
      <c r="O192" s="18" t="str">
        <f aca="false">IFERROR(__xludf.dummyfunction("REGEXEXTRACT(ADDRESS(ROW(), 51+$H192), ""[A-Z]+"")"),"AY")</f>
        <v>AY</v>
      </c>
      <c r="P192" s="18" t="str">
        <f aca="false">IFERROR(__xludf.dummyfunction("REGEXEXTRACT(ADDRESS(ROW(), 54+$H192), ""[A-Z]+"")"),"BB")</f>
        <v>BB</v>
      </c>
      <c r="Q192" s="18" t="str">
        <f aca="false">IFERROR(__xludf.dummyfunction("REGEXEXTRACT(ADDRESS(ROW(), 59+$H192), ""[A-Z]+"")"),"BG")</f>
        <v>BG</v>
      </c>
      <c r="R192" s="18" t="str">
        <f aca="false">IFERROR(__xludf.dummyfunction("REGEXEXTRACT(ADDRESS(ROW(), 60+$H192), ""[A-Z]+"")"),"BH")</f>
        <v>BH</v>
      </c>
      <c r="S192" s="18" t="str">
        <f aca="false">IFERROR(__xludf.dummyfunction("REGEXEXTRACT(ADDRESS(ROW(), 62+$H192), ""[A-Z]+"")"),"BJ")</f>
        <v>BJ</v>
      </c>
      <c r="T192" s="18" t="str">
        <f aca="false">IFERROR(__xludf.dummyfunction("REGEXEXTRACT(ADDRESS(ROW(), 63+$H192), ""[A-Z]+"")"),"BK")</f>
        <v>BK</v>
      </c>
      <c r="U192" s="19" t="n">
        <f aca="false">IFERROR(__xludf.dummyfunction("IFERROR(QUERY(INDIRECT(""'""&amp;F192&amp;""'!C3:""&amp;T192&amp;""""), ""SELECT ""&amp;I192&amp;"", ""&amp;J192&amp;"", ""&amp;K192&amp;"", ""&amp;L192&amp;"", ""&amp;M192&amp;"", ""&amp;N192&amp;"", ""&amp;O192&amp;"", ""&amp;P192&amp;"", ""&amp;Q192&amp;"", ""&amp;R192&amp;"", ""&amp;S192&amp;"" WHERE '""&amp;B192&amp;""' = D"", 0), """")"),10)</f>
        <v>10</v>
      </c>
      <c r="V192" s="22" t="n">
        <f aca="false">IFERROR(__xludf.dummyfunction("""COMPUTED_VALUE"""),10)</f>
        <v>10</v>
      </c>
      <c r="W192" s="22" t="n">
        <f aca="false">IFERROR(__xludf.dummyfunction("""COMPUTED_VALUE"""),10)</f>
        <v>10</v>
      </c>
      <c r="X192" s="22" t="n">
        <f aca="false">IFERROR(__xludf.dummyfunction("""COMPUTED_VALUE"""),10)</f>
        <v>10</v>
      </c>
      <c r="Y192" s="22" t="n">
        <f aca="false">IFERROR(__xludf.dummyfunction("""COMPUTED_VALUE"""),10)</f>
        <v>10</v>
      </c>
      <c r="Z192" s="22" t="n">
        <f aca="false">IFERROR(__xludf.dummyfunction("""COMPUTED_VALUE"""),1)</f>
        <v>1</v>
      </c>
      <c r="AA192" s="22" t="n">
        <f aca="false">IFERROR(__xludf.dummyfunction("""COMPUTED_VALUE"""),1.5)</f>
        <v>1.5</v>
      </c>
      <c r="AB192" s="22" t="n">
        <f aca="false">IFERROR(__xludf.dummyfunction("""COMPUTED_VALUE"""),9.5)</f>
        <v>9.5</v>
      </c>
      <c r="AC192" s="22" t="n">
        <f aca="false">IFERROR(__xludf.dummyfunction("""COMPUTED_VALUE"""),7)</f>
        <v>7</v>
      </c>
      <c r="AD192" s="23"/>
      <c r="AE192" s="24" t="n">
        <f aca="false">IFERROR(__xludf.dummyfunction("""COMPUTED_VALUE"""),69)</f>
        <v>69</v>
      </c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</row>
    <row r="193" customFormat="false" ht="18.65" hidden="false" customHeight="false" outlineLevel="0" collapsed="false">
      <c r="A193" s="13" t="n">
        <v>192</v>
      </c>
      <c r="B193" s="14" t="s">
        <v>418</v>
      </c>
      <c r="C193" s="15" t="s">
        <v>419</v>
      </c>
      <c r="D193" s="16" t="s">
        <v>218</v>
      </c>
      <c r="E193" s="16" t="s">
        <v>218</v>
      </c>
      <c r="F193" s="16" t="str">
        <f aca="false">REPLACE(E193, 1, 3, "")</f>
        <v>15</v>
      </c>
      <c r="G193" s="17" t="str">
        <f aca="true">IFERROR(VLOOKUP(B193,INDIRECT("'"&amp;F193&amp;"'!D3:D"),1,FALSE()), "Not found")</f>
        <v>Not found</v>
      </c>
      <c r="H193" s="18" t="n">
        <f aca="true">INDIRECT("'"&amp;F193&amp;"'!D1")</f>
        <v>0</v>
      </c>
      <c r="I193" s="18" t="str">
        <f aca="false">IFERROR(__xludf.dummyfunction("REGEXEXTRACT(ADDRESS(ROW(), 24+$H193), ""[A-Z]+"")"),"X")</f>
        <v>X</v>
      </c>
      <c r="J193" s="18" t="str">
        <f aca="false">IFERROR(__xludf.dummyfunction("REGEXEXTRACT(ADDRESS(ROW(), 30+$H193), ""[A-Z]+"")"),"AD")</f>
        <v>AD</v>
      </c>
      <c r="K193" s="18" t="str">
        <f aca="false">IFERROR(__xludf.dummyfunction("REGEXEXTRACT(ADDRESS(ROW(), 36+$H193), ""[A-Z]+"")"),"AJ")</f>
        <v>AJ</v>
      </c>
      <c r="L193" s="18" t="str">
        <f aca="false">IFERROR(__xludf.dummyfunction("REGEXEXTRACT(ADDRESS(ROW(), 42+$H193), ""[A-Z]+"")"),"AP")</f>
        <v>AP</v>
      </c>
      <c r="M193" s="18" t="str">
        <f aca="false">IFERROR(__xludf.dummyfunction("REGEXEXTRACT(ADDRESS(ROW(), 48+$H193), ""[A-Z]+"")"),"AV")</f>
        <v>AV</v>
      </c>
      <c r="N193" s="18" t="str">
        <f aca="false">IFERROR(__xludf.dummyfunction("REGEXEXTRACT(ADDRESS(ROW(), 50+$H193), ""[A-Z]+"")"),"AX")</f>
        <v>AX</v>
      </c>
      <c r="O193" s="18" t="str">
        <f aca="false">IFERROR(__xludf.dummyfunction("REGEXEXTRACT(ADDRESS(ROW(), 51+$H193), ""[A-Z]+"")"),"AY")</f>
        <v>AY</v>
      </c>
      <c r="P193" s="18" t="str">
        <f aca="false">IFERROR(__xludf.dummyfunction("REGEXEXTRACT(ADDRESS(ROW(), 54+$H193), ""[A-Z]+"")"),"BB")</f>
        <v>BB</v>
      </c>
      <c r="Q193" s="18" t="str">
        <f aca="false">IFERROR(__xludf.dummyfunction("REGEXEXTRACT(ADDRESS(ROW(), 59+$H193), ""[A-Z]+"")"),"BG")</f>
        <v>BG</v>
      </c>
      <c r="R193" s="18" t="str">
        <f aca="false">IFERROR(__xludf.dummyfunction("REGEXEXTRACT(ADDRESS(ROW(), 60+$H193), ""[A-Z]+"")"),"BH")</f>
        <v>BH</v>
      </c>
      <c r="S193" s="18" t="str">
        <f aca="false">IFERROR(__xludf.dummyfunction("REGEXEXTRACT(ADDRESS(ROW(), 62+$H193), ""[A-Z]+"")"),"BJ")</f>
        <v>BJ</v>
      </c>
      <c r="T193" s="18" t="str">
        <f aca="false">IFERROR(__xludf.dummyfunction("REGEXEXTRACT(ADDRESS(ROW(), 63+$H193), ""[A-Z]+"")"),"BK")</f>
        <v>BK</v>
      </c>
      <c r="U193" s="19" t="n">
        <f aca="false">IFERROR(__xludf.dummyfunction("IFERROR(QUERY(INDIRECT(""'""&amp;F193&amp;""'!C3:""&amp;T193&amp;""""), ""SELECT ""&amp;I193&amp;"", ""&amp;J193&amp;"", ""&amp;K193&amp;"", ""&amp;L193&amp;"", ""&amp;M193&amp;"", ""&amp;N193&amp;"", ""&amp;O193&amp;"", ""&amp;P193&amp;"", ""&amp;Q193&amp;"", ""&amp;R193&amp;"", ""&amp;S193&amp;"" WHERE '""&amp;B193&amp;""' = D"", 0), """")"),7.8)</f>
        <v>7.8</v>
      </c>
      <c r="V193" s="22" t="n">
        <f aca="false">IFERROR(__xludf.dummyfunction("""COMPUTED_VALUE"""),9)</f>
        <v>9</v>
      </c>
      <c r="W193" s="22" t="n">
        <f aca="false">IFERROR(__xludf.dummyfunction("""COMPUTED_VALUE"""),7)</f>
        <v>7</v>
      </c>
      <c r="X193" s="22" t="n">
        <f aca="false">IFERROR(__xludf.dummyfunction("""COMPUTED_VALUE"""),7.5)</f>
        <v>7.5</v>
      </c>
      <c r="Y193" s="22" t="n">
        <f aca="false">IFERROR(__xludf.dummyfunction("""COMPUTED_VALUE"""),7)</f>
        <v>7</v>
      </c>
      <c r="Z193" s="22" t="n">
        <f aca="false">IFERROR(__xludf.dummyfunction("""COMPUTED_VALUE"""),1)</f>
        <v>1</v>
      </c>
      <c r="AA193" s="22" t="n">
        <f aca="false">IFERROR(__xludf.dummyfunction("""COMPUTED_VALUE"""),0)</f>
        <v>0</v>
      </c>
      <c r="AB193" s="22" t="n">
        <f aca="false">IFERROR(__xludf.dummyfunction("""COMPUTED_VALUE"""),10)</f>
        <v>10</v>
      </c>
      <c r="AC193" s="22" t="n">
        <f aca="false">IFERROR(__xludf.dummyfunction("""COMPUTED_VALUE"""),0)</f>
        <v>0</v>
      </c>
      <c r="AD193" s="23"/>
      <c r="AE193" s="24" t="n">
        <f aca="false">IFERROR(__xludf.dummyfunction("""COMPUTED_VALUE"""),49.3)</f>
        <v>49.3</v>
      </c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</row>
    <row r="194" customFormat="false" ht="18.65" hidden="false" customHeight="false" outlineLevel="0" collapsed="false">
      <c r="A194" s="13" t="n">
        <v>193</v>
      </c>
      <c r="B194" s="14" t="s">
        <v>420</v>
      </c>
      <c r="C194" s="15" t="s">
        <v>421</v>
      </c>
      <c r="D194" s="16" t="s">
        <v>177</v>
      </c>
      <c r="E194" s="16" t="s">
        <v>177</v>
      </c>
      <c r="F194" s="16" t="str">
        <f aca="false">REPLACE(E194, 1, 3, "")</f>
        <v>19</v>
      </c>
      <c r="G194" s="17" t="str">
        <f aca="true">IFERROR(VLOOKUP(B194,INDIRECT("'"&amp;F194&amp;"'!D3:D"),1,FALSE()), "Not found")</f>
        <v>Not found</v>
      </c>
      <c r="H194" s="18" t="n">
        <f aca="true">INDIRECT("'"&amp;F194&amp;"'!D1")</f>
        <v>0</v>
      </c>
      <c r="I194" s="18" t="str">
        <f aca="false">IFERROR(__xludf.dummyfunction("REGEXEXTRACT(ADDRESS(ROW(), 24+$H194), ""[A-Z]+"")"),"X")</f>
        <v>X</v>
      </c>
      <c r="J194" s="18" t="str">
        <f aca="false">IFERROR(__xludf.dummyfunction("REGEXEXTRACT(ADDRESS(ROW(), 30+$H194), ""[A-Z]+"")"),"AD")</f>
        <v>AD</v>
      </c>
      <c r="K194" s="18" t="str">
        <f aca="false">IFERROR(__xludf.dummyfunction("REGEXEXTRACT(ADDRESS(ROW(), 36+$H194), ""[A-Z]+"")"),"AJ")</f>
        <v>AJ</v>
      </c>
      <c r="L194" s="18" t="str">
        <f aca="false">IFERROR(__xludf.dummyfunction("REGEXEXTRACT(ADDRESS(ROW(), 42+$H194), ""[A-Z]+"")"),"AP")</f>
        <v>AP</v>
      </c>
      <c r="M194" s="18" t="str">
        <f aca="false">IFERROR(__xludf.dummyfunction("REGEXEXTRACT(ADDRESS(ROW(), 48+$H194), ""[A-Z]+"")"),"AV")</f>
        <v>AV</v>
      </c>
      <c r="N194" s="18" t="str">
        <f aca="false">IFERROR(__xludf.dummyfunction("REGEXEXTRACT(ADDRESS(ROW(), 50+$H194), ""[A-Z]+"")"),"AX")</f>
        <v>AX</v>
      </c>
      <c r="O194" s="18" t="str">
        <f aca="false">IFERROR(__xludf.dummyfunction("REGEXEXTRACT(ADDRESS(ROW(), 51+$H194), ""[A-Z]+"")"),"AY")</f>
        <v>AY</v>
      </c>
      <c r="P194" s="18" t="str">
        <f aca="false">IFERROR(__xludf.dummyfunction("REGEXEXTRACT(ADDRESS(ROW(), 54+$H194), ""[A-Z]+"")"),"BB")</f>
        <v>BB</v>
      </c>
      <c r="Q194" s="18" t="str">
        <f aca="false">IFERROR(__xludf.dummyfunction("REGEXEXTRACT(ADDRESS(ROW(), 59+$H194), ""[A-Z]+"")"),"BG")</f>
        <v>BG</v>
      </c>
      <c r="R194" s="18" t="str">
        <f aca="false">IFERROR(__xludf.dummyfunction("REGEXEXTRACT(ADDRESS(ROW(), 60+$H194), ""[A-Z]+"")"),"BH")</f>
        <v>BH</v>
      </c>
      <c r="S194" s="18" t="str">
        <f aca="false">IFERROR(__xludf.dummyfunction("REGEXEXTRACT(ADDRESS(ROW(), 62+$H194), ""[A-Z]+"")"),"BJ")</f>
        <v>BJ</v>
      </c>
      <c r="T194" s="18" t="str">
        <f aca="false">IFERROR(__xludf.dummyfunction("REGEXEXTRACT(ADDRESS(ROW(), 63+$H194), ""[A-Z]+"")"),"BK")</f>
        <v>BK</v>
      </c>
      <c r="U194" s="19" t="n">
        <f aca="false">IFERROR(__xludf.dummyfunction("IFERROR(QUERY(INDIRECT(""'""&amp;F194&amp;""'!C3:""&amp;T194&amp;""""), ""SELECT ""&amp;I194&amp;"", ""&amp;J194&amp;"", ""&amp;K194&amp;"", ""&amp;L194&amp;"", ""&amp;M194&amp;"", ""&amp;N194&amp;"", ""&amp;O194&amp;"", ""&amp;P194&amp;"", ""&amp;Q194&amp;"", ""&amp;R194&amp;"", ""&amp;S194&amp;"" WHERE '""&amp;B194&amp;""' = D"", 0), """")"),10)</f>
        <v>10</v>
      </c>
      <c r="V194" s="22" t="n">
        <f aca="false">IFERROR(__xludf.dummyfunction("""COMPUTED_VALUE"""),10)</f>
        <v>10</v>
      </c>
      <c r="W194" s="22" t="n">
        <f aca="false">IFERROR(__xludf.dummyfunction("""COMPUTED_VALUE"""),10)</f>
        <v>10</v>
      </c>
      <c r="X194" s="22" t="n">
        <f aca="false">IFERROR(__xludf.dummyfunction("""COMPUTED_VALUE"""),10)</f>
        <v>10</v>
      </c>
      <c r="Y194" s="22" t="n">
        <f aca="false">IFERROR(__xludf.dummyfunction("""COMPUTED_VALUE"""),0)</f>
        <v>0</v>
      </c>
      <c r="Z194" s="22"/>
      <c r="AA194" s="22"/>
      <c r="AB194" s="22" t="n">
        <f aca="false">IFERROR(__xludf.dummyfunction("""COMPUTED_VALUE"""),6)</f>
        <v>6</v>
      </c>
      <c r="AC194" s="22" t="n">
        <f aca="false">IFERROR(__xludf.dummyfunction("""COMPUTED_VALUE"""),0)</f>
        <v>0</v>
      </c>
      <c r="AD194" s="23"/>
      <c r="AE194" s="24" t="n">
        <f aca="false">IFERROR(__xludf.dummyfunction("""COMPUTED_VALUE"""),46)</f>
        <v>46</v>
      </c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</row>
    <row r="195" customFormat="false" ht="18.65" hidden="false" customHeight="false" outlineLevel="0" collapsed="false">
      <c r="A195" s="13" t="n">
        <v>194</v>
      </c>
      <c r="B195" s="14" t="s">
        <v>422</v>
      </c>
      <c r="C195" s="15" t="s">
        <v>423</v>
      </c>
      <c r="D195" s="16" t="s">
        <v>223</v>
      </c>
      <c r="E195" s="16" t="s">
        <v>223</v>
      </c>
      <c r="F195" s="16" t="str">
        <f aca="false">REPLACE(E195, 1, 3, "")</f>
        <v>17</v>
      </c>
      <c r="G195" s="17" t="str">
        <f aca="true">IFERROR(VLOOKUP(B195,INDIRECT("'"&amp;F195&amp;"'!D3:D"),1,FALSE()), "Not found")</f>
        <v>Not found</v>
      </c>
      <c r="H195" s="18" t="n">
        <f aca="true">INDIRECT("'"&amp;F195&amp;"'!D1")</f>
        <v>0</v>
      </c>
      <c r="I195" s="18" t="str">
        <f aca="false">IFERROR(__xludf.dummyfunction("REGEXEXTRACT(ADDRESS(ROW(), 24+$H195), ""[A-Z]+"")"),"X")</f>
        <v>X</v>
      </c>
      <c r="J195" s="18" t="str">
        <f aca="false">IFERROR(__xludf.dummyfunction("REGEXEXTRACT(ADDRESS(ROW(), 30+$H195), ""[A-Z]+"")"),"AD")</f>
        <v>AD</v>
      </c>
      <c r="K195" s="18" t="str">
        <f aca="false">IFERROR(__xludf.dummyfunction("REGEXEXTRACT(ADDRESS(ROW(), 36+$H195), ""[A-Z]+"")"),"AJ")</f>
        <v>AJ</v>
      </c>
      <c r="L195" s="18" t="str">
        <f aca="false">IFERROR(__xludf.dummyfunction("REGEXEXTRACT(ADDRESS(ROW(), 42+$H195), ""[A-Z]+"")"),"AP")</f>
        <v>AP</v>
      </c>
      <c r="M195" s="18" t="str">
        <f aca="false">IFERROR(__xludf.dummyfunction("REGEXEXTRACT(ADDRESS(ROW(), 48+$H195), ""[A-Z]+"")"),"AV")</f>
        <v>AV</v>
      </c>
      <c r="N195" s="18" t="str">
        <f aca="false">IFERROR(__xludf.dummyfunction("REGEXEXTRACT(ADDRESS(ROW(), 50+$H195), ""[A-Z]+"")"),"AX")</f>
        <v>AX</v>
      </c>
      <c r="O195" s="18" t="str">
        <f aca="false">IFERROR(__xludf.dummyfunction("REGEXEXTRACT(ADDRESS(ROW(), 51+$H195), ""[A-Z]+"")"),"AY")</f>
        <v>AY</v>
      </c>
      <c r="P195" s="18" t="str">
        <f aca="false">IFERROR(__xludf.dummyfunction("REGEXEXTRACT(ADDRESS(ROW(), 54+$H195), ""[A-Z]+"")"),"BB")</f>
        <v>BB</v>
      </c>
      <c r="Q195" s="18" t="str">
        <f aca="false">IFERROR(__xludf.dummyfunction("REGEXEXTRACT(ADDRESS(ROW(), 59+$H195), ""[A-Z]+"")"),"BG")</f>
        <v>BG</v>
      </c>
      <c r="R195" s="18" t="str">
        <f aca="false">IFERROR(__xludf.dummyfunction("REGEXEXTRACT(ADDRESS(ROW(), 60+$H195), ""[A-Z]+"")"),"BH")</f>
        <v>BH</v>
      </c>
      <c r="S195" s="18" t="str">
        <f aca="false">IFERROR(__xludf.dummyfunction("REGEXEXTRACT(ADDRESS(ROW(), 62+$H195), ""[A-Z]+"")"),"BJ")</f>
        <v>BJ</v>
      </c>
      <c r="T195" s="18" t="str">
        <f aca="false">IFERROR(__xludf.dummyfunction("REGEXEXTRACT(ADDRESS(ROW(), 63+$H195), ""[A-Z]+"")"),"BK")</f>
        <v>BK</v>
      </c>
      <c r="U195" s="19" t="n">
        <f aca="false">IFERROR(__xludf.dummyfunction("IFERROR(QUERY(INDIRECT(""'""&amp;F195&amp;""'!C3:""&amp;T195&amp;""""), ""SELECT ""&amp;I195&amp;"", ""&amp;J195&amp;"", ""&amp;K195&amp;"", ""&amp;L195&amp;"", ""&amp;M195&amp;"", ""&amp;N195&amp;"", ""&amp;O195&amp;"", ""&amp;P195&amp;"", ""&amp;Q195&amp;"", ""&amp;R195&amp;"", ""&amp;S195&amp;"" WHERE '""&amp;B195&amp;""' = D"", 0), """")"),9)</f>
        <v>9</v>
      </c>
      <c r="V195" s="22" t="n">
        <f aca="false">IFERROR(__xludf.dummyfunction("""COMPUTED_VALUE"""),9.4)</f>
        <v>9.4</v>
      </c>
      <c r="W195" s="22" t="n">
        <f aca="false">IFERROR(__xludf.dummyfunction("""COMPUTED_VALUE"""),9.4)</f>
        <v>9.4</v>
      </c>
      <c r="X195" s="22" t="n">
        <f aca="false">IFERROR(__xludf.dummyfunction("""COMPUTED_VALUE"""),9.7)</f>
        <v>9.7</v>
      </c>
      <c r="Y195" s="22" t="n">
        <f aca="false">IFERROR(__xludf.dummyfunction("""COMPUTED_VALUE"""),7)</f>
        <v>7</v>
      </c>
      <c r="Z195" s="22" t="n">
        <f aca="false">IFERROR(__xludf.dummyfunction("""COMPUTED_VALUE"""),0)</f>
        <v>0</v>
      </c>
      <c r="AA195" s="22" t="n">
        <f aca="false">IFERROR(__xludf.dummyfunction("""COMPUTED_VALUE"""),0)</f>
        <v>0</v>
      </c>
      <c r="AB195" s="22" t="n">
        <f aca="false">IFERROR(__xludf.dummyfunction("""COMPUTED_VALUE"""),9.5)</f>
        <v>9.5</v>
      </c>
      <c r="AC195" s="22" t="n">
        <f aca="false">IFERROR(__xludf.dummyfunction("""COMPUTED_VALUE"""),30)</f>
        <v>30</v>
      </c>
      <c r="AD195" s="23"/>
      <c r="AE195" s="24" t="n">
        <f aca="false">IFERROR(__xludf.dummyfunction("""COMPUTED_VALUE"""),84)</f>
        <v>84</v>
      </c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</row>
    <row r="196" customFormat="false" ht="18.65" hidden="false" customHeight="false" outlineLevel="0" collapsed="false">
      <c r="A196" s="13" t="n">
        <v>195</v>
      </c>
      <c r="B196" s="14" t="s">
        <v>424</v>
      </c>
      <c r="C196" s="15" t="s">
        <v>425</v>
      </c>
      <c r="D196" s="16" t="s">
        <v>186</v>
      </c>
      <c r="E196" s="16" t="s">
        <v>186</v>
      </c>
      <c r="F196" s="16" t="str">
        <f aca="false">REPLACE(E196, 1, 3, "")</f>
        <v>06</v>
      </c>
      <c r="G196" s="17" t="str">
        <f aca="true">IFERROR(VLOOKUP(B196,INDIRECT("'"&amp;F196&amp;"'!D3:D"),1,FALSE()), "Not found")</f>
        <v>Not found</v>
      </c>
      <c r="H196" s="18" t="n">
        <f aca="true">INDIRECT("'"&amp;F196&amp;"'!D1")</f>
        <v>0</v>
      </c>
      <c r="I196" s="18" t="str">
        <f aca="false">IFERROR(__xludf.dummyfunction("REGEXEXTRACT(ADDRESS(ROW(), 24+$H196), ""[A-Z]+"")"),"X")</f>
        <v>X</v>
      </c>
      <c r="J196" s="18" t="str">
        <f aca="false">IFERROR(__xludf.dummyfunction("REGEXEXTRACT(ADDRESS(ROW(), 30+$H196), ""[A-Z]+"")"),"AD")</f>
        <v>AD</v>
      </c>
      <c r="K196" s="18" t="str">
        <f aca="false">IFERROR(__xludf.dummyfunction("REGEXEXTRACT(ADDRESS(ROW(), 36+$H196), ""[A-Z]+"")"),"AJ")</f>
        <v>AJ</v>
      </c>
      <c r="L196" s="18" t="str">
        <f aca="false">IFERROR(__xludf.dummyfunction("REGEXEXTRACT(ADDRESS(ROW(), 42+$H196), ""[A-Z]+"")"),"AP")</f>
        <v>AP</v>
      </c>
      <c r="M196" s="18" t="str">
        <f aca="false">IFERROR(__xludf.dummyfunction("REGEXEXTRACT(ADDRESS(ROW(), 48+$H196), ""[A-Z]+"")"),"AV")</f>
        <v>AV</v>
      </c>
      <c r="N196" s="18" t="str">
        <f aca="false">IFERROR(__xludf.dummyfunction("REGEXEXTRACT(ADDRESS(ROW(), 50+$H196), ""[A-Z]+"")"),"AX")</f>
        <v>AX</v>
      </c>
      <c r="O196" s="18" t="str">
        <f aca="false">IFERROR(__xludf.dummyfunction("REGEXEXTRACT(ADDRESS(ROW(), 51+$H196), ""[A-Z]+"")"),"AY")</f>
        <v>AY</v>
      </c>
      <c r="P196" s="18" t="str">
        <f aca="false">IFERROR(__xludf.dummyfunction("REGEXEXTRACT(ADDRESS(ROW(), 54+$H196), ""[A-Z]+"")"),"BB")</f>
        <v>BB</v>
      </c>
      <c r="Q196" s="18" t="str">
        <f aca="false">IFERROR(__xludf.dummyfunction("REGEXEXTRACT(ADDRESS(ROW(), 59+$H196), ""[A-Z]+"")"),"BG")</f>
        <v>BG</v>
      </c>
      <c r="R196" s="18" t="str">
        <f aca="false">IFERROR(__xludf.dummyfunction("REGEXEXTRACT(ADDRESS(ROW(), 60+$H196), ""[A-Z]+"")"),"BH")</f>
        <v>BH</v>
      </c>
      <c r="S196" s="18" t="str">
        <f aca="false">IFERROR(__xludf.dummyfunction("REGEXEXTRACT(ADDRESS(ROW(), 62+$H196), ""[A-Z]+"")"),"BJ")</f>
        <v>BJ</v>
      </c>
      <c r="T196" s="18" t="str">
        <f aca="false">IFERROR(__xludf.dummyfunction("REGEXEXTRACT(ADDRESS(ROW(), 63+$H196), ""[A-Z]+"")"),"BK")</f>
        <v>BK</v>
      </c>
      <c r="U196" s="19" t="n">
        <f aca="false">IFERROR(__xludf.dummyfunction("IFERROR(QUERY(INDIRECT(""'""&amp;F196&amp;""'!C3:""&amp;T196&amp;""""), ""SELECT ""&amp;I196&amp;"", ""&amp;J196&amp;"", ""&amp;K196&amp;"", ""&amp;L196&amp;"", ""&amp;M196&amp;"", ""&amp;N196&amp;"", ""&amp;O196&amp;"", ""&amp;P196&amp;"", ""&amp;Q196&amp;"", ""&amp;R196&amp;"", ""&amp;S196&amp;"" WHERE '""&amp;B196&amp;""' = D"", 0), """")"),8.5)</f>
        <v>8.5</v>
      </c>
      <c r="V196" s="22" t="n">
        <f aca="false">IFERROR(__xludf.dummyfunction("""COMPUTED_VALUE"""),9.5)</f>
        <v>9.5</v>
      </c>
      <c r="W196" s="22" t="n">
        <f aca="false">IFERROR(__xludf.dummyfunction("""COMPUTED_VALUE"""),10)</f>
        <v>10</v>
      </c>
      <c r="X196" s="22" t="n">
        <f aca="false">IFERROR(__xludf.dummyfunction("""COMPUTED_VALUE"""),9)</f>
        <v>9</v>
      </c>
      <c r="Y196" s="22" t="n">
        <f aca="false">IFERROR(__xludf.dummyfunction("""COMPUTED_VALUE"""),0)</f>
        <v>0</v>
      </c>
      <c r="Z196" s="22" t="n">
        <f aca="false">IFERROR(__xludf.dummyfunction("""COMPUTED_VALUE"""),1)</f>
        <v>1</v>
      </c>
      <c r="AA196" s="22"/>
      <c r="AB196" s="22" t="n">
        <f aca="false">IFERROR(__xludf.dummyfunction("""COMPUTED_VALUE"""),10)</f>
        <v>10</v>
      </c>
      <c r="AC196" s="22" t="n">
        <f aca="false">IFERROR(__xludf.dummyfunction("""COMPUTED_VALUE"""),27)</f>
        <v>27</v>
      </c>
      <c r="AD196" s="23"/>
      <c r="AE196" s="24" t="n">
        <f aca="false">IFERROR(__xludf.dummyfunction("""COMPUTED_VALUE"""),75)</f>
        <v>75</v>
      </c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</row>
    <row r="197" customFormat="false" ht="18.65" hidden="false" customHeight="false" outlineLevel="0" collapsed="false">
      <c r="A197" s="13" t="n">
        <v>196</v>
      </c>
      <c r="B197" s="14" t="s">
        <v>426</v>
      </c>
      <c r="C197" s="15" t="s">
        <v>427</v>
      </c>
      <c r="D197" s="16" t="s">
        <v>279</v>
      </c>
      <c r="E197" s="16" t="s">
        <v>279</v>
      </c>
      <c r="F197" s="16" t="str">
        <f aca="false">REPLACE(E197, 1, 3, "")</f>
        <v>07</v>
      </c>
      <c r="G197" s="17" t="str">
        <f aca="true">IFERROR(VLOOKUP(B197,INDIRECT("'"&amp;F197&amp;"'!D3:D"),1,FALSE()), "Not found")</f>
        <v>Not found</v>
      </c>
      <c r="H197" s="18" t="n">
        <f aca="true">INDIRECT("'"&amp;F197&amp;"'!D1")</f>
        <v>0</v>
      </c>
      <c r="I197" s="18" t="str">
        <f aca="false">IFERROR(__xludf.dummyfunction("REGEXEXTRACT(ADDRESS(ROW(), 24+$H197), ""[A-Z]+"")"),"X")</f>
        <v>X</v>
      </c>
      <c r="J197" s="18" t="str">
        <f aca="false">IFERROR(__xludf.dummyfunction("REGEXEXTRACT(ADDRESS(ROW(), 30+$H197), ""[A-Z]+"")"),"AD")</f>
        <v>AD</v>
      </c>
      <c r="K197" s="18" t="str">
        <f aca="false">IFERROR(__xludf.dummyfunction("REGEXEXTRACT(ADDRESS(ROW(), 36+$H197), ""[A-Z]+"")"),"AJ")</f>
        <v>AJ</v>
      </c>
      <c r="L197" s="18" t="str">
        <f aca="false">IFERROR(__xludf.dummyfunction("REGEXEXTRACT(ADDRESS(ROW(), 42+$H197), ""[A-Z]+"")"),"AP")</f>
        <v>AP</v>
      </c>
      <c r="M197" s="18" t="str">
        <f aca="false">IFERROR(__xludf.dummyfunction("REGEXEXTRACT(ADDRESS(ROW(), 48+$H197), ""[A-Z]+"")"),"AV")</f>
        <v>AV</v>
      </c>
      <c r="N197" s="18" t="str">
        <f aca="false">IFERROR(__xludf.dummyfunction("REGEXEXTRACT(ADDRESS(ROW(), 50+$H197), ""[A-Z]+"")"),"AX")</f>
        <v>AX</v>
      </c>
      <c r="O197" s="18" t="str">
        <f aca="false">IFERROR(__xludf.dummyfunction("REGEXEXTRACT(ADDRESS(ROW(), 51+$H197), ""[A-Z]+"")"),"AY")</f>
        <v>AY</v>
      </c>
      <c r="P197" s="18" t="str">
        <f aca="false">IFERROR(__xludf.dummyfunction("REGEXEXTRACT(ADDRESS(ROW(), 54+$H197), ""[A-Z]+"")"),"BB")</f>
        <v>BB</v>
      </c>
      <c r="Q197" s="18" t="str">
        <f aca="false">IFERROR(__xludf.dummyfunction("REGEXEXTRACT(ADDRESS(ROW(), 59+$H197), ""[A-Z]+"")"),"BG")</f>
        <v>BG</v>
      </c>
      <c r="R197" s="18" t="str">
        <f aca="false">IFERROR(__xludf.dummyfunction("REGEXEXTRACT(ADDRESS(ROW(), 60+$H197), ""[A-Z]+"")"),"BH")</f>
        <v>BH</v>
      </c>
      <c r="S197" s="18" t="str">
        <f aca="false">IFERROR(__xludf.dummyfunction("REGEXEXTRACT(ADDRESS(ROW(), 62+$H197), ""[A-Z]+"")"),"BJ")</f>
        <v>BJ</v>
      </c>
      <c r="T197" s="18" t="str">
        <f aca="false">IFERROR(__xludf.dummyfunction("REGEXEXTRACT(ADDRESS(ROW(), 63+$H197), ""[A-Z]+"")"),"BK")</f>
        <v>BK</v>
      </c>
      <c r="U197" s="19" t="n">
        <f aca="false">IFERROR(__xludf.dummyfunction("IFERROR(QUERY(INDIRECT(""'""&amp;F197&amp;""'!C3:""&amp;T197&amp;""""), ""SELECT ""&amp;I197&amp;"", ""&amp;J197&amp;"", ""&amp;K197&amp;"", ""&amp;L197&amp;"", ""&amp;M197&amp;"", ""&amp;N197&amp;"", ""&amp;O197&amp;"", ""&amp;P197&amp;"", ""&amp;Q197&amp;"", ""&amp;R197&amp;"", ""&amp;S197&amp;"" WHERE '""&amp;B197&amp;""' = D"", 0), """")"),9)</f>
        <v>9</v>
      </c>
      <c r="V197" s="22" t="n">
        <f aca="false">IFERROR(__xludf.dummyfunction("""COMPUTED_VALUE"""),9)</f>
        <v>9</v>
      </c>
      <c r="W197" s="22" t="n">
        <f aca="false">IFERROR(__xludf.dummyfunction("""COMPUTED_VALUE"""),6)</f>
        <v>6</v>
      </c>
      <c r="X197" s="22" t="n">
        <f aca="false">IFERROR(__xludf.dummyfunction("""COMPUTED_VALUE"""),6)</f>
        <v>6</v>
      </c>
      <c r="Y197" s="22"/>
      <c r="Z197" s="22"/>
      <c r="AA197" s="22" t="n">
        <f aca="false">IFERROR(__xludf.dummyfunction("""COMPUTED_VALUE"""),1)</f>
        <v>1</v>
      </c>
      <c r="AB197" s="22" t="n">
        <f aca="false">IFERROR(__xludf.dummyfunction("""COMPUTED_VALUE"""),6)</f>
        <v>6</v>
      </c>
      <c r="AC197" s="22"/>
      <c r="AD197" s="23"/>
      <c r="AE197" s="24" t="n">
        <f aca="false">IFERROR(__xludf.dummyfunction("""COMPUTED_VALUE"""),37)</f>
        <v>37</v>
      </c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</row>
    <row r="198" customFormat="false" ht="18.65" hidden="false" customHeight="false" outlineLevel="0" collapsed="false">
      <c r="A198" s="13" t="n">
        <v>197</v>
      </c>
      <c r="B198" s="14" t="s">
        <v>428</v>
      </c>
      <c r="C198" s="15" t="s">
        <v>429</v>
      </c>
      <c r="D198" s="16" t="s">
        <v>180</v>
      </c>
      <c r="E198" s="16" t="s">
        <v>180</v>
      </c>
      <c r="F198" s="16" t="str">
        <f aca="false">REPLACE(E198, 1, 3, "")</f>
        <v>11</v>
      </c>
      <c r="G198" s="17" t="str">
        <f aca="true">IFERROR(VLOOKUP(B198,INDIRECT("'"&amp;F198&amp;"'!D3:D"),1,FALSE()), "Not found")</f>
        <v>Not found</v>
      </c>
      <c r="H198" s="18" t="n">
        <f aca="true">INDIRECT("'"&amp;F198&amp;"'!D1")</f>
        <v>0</v>
      </c>
      <c r="I198" s="18" t="str">
        <f aca="false">IFERROR(__xludf.dummyfunction("REGEXEXTRACT(ADDRESS(ROW(), 24+$H198), ""[A-Z]+"")"),"X")</f>
        <v>X</v>
      </c>
      <c r="J198" s="18" t="str">
        <f aca="false">IFERROR(__xludf.dummyfunction("REGEXEXTRACT(ADDRESS(ROW(), 30+$H198), ""[A-Z]+"")"),"AD")</f>
        <v>AD</v>
      </c>
      <c r="K198" s="18" t="str">
        <f aca="false">IFERROR(__xludf.dummyfunction("REGEXEXTRACT(ADDRESS(ROW(), 36+$H198), ""[A-Z]+"")"),"AJ")</f>
        <v>AJ</v>
      </c>
      <c r="L198" s="18" t="str">
        <f aca="false">IFERROR(__xludf.dummyfunction("REGEXEXTRACT(ADDRESS(ROW(), 42+$H198), ""[A-Z]+"")"),"AP")</f>
        <v>AP</v>
      </c>
      <c r="M198" s="18" t="str">
        <f aca="false">IFERROR(__xludf.dummyfunction("REGEXEXTRACT(ADDRESS(ROW(), 48+$H198), ""[A-Z]+"")"),"AV")</f>
        <v>AV</v>
      </c>
      <c r="N198" s="18" t="str">
        <f aca="false">IFERROR(__xludf.dummyfunction("REGEXEXTRACT(ADDRESS(ROW(), 50+$H198), ""[A-Z]+"")"),"AX")</f>
        <v>AX</v>
      </c>
      <c r="O198" s="18" t="str">
        <f aca="false">IFERROR(__xludf.dummyfunction("REGEXEXTRACT(ADDRESS(ROW(), 51+$H198), ""[A-Z]+"")"),"AY")</f>
        <v>AY</v>
      </c>
      <c r="P198" s="18" t="str">
        <f aca="false">IFERROR(__xludf.dummyfunction("REGEXEXTRACT(ADDRESS(ROW(), 54+$H198), ""[A-Z]+"")"),"BB")</f>
        <v>BB</v>
      </c>
      <c r="Q198" s="18" t="str">
        <f aca="false">IFERROR(__xludf.dummyfunction("REGEXEXTRACT(ADDRESS(ROW(), 59+$H198), ""[A-Z]+"")"),"BG")</f>
        <v>BG</v>
      </c>
      <c r="R198" s="18" t="str">
        <f aca="false">IFERROR(__xludf.dummyfunction("REGEXEXTRACT(ADDRESS(ROW(), 60+$H198), ""[A-Z]+"")"),"BH")</f>
        <v>BH</v>
      </c>
      <c r="S198" s="18" t="str">
        <f aca="false">IFERROR(__xludf.dummyfunction("REGEXEXTRACT(ADDRESS(ROW(), 62+$H198), ""[A-Z]+"")"),"BJ")</f>
        <v>BJ</v>
      </c>
      <c r="T198" s="18" t="str">
        <f aca="false">IFERROR(__xludf.dummyfunction("REGEXEXTRACT(ADDRESS(ROW(), 63+$H198), ""[A-Z]+"")"),"BK")</f>
        <v>BK</v>
      </c>
      <c r="U198" s="19" t="n">
        <f aca="false">IFERROR(__xludf.dummyfunction("IFERROR(QUERY(INDIRECT(""'""&amp;F198&amp;""'!C3:""&amp;T198&amp;""""), ""SELECT ""&amp;I198&amp;"", ""&amp;J198&amp;"", ""&amp;K198&amp;"", ""&amp;L198&amp;"", ""&amp;M198&amp;"", ""&amp;N198&amp;"", ""&amp;O198&amp;"", ""&amp;P198&amp;"", ""&amp;Q198&amp;"", ""&amp;R198&amp;"", ""&amp;S198&amp;"" WHERE '""&amp;B198&amp;""' = D"", 0), """")"),10)</f>
        <v>10</v>
      </c>
      <c r="V198" s="22" t="n">
        <f aca="false">IFERROR(__xludf.dummyfunction("""COMPUTED_VALUE"""),10)</f>
        <v>10</v>
      </c>
      <c r="W198" s="22" t="n">
        <f aca="false">IFERROR(__xludf.dummyfunction("""COMPUTED_VALUE"""),10)</f>
        <v>10</v>
      </c>
      <c r="X198" s="22" t="n">
        <f aca="false">IFERROR(__xludf.dummyfunction("""COMPUTED_VALUE"""),10)</f>
        <v>10</v>
      </c>
      <c r="Y198" s="22" t="n">
        <f aca="false">IFERROR(__xludf.dummyfunction("""COMPUTED_VALUE"""),10)</f>
        <v>10</v>
      </c>
      <c r="Z198" s="22"/>
      <c r="AA198" s="22"/>
      <c r="AB198" s="22" t="n">
        <f aca="false">IFERROR(__xludf.dummyfunction("""COMPUTED_VALUE"""),6)</f>
        <v>6</v>
      </c>
      <c r="AC198" s="22" t="n">
        <f aca="false">IFERROR(__xludf.dummyfunction("""COMPUTED_VALUE"""),25.1)</f>
        <v>25.1</v>
      </c>
      <c r="AD198" s="23" t="n">
        <f aca="false">IFERROR(__xludf.dummyfunction("""COMPUTED_VALUE"""),3)</f>
        <v>3</v>
      </c>
      <c r="AE198" s="24" t="n">
        <f aca="false">IFERROR(__xludf.dummyfunction("""COMPUTED_VALUE"""),84.1)</f>
        <v>84.1</v>
      </c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</row>
    <row r="199" customFormat="false" ht="18.65" hidden="false" customHeight="false" outlineLevel="0" collapsed="false">
      <c r="A199" s="13" t="n">
        <v>198</v>
      </c>
      <c r="B199" s="14" t="s">
        <v>430</v>
      </c>
      <c r="C199" s="15" t="s">
        <v>431</v>
      </c>
      <c r="D199" s="16" t="s">
        <v>191</v>
      </c>
      <c r="E199" s="16" t="s">
        <v>191</v>
      </c>
      <c r="F199" s="16" t="str">
        <f aca="false">REPLACE(E199, 1, 3, "")</f>
        <v>12</v>
      </c>
      <c r="G199" s="17" t="str">
        <f aca="true">IFERROR(VLOOKUP(B199,INDIRECT("'"&amp;F199&amp;"'!D3:D"),1,FALSE()), "Not found")</f>
        <v>Not found</v>
      </c>
      <c r="H199" s="18" t="n">
        <f aca="true">INDIRECT("'"&amp;F199&amp;"'!D1")</f>
        <v>0</v>
      </c>
      <c r="I199" s="18" t="str">
        <f aca="false">IFERROR(__xludf.dummyfunction("REGEXEXTRACT(ADDRESS(ROW(), 24+$H199), ""[A-Z]+"")"),"X")</f>
        <v>X</v>
      </c>
      <c r="J199" s="18" t="str">
        <f aca="false">IFERROR(__xludf.dummyfunction("REGEXEXTRACT(ADDRESS(ROW(), 30+$H199), ""[A-Z]+"")"),"AD")</f>
        <v>AD</v>
      </c>
      <c r="K199" s="18" t="str">
        <f aca="false">IFERROR(__xludf.dummyfunction("REGEXEXTRACT(ADDRESS(ROW(), 36+$H199), ""[A-Z]+"")"),"AJ")</f>
        <v>AJ</v>
      </c>
      <c r="L199" s="18" t="str">
        <f aca="false">IFERROR(__xludf.dummyfunction("REGEXEXTRACT(ADDRESS(ROW(), 42+$H199), ""[A-Z]+"")"),"AP")</f>
        <v>AP</v>
      </c>
      <c r="M199" s="18" t="str">
        <f aca="false">IFERROR(__xludf.dummyfunction("REGEXEXTRACT(ADDRESS(ROW(), 48+$H199), ""[A-Z]+"")"),"AV")</f>
        <v>AV</v>
      </c>
      <c r="N199" s="18" t="str">
        <f aca="false">IFERROR(__xludf.dummyfunction("REGEXEXTRACT(ADDRESS(ROW(), 50+$H199), ""[A-Z]+"")"),"AX")</f>
        <v>AX</v>
      </c>
      <c r="O199" s="18" t="str">
        <f aca="false">IFERROR(__xludf.dummyfunction("REGEXEXTRACT(ADDRESS(ROW(), 51+$H199), ""[A-Z]+"")"),"AY")</f>
        <v>AY</v>
      </c>
      <c r="P199" s="18" t="str">
        <f aca="false">IFERROR(__xludf.dummyfunction("REGEXEXTRACT(ADDRESS(ROW(), 54+$H199), ""[A-Z]+"")"),"BB")</f>
        <v>BB</v>
      </c>
      <c r="Q199" s="18" t="str">
        <f aca="false">IFERROR(__xludf.dummyfunction("REGEXEXTRACT(ADDRESS(ROW(), 59+$H199), ""[A-Z]+"")"),"BG")</f>
        <v>BG</v>
      </c>
      <c r="R199" s="18" t="str">
        <f aca="false">IFERROR(__xludf.dummyfunction("REGEXEXTRACT(ADDRESS(ROW(), 60+$H199), ""[A-Z]+"")"),"BH")</f>
        <v>BH</v>
      </c>
      <c r="S199" s="18" t="str">
        <f aca="false">IFERROR(__xludf.dummyfunction("REGEXEXTRACT(ADDRESS(ROW(), 62+$H199), ""[A-Z]+"")"),"BJ")</f>
        <v>BJ</v>
      </c>
      <c r="T199" s="18" t="str">
        <f aca="false">IFERROR(__xludf.dummyfunction("REGEXEXTRACT(ADDRESS(ROW(), 63+$H199), ""[A-Z]+"")"),"BK")</f>
        <v>BK</v>
      </c>
      <c r="U199" s="19" t="n">
        <f aca="false">IFERROR(__xludf.dummyfunction("IFERROR(QUERY(INDIRECT(""'""&amp;F199&amp;""'!C3:""&amp;T199&amp;""""), ""SELECT ""&amp;I199&amp;"", ""&amp;J199&amp;"", ""&amp;K199&amp;"", ""&amp;L199&amp;"", ""&amp;M199&amp;"", ""&amp;N199&amp;"", ""&amp;O199&amp;"", ""&amp;P199&amp;"", ""&amp;Q199&amp;"", ""&amp;R199&amp;"", ""&amp;S199&amp;"" WHERE '""&amp;B199&amp;""' = D"", 0), """")"),8)</f>
        <v>8</v>
      </c>
      <c r="V199" s="22" t="n">
        <f aca="false">IFERROR(__xludf.dummyfunction("""COMPUTED_VALUE"""),8)</f>
        <v>8</v>
      </c>
      <c r="W199" s="22"/>
      <c r="X199" s="22"/>
      <c r="Y199" s="22" t="n">
        <f aca="false">IFERROR(__xludf.dummyfunction("""COMPUTED_VALUE"""),0)</f>
        <v>0</v>
      </c>
      <c r="Z199" s="22" t="n">
        <f aca="false">IFERROR(__xludf.dummyfunction("""COMPUTED_VALUE"""),0)</f>
        <v>0</v>
      </c>
      <c r="AA199" s="22"/>
      <c r="AB199" s="22" t="n">
        <f aca="false">IFERROR(__xludf.dummyfunction("""COMPUTED_VALUE"""),0.02)</f>
        <v>0.02</v>
      </c>
      <c r="AC199" s="22"/>
      <c r="AD199" s="23"/>
      <c r="AE199" s="24" t="n">
        <f aca="false">IFERROR(__xludf.dummyfunction("""COMPUTED_VALUE"""),16.02)</f>
        <v>16.02</v>
      </c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</row>
    <row r="200" customFormat="false" ht="18.65" hidden="false" customHeight="false" outlineLevel="0" collapsed="false">
      <c r="A200" s="13" t="n">
        <v>199</v>
      </c>
      <c r="B200" s="14" t="s">
        <v>432</v>
      </c>
      <c r="C200" s="15" t="s">
        <v>433</v>
      </c>
      <c r="D200" s="16" t="s">
        <v>232</v>
      </c>
      <c r="E200" s="16" t="s">
        <v>232</v>
      </c>
      <c r="F200" s="16" t="str">
        <f aca="false">REPLACE(E200, 1, 3, "")</f>
        <v>09</v>
      </c>
      <c r="G200" s="17" t="str">
        <f aca="true">IFERROR(VLOOKUP(B200,INDIRECT("'"&amp;F200&amp;"'!D3:D"),1,FALSE()), "Not found")</f>
        <v>Not found</v>
      </c>
      <c r="H200" s="18" t="n">
        <f aca="true">INDIRECT("'"&amp;F200&amp;"'!D1")</f>
        <v>0</v>
      </c>
      <c r="I200" s="18" t="str">
        <f aca="false">IFERROR(__xludf.dummyfunction("REGEXEXTRACT(ADDRESS(ROW(), 24+$H200), ""[A-Z]+"")"),"X")</f>
        <v>X</v>
      </c>
      <c r="J200" s="18" t="str">
        <f aca="false">IFERROR(__xludf.dummyfunction("REGEXEXTRACT(ADDRESS(ROW(), 30+$H200), ""[A-Z]+"")"),"AD")</f>
        <v>AD</v>
      </c>
      <c r="K200" s="18" t="str">
        <f aca="false">IFERROR(__xludf.dummyfunction("REGEXEXTRACT(ADDRESS(ROW(), 36+$H200), ""[A-Z]+"")"),"AJ")</f>
        <v>AJ</v>
      </c>
      <c r="L200" s="18" t="str">
        <f aca="false">IFERROR(__xludf.dummyfunction("REGEXEXTRACT(ADDRESS(ROW(), 42+$H200), ""[A-Z]+"")"),"AP")</f>
        <v>AP</v>
      </c>
      <c r="M200" s="18" t="str">
        <f aca="false">IFERROR(__xludf.dummyfunction("REGEXEXTRACT(ADDRESS(ROW(), 48+$H200), ""[A-Z]+"")"),"AV")</f>
        <v>AV</v>
      </c>
      <c r="N200" s="18" t="str">
        <f aca="false">IFERROR(__xludf.dummyfunction("REGEXEXTRACT(ADDRESS(ROW(), 50+$H200), ""[A-Z]+"")"),"AX")</f>
        <v>AX</v>
      </c>
      <c r="O200" s="18" t="str">
        <f aca="false">IFERROR(__xludf.dummyfunction("REGEXEXTRACT(ADDRESS(ROW(), 51+$H200), ""[A-Z]+"")"),"AY")</f>
        <v>AY</v>
      </c>
      <c r="P200" s="18" t="str">
        <f aca="false">IFERROR(__xludf.dummyfunction("REGEXEXTRACT(ADDRESS(ROW(), 54+$H200), ""[A-Z]+"")"),"BB")</f>
        <v>BB</v>
      </c>
      <c r="Q200" s="18" t="str">
        <f aca="false">IFERROR(__xludf.dummyfunction("REGEXEXTRACT(ADDRESS(ROW(), 59+$H200), ""[A-Z]+"")"),"BG")</f>
        <v>BG</v>
      </c>
      <c r="R200" s="18" t="str">
        <f aca="false">IFERROR(__xludf.dummyfunction("REGEXEXTRACT(ADDRESS(ROW(), 60+$H200), ""[A-Z]+"")"),"BH")</f>
        <v>BH</v>
      </c>
      <c r="S200" s="18" t="str">
        <f aca="false">IFERROR(__xludf.dummyfunction("REGEXEXTRACT(ADDRESS(ROW(), 62+$H200), ""[A-Z]+"")"),"BJ")</f>
        <v>BJ</v>
      </c>
      <c r="T200" s="18" t="str">
        <f aca="false">IFERROR(__xludf.dummyfunction("REGEXEXTRACT(ADDRESS(ROW(), 63+$H200), ""[A-Z]+"")"),"BK")</f>
        <v>BK</v>
      </c>
      <c r="U200" s="19" t="n">
        <f aca="false">IFERROR(__xludf.dummyfunction("IFERROR(QUERY(INDIRECT(""'""&amp;F200&amp;""'!C3:""&amp;T200&amp;""""), ""SELECT ""&amp;I200&amp;"", ""&amp;J200&amp;"", ""&amp;K200&amp;"", ""&amp;L200&amp;"", ""&amp;M200&amp;"", ""&amp;N200&amp;"", ""&amp;O200&amp;"", ""&amp;P200&amp;"", ""&amp;Q200&amp;"", ""&amp;R200&amp;"", ""&amp;S200&amp;"" WHERE '""&amp;B200&amp;""' = D"", 0), """")"),10)</f>
        <v>10</v>
      </c>
      <c r="V200" s="22" t="n">
        <f aca="false">IFERROR(__xludf.dummyfunction("""COMPUTED_VALUE"""),8)</f>
        <v>8</v>
      </c>
      <c r="W200" s="22" t="n">
        <f aca="false">IFERROR(__xludf.dummyfunction("""COMPUTED_VALUE"""),9)</f>
        <v>9</v>
      </c>
      <c r="X200" s="22" t="n">
        <f aca="false">IFERROR(__xludf.dummyfunction("""COMPUTED_VALUE"""),9)</f>
        <v>9</v>
      </c>
      <c r="Y200" s="22" t="n">
        <f aca="false">IFERROR(__xludf.dummyfunction("""COMPUTED_VALUE"""),0)</f>
        <v>0</v>
      </c>
      <c r="Z200" s="22" t="n">
        <f aca="false">IFERROR(__xludf.dummyfunction("""COMPUTED_VALUE"""),0)</f>
        <v>0</v>
      </c>
      <c r="AA200" s="22" t="n">
        <f aca="false">IFERROR(__xludf.dummyfunction("""COMPUTED_VALUE"""),2)</f>
        <v>2</v>
      </c>
      <c r="AB200" s="22" t="n">
        <f aca="false">IFERROR(__xludf.dummyfunction("""COMPUTED_VALUE"""),6)</f>
        <v>6</v>
      </c>
      <c r="AC200" s="22" t="n">
        <f aca="false">IFERROR(__xludf.dummyfunction("""COMPUTED_VALUE"""),28.1)</f>
        <v>28.1</v>
      </c>
      <c r="AD200" s="23" t="n">
        <f aca="false">IFERROR(__xludf.dummyfunction("""COMPUTED_VALUE"""),2)</f>
        <v>2</v>
      </c>
      <c r="AE200" s="24" t="n">
        <f aca="false">IFERROR(__xludf.dummyfunction("""COMPUTED_VALUE"""),74.1)</f>
        <v>74.1</v>
      </c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</row>
    <row r="201" customFormat="false" ht="18.65" hidden="false" customHeight="false" outlineLevel="0" collapsed="false">
      <c r="A201" s="13" t="n">
        <v>200</v>
      </c>
      <c r="B201" s="14" t="s">
        <v>434</v>
      </c>
      <c r="C201" s="15" t="s">
        <v>435</v>
      </c>
      <c r="D201" s="16" t="s">
        <v>194</v>
      </c>
      <c r="E201" s="16" t="s">
        <v>194</v>
      </c>
      <c r="F201" s="16" t="str">
        <f aca="false">REPLACE(E201, 1, 3, "")</f>
        <v>10</v>
      </c>
      <c r="G201" s="17" t="str">
        <f aca="true">IFERROR(VLOOKUP(B201,INDIRECT("'"&amp;F201&amp;"'!D3:D"),1,FALSE()), "Not found")</f>
        <v>Not found</v>
      </c>
      <c r="H201" s="18" t="n">
        <f aca="true">INDIRECT("'"&amp;F201&amp;"'!D1")</f>
        <v>0</v>
      </c>
      <c r="I201" s="18" t="str">
        <f aca="false">IFERROR(__xludf.dummyfunction("REGEXEXTRACT(ADDRESS(ROW(), 24+$H201), ""[A-Z]+"")"),"X")</f>
        <v>X</v>
      </c>
      <c r="J201" s="18" t="str">
        <f aca="false">IFERROR(__xludf.dummyfunction("REGEXEXTRACT(ADDRESS(ROW(), 30+$H201), ""[A-Z]+"")"),"AD")</f>
        <v>AD</v>
      </c>
      <c r="K201" s="18" t="str">
        <f aca="false">IFERROR(__xludf.dummyfunction("REGEXEXTRACT(ADDRESS(ROW(), 36+$H201), ""[A-Z]+"")"),"AJ")</f>
        <v>AJ</v>
      </c>
      <c r="L201" s="18" t="str">
        <f aca="false">IFERROR(__xludf.dummyfunction("REGEXEXTRACT(ADDRESS(ROW(), 42+$H201), ""[A-Z]+"")"),"AP")</f>
        <v>AP</v>
      </c>
      <c r="M201" s="18" t="str">
        <f aca="false">IFERROR(__xludf.dummyfunction("REGEXEXTRACT(ADDRESS(ROW(), 48+$H201), ""[A-Z]+"")"),"AV")</f>
        <v>AV</v>
      </c>
      <c r="N201" s="18" t="str">
        <f aca="false">IFERROR(__xludf.dummyfunction("REGEXEXTRACT(ADDRESS(ROW(), 50+$H201), ""[A-Z]+"")"),"AX")</f>
        <v>AX</v>
      </c>
      <c r="O201" s="18" t="str">
        <f aca="false">IFERROR(__xludf.dummyfunction("REGEXEXTRACT(ADDRESS(ROW(), 51+$H201), ""[A-Z]+"")"),"AY")</f>
        <v>AY</v>
      </c>
      <c r="P201" s="18" t="str">
        <f aca="false">IFERROR(__xludf.dummyfunction("REGEXEXTRACT(ADDRESS(ROW(), 54+$H201), ""[A-Z]+"")"),"BB")</f>
        <v>BB</v>
      </c>
      <c r="Q201" s="18" t="str">
        <f aca="false">IFERROR(__xludf.dummyfunction("REGEXEXTRACT(ADDRESS(ROW(), 59+$H201), ""[A-Z]+"")"),"BG")</f>
        <v>BG</v>
      </c>
      <c r="R201" s="18" t="str">
        <f aca="false">IFERROR(__xludf.dummyfunction("REGEXEXTRACT(ADDRESS(ROW(), 60+$H201), ""[A-Z]+"")"),"BH")</f>
        <v>BH</v>
      </c>
      <c r="S201" s="18" t="str">
        <f aca="false">IFERROR(__xludf.dummyfunction("REGEXEXTRACT(ADDRESS(ROW(), 62+$H201), ""[A-Z]+"")"),"BJ")</f>
        <v>BJ</v>
      </c>
      <c r="T201" s="18" t="str">
        <f aca="false">IFERROR(__xludf.dummyfunction("REGEXEXTRACT(ADDRESS(ROW(), 63+$H201), ""[A-Z]+"")"),"BK")</f>
        <v>BK</v>
      </c>
      <c r="U201" s="19" t="n">
        <f aca="false">IFERROR(__xludf.dummyfunction("IFERROR(QUERY(INDIRECT(""'""&amp;F201&amp;""'!C3:""&amp;T201&amp;""""), ""SELECT ""&amp;I201&amp;"", ""&amp;J201&amp;"", ""&amp;K201&amp;"", ""&amp;L201&amp;"", ""&amp;M201&amp;"", ""&amp;N201&amp;"", ""&amp;O201&amp;"", ""&amp;P201&amp;"", ""&amp;Q201&amp;"", ""&amp;R201&amp;"", ""&amp;S201&amp;"" WHERE '""&amp;B201&amp;""' = D"", 0), """")"),8.3)</f>
        <v>8.3</v>
      </c>
      <c r="V201" s="22" t="n">
        <f aca="false">IFERROR(__xludf.dummyfunction("""COMPUTED_VALUE"""),9.7)</f>
        <v>9.7</v>
      </c>
      <c r="W201" s="22" t="n">
        <f aca="false">IFERROR(__xludf.dummyfunction("""COMPUTED_VALUE"""),9)</f>
        <v>9</v>
      </c>
      <c r="X201" s="22" t="n">
        <f aca="false">IFERROR(__xludf.dummyfunction("""COMPUTED_VALUE"""),8)</f>
        <v>8</v>
      </c>
      <c r="Y201" s="22" t="n">
        <f aca="false">IFERROR(__xludf.dummyfunction("""COMPUTED_VALUE"""),0)</f>
        <v>0</v>
      </c>
      <c r="Z201" s="22" t="n">
        <f aca="false">IFERROR(__xludf.dummyfunction("""COMPUTED_VALUE"""),1)</f>
        <v>1</v>
      </c>
      <c r="AA201" s="22"/>
      <c r="AB201" s="22" t="n">
        <f aca="false">IFERROR(__xludf.dummyfunction("""COMPUTED_VALUE"""),9)</f>
        <v>9</v>
      </c>
      <c r="AC201" s="22" t="n">
        <f aca="false">IFERROR(__xludf.dummyfunction("""COMPUTED_VALUE"""),29)</f>
        <v>29</v>
      </c>
      <c r="AD201" s="23" t="n">
        <f aca="false">IFERROR(__xludf.dummyfunction("""COMPUTED_VALUE"""),1)</f>
        <v>1</v>
      </c>
      <c r="AE201" s="24" t="n">
        <f aca="false">IFERROR(__xludf.dummyfunction("""COMPUTED_VALUE"""),75)</f>
        <v>75</v>
      </c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</row>
    <row r="202" customFormat="false" ht="18.65" hidden="false" customHeight="false" outlineLevel="0" collapsed="false">
      <c r="A202" s="13" t="n">
        <v>201</v>
      </c>
      <c r="B202" s="14" t="s">
        <v>436</v>
      </c>
      <c r="C202" s="15" t="s">
        <v>437</v>
      </c>
      <c r="D202" s="16" t="s">
        <v>223</v>
      </c>
      <c r="E202" s="16" t="s">
        <v>223</v>
      </c>
      <c r="F202" s="16" t="str">
        <f aca="false">REPLACE(E202, 1, 3, "")</f>
        <v>17</v>
      </c>
      <c r="G202" s="17" t="str">
        <f aca="true">IFERROR(VLOOKUP(B202,INDIRECT("'"&amp;F202&amp;"'!D3:D"),1,FALSE()), "Not found")</f>
        <v>Not found</v>
      </c>
      <c r="H202" s="18" t="n">
        <f aca="true">INDIRECT("'"&amp;F202&amp;"'!D1")</f>
        <v>0</v>
      </c>
      <c r="I202" s="18" t="str">
        <f aca="false">IFERROR(__xludf.dummyfunction("REGEXEXTRACT(ADDRESS(ROW(), 24+$H202), ""[A-Z]+"")"),"X")</f>
        <v>X</v>
      </c>
      <c r="J202" s="18" t="str">
        <f aca="false">IFERROR(__xludf.dummyfunction("REGEXEXTRACT(ADDRESS(ROW(), 30+$H202), ""[A-Z]+"")"),"AD")</f>
        <v>AD</v>
      </c>
      <c r="K202" s="18" t="str">
        <f aca="false">IFERROR(__xludf.dummyfunction("REGEXEXTRACT(ADDRESS(ROW(), 36+$H202), ""[A-Z]+"")"),"AJ")</f>
        <v>AJ</v>
      </c>
      <c r="L202" s="18" t="str">
        <f aca="false">IFERROR(__xludf.dummyfunction("REGEXEXTRACT(ADDRESS(ROW(), 42+$H202), ""[A-Z]+"")"),"AP")</f>
        <v>AP</v>
      </c>
      <c r="M202" s="18" t="str">
        <f aca="false">IFERROR(__xludf.dummyfunction("REGEXEXTRACT(ADDRESS(ROW(), 48+$H202), ""[A-Z]+"")"),"AV")</f>
        <v>AV</v>
      </c>
      <c r="N202" s="18" t="str">
        <f aca="false">IFERROR(__xludf.dummyfunction("REGEXEXTRACT(ADDRESS(ROW(), 50+$H202), ""[A-Z]+"")"),"AX")</f>
        <v>AX</v>
      </c>
      <c r="O202" s="18" t="str">
        <f aca="false">IFERROR(__xludf.dummyfunction("REGEXEXTRACT(ADDRESS(ROW(), 51+$H202), ""[A-Z]+"")"),"AY")</f>
        <v>AY</v>
      </c>
      <c r="P202" s="18" t="str">
        <f aca="false">IFERROR(__xludf.dummyfunction("REGEXEXTRACT(ADDRESS(ROW(), 54+$H202), ""[A-Z]+"")"),"BB")</f>
        <v>BB</v>
      </c>
      <c r="Q202" s="18" t="str">
        <f aca="false">IFERROR(__xludf.dummyfunction("REGEXEXTRACT(ADDRESS(ROW(), 59+$H202), ""[A-Z]+"")"),"BG")</f>
        <v>BG</v>
      </c>
      <c r="R202" s="18" t="str">
        <f aca="false">IFERROR(__xludf.dummyfunction("REGEXEXTRACT(ADDRESS(ROW(), 60+$H202), ""[A-Z]+"")"),"BH")</f>
        <v>BH</v>
      </c>
      <c r="S202" s="18" t="str">
        <f aca="false">IFERROR(__xludf.dummyfunction("REGEXEXTRACT(ADDRESS(ROW(), 62+$H202), ""[A-Z]+"")"),"BJ")</f>
        <v>BJ</v>
      </c>
      <c r="T202" s="18" t="str">
        <f aca="false">IFERROR(__xludf.dummyfunction("REGEXEXTRACT(ADDRESS(ROW(), 63+$H202), ""[A-Z]+"")"),"BK")</f>
        <v>BK</v>
      </c>
      <c r="U202" s="19" t="n">
        <f aca="false">IFERROR(__xludf.dummyfunction("IFERROR(QUERY(INDIRECT(""'""&amp;F202&amp;""'!C3:""&amp;T202&amp;""""), ""SELECT ""&amp;I202&amp;"", ""&amp;J202&amp;"", ""&amp;K202&amp;"", ""&amp;L202&amp;"", ""&amp;M202&amp;"", ""&amp;N202&amp;"", ""&amp;O202&amp;"", ""&amp;P202&amp;"", ""&amp;Q202&amp;"", ""&amp;R202&amp;"", ""&amp;S202&amp;"" WHERE '""&amp;B202&amp;""' = D"", 0), """")"),9)</f>
        <v>9</v>
      </c>
      <c r="V202" s="22" t="n">
        <f aca="false">IFERROR(__xludf.dummyfunction("""COMPUTED_VALUE"""),9.8)</f>
        <v>9.8</v>
      </c>
      <c r="W202" s="22" t="n">
        <f aca="false">IFERROR(__xludf.dummyfunction("""COMPUTED_VALUE"""),8.5)</f>
        <v>8.5</v>
      </c>
      <c r="X202" s="22" t="n">
        <f aca="false">IFERROR(__xludf.dummyfunction("""COMPUTED_VALUE"""),9.5)</f>
        <v>9.5</v>
      </c>
      <c r="Y202" s="22" t="n">
        <f aca="false">IFERROR(__xludf.dummyfunction("""COMPUTED_VALUE"""),8)</f>
        <v>8</v>
      </c>
      <c r="Z202" s="22" t="n">
        <f aca="false">IFERROR(__xludf.dummyfunction("""COMPUTED_VALUE"""),1)</f>
        <v>1</v>
      </c>
      <c r="AA202" s="22" t="n">
        <f aca="false">IFERROR(__xludf.dummyfunction("""COMPUTED_VALUE"""),1)</f>
        <v>1</v>
      </c>
      <c r="AB202" s="22" t="n">
        <f aca="false">IFERROR(__xludf.dummyfunction("""COMPUTED_VALUE"""),9)</f>
        <v>9</v>
      </c>
      <c r="AC202" s="22" t="n">
        <f aca="false">IFERROR(__xludf.dummyfunction("""COMPUTED_VALUE"""),27)</f>
        <v>27</v>
      </c>
      <c r="AD202" s="23" t="n">
        <f aca="false">IFERROR(__xludf.dummyfunction("""COMPUTED_VALUE"""),1)</f>
        <v>1</v>
      </c>
      <c r="AE202" s="24" t="n">
        <f aca="false">IFERROR(__xludf.dummyfunction("""COMPUTED_VALUE"""),83.8)</f>
        <v>83.8</v>
      </c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</row>
    <row r="203" customFormat="false" ht="18.65" hidden="false" customHeight="false" outlineLevel="0" collapsed="false">
      <c r="A203" s="13" t="n">
        <v>202</v>
      </c>
      <c r="B203" s="14" t="s">
        <v>438</v>
      </c>
      <c r="C203" s="15" t="s">
        <v>439</v>
      </c>
      <c r="D203" s="16" t="s">
        <v>232</v>
      </c>
      <c r="E203" s="16" t="s">
        <v>232</v>
      </c>
      <c r="F203" s="16" t="str">
        <f aca="false">REPLACE(E203, 1, 3, "")</f>
        <v>09</v>
      </c>
      <c r="G203" s="17" t="str">
        <f aca="true">IFERROR(VLOOKUP(B203,INDIRECT("'"&amp;F203&amp;"'!D3:D"),1,FALSE()), "Not found")</f>
        <v>Not found</v>
      </c>
      <c r="H203" s="18" t="n">
        <f aca="true">INDIRECT("'"&amp;F203&amp;"'!D1")</f>
        <v>0</v>
      </c>
      <c r="I203" s="18" t="str">
        <f aca="false">IFERROR(__xludf.dummyfunction("REGEXEXTRACT(ADDRESS(ROW(), 24+$H203), ""[A-Z]+"")"),"X")</f>
        <v>X</v>
      </c>
      <c r="J203" s="18" t="str">
        <f aca="false">IFERROR(__xludf.dummyfunction("REGEXEXTRACT(ADDRESS(ROW(), 30+$H203), ""[A-Z]+"")"),"AD")</f>
        <v>AD</v>
      </c>
      <c r="K203" s="18" t="str">
        <f aca="false">IFERROR(__xludf.dummyfunction("REGEXEXTRACT(ADDRESS(ROW(), 36+$H203), ""[A-Z]+"")"),"AJ")</f>
        <v>AJ</v>
      </c>
      <c r="L203" s="18" t="str">
        <f aca="false">IFERROR(__xludf.dummyfunction("REGEXEXTRACT(ADDRESS(ROW(), 42+$H203), ""[A-Z]+"")"),"AP")</f>
        <v>AP</v>
      </c>
      <c r="M203" s="18" t="str">
        <f aca="false">IFERROR(__xludf.dummyfunction("REGEXEXTRACT(ADDRESS(ROW(), 48+$H203), ""[A-Z]+"")"),"AV")</f>
        <v>AV</v>
      </c>
      <c r="N203" s="18" t="str">
        <f aca="false">IFERROR(__xludf.dummyfunction("REGEXEXTRACT(ADDRESS(ROW(), 50+$H203), ""[A-Z]+"")"),"AX")</f>
        <v>AX</v>
      </c>
      <c r="O203" s="18" t="str">
        <f aca="false">IFERROR(__xludf.dummyfunction("REGEXEXTRACT(ADDRESS(ROW(), 51+$H203), ""[A-Z]+"")"),"AY")</f>
        <v>AY</v>
      </c>
      <c r="P203" s="18" t="str">
        <f aca="false">IFERROR(__xludf.dummyfunction("REGEXEXTRACT(ADDRESS(ROW(), 54+$H203), ""[A-Z]+"")"),"BB")</f>
        <v>BB</v>
      </c>
      <c r="Q203" s="18" t="str">
        <f aca="false">IFERROR(__xludf.dummyfunction("REGEXEXTRACT(ADDRESS(ROW(), 59+$H203), ""[A-Z]+"")"),"BG")</f>
        <v>BG</v>
      </c>
      <c r="R203" s="18" t="str">
        <f aca="false">IFERROR(__xludf.dummyfunction("REGEXEXTRACT(ADDRESS(ROW(), 60+$H203), ""[A-Z]+"")"),"BH")</f>
        <v>BH</v>
      </c>
      <c r="S203" s="18" t="str">
        <f aca="false">IFERROR(__xludf.dummyfunction("REGEXEXTRACT(ADDRESS(ROW(), 62+$H203), ""[A-Z]+"")"),"BJ")</f>
        <v>BJ</v>
      </c>
      <c r="T203" s="18" t="str">
        <f aca="false">IFERROR(__xludf.dummyfunction("REGEXEXTRACT(ADDRESS(ROW(), 63+$H203), ""[A-Z]+"")"),"BK")</f>
        <v>BK</v>
      </c>
      <c r="U203" s="19" t="n">
        <f aca="false">IFERROR(__xludf.dummyfunction("IFERROR(QUERY(INDIRECT(""'""&amp;F203&amp;""'!C3:""&amp;T203&amp;""""), ""SELECT ""&amp;I203&amp;"", ""&amp;J203&amp;"", ""&amp;K203&amp;"", ""&amp;L203&amp;"", ""&amp;M203&amp;"", ""&amp;N203&amp;"", ""&amp;O203&amp;"", ""&amp;P203&amp;"", ""&amp;Q203&amp;"", ""&amp;R203&amp;"", ""&amp;S203&amp;"" WHERE '""&amp;B203&amp;""' = D"", 0), """")"),7)</f>
        <v>7</v>
      </c>
      <c r="V203" s="22" t="n">
        <f aca="false">IFERROR(__xludf.dummyfunction("""COMPUTED_VALUE"""),8)</f>
        <v>8</v>
      </c>
      <c r="W203" s="22" t="n">
        <f aca="false">IFERROR(__xludf.dummyfunction("""COMPUTED_VALUE"""),9)</f>
        <v>9</v>
      </c>
      <c r="X203" s="22" t="n">
        <f aca="false">IFERROR(__xludf.dummyfunction("""COMPUTED_VALUE"""),8.5)</f>
        <v>8.5</v>
      </c>
      <c r="Y203" s="22" t="n">
        <f aca="false">IFERROR(__xludf.dummyfunction("""COMPUTED_VALUE"""),0)</f>
        <v>0</v>
      </c>
      <c r="Z203" s="22" t="n">
        <f aca="false">IFERROR(__xludf.dummyfunction("""COMPUTED_VALUE"""),0)</f>
        <v>0</v>
      </c>
      <c r="AA203" s="22"/>
      <c r="AB203" s="22" t="n">
        <f aca="false">IFERROR(__xludf.dummyfunction("""COMPUTED_VALUE"""),7)</f>
        <v>7</v>
      </c>
      <c r="AC203" s="22" t="n">
        <f aca="false">IFERROR(__xludf.dummyfunction("""COMPUTED_VALUE"""),21)</f>
        <v>21</v>
      </c>
      <c r="AD203" s="23"/>
      <c r="AE203" s="24" t="n">
        <f aca="false">IFERROR(__xludf.dummyfunction("""COMPUTED_VALUE"""),60.5)</f>
        <v>60.5</v>
      </c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</row>
    <row r="204" customFormat="false" ht="18.65" hidden="false" customHeight="false" outlineLevel="0" collapsed="false">
      <c r="A204" s="13" t="n">
        <v>203</v>
      </c>
      <c r="B204" s="14" t="s">
        <v>440</v>
      </c>
      <c r="C204" s="15" t="s">
        <v>441</v>
      </c>
      <c r="D204" s="16" t="s">
        <v>191</v>
      </c>
      <c r="E204" s="16" t="s">
        <v>191</v>
      </c>
      <c r="F204" s="16" t="str">
        <f aca="false">REPLACE(E204, 1, 3, "")</f>
        <v>12</v>
      </c>
      <c r="G204" s="17" t="str">
        <f aca="true">IFERROR(VLOOKUP(B204,INDIRECT("'"&amp;F204&amp;"'!D3:D"),1,FALSE()), "Not found")</f>
        <v>Not found</v>
      </c>
      <c r="H204" s="18" t="n">
        <f aca="true">INDIRECT("'"&amp;F204&amp;"'!D1")</f>
        <v>0</v>
      </c>
      <c r="I204" s="18" t="str">
        <f aca="false">IFERROR(__xludf.dummyfunction("REGEXEXTRACT(ADDRESS(ROW(), 24+$H204), ""[A-Z]+"")"),"X")</f>
        <v>X</v>
      </c>
      <c r="J204" s="18" t="str">
        <f aca="false">IFERROR(__xludf.dummyfunction("REGEXEXTRACT(ADDRESS(ROW(), 30+$H204), ""[A-Z]+"")"),"AD")</f>
        <v>AD</v>
      </c>
      <c r="K204" s="18" t="str">
        <f aca="false">IFERROR(__xludf.dummyfunction("REGEXEXTRACT(ADDRESS(ROW(), 36+$H204), ""[A-Z]+"")"),"AJ")</f>
        <v>AJ</v>
      </c>
      <c r="L204" s="18" t="str">
        <f aca="false">IFERROR(__xludf.dummyfunction("REGEXEXTRACT(ADDRESS(ROW(), 42+$H204), ""[A-Z]+"")"),"AP")</f>
        <v>AP</v>
      </c>
      <c r="M204" s="18" t="str">
        <f aca="false">IFERROR(__xludf.dummyfunction("REGEXEXTRACT(ADDRESS(ROW(), 48+$H204), ""[A-Z]+"")"),"AV")</f>
        <v>AV</v>
      </c>
      <c r="N204" s="18" t="str">
        <f aca="false">IFERROR(__xludf.dummyfunction("REGEXEXTRACT(ADDRESS(ROW(), 50+$H204), ""[A-Z]+"")"),"AX")</f>
        <v>AX</v>
      </c>
      <c r="O204" s="18" t="str">
        <f aca="false">IFERROR(__xludf.dummyfunction("REGEXEXTRACT(ADDRESS(ROW(), 51+$H204), ""[A-Z]+"")"),"AY")</f>
        <v>AY</v>
      </c>
      <c r="P204" s="18" t="str">
        <f aca="false">IFERROR(__xludf.dummyfunction("REGEXEXTRACT(ADDRESS(ROW(), 54+$H204), ""[A-Z]+"")"),"BB")</f>
        <v>BB</v>
      </c>
      <c r="Q204" s="18" t="str">
        <f aca="false">IFERROR(__xludf.dummyfunction("REGEXEXTRACT(ADDRESS(ROW(), 59+$H204), ""[A-Z]+"")"),"BG")</f>
        <v>BG</v>
      </c>
      <c r="R204" s="18" t="str">
        <f aca="false">IFERROR(__xludf.dummyfunction("REGEXEXTRACT(ADDRESS(ROW(), 60+$H204), ""[A-Z]+"")"),"BH")</f>
        <v>BH</v>
      </c>
      <c r="S204" s="18" t="str">
        <f aca="false">IFERROR(__xludf.dummyfunction("REGEXEXTRACT(ADDRESS(ROW(), 62+$H204), ""[A-Z]+"")"),"BJ")</f>
        <v>BJ</v>
      </c>
      <c r="T204" s="18" t="str">
        <f aca="false">IFERROR(__xludf.dummyfunction("REGEXEXTRACT(ADDRESS(ROW(), 63+$H204), ""[A-Z]+"")"),"BK")</f>
        <v>BK</v>
      </c>
      <c r="U204" s="19" t="n">
        <f aca="false">IFERROR(__xludf.dummyfunction("IFERROR(QUERY(INDIRECT(""'""&amp;F204&amp;""'!C3:""&amp;T204&amp;""""), ""SELECT ""&amp;I204&amp;"", ""&amp;J204&amp;"", ""&amp;K204&amp;"", ""&amp;L204&amp;"", ""&amp;M204&amp;"", ""&amp;N204&amp;"", ""&amp;O204&amp;"", ""&amp;P204&amp;"", ""&amp;Q204&amp;"", ""&amp;R204&amp;"", ""&amp;S204&amp;"" WHERE '""&amp;B204&amp;""' = D"", 0), """")"),10)</f>
        <v>10</v>
      </c>
      <c r="V204" s="22" t="n">
        <f aca="false">IFERROR(__xludf.dummyfunction("""COMPUTED_VALUE"""),10)</f>
        <v>10</v>
      </c>
      <c r="W204" s="22" t="n">
        <f aca="false">IFERROR(__xludf.dummyfunction("""COMPUTED_VALUE"""),10)</f>
        <v>10</v>
      </c>
      <c r="X204" s="22" t="n">
        <f aca="false">IFERROR(__xludf.dummyfunction("""COMPUTED_VALUE"""),10)</f>
        <v>10</v>
      </c>
      <c r="Y204" s="22" t="n">
        <f aca="false">IFERROR(__xludf.dummyfunction("""COMPUTED_VALUE"""),0)</f>
        <v>0</v>
      </c>
      <c r="Z204" s="22" t="n">
        <f aca="false">IFERROR(__xludf.dummyfunction("""COMPUTED_VALUE"""),0)</f>
        <v>0</v>
      </c>
      <c r="AA204" s="22" t="n">
        <f aca="false">IFERROR(__xludf.dummyfunction("""COMPUTED_VALUE"""),3)</f>
        <v>3</v>
      </c>
      <c r="AB204" s="22" t="n">
        <f aca="false">IFERROR(__xludf.dummyfunction("""COMPUTED_VALUE"""),10)</f>
        <v>10</v>
      </c>
      <c r="AC204" s="22" t="n">
        <f aca="false">IFERROR(__xludf.dummyfunction("""COMPUTED_VALUE"""),20)</f>
        <v>20</v>
      </c>
      <c r="AD204" s="23" t="n">
        <f aca="false">IFERROR(__xludf.dummyfunction("""COMPUTED_VALUE"""),2)</f>
        <v>2</v>
      </c>
      <c r="AE204" s="24" t="n">
        <f aca="false">IFERROR(__xludf.dummyfunction("""COMPUTED_VALUE"""),75)</f>
        <v>75</v>
      </c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</row>
    <row r="205" customFormat="false" ht="18.65" hidden="false" customHeight="false" outlineLevel="0" collapsed="false">
      <c r="A205" s="13" t="n">
        <v>204</v>
      </c>
      <c r="B205" s="14" t="s">
        <v>442</v>
      </c>
      <c r="C205" s="15" t="s">
        <v>443</v>
      </c>
      <c r="D205" s="16" t="s">
        <v>180</v>
      </c>
      <c r="E205" s="16" t="s">
        <v>180</v>
      </c>
      <c r="F205" s="16" t="str">
        <f aca="false">REPLACE(E205, 1, 3, "")</f>
        <v>11</v>
      </c>
      <c r="G205" s="17" t="str">
        <f aca="true">IFERROR(VLOOKUP(B205,INDIRECT("'"&amp;F205&amp;"'!D3:D"),1,FALSE()), "Not found")</f>
        <v>Not found</v>
      </c>
      <c r="H205" s="18" t="n">
        <f aca="true">INDIRECT("'"&amp;F205&amp;"'!D1")</f>
        <v>0</v>
      </c>
      <c r="I205" s="18" t="str">
        <f aca="false">IFERROR(__xludf.dummyfunction("REGEXEXTRACT(ADDRESS(ROW(), 24+$H205), ""[A-Z]+"")"),"X")</f>
        <v>X</v>
      </c>
      <c r="J205" s="18" t="str">
        <f aca="false">IFERROR(__xludf.dummyfunction("REGEXEXTRACT(ADDRESS(ROW(), 30+$H205), ""[A-Z]+"")"),"AD")</f>
        <v>AD</v>
      </c>
      <c r="K205" s="18" t="str">
        <f aca="false">IFERROR(__xludf.dummyfunction("REGEXEXTRACT(ADDRESS(ROW(), 36+$H205), ""[A-Z]+"")"),"AJ")</f>
        <v>AJ</v>
      </c>
      <c r="L205" s="18" t="str">
        <f aca="false">IFERROR(__xludf.dummyfunction("REGEXEXTRACT(ADDRESS(ROW(), 42+$H205), ""[A-Z]+"")"),"AP")</f>
        <v>AP</v>
      </c>
      <c r="M205" s="18" t="str">
        <f aca="false">IFERROR(__xludf.dummyfunction("REGEXEXTRACT(ADDRESS(ROW(), 48+$H205), ""[A-Z]+"")"),"AV")</f>
        <v>AV</v>
      </c>
      <c r="N205" s="18" t="str">
        <f aca="false">IFERROR(__xludf.dummyfunction("REGEXEXTRACT(ADDRESS(ROW(), 50+$H205), ""[A-Z]+"")"),"AX")</f>
        <v>AX</v>
      </c>
      <c r="O205" s="18" t="str">
        <f aca="false">IFERROR(__xludf.dummyfunction("REGEXEXTRACT(ADDRESS(ROW(), 51+$H205), ""[A-Z]+"")"),"AY")</f>
        <v>AY</v>
      </c>
      <c r="P205" s="18" t="str">
        <f aca="false">IFERROR(__xludf.dummyfunction("REGEXEXTRACT(ADDRESS(ROW(), 54+$H205), ""[A-Z]+"")"),"BB")</f>
        <v>BB</v>
      </c>
      <c r="Q205" s="18" t="str">
        <f aca="false">IFERROR(__xludf.dummyfunction("REGEXEXTRACT(ADDRESS(ROW(), 59+$H205), ""[A-Z]+"")"),"BG")</f>
        <v>BG</v>
      </c>
      <c r="R205" s="18" t="str">
        <f aca="false">IFERROR(__xludf.dummyfunction("REGEXEXTRACT(ADDRESS(ROW(), 60+$H205), ""[A-Z]+"")"),"BH")</f>
        <v>BH</v>
      </c>
      <c r="S205" s="18" t="str">
        <f aca="false">IFERROR(__xludf.dummyfunction("REGEXEXTRACT(ADDRESS(ROW(), 62+$H205), ""[A-Z]+"")"),"BJ")</f>
        <v>BJ</v>
      </c>
      <c r="T205" s="18" t="str">
        <f aca="false">IFERROR(__xludf.dummyfunction("REGEXEXTRACT(ADDRESS(ROW(), 63+$H205), ""[A-Z]+"")"),"BK")</f>
        <v>BK</v>
      </c>
      <c r="U205" s="19" t="n">
        <f aca="false">IFERROR(__xludf.dummyfunction("IFERROR(QUERY(INDIRECT(""'""&amp;F205&amp;""'!C3:""&amp;T205&amp;""""), ""SELECT ""&amp;I205&amp;"", ""&amp;J205&amp;"", ""&amp;K205&amp;"", ""&amp;L205&amp;"", ""&amp;M205&amp;"", ""&amp;N205&amp;"", ""&amp;O205&amp;"", ""&amp;P205&amp;"", ""&amp;Q205&amp;"", ""&amp;R205&amp;"", ""&amp;S205&amp;"" WHERE '""&amp;B205&amp;""' = D"", 0), """")"),10)</f>
        <v>10</v>
      </c>
      <c r="V205" s="22" t="n">
        <f aca="false">IFERROR(__xludf.dummyfunction("""COMPUTED_VALUE"""),10)</f>
        <v>10</v>
      </c>
      <c r="W205" s="22" t="n">
        <f aca="false">IFERROR(__xludf.dummyfunction("""COMPUTED_VALUE"""),10)</f>
        <v>10</v>
      </c>
      <c r="X205" s="22" t="n">
        <f aca="false">IFERROR(__xludf.dummyfunction("""COMPUTED_VALUE"""),9)</f>
        <v>9</v>
      </c>
      <c r="Y205" s="22" t="n">
        <f aca="false">IFERROR(__xludf.dummyfunction("""COMPUTED_VALUE"""),0)</f>
        <v>0</v>
      </c>
      <c r="Z205" s="22" t="n">
        <f aca="false">IFERROR(__xludf.dummyfunction("""COMPUTED_VALUE"""),1)</f>
        <v>1</v>
      </c>
      <c r="AA205" s="22" t="n">
        <f aca="false">IFERROR(__xludf.dummyfunction("""COMPUTED_VALUE"""),0)</f>
        <v>0</v>
      </c>
      <c r="AB205" s="22" t="n">
        <f aca="false">IFERROR(__xludf.dummyfunction("""COMPUTED_VALUE"""),7)</f>
        <v>7</v>
      </c>
      <c r="AC205" s="22" t="n">
        <f aca="false">IFERROR(__xludf.dummyfunction("""COMPUTED_VALUE"""),25)</f>
        <v>25</v>
      </c>
      <c r="AD205" s="23" t="n">
        <f aca="false">IFERROR(__xludf.dummyfunction("""COMPUTED_VALUE"""),3)</f>
        <v>3</v>
      </c>
      <c r="AE205" s="24" t="n">
        <f aca="false">IFERROR(__xludf.dummyfunction("""COMPUTED_VALUE"""),75)</f>
        <v>75</v>
      </c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</row>
    <row r="206" customFormat="false" ht="18.65" hidden="false" customHeight="false" outlineLevel="0" collapsed="false">
      <c r="A206" s="13" t="n">
        <v>205</v>
      </c>
      <c r="B206" s="14" t="s">
        <v>444</v>
      </c>
      <c r="C206" s="15" t="s">
        <v>445</v>
      </c>
      <c r="D206" s="16" t="s">
        <v>279</v>
      </c>
      <c r="E206" s="16" t="s">
        <v>279</v>
      </c>
      <c r="F206" s="16" t="str">
        <f aca="false">REPLACE(E206, 1, 3, "")</f>
        <v>07</v>
      </c>
      <c r="G206" s="17" t="str">
        <f aca="true">IFERROR(VLOOKUP(B206,INDIRECT("'"&amp;F206&amp;"'!D3:D"),1,FALSE()), "Not found")</f>
        <v>Not found</v>
      </c>
      <c r="H206" s="18" t="n">
        <f aca="true">INDIRECT("'"&amp;F206&amp;"'!D1")</f>
        <v>0</v>
      </c>
      <c r="I206" s="18" t="str">
        <f aca="false">IFERROR(__xludf.dummyfunction("REGEXEXTRACT(ADDRESS(ROW(), 24+$H206), ""[A-Z]+"")"),"X")</f>
        <v>X</v>
      </c>
      <c r="J206" s="18" t="str">
        <f aca="false">IFERROR(__xludf.dummyfunction("REGEXEXTRACT(ADDRESS(ROW(), 30+$H206), ""[A-Z]+"")"),"AD")</f>
        <v>AD</v>
      </c>
      <c r="K206" s="18" t="str">
        <f aca="false">IFERROR(__xludf.dummyfunction("REGEXEXTRACT(ADDRESS(ROW(), 36+$H206), ""[A-Z]+"")"),"AJ")</f>
        <v>AJ</v>
      </c>
      <c r="L206" s="18" t="str">
        <f aca="false">IFERROR(__xludf.dummyfunction("REGEXEXTRACT(ADDRESS(ROW(), 42+$H206), ""[A-Z]+"")"),"AP")</f>
        <v>AP</v>
      </c>
      <c r="M206" s="18" t="str">
        <f aca="false">IFERROR(__xludf.dummyfunction("REGEXEXTRACT(ADDRESS(ROW(), 48+$H206), ""[A-Z]+"")"),"AV")</f>
        <v>AV</v>
      </c>
      <c r="N206" s="18" t="str">
        <f aca="false">IFERROR(__xludf.dummyfunction("REGEXEXTRACT(ADDRESS(ROW(), 50+$H206), ""[A-Z]+"")"),"AX")</f>
        <v>AX</v>
      </c>
      <c r="O206" s="18" t="str">
        <f aca="false">IFERROR(__xludf.dummyfunction("REGEXEXTRACT(ADDRESS(ROW(), 51+$H206), ""[A-Z]+"")"),"AY")</f>
        <v>AY</v>
      </c>
      <c r="P206" s="18" t="str">
        <f aca="false">IFERROR(__xludf.dummyfunction("REGEXEXTRACT(ADDRESS(ROW(), 54+$H206), ""[A-Z]+"")"),"BB")</f>
        <v>BB</v>
      </c>
      <c r="Q206" s="18" t="str">
        <f aca="false">IFERROR(__xludf.dummyfunction("REGEXEXTRACT(ADDRESS(ROW(), 59+$H206), ""[A-Z]+"")"),"BG")</f>
        <v>BG</v>
      </c>
      <c r="R206" s="18" t="str">
        <f aca="false">IFERROR(__xludf.dummyfunction("REGEXEXTRACT(ADDRESS(ROW(), 60+$H206), ""[A-Z]+"")"),"BH")</f>
        <v>BH</v>
      </c>
      <c r="S206" s="18" t="str">
        <f aca="false">IFERROR(__xludf.dummyfunction("REGEXEXTRACT(ADDRESS(ROW(), 62+$H206), ""[A-Z]+"")"),"BJ")</f>
        <v>BJ</v>
      </c>
      <c r="T206" s="18" t="str">
        <f aca="false">IFERROR(__xludf.dummyfunction("REGEXEXTRACT(ADDRESS(ROW(), 63+$H206), ""[A-Z]+"")"),"BK")</f>
        <v>BK</v>
      </c>
      <c r="U206" s="19" t="str">
        <f aca="false">IFERROR(__xludf.dummyfunction("IFERROR(QUERY(INDIRECT(""'""&amp;F206&amp;""'!C3:""&amp;T206&amp;""""), ""SELECT ""&amp;I206&amp;"", ""&amp;J206&amp;"", ""&amp;K206&amp;"", ""&amp;L206&amp;"", ""&amp;M206&amp;"", ""&amp;N206&amp;"", ""&amp;O206&amp;"", ""&amp;P206&amp;"", ""&amp;Q206&amp;"", ""&amp;R206&amp;"", ""&amp;S206&amp;"" WHERE '""&amp;B206&amp;""' = D"", 0), """")"),"")</f>
        <v/>
      </c>
      <c r="V206" s="22"/>
      <c r="W206" s="22"/>
      <c r="X206" s="22"/>
      <c r="Y206" s="22"/>
      <c r="Z206" s="22"/>
      <c r="AA206" s="22"/>
      <c r="AB206" s="22"/>
      <c r="AC206" s="22"/>
      <c r="AD206" s="23"/>
      <c r="AE206" s="24" t="n">
        <f aca="false">IFERROR(__xludf.dummyfunction("""COMPUTED_VALUE"""),0)</f>
        <v>0</v>
      </c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</row>
    <row r="207" customFormat="false" ht="18.65" hidden="false" customHeight="false" outlineLevel="0" collapsed="false">
      <c r="A207" s="13" t="n">
        <v>206</v>
      </c>
      <c r="B207" s="14" t="s">
        <v>446</v>
      </c>
      <c r="C207" s="15" t="s">
        <v>447</v>
      </c>
      <c r="D207" s="16" t="s">
        <v>186</v>
      </c>
      <c r="E207" s="16" t="s">
        <v>186</v>
      </c>
      <c r="F207" s="16" t="str">
        <f aca="false">REPLACE(E207, 1, 3, "")</f>
        <v>06</v>
      </c>
      <c r="G207" s="17" t="str">
        <f aca="true">IFERROR(VLOOKUP(B207,INDIRECT("'"&amp;F207&amp;"'!D3:D"),1,FALSE()), "Not found")</f>
        <v>Not found</v>
      </c>
      <c r="H207" s="18" t="n">
        <f aca="true">INDIRECT("'"&amp;F207&amp;"'!D1")</f>
        <v>0</v>
      </c>
      <c r="I207" s="18" t="str">
        <f aca="false">IFERROR(__xludf.dummyfunction("REGEXEXTRACT(ADDRESS(ROW(), 24+$H207), ""[A-Z]+"")"),"X")</f>
        <v>X</v>
      </c>
      <c r="J207" s="18" t="str">
        <f aca="false">IFERROR(__xludf.dummyfunction("REGEXEXTRACT(ADDRESS(ROW(), 30+$H207), ""[A-Z]+"")"),"AD")</f>
        <v>AD</v>
      </c>
      <c r="K207" s="18" t="str">
        <f aca="false">IFERROR(__xludf.dummyfunction("REGEXEXTRACT(ADDRESS(ROW(), 36+$H207), ""[A-Z]+"")"),"AJ")</f>
        <v>AJ</v>
      </c>
      <c r="L207" s="18" t="str">
        <f aca="false">IFERROR(__xludf.dummyfunction("REGEXEXTRACT(ADDRESS(ROW(), 42+$H207), ""[A-Z]+"")"),"AP")</f>
        <v>AP</v>
      </c>
      <c r="M207" s="18" t="str">
        <f aca="false">IFERROR(__xludf.dummyfunction("REGEXEXTRACT(ADDRESS(ROW(), 48+$H207), ""[A-Z]+"")"),"AV")</f>
        <v>AV</v>
      </c>
      <c r="N207" s="18" t="str">
        <f aca="false">IFERROR(__xludf.dummyfunction("REGEXEXTRACT(ADDRESS(ROW(), 50+$H207), ""[A-Z]+"")"),"AX")</f>
        <v>AX</v>
      </c>
      <c r="O207" s="18" t="str">
        <f aca="false">IFERROR(__xludf.dummyfunction("REGEXEXTRACT(ADDRESS(ROW(), 51+$H207), ""[A-Z]+"")"),"AY")</f>
        <v>AY</v>
      </c>
      <c r="P207" s="18" t="str">
        <f aca="false">IFERROR(__xludf.dummyfunction("REGEXEXTRACT(ADDRESS(ROW(), 54+$H207), ""[A-Z]+"")"),"BB")</f>
        <v>BB</v>
      </c>
      <c r="Q207" s="18" t="str">
        <f aca="false">IFERROR(__xludf.dummyfunction("REGEXEXTRACT(ADDRESS(ROW(), 59+$H207), ""[A-Z]+"")"),"BG")</f>
        <v>BG</v>
      </c>
      <c r="R207" s="18" t="str">
        <f aca="false">IFERROR(__xludf.dummyfunction("REGEXEXTRACT(ADDRESS(ROW(), 60+$H207), ""[A-Z]+"")"),"BH")</f>
        <v>BH</v>
      </c>
      <c r="S207" s="18" t="str">
        <f aca="false">IFERROR(__xludf.dummyfunction("REGEXEXTRACT(ADDRESS(ROW(), 62+$H207), ""[A-Z]+"")"),"BJ")</f>
        <v>BJ</v>
      </c>
      <c r="T207" s="18" t="str">
        <f aca="false">IFERROR(__xludf.dummyfunction("REGEXEXTRACT(ADDRESS(ROW(), 63+$H207), ""[A-Z]+"")"),"BK")</f>
        <v>BK</v>
      </c>
      <c r="U207" s="19" t="n">
        <f aca="false">IFERROR(__xludf.dummyfunction("IFERROR(QUERY(INDIRECT(""'""&amp;F207&amp;""'!C3:""&amp;T207&amp;""""), ""SELECT ""&amp;I207&amp;"", ""&amp;J207&amp;"", ""&amp;K207&amp;"", ""&amp;L207&amp;"", ""&amp;M207&amp;"", ""&amp;N207&amp;"", ""&amp;O207&amp;"", ""&amp;P207&amp;"", ""&amp;Q207&amp;"", ""&amp;R207&amp;"", ""&amp;S207&amp;"" WHERE '""&amp;B207&amp;""' = D"", 0), """")"),8)</f>
        <v>8</v>
      </c>
      <c r="V207" s="22" t="n">
        <f aca="false">IFERROR(__xludf.dummyfunction("""COMPUTED_VALUE"""),8)</f>
        <v>8</v>
      </c>
      <c r="W207" s="22" t="n">
        <f aca="false">IFERROR(__xludf.dummyfunction("""COMPUTED_VALUE"""),8)</f>
        <v>8</v>
      </c>
      <c r="X207" s="22" t="n">
        <f aca="false">IFERROR(__xludf.dummyfunction("""COMPUTED_VALUE"""),8.5)</f>
        <v>8.5</v>
      </c>
      <c r="Y207" s="22" t="n">
        <f aca="false">IFERROR(__xludf.dummyfunction("""COMPUTED_VALUE"""),0)</f>
        <v>0</v>
      </c>
      <c r="Z207" s="22" t="n">
        <f aca="false">IFERROR(__xludf.dummyfunction("""COMPUTED_VALUE"""),0)</f>
        <v>0</v>
      </c>
      <c r="AA207" s="22" t="n">
        <f aca="false">IFERROR(__xludf.dummyfunction("""COMPUTED_VALUE"""),0)</f>
        <v>0</v>
      </c>
      <c r="AB207" s="22" t="n">
        <f aca="false">IFERROR(__xludf.dummyfunction("""COMPUTED_VALUE"""),6)</f>
        <v>6</v>
      </c>
      <c r="AC207" s="22" t="n">
        <f aca="false">IFERROR(__xludf.dummyfunction("""COMPUTED_VALUE"""),22)</f>
        <v>22</v>
      </c>
      <c r="AD207" s="23"/>
      <c r="AE207" s="24" t="n">
        <f aca="false">IFERROR(__xludf.dummyfunction("""COMPUTED_VALUE"""),60.5)</f>
        <v>60.5</v>
      </c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</row>
    <row r="208" customFormat="false" ht="18.65" hidden="false" customHeight="false" outlineLevel="0" collapsed="false">
      <c r="A208" s="13" t="n">
        <v>207</v>
      </c>
      <c r="B208" s="14" t="s">
        <v>448</v>
      </c>
      <c r="C208" s="15" t="s">
        <v>449</v>
      </c>
      <c r="D208" s="16" t="s">
        <v>183</v>
      </c>
      <c r="E208" s="16" t="s">
        <v>183</v>
      </c>
      <c r="F208" s="16" t="str">
        <f aca="false">REPLACE(E208, 1, 3, "")</f>
        <v>14</v>
      </c>
      <c r="G208" s="17" t="str">
        <f aca="true">IFERROR(VLOOKUP(B208,INDIRECT("'"&amp;F208&amp;"'!D3:D"),1,FALSE()), "Not found")</f>
        <v>Not found</v>
      </c>
      <c r="H208" s="18" t="n">
        <f aca="true">INDIRECT("'"&amp;F208&amp;"'!D1")</f>
        <v>0</v>
      </c>
      <c r="I208" s="18" t="str">
        <f aca="false">IFERROR(__xludf.dummyfunction("REGEXEXTRACT(ADDRESS(ROW(), 24+$H208), ""[A-Z]+"")"),"X")</f>
        <v>X</v>
      </c>
      <c r="J208" s="18" t="str">
        <f aca="false">IFERROR(__xludf.dummyfunction("REGEXEXTRACT(ADDRESS(ROW(), 30+$H208), ""[A-Z]+"")"),"AD")</f>
        <v>AD</v>
      </c>
      <c r="K208" s="18" t="str">
        <f aca="false">IFERROR(__xludf.dummyfunction("REGEXEXTRACT(ADDRESS(ROW(), 36+$H208), ""[A-Z]+"")"),"AJ")</f>
        <v>AJ</v>
      </c>
      <c r="L208" s="18" t="str">
        <f aca="false">IFERROR(__xludf.dummyfunction("REGEXEXTRACT(ADDRESS(ROW(), 42+$H208), ""[A-Z]+"")"),"AP")</f>
        <v>AP</v>
      </c>
      <c r="M208" s="18" t="str">
        <f aca="false">IFERROR(__xludf.dummyfunction("REGEXEXTRACT(ADDRESS(ROW(), 48+$H208), ""[A-Z]+"")"),"AV")</f>
        <v>AV</v>
      </c>
      <c r="N208" s="18" t="str">
        <f aca="false">IFERROR(__xludf.dummyfunction("REGEXEXTRACT(ADDRESS(ROW(), 50+$H208), ""[A-Z]+"")"),"AX")</f>
        <v>AX</v>
      </c>
      <c r="O208" s="18" t="str">
        <f aca="false">IFERROR(__xludf.dummyfunction("REGEXEXTRACT(ADDRESS(ROW(), 51+$H208), ""[A-Z]+"")"),"AY")</f>
        <v>AY</v>
      </c>
      <c r="P208" s="18" t="str">
        <f aca="false">IFERROR(__xludf.dummyfunction("REGEXEXTRACT(ADDRESS(ROW(), 54+$H208), ""[A-Z]+"")"),"BB")</f>
        <v>BB</v>
      </c>
      <c r="Q208" s="18" t="str">
        <f aca="false">IFERROR(__xludf.dummyfunction("REGEXEXTRACT(ADDRESS(ROW(), 59+$H208), ""[A-Z]+"")"),"BG")</f>
        <v>BG</v>
      </c>
      <c r="R208" s="18" t="str">
        <f aca="false">IFERROR(__xludf.dummyfunction("REGEXEXTRACT(ADDRESS(ROW(), 60+$H208), ""[A-Z]+"")"),"BH")</f>
        <v>BH</v>
      </c>
      <c r="S208" s="18" t="str">
        <f aca="false">IFERROR(__xludf.dummyfunction("REGEXEXTRACT(ADDRESS(ROW(), 62+$H208), ""[A-Z]+"")"),"BJ")</f>
        <v>BJ</v>
      </c>
      <c r="T208" s="18" t="str">
        <f aca="false">IFERROR(__xludf.dummyfunction("REGEXEXTRACT(ADDRESS(ROW(), 63+$H208), ""[A-Z]+"")"),"BK")</f>
        <v>BK</v>
      </c>
      <c r="U208" s="19" t="n">
        <f aca="false">IFERROR(__xludf.dummyfunction("IFERROR(QUERY(INDIRECT(""'""&amp;F208&amp;""'!C3:""&amp;T208&amp;""""), ""SELECT ""&amp;I208&amp;"", ""&amp;J208&amp;"", ""&amp;K208&amp;"", ""&amp;L208&amp;"", ""&amp;M208&amp;"", ""&amp;N208&amp;"", ""&amp;O208&amp;"", ""&amp;P208&amp;"", ""&amp;Q208&amp;"", ""&amp;R208&amp;"", ""&amp;S208&amp;"" WHERE '""&amp;B208&amp;""' = D"", 0), """")"),8)</f>
        <v>8</v>
      </c>
      <c r="V208" s="22" t="n">
        <f aca="false">IFERROR(__xludf.dummyfunction("""COMPUTED_VALUE"""),8)</f>
        <v>8</v>
      </c>
      <c r="W208" s="22" t="n">
        <f aca="false">IFERROR(__xludf.dummyfunction("""COMPUTED_VALUE"""),8)</f>
        <v>8</v>
      </c>
      <c r="X208" s="22" t="n">
        <f aca="false">IFERROR(__xludf.dummyfunction("""COMPUTED_VALUE"""),6)</f>
        <v>6</v>
      </c>
      <c r="Y208" s="22" t="n">
        <f aca="false">IFERROR(__xludf.dummyfunction("""COMPUTED_VALUE"""),0)</f>
        <v>0</v>
      </c>
      <c r="Z208" s="22"/>
      <c r="AA208" s="22" t="n">
        <f aca="false">IFERROR(__xludf.dummyfunction("""COMPUTED_VALUE"""),2)</f>
        <v>2</v>
      </c>
      <c r="AB208" s="22" t="n">
        <f aca="false">IFERROR(__xludf.dummyfunction("""COMPUTED_VALUE"""),7)</f>
        <v>7</v>
      </c>
      <c r="AC208" s="22"/>
      <c r="AD208" s="23"/>
      <c r="AE208" s="24" t="n">
        <f aca="false">IFERROR(__xludf.dummyfunction("""COMPUTED_VALUE"""),39)</f>
        <v>39</v>
      </c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</row>
    <row r="209" customFormat="false" ht="18.65" hidden="false" customHeight="false" outlineLevel="0" collapsed="false">
      <c r="A209" s="13" t="n">
        <v>208</v>
      </c>
      <c r="B209" s="14" t="s">
        <v>450</v>
      </c>
      <c r="C209" s="15" t="s">
        <v>451</v>
      </c>
      <c r="D209" s="16" t="s">
        <v>232</v>
      </c>
      <c r="E209" s="16" t="s">
        <v>232</v>
      </c>
      <c r="F209" s="16" t="str">
        <f aca="false">REPLACE(E209, 1, 3, "")</f>
        <v>09</v>
      </c>
      <c r="G209" s="17" t="str">
        <f aca="true">IFERROR(VLOOKUP(B209,INDIRECT("'"&amp;F209&amp;"'!D3:D"),1,FALSE()), "Not found")</f>
        <v>Not found</v>
      </c>
      <c r="H209" s="18" t="n">
        <f aca="true">INDIRECT("'"&amp;F209&amp;"'!D1")</f>
        <v>0</v>
      </c>
      <c r="I209" s="18" t="str">
        <f aca="false">IFERROR(__xludf.dummyfunction("REGEXEXTRACT(ADDRESS(ROW(), 24+$H209), ""[A-Z]+"")"),"X")</f>
        <v>X</v>
      </c>
      <c r="J209" s="18" t="str">
        <f aca="false">IFERROR(__xludf.dummyfunction("REGEXEXTRACT(ADDRESS(ROW(), 30+$H209), ""[A-Z]+"")"),"AD")</f>
        <v>AD</v>
      </c>
      <c r="K209" s="18" t="str">
        <f aca="false">IFERROR(__xludf.dummyfunction("REGEXEXTRACT(ADDRESS(ROW(), 36+$H209), ""[A-Z]+"")"),"AJ")</f>
        <v>AJ</v>
      </c>
      <c r="L209" s="18" t="str">
        <f aca="false">IFERROR(__xludf.dummyfunction("REGEXEXTRACT(ADDRESS(ROW(), 42+$H209), ""[A-Z]+"")"),"AP")</f>
        <v>AP</v>
      </c>
      <c r="M209" s="18" t="str">
        <f aca="false">IFERROR(__xludf.dummyfunction("REGEXEXTRACT(ADDRESS(ROW(), 48+$H209), ""[A-Z]+"")"),"AV")</f>
        <v>AV</v>
      </c>
      <c r="N209" s="18" t="str">
        <f aca="false">IFERROR(__xludf.dummyfunction("REGEXEXTRACT(ADDRESS(ROW(), 50+$H209), ""[A-Z]+"")"),"AX")</f>
        <v>AX</v>
      </c>
      <c r="O209" s="18" t="str">
        <f aca="false">IFERROR(__xludf.dummyfunction("REGEXEXTRACT(ADDRESS(ROW(), 51+$H209), ""[A-Z]+"")"),"AY")</f>
        <v>AY</v>
      </c>
      <c r="P209" s="18" t="str">
        <f aca="false">IFERROR(__xludf.dummyfunction("REGEXEXTRACT(ADDRESS(ROW(), 54+$H209), ""[A-Z]+"")"),"BB")</f>
        <v>BB</v>
      </c>
      <c r="Q209" s="18" t="str">
        <f aca="false">IFERROR(__xludf.dummyfunction("REGEXEXTRACT(ADDRESS(ROW(), 59+$H209), ""[A-Z]+"")"),"BG")</f>
        <v>BG</v>
      </c>
      <c r="R209" s="18" t="str">
        <f aca="false">IFERROR(__xludf.dummyfunction("REGEXEXTRACT(ADDRESS(ROW(), 60+$H209), ""[A-Z]+"")"),"BH")</f>
        <v>BH</v>
      </c>
      <c r="S209" s="18" t="str">
        <f aca="false">IFERROR(__xludf.dummyfunction("REGEXEXTRACT(ADDRESS(ROW(), 62+$H209), ""[A-Z]+"")"),"BJ")</f>
        <v>BJ</v>
      </c>
      <c r="T209" s="18" t="str">
        <f aca="false">IFERROR(__xludf.dummyfunction("REGEXEXTRACT(ADDRESS(ROW(), 63+$H209), ""[A-Z]+"")"),"BK")</f>
        <v>BK</v>
      </c>
      <c r="U209" s="19" t="n">
        <f aca="false">IFERROR(__xludf.dummyfunction("IFERROR(QUERY(INDIRECT(""'""&amp;F209&amp;""'!C3:""&amp;T209&amp;""""), ""SELECT ""&amp;I209&amp;"", ""&amp;J209&amp;"", ""&amp;K209&amp;"", ""&amp;L209&amp;"", ""&amp;M209&amp;"", ""&amp;N209&amp;"", ""&amp;O209&amp;"", ""&amp;P209&amp;"", ""&amp;Q209&amp;"", ""&amp;R209&amp;"", ""&amp;S209&amp;"" WHERE '""&amp;B209&amp;""' = D"", 0), """")"),9.5)</f>
        <v>9.5</v>
      </c>
      <c r="V209" s="22" t="n">
        <f aca="false">IFERROR(__xludf.dummyfunction("""COMPUTED_VALUE"""),8)</f>
        <v>8</v>
      </c>
      <c r="W209" s="22" t="n">
        <f aca="false">IFERROR(__xludf.dummyfunction("""COMPUTED_VALUE"""),8)</f>
        <v>8</v>
      </c>
      <c r="X209" s="22" t="n">
        <f aca="false">IFERROR(__xludf.dummyfunction("""COMPUTED_VALUE"""),9)</f>
        <v>9</v>
      </c>
      <c r="Y209" s="22" t="n">
        <f aca="false">IFERROR(__xludf.dummyfunction("""COMPUTED_VALUE"""),0)</f>
        <v>0</v>
      </c>
      <c r="Z209" s="22" t="n">
        <f aca="false">IFERROR(__xludf.dummyfunction("""COMPUTED_VALUE"""),1)</f>
        <v>1</v>
      </c>
      <c r="AA209" s="22" t="n">
        <f aca="false">IFERROR(__xludf.dummyfunction("""COMPUTED_VALUE"""),2)</f>
        <v>2</v>
      </c>
      <c r="AB209" s="22" t="n">
        <f aca="false">IFERROR(__xludf.dummyfunction("""COMPUTED_VALUE"""),10)</f>
        <v>10</v>
      </c>
      <c r="AC209" s="22" t="n">
        <f aca="false">IFERROR(__xludf.dummyfunction("""COMPUTED_VALUE"""),20)</f>
        <v>20</v>
      </c>
      <c r="AD209" s="23"/>
      <c r="AE209" s="24" t="n">
        <f aca="false">IFERROR(__xludf.dummyfunction("""COMPUTED_VALUE"""),67.5)</f>
        <v>67.5</v>
      </c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</row>
    <row r="210" customFormat="false" ht="18.65" hidden="false" customHeight="false" outlineLevel="0" collapsed="false">
      <c r="A210" s="13" t="n">
        <v>209</v>
      </c>
      <c r="B210" s="14" t="s">
        <v>452</v>
      </c>
      <c r="C210" s="15" t="s">
        <v>453</v>
      </c>
      <c r="D210" s="16" t="s">
        <v>218</v>
      </c>
      <c r="E210" s="16" t="s">
        <v>218</v>
      </c>
      <c r="F210" s="16" t="str">
        <f aca="false">REPLACE(E210, 1, 3, "")</f>
        <v>15</v>
      </c>
      <c r="G210" s="17" t="str">
        <f aca="true">IFERROR(VLOOKUP(B210,INDIRECT("'"&amp;F210&amp;"'!D3:D"),1,FALSE()), "Not found")</f>
        <v>Not found</v>
      </c>
      <c r="H210" s="18" t="n">
        <f aca="true">INDIRECT("'"&amp;F210&amp;"'!D1")</f>
        <v>0</v>
      </c>
      <c r="I210" s="18" t="str">
        <f aca="false">IFERROR(__xludf.dummyfunction("REGEXEXTRACT(ADDRESS(ROW(), 24+$H210), ""[A-Z]+"")"),"X")</f>
        <v>X</v>
      </c>
      <c r="J210" s="18" t="str">
        <f aca="false">IFERROR(__xludf.dummyfunction("REGEXEXTRACT(ADDRESS(ROW(), 30+$H210), ""[A-Z]+"")"),"AD")</f>
        <v>AD</v>
      </c>
      <c r="K210" s="18" t="str">
        <f aca="false">IFERROR(__xludf.dummyfunction("REGEXEXTRACT(ADDRESS(ROW(), 36+$H210), ""[A-Z]+"")"),"AJ")</f>
        <v>AJ</v>
      </c>
      <c r="L210" s="18" t="str">
        <f aca="false">IFERROR(__xludf.dummyfunction("REGEXEXTRACT(ADDRESS(ROW(), 42+$H210), ""[A-Z]+"")"),"AP")</f>
        <v>AP</v>
      </c>
      <c r="M210" s="18" t="str">
        <f aca="false">IFERROR(__xludf.dummyfunction("REGEXEXTRACT(ADDRESS(ROW(), 48+$H210), ""[A-Z]+"")"),"AV")</f>
        <v>AV</v>
      </c>
      <c r="N210" s="18" t="str">
        <f aca="false">IFERROR(__xludf.dummyfunction("REGEXEXTRACT(ADDRESS(ROW(), 50+$H210), ""[A-Z]+"")"),"AX")</f>
        <v>AX</v>
      </c>
      <c r="O210" s="18" t="str">
        <f aca="false">IFERROR(__xludf.dummyfunction("REGEXEXTRACT(ADDRESS(ROW(), 51+$H210), ""[A-Z]+"")"),"AY")</f>
        <v>AY</v>
      </c>
      <c r="P210" s="18" t="str">
        <f aca="false">IFERROR(__xludf.dummyfunction("REGEXEXTRACT(ADDRESS(ROW(), 54+$H210), ""[A-Z]+"")"),"BB")</f>
        <v>BB</v>
      </c>
      <c r="Q210" s="18" t="str">
        <f aca="false">IFERROR(__xludf.dummyfunction("REGEXEXTRACT(ADDRESS(ROW(), 59+$H210), ""[A-Z]+"")"),"BG")</f>
        <v>BG</v>
      </c>
      <c r="R210" s="18" t="str">
        <f aca="false">IFERROR(__xludf.dummyfunction("REGEXEXTRACT(ADDRESS(ROW(), 60+$H210), ""[A-Z]+"")"),"BH")</f>
        <v>BH</v>
      </c>
      <c r="S210" s="18" t="str">
        <f aca="false">IFERROR(__xludf.dummyfunction("REGEXEXTRACT(ADDRESS(ROW(), 62+$H210), ""[A-Z]+"")"),"BJ")</f>
        <v>BJ</v>
      </c>
      <c r="T210" s="18" t="str">
        <f aca="false">IFERROR(__xludf.dummyfunction("REGEXEXTRACT(ADDRESS(ROW(), 63+$H210), ""[A-Z]+"")"),"BK")</f>
        <v>BK</v>
      </c>
      <c r="U210" s="19" t="n">
        <f aca="false">IFERROR(__xludf.dummyfunction("IFERROR(QUERY(INDIRECT(""'""&amp;F210&amp;""'!C3:""&amp;T210&amp;""""), ""SELECT ""&amp;I210&amp;"", ""&amp;J210&amp;"", ""&amp;K210&amp;"", ""&amp;L210&amp;"", ""&amp;M210&amp;"", ""&amp;N210&amp;"", ""&amp;O210&amp;"", ""&amp;P210&amp;"", ""&amp;Q210&amp;"", ""&amp;R210&amp;"", ""&amp;S210&amp;"" WHERE '""&amp;B210&amp;""' = D"", 0), """")"),7.8)</f>
        <v>7.8</v>
      </c>
      <c r="V210" s="22" t="n">
        <f aca="false">IFERROR(__xludf.dummyfunction("""COMPUTED_VALUE"""),8.9)</f>
        <v>8.9</v>
      </c>
      <c r="W210" s="22" t="n">
        <f aca="false">IFERROR(__xludf.dummyfunction("""COMPUTED_VALUE"""),8)</f>
        <v>8</v>
      </c>
      <c r="X210" s="22" t="n">
        <f aca="false">IFERROR(__xludf.dummyfunction("""COMPUTED_VALUE"""),8)</f>
        <v>8</v>
      </c>
      <c r="Y210" s="22" t="n">
        <f aca="false">IFERROR(__xludf.dummyfunction("""COMPUTED_VALUE"""),0)</f>
        <v>0</v>
      </c>
      <c r="Z210" s="22" t="n">
        <f aca="false">IFERROR(__xludf.dummyfunction("""COMPUTED_VALUE"""),0)</f>
        <v>0</v>
      </c>
      <c r="AA210" s="22"/>
      <c r="AB210" s="22" t="n">
        <f aca="false">IFERROR(__xludf.dummyfunction("""COMPUTED_VALUE"""),10)</f>
        <v>10</v>
      </c>
      <c r="AC210" s="22" t="n">
        <f aca="false">IFERROR(__xludf.dummyfunction("""COMPUTED_VALUE"""),25)</f>
        <v>25</v>
      </c>
      <c r="AD210" s="23"/>
      <c r="AE210" s="24" t="n">
        <f aca="false">IFERROR(__xludf.dummyfunction("""COMPUTED_VALUE"""),67.7)</f>
        <v>67.7</v>
      </c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</row>
    <row r="211" customFormat="false" ht="18.65" hidden="false" customHeight="false" outlineLevel="0" collapsed="false">
      <c r="A211" s="13" t="n">
        <v>210</v>
      </c>
      <c r="B211" s="14" t="s">
        <v>454</v>
      </c>
      <c r="C211" s="15" t="s">
        <v>455</v>
      </c>
      <c r="D211" s="16" t="s">
        <v>223</v>
      </c>
      <c r="E211" s="16" t="s">
        <v>223</v>
      </c>
      <c r="F211" s="16" t="str">
        <f aca="false">REPLACE(E211, 1, 3, "")</f>
        <v>17</v>
      </c>
      <c r="G211" s="17" t="str">
        <f aca="true">IFERROR(VLOOKUP(B211,INDIRECT("'"&amp;F211&amp;"'!D3:D"),1,FALSE()), "Not found")</f>
        <v>Not found</v>
      </c>
      <c r="H211" s="18" t="n">
        <f aca="true">INDIRECT("'"&amp;F211&amp;"'!D1")</f>
        <v>0</v>
      </c>
      <c r="I211" s="18" t="str">
        <f aca="false">IFERROR(__xludf.dummyfunction("REGEXEXTRACT(ADDRESS(ROW(), 24+$H211), ""[A-Z]+"")"),"X")</f>
        <v>X</v>
      </c>
      <c r="J211" s="18" t="str">
        <f aca="false">IFERROR(__xludf.dummyfunction("REGEXEXTRACT(ADDRESS(ROW(), 30+$H211), ""[A-Z]+"")"),"AD")</f>
        <v>AD</v>
      </c>
      <c r="K211" s="18" t="str">
        <f aca="false">IFERROR(__xludf.dummyfunction("REGEXEXTRACT(ADDRESS(ROW(), 36+$H211), ""[A-Z]+"")"),"AJ")</f>
        <v>AJ</v>
      </c>
      <c r="L211" s="18" t="str">
        <f aca="false">IFERROR(__xludf.dummyfunction("REGEXEXTRACT(ADDRESS(ROW(), 42+$H211), ""[A-Z]+"")"),"AP")</f>
        <v>AP</v>
      </c>
      <c r="M211" s="18" t="str">
        <f aca="false">IFERROR(__xludf.dummyfunction("REGEXEXTRACT(ADDRESS(ROW(), 48+$H211), ""[A-Z]+"")"),"AV")</f>
        <v>AV</v>
      </c>
      <c r="N211" s="18" t="str">
        <f aca="false">IFERROR(__xludf.dummyfunction("REGEXEXTRACT(ADDRESS(ROW(), 50+$H211), ""[A-Z]+"")"),"AX")</f>
        <v>AX</v>
      </c>
      <c r="O211" s="18" t="str">
        <f aca="false">IFERROR(__xludf.dummyfunction("REGEXEXTRACT(ADDRESS(ROW(), 51+$H211), ""[A-Z]+"")"),"AY")</f>
        <v>AY</v>
      </c>
      <c r="P211" s="18" t="str">
        <f aca="false">IFERROR(__xludf.dummyfunction("REGEXEXTRACT(ADDRESS(ROW(), 54+$H211), ""[A-Z]+"")"),"BB")</f>
        <v>BB</v>
      </c>
      <c r="Q211" s="18" t="str">
        <f aca="false">IFERROR(__xludf.dummyfunction("REGEXEXTRACT(ADDRESS(ROW(), 59+$H211), ""[A-Z]+"")"),"BG")</f>
        <v>BG</v>
      </c>
      <c r="R211" s="18" t="str">
        <f aca="false">IFERROR(__xludf.dummyfunction("REGEXEXTRACT(ADDRESS(ROW(), 60+$H211), ""[A-Z]+"")"),"BH")</f>
        <v>BH</v>
      </c>
      <c r="S211" s="18" t="str">
        <f aca="false">IFERROR(__xludf.dummyfunction("REGEXEXTRACT(ADDRESS(ROW(), 62+$H211), ""[A-Z]+"")"),"BJ")</f>
        <v>BJ</v>
      </c>
      <c r="T211" s="18" t="str">
        <f aca="false">IFERROR(__xludf.dummyfunction("REGEXEXTRACT(ADDRESS(ROW(), 63+$H211), ""[A-Z]+"")"),"BK")</f>
        <v>BK</v>
      </c>
      <c r="U211" s="19" t="n">
        <f aca="false">IFERROR(__xludf.dummyfunction("IFERROR(QUERY(INDIRECT(""'""&amp;F211&amp;""'!C3:""&amp;T211&amp;""""), ""SELECT ""&amp;I211&amp;"", ""&amp;J211&amp;"", ""&amp;K211&amp;"", ""&amp;L211&amp;"", ""&amp;M211&amp;"", ""&amp;N211&amp;"", ""&amp;O211&amp;"", ""&amp;P211&amp;"", ""&amp;Q211&amp;"", ""&amp;R211&amp;"", ""&amp;S211&amp;"" WHERE '""&amp;B211&amp;""' = D"", 0), """")"),7.5)</f>
        <v>7.5</v>
      </c>
      <c r="V211" s="22" t="n">
        <f aca="false">IFERROR(__xludf.dummyfunction("""COMPUTED_VALUE"""),8)</f>
        <v>8</v>
      </c>
      <c r="W211" s="22"/>
      <c r="X211" s="22"/>
      <c r="Y211" s="22" t="n">
        <f aca="false">IFERROR(__xludf.dummyfunction("""COMPUTED_VALUE"""),0)</f>
        <v>0</v>
      </c>
      <c r="Z211" s="22"/>
      <c r="AA211" s="22"/>
      <c r="AB211" s="22" t="n">
        <f aca="false">IFERROR(__xludf.dummyfunction("""COMPUTED_VALUE"""),0)</f>
        <v>0</v>
      </c>
      <c r="AC211" s="22"/>
      <c r="AD211" s="23"/>
      <c r="AE211" s="24" t="n">
        <f aca="false">IFERROR(__xludf.dummyfunction("""COMPUTED_VALUE"""),15.5)</f>
        <v>15.5</v>
      </c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</row>
    <row r="212" customFormat="false" ht="18.65" hidden="false" customHeight="false" outlineLevel="0" collapsed="false">
      <c r="A212" s="13" t="n">
        <v>211</v>
      </c>
      <c r="B212" s="14" t="s">
        <v>456</v>
      </c>
      <c r="C212" s="15" t="s">
        <v>457</v>
      </c>
      <c r="D212" s="16" t="s">
        <v>235</v>
      </c>
      <c r="E212" s="16" t="s">
        <v>235</v>
      </c>
      <c r="F212" s="16" t="str">
        <f aca="false">REPLACE(E212, 1, 3, "")</f>
        <v>18</v>
      </c>
      <c r="G212" s="17" t="str">
        <f aca="true">IFERROR(VLOOKUP(B212,INDIRECT("'"&amp;F212&amp;"'!D3:D"),1,FALSE()), "Not found")</f>
        <v>Not found</v>
      </c>
      <c r="H212" s="18" t="n">
        <f aca="true">INDIRECT("'"&amp;F212&amp;"'!D1")</f>
        <v>0</v>
      </c>
      <c r="I212" s="18" t="str">
        <f aca="false">IFERROR(__xludf.dummyfunction("REGEXEXTRACT(ADDRESS(ROW(), 24+$H212), ""[A-Z]+"")"),"X")</f>
        <v>X</v>
      </c>
      <c r="J212" s="18" t="str">
        <f aca="false">IFERROR(__xludf.dummyfunction("REGEXEXTRACT(ADDRESS(ROW(), 30+$H212), ""[A-Z]+"")"),"AD")</f>
        <v>AD</v>
      </c>
      <c r="K212" s="18" t="str">
        <f aca="false">IFERROR(__xludf.dummyfunction("REGEXEXTRACT(ADDRESS(ROW(), 36+$H212), ""[A-Z]+"")"),"AJ")</f>
        <v>AJ</v>
      </c>
      <c r="L212" s="18" t="str">
        <f aca="false">IFERROR(__xludf.dummyfunction("REGEXEXTRACT(ADDRESS(ROW(), 42+$H212), ""[A-Z]+"")"),"AP")</f>
        <v>AP</v>
      </c>
      <c r="M212" s="18" t="str">
        <f aca="false">IFERROR(__xludf.dummyfunction("REGEXEXTRACT(ADDRESS(ROW(), 48+$H212), ""[A-Z]+"")"),"AV")</f>
        <v>AV</v>
      </c>
      <c r="N212" s="18" t="str">
        <f aca="false">IFERROR(__xludf.dummyfunction("REGEXEXTRACT(ADDRESS(ROW(), 50+$H212), ""[A-Z]+"")"),"AX")</f>
        <v>AX</v>
      </c>
      <c r="O212" s="18" t="str">
        <f aca="false">IFERROR(__xludf.dummyfunction("REGEXEXTRACT(ADDRESS(ROW(), 51+$H212), ""[A-Z]+"")"),"AY")</f>
        <v>AY</v>
      </c>
      <c r="P212" s="18" t="str">
        <f aca="false">IFERROR(__xludf.dummyfunction("REGEXEXTRACT(ADDRESS(ROW(), 54+$H212), ""[A-Z]+"")"),"BB")</f>
        <v>BB</v>
      </c>
      <c r="Q212" s="18" t="str">
        <f aca="false">IFERROR(__xludf.dummyfunction("REGEXEXTRACT(ADDRESS(ROW(), 59+$H212), ""[A-Z]+"")"),"BG")</f>
        <v>BG</v>
      </c>
      <c r="R212" s="18" t="str">
        <f aca="false">IFERROR(__xludf.dummyfunction("REGEXEXTRACT(ADDRESS(ROW(), 60+$H212), ""[A-Z]+"")"),"BH")</f>
        <v>BH</v>
      </c>
      <c r="S212" s="18" t="str">
        <f aca="false">IFERROR(__xludf.dummyfunction("REGEXEXTRACT(ADDRESS(ROW(), 62+$H212), ""[A-Z]+"")"),"BJ")</f>
        <v>BJ</v>
      </c>
      <c r="T212" s="18" t="str">
        <f aca="false">IFERROR(__xludf.dummyfunction("REGEXEXTRACT(ADDRESS(ROW(), 63+$H212), ""[A-Z]+"")"),"BK")</f>
        <v>BK</v>
      </c>
      <c r="U212" s="19" t="n">
        <f aca="false">IFERROR(__xludf.dummyfunction("IFERROR(QUERY(INDIRECT(""'""&amp;F212&amp;""'!C3:""&amp;T212&amp;""""), ""SELECT ""&amp;I212&amp;"", ""&amp;J212&amp;"", ""&amp;K212&amp;"", ""&amp;L212&amp;"", ""&amp;M212&amp;"", ""&amp;N212&amp;"", ""&amp;O212&amp;"", ""&amp;P212&amp;"", ""&amp;Q212&amp;"", ""&amp;R212&amp;"", ""&amp;S212&amp;"" WHERE '""&amp;B212&amp;""' = D"", 0), """")"),8.5)</f>
        <v>8.5</v>
      </c>
      <c r="V212" s="22" t="n">
        <f aca="false">IFERROR(__xludf.dummyfunction("""COMPUTED_VALUE"""),8.5)</f>
        <v>8.5</v>
      </c>
      <c r="W212" s="22" t="n">
        <f aca="false">IFERROR(__xludf.dummyfunction("""COMPUTED_VALUE"""),8)</f>
        <v>8</v>
      </c>
      <c r="X212" s="22"/>
      <c r="Y212" s="22" t="n">
        <f aca="false">IFERROR(__xludf.dummyfunction("""COMPUTED_VALUE"""),0)</f>
        <v>0</v>
      </c>
      <c r="Z212" s="22" t="n">
        <f aca="false">IFERROR(__xludf.dummyfunction("""COMPUTED_VALUE"""),0)</f>
        <v>0</v>
      </c>
      <c r="AA212" s="22"/>
      <c r="AB212" s="22" t="n">
        <f aca="false">IFERROR(__xludf.dummyfunction("""COMPUTED_VALUE"""),6)</f>
        <v>6</v>
      </c>
      <c r="AC212" s="22"/>
      <c r="AD212" s="23"/>
      <c r="AE212" s="24" t="n">
        <f aca="false">IFERROR(__xludf.dummyfunction("""COMPUTED_VALUE"""),31)</f>
        <v>31</v>
      </c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</row>
    <row r="213" customFormat="false" ht="18.65" hidden="false" customHeight="false" outlineLevel="0" collapsed="false">
      <c r="A213" s="13" t="n">
        <v>212</v>
      </c>
      <c r="B213" s="14" t="s">
        <v>458</v>
      </c>
      <c r="C213" s="15" t="s">
        <v>459</v>
      </c>
      <c r="D213" s="16" t="s">
        <v>177</v>
      </c>
      <c r="E213" s="16" t="s">
        <v>177</v>
      </c>
      <c r="F213" s="16" t="str">
        <f aca="false">REPLACE(E213, 1, 3, "")</f>
        <v>19</v>
      </c>
      <c r="G213" s="17" t="str">
        <f aca="true">IFERROR(VLOOKUP(B213,INDIRECT("'"&amp;F213&amp;"'!D3:D"),1,FALSE()), "Not found")</f>
        <v>Not found</v>
      </c>
      <c r="H213" s="18" t="n">
        <f aca="true">INDIRECT("'"&amp;F213&amp;"'!D1")</f>
        <v>0</v>
      </c>
      <c r="I213" s="18" t="str">
        <f aca="false">IFERROR(__xludf.dummyfunction("REGEXEXTRACT(ADDRESS(ROW(), 24+$H213), ""[A-Z]+"")"),"X")</f>
        <v>X</v>
      </c>
      <c r="J213" s="18" t="str">
        <f aca="false">IFERROR(__xludf.dummyfunction("REGEXEXTRACT(ADDRESS(ROW(), 30+$H213), ""[A-Z]+"")"),"AD")</f>
        <v>AD</v>
      </c>
      <c r="K213" s="18" t="str">
        <f aca="false">IFERROR(__xludf.dummyfunction("REGEXEXTRACT(ADDRESS(ROW(), 36+$H213), ""[A-Z]+"")"),"AJ")</f>
        <v>AJ</v>
      </c>
      <c r="L213" s="18" t="str">
        <f aca="false">IFERROR(__xludf.dummyfunction("REGEXEXTRACT(ADDRESS(ROW(), 42+$H213), ""[A-Z]+"")"),"AP")</f>
        <v>AP</v>
      </c>
      <c r="M213" s="18" t="str">
        <f aca="false">IFERROR(__xludf.dummyfunction("REGEXEXTRACT(ADDRESS(ROW(), 48+$H213), ""[A-Z]+"")"),"AV")</f>
        <v>AV</v>
      </c>
      <c r="N213" s="18" t="str">
        <f aca="false">IFERROR(__xludf.dummyfunction("REGEXEXTRACT(ADDRESS(ROW(), 50+$H213), ""[A-Z]+"")"),"AX")</f>
        <v>AX</v>
      </c>
      <c r="O213" s="18" t="str">
        <f aca="false">IFERROR(__xludf.dummyfunction("REGEXEXTRACT(ADDRESS(ROW(), 51+$H213), ""[A-Z]+"")"),"AY")</f>
        <v>AY</v>
      </c>
      <c r="P213" s="18" t="str">
        <f aca="false">IFERROR(__xludf.dummyfunction("REGEXEXTRACT(ADDRESS(ROW(), 54+$H213), ""[A-Z]+"")"),"BB")</f>
        <v>BB</v>
      </c>
      <c r="Q213" s="18" t="str">
        <f aca="false">IFERROR(__xludf.dummyfunction("REGEXEXTRACT(ADDRESS(ROW(), 59+$H213), ""[A-Z]+"")"),"BG")</f>
        <v>BG</v>
      </c>
      <c r="R213" s="18" t="str">
        <f aca="false">IFERROR(__xludf.dummyfunction("REGEXEXTRACT(ADDRESS(ROW(), 60+$H213), ""[A-Z]+"")"),"BH")</f>
        <v>BH</v>
      </c>
      <c r="S213" s="18" t="str">
        <f aca="false">IFERROR(__xludf.dummyfunction("REGEXEXTRACT(ADDRESS(ROW(), 62+$H213), ""[A-Z]+"")"),"BJ")</f>
        <v>BJ</v>
      </c>
      <c r="T213" s="18" t="str">
        <f aca="false">IFERROR(__xludf.dummyfunction("REGEXEXTRACT(ADDRESS(ROW(), 63+$H213), ""[A-Z]+"")"),"BK")</f>
        <v>BK</v>
      </c>
      <c r="U213" s="19" t="n">
        <f aca="false">IFERROR(__xludf.dummyfunction("IFERROR(QUERY(INDIRECT(""'""&amp;F213&amp;""'!C3:""&amp;T213&amp;""""), ""SELECT ""&amp;I213&amp;"", ""&amp;J213&amp;"", ""&amp;K213&amp;"", ""&amp;L213&amp;"", ""&amp;M213&amp;"", ""&amp;N213&amp;"", ""&amp;O213&amp;"", ""&amp;P213&amp;"", ""&amp;Q213&amp;"", ""&amp;R213&amp;"", ""&amp;S213&amp;"" WHERE '""&amp;B213&amp;""' = D"", 0), """")"),10)</f>
        <v>10</v>
      </c>
      <c r="V213" s="22" t="n">
        <f aca="false">IFERROR(__xludf.dummyfunction("""COMPUTED_VALUE"""),10)</f>
        <v>10</v>
      </c>
      <c r="W213" s="22" t="n">
        <f aca="false">IFERROR(__xludf.dummyfunction("""COMPUTED_VALUE"""),10)</f>
        <v>10</v>
      </c>
      <c r="X213" s="22" t="n">
        <f aca="false">IFERROR(__xludf.dummyfunction("""COMPUTED_VALUE"""),10)</f>
        <v>10</v>
      </c>
      <c r="Y213" s="22" t="n">
        <f aca="false">IFERROR(__xludf.dummyfunction("""COMPUTED_VALUE"""),10)</f>
        <v>10</v>
      </c>
      <c r="Z213" s="22" t="n">
        <f aca="false">IFERROR(__xludf.dummyfunction("""COMPUTED_VALUE"""),4)</f>
        <v>4</v>
      </c>
      <c r="AA213" s="22" t="n">
        <f aca="false">IFERROR(__xludf.dummyfunction("""COMPUTED_VALUE"""),2)</f>
        <v>2</v>
      </c>
      <c r="AB213" s="22" t="n">
        <f aca="false">IFERROR(__xludf.dummyfunction("""COMPUTED_VALUE"""),6)</f>
        <v>6</v>
      </c>
      <c r="AC213" s="22" t="n">
        <f aca="false">IFERROR(__xludf.dummyfunction("""COMPUTED_VALUE"""),30)</f>
        <v>30</v>
      </c>
      <c r="AD213" s="23" t="n">
        <f aca="false">IFERROR(__xludf.dummyfunction("""COMPUTED_VALUE"""),3)</f>
        <v>3</v>
      </c>
      <c r="AE213" s="24" t="n">
        <f aca="false">IFERROR(__xludf.dummyfunction("""COMPUTED_VALUE"""),95)</f>
        <v>95</v>
      </c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</row>
    <row r="214" customFormat="false" ht="18.65" hidden="false" customHeight="false" outlineLevel="0" collapsed="false">
      <c r="A214" s="13" t="n">
        <v>213</v>
      </c>
      <c r="B214" s="14" t="s">
        <v>460</v>
      </c>
      <c r="C214" s="15" t="s">
        <v>461</v>
      </c>
      <c r="D214" s="16" t="s">
        <v>235</v>
      </c>
      <c r="E214" s="16" t="s">
        <v>235</v>
      </c>
      <c r="F214" s="16" t="str">
        <f aca="false">REPLACE(E214, 1, 3, "")</f>
        <v>18</v>
      </c>
      <c r="G214" s="17" t="str">
        <f aca="true">IFERROR(VLOOKUP(B214,INDIRECT("'"&amp;F214&amp;"'!D3:D"),1,FALSE()), "Not found")</f>
        <v>Not found</v>
      </c>
      <c r="H214" s="18" t="n">
        <f aca="true">INDIRECT("'"&amp;F214&amp;"'!D1")</f>
        <v>0</v>
      </c>
      <c r="I214" s="18" t="str">
        <f aca="false">IFERROR(__xludf.dummyfunction("REGEXEXTRACT(ADDRESS(ROW(), 24+$H214), ""[A-Z]+"")"),"X")</f>
        <v>X</v>
      </c>
      <c r="J214" s="18" t="str">
        <f aca="false">IFERROR(__xludf.dummyfunction("REGEXEXTRACT(ADDRESS(ROW(), 30+$H214), ""[A-Z]+"")"),"AD")</f>
        <v>AD</v>
      </c>
      <c r="K214" s="18" t="str">
        <f aca="false">IFERROR(__xludf.dummyfunction("REGEXEXTRACT(ADDRESS(ROW(), 36+$H214), ""[A-Z]+"")"),"AJ")</f>
        <v>AJ</v>
      </c>
      <c r="L214" s="18" t="str">
        <f aca="false">IFERROR(__xludf.dummyfunction("REGEXEXTRACT(ADDRESS(ROW(), 42+$H214), ""[A-Z]+"")"),"AP")</f>
        <v>AP</v>
      </c>
      <c r="M214" s="18" t="str">
        <f aca="false">IFERROR(__xludf.dummyfunction("REGEXEXTRACT(ADDRESS(ROW(), 48+$H214), ""[A-Z]+"")"),"AV")</f>
        <v>AV</v>
      </c>
      <c r="N214" s="18" t="str">
        <f aca="false">IFERROR(__xludf.dummyfunction("REGEXEXTRACT(ADDRESS(ROW(), 50+$H214), ""[A-Z]+"")"),"AX")</f>
        <v>AX</v>
      </c>
      <c r="O214" s="18" t="str">
        <f aca="false">IFERROR(__xludf.dummyfunction("REGEXEXTRACT(ADDRESS(ROW(), 51+$H214), ""[A-Z]+"")"),"AY")</f>
        <v>AY</v>
      </c>
      <c r="P214" s="18" t="str">
        <f aca="false">IFERROR(__xludf.dummyfunction("REGEXEXTRACT(ADDRESS(ROW(), 54+$H214), ""[A-Z]+"")"),"BB")</f>
        <v>BB</v>
      </c>
      <c r="Q214" s="18" t="str">
        <f aca="false">IFERROR(__xludf.dummyfunction("REGEXEXTRACT(ADDRESS(ROW(), 59+$H214), ""[A-Z]+"")"),"BG")</f>
        <v>BG</v>
      </c>
      <c r="R214" s="18" t="str">
        <f aca="false">IFERROR(__xludf.dummyfunction("REGEXEXTRACT(ADDRESS(ROW(), 60+$H214), ""[A-Z]+"")"),"BH")</f>
        <v>BH</v>
      </c>
      <c r="S214" s="18" t="str">
        <f aca="false">IFERROR(__xludf.dummyfunction("REGEXEXTRACT(ADDRESS(ROW(), 62+$H214), ""[A-Z]+"")"),"BJ")</f>
        <v>BJ</v>
      </c>
      <c r="T214" s="18" t="str">
        <f aca="false">IFERROR(__xludf.dummyfunction("REGEXEXTRACT(ADDRESS(ROW(), 63+$H214), ""[A-Z]+"")"),"BK")</f>
        <v>BK</v>
      </c>
      <c r="U214" s="19" t="n">
        <f aca="false">IFERROR(__xludf.dummyfunction("IFERROR(QUERY(INDIRECT(""'""&amp;F214&amp;""'!C3:""&amp;T214&amp;""""), ""SELECT ""&amp;I214&amp;"", ""&amp;J214&amp;"", ""&amp;K214&amp;"", ""&amp;L214&amp;"", ""&amp;M214&amp;"", ""&amp;N214&amp;"", ""&amp;O214&amp;"", ""&amp;P214&amp;"", ""&amp;Q214&amp;"", ""&amp;R214&amp;"", ""&amp;S214&amp;"" WHERE '""&amp;B214&amp;""' = D"", 0), """")"),8)</f>
        <v>8</v>
      </c>
      <c r="V214" s="22" t="n">
        <f aca="false">IFERROR(__xludf.dummyfunction("""COMPUTED_VALUE"""),7)</f>
        <v>7</v>
      </c>
      <c r="W214" s="22"/>
      <c r="X214" s="22"/>
      <c r="Y214" s="22" t="n">
        <f aca="false">IFERROR(__xludf.dummyfunction("""COMPUTED_VALUE"""),0)</f>
        <v>0</v>
      </c>
      <c r="Z214" s="22"/>
      <c r="AA214" s="22"/>
      <c r="AB214" s="22" t="n">
        <f aca="false">IFERROR(__xludf.dummyfunction("""COMPUTED_VALUE"""),0.02)</f>
        <v>0.02</v>
      </c>
      <c r="AC214" s="22"/>
      <c r="AD214" s="23"/>
      <c r="AE214" s="24" t="n">
        <f aca="false">IFERROR(__xludf.dummyfunction("""COMPUTED_VALUE"""),15.02)</f>
        <v>15.02</v>
      </c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</row>
    <row r="215" customFormat="false" ht="18.65" hidden="false" customHeight="false" outlineLevel="0" collapsed="false">
      <c r="A215" s="13" t="n">
        <v>214</v>
      </c>
      <c r="B215" s="14" t="s">
        <v>462</v>
      </c>
      <c r="C215" s="15" t="s">
        <v>463</v>
      </c>
      <c r="D215" s="16" t="s">
        <v>223</v>
      </c>
      <c r="E215" s="16" t="s">
        <v>223</v>
      </c>
      <c r="F215" s="16" t="str">
        <f aca="false">REPLACE(E215, 1, 3, "")</f>
        <v>17</v>
      </c>
      <c r="G215" s="17" t="str">
        <f aca="true">IFERROR(VLOOKUP(B215,INDIRECT("'"&amp;F215&amp;"'!D3:D"),1,FALSE()), "Not found")</f>
        <v>Not found</v>
      </c>
      <c r="H215" s="18" t="n">
        <f aca="true">INDIRECT("'"&amp;F215&amp;"'!D1")</f>
        <v>0</v>
      </c>
      <c r="I215" s="18" t="str">
        <f aca="false">IFERROR(__xludf.dummyfunction("REGEXEXTRACT(ADDRESS(ROW(), 24+$H215), ""[A-Z]+"")"),"X")</f>
        <v>X</v>
      </c>
      <c r="J215" s="18" t="str">
        <f aca="false">IFERROR(__xludf.dummyfunction("REGEXEXTRACT(ADDRESS(ROW(), 30+$H215), ""[A-Z]+"")"),"AD")</f>
        <v>AD</v>
      </c>
      <c r="K215" s="18" t="str">
        <f aca="false">IFERROR(__xludf.dummyfunction("REGEXEXTRACT(ADDRESS(ROW(), 36+$H215), ""[A-Z]+"")"),"AJ")</f>
        <v>AJ</v>
      </c>
      <c r="L215" s="18" t="str">
        <f aca="false">IFERROR(__xludf.dummyfunction("REGEXEXTRACT(ADDRESS(ROW(), 42+$H215), ""[A-Z]+"")"),"AP")</f>
        <v>AP</v>
      </c>
      <c r="M215" s="18" t="str">
        <f aca="false">IFERROR(__xludf.dummyfunction("REGEXEXTRACT(ADDRESS(ROW(), 48+$H215), ""[A-Z]+"")"),"AV")</f>
        <v>AV</v>
      </c>
      <c r="N215" s="18" t="str">
        <f aca="false">IFERROR(__xludf.dummyfunction("REGEXEXTRACT(ADDRESS(ROW(), 50+$H215), ""[A-Z]+"")"),"AX")</f>
        <v>AX</v>
      </c>
      <c r="O215" s="18" t="str">
        <f aca="false">IFERROR(__xludf.dummyfunction("REGEXEXTRACT(ADDRESS(ROW(), 51+$H215), ""[A-Z]+"")"),"AY")</f>
        <v>AY</v>
      </c>
      <c r="P215" s="18" t="str">
        <f aca="false">IFERROR(__xludf.dummyfunction("REGEXEXTRACT(ADDRESS(ROW(), 54+$H215), ""[A-Z]+"")"),"BB")</f>
        <v>BB</v>
      </c>
      <c r="Q215" s="18" t="str">
        <f aca="false">IFERROR(__xludf.dummyfunction("REGEXEXTRACT(ADDRESS(ROW(), 59+$H215), ""[A-Z]+"")"),"BG")</f>
        <v>BG</v>
      </c>
      <c r="R215" s="18" t="str">
        <f aca="false">IFERROR(__xludf.dummyfunction("REGEXEXTRACT(ADDRESS(ROW(), 60+$H215), ""[A-Z]+"")"),"BH")</f>
        <v>BH</v>
      </c>
      <c r="S215" s="18" t="str">
        <f aca="false">IFERROR(__xludf.dummyfunction("REGEXEXTRACT(ADDRESS(ROW(), 62+$H215), ""[A-Z]+"")"),"BJ")</f>
        <v>BJ</v>
      </c>
      <c r="T215" s="18" t="str">
        <f aca="false">IFERROR(__xludf.dummyfunction("REGEXEXTRACT(ADDRESS(ROW(), 63+$H215), ""[A-Z]+"")"),"BK")</f>
        <v>BK</v>
      </c>
      <c r="U215" s="19" t="n">
        <f aca="false">IFERROR(__xludf.dummyfunction("IFERROR(QUERY(INDIRECT(""'""&amp;F215&amp;""'!C3:""&amp;T215&amp;""""), ""SELECT ""&amp;I215&amp;"", ""&amp;J215&amp;"", ""&amp;K215&amp;"", ""&amp;L215&amp;"", ""&amp;M215&amp;"", ""&amp;N215&amp;"", ""&amp;O215&amp;"", ""&amp;P215&amp;"", ""&amp;Q215&amp;"", ""&amp;R215&amp;"", ""&amp;S215&amp;"" WHERE '""&amp;B215&amp;""' = D"", 0), """")"),8.2)</f>
        <v>8.2</v>
      </c>
      <c r="V215" s="22" t="n">
        <f aca="false">IFERROR(__xludf.dummyfunction("""COMPUTED_VALUE"""),9.2)</f>
        <v>9.2</v>
      </c>
      <c r="W215" s="22" t="n">
        <f aca="false">IFERROR(__xludf.dummyfunction("""COMPUTED_VALUE"""),9)</f>
        <v>9</v>
      </c>
      <c r="X215" s="22" t="n">
        <f aca="false">IFERROR(__xludf.dummyfunction("""COMPUTED_VALUE"""),9)</f>
        <v>9</v>
      </c>
      <c r="Y215" s="22" t="n">
        <f aca="false">IFERROR(__xludf.dummyfunction("""COMPUTED_VALUE"""),5)</f>
        <v>5</v>
      </c>
      <c r="Z215" s="22" t="n">
        <f aca="false">IFERROR(__xludf.dummyfunction("""COMPUTED_VALUE"""),2)</f>
        <v>2</v>
      </c>
      <c r="AA215" s="22"/>
      <c r="AB215" s="22" t="n">
        <f aca="false">IFERROR(__xludf.dummyfunction("""COMPUTED_VALUE"""),10)</f>
        <v>10</v>
      </c>
      <c r="AC215" s="22" t="n">
        <f aca="false">IFERROR(__xludf.dummyfunction("""COMPUTED_VALUE"""),26)</f>
        <v>26</v>
      </c>
      <c r="AD215" s="23"/>
      <c r="AE215" s="24" t="n">
        <f aca="false">IFERROR(__xludf.dummyfunction("""COMPUTED_VALUE"""),78.4)</f>
        <v>78.4</v>
      </c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</row>
    <row r="216" customFormat="false" ht="18.65" hidden="false" customHeight="false" outlineLevel="0" collapsed="false">
      <c r="A216" s="13" t="n">
        <v>215</v>
      </c>
      <c r="B216" s="14" t="s">
        <v>464</v>
      </c>
      <c r="C216" s="15" t="s">
        <v>465</v>
      </c>
      <c r="D216" s="16" t="s">
        <v>213</v>
      </c>
      <c r="E216" s="16" t="s">
        <v>213</v>
      </c>
      <c r="F216" s="16" t="str">
        <f aca="false">REPLACE(E216, 1, 3, "")</f>
        <v>16</v>
      </c>
      <c r="G216" s="17" t="str">
        <f aca="true">IFERROR(VLOOKUP(B216,INDIRECT("'"&amp;F216&amp;"'!D3:D"),1,FALSE()), "Not found")</f>
        <v>Not found</v>
      </c>
      <c r="H216" s="18" t="n">
        <f aca="true">INDIRECT("'"&amp;F216&amp;"'!D1")</f>
        <v>0</v>
      </c>
      <c r="I216" s="18" t="str">
        <f aca="false">IFERROR(__xludf.dummyfunction("REGEXEXTRACT(ADDRESS(ROW(), 24+$H216), ""[A-Z]+"")"),"X")</f>
        <v>X</v>
      </c>
      <c r="J216" s="18" t="str">
        <f aca="false">IFERROR(__xludf.dummyfunction("REGEXEXTRACT(ADDRESS(ROW(), 30+$H216), ""[A-Z]+"")"),"AD")</f>
        <v>AD</v>
      </c>
      <c r="K216" s="18" t="str">
        <f aca="false">IFERROR(__xludf.dummyfunction("REGEXEXTRACT(ADDRESS(ROW(), 36+$H216), ""[A-Z]+"")"),"AJ")</f>
        <v>AJ</v>
      </c>
      <c r="L216" s="18" t="str">
        <f aca="false">IFERROR(__xludf.dummyfunction("REGEXEXTRACT(ADDRESS(ROW(), 42+$H216), ""[A-Z]+"")"),"AP")</f>
        <v>AP</v>
      </c>
      <c r="M216" s="18" t="str">
        <f aca="false">IFERROR(__xludf.dummyfunction("REGEXEXTRACT(ADDRESS(ROW(), 48+$H216), ""[A-Z]+"")"),"AV")</f>
        <v>AV</v>
      </c>
      <c r="N216" s="18" t="str">
        <f aca="false">IFERROR(__xludf.dummyfunction("REGEXEXTRACT(ADDRESS(ROW(), 50+$H216), ""[A-Z]+"")"),"AX")</f>
        <v>AX</v>
      </c>
      <c r="O216" s="18" t="str">
        <f aca="false">IFERROR(__xludf.dummyfunction("REGEXEXTRACT(ADDRESS(ROW(), 51+$H216), ""[A-Z]+"")"),"AY")</f>
        <v>AY</v>
      </c>
      <c r="P216" s="18" t="str">
        <f aca="false">IFERROR(__xludf.dummyfunction("REGEXEXTRACT(ADDRESS(ROW(), 54+$H216), ""[A-Z]+"")"),"BB")</f>
        <v>BB</v>
      </c>
      <c r="Q216" s="18" t="str">
        <f aca="false">IFERROR(__xludf.dummyfunction("REGEXEXTRACT(ADDRESS(ROW(), 59+$H216), ""[A-Z]+"")"),"BG")</f>
        <v>BG</v>
      </c>
      <c r="R216" s="18" t="str">
        <f aca="false">IFERROR(__xludf.dummyfunction("REGEXEXTRACT(ADDRESS(ROW(), 60+$H216), ""[A-Z]+"")"),"BH")</f>
        <v>BH</v>
      </c>
      <c r="S216" s="18" t="str">
        <f aca="false">IFERROR(__xludf.dummyfunction("REGEXEXTRACT(ADDRESS(ROW(), 62+$H216), ""[A-Z]+"")"),"BJ")</f>
        <v>BJ</v>
      </c>
      <c r="T216" s="18" t="str">
        <f aca="false">IFERROR(__xludf.dummyfunction("REGEXEXTRACT(ADDRESS(ROW(), 63+$H216), ""[A-Z]+"")"),"BK")</f>
        <v>BK</v>
      </c>
      <c r="U216" s="19" t="n">
        <f aca="false">IFERROR(__xludf.dummyfunction("IFERROR(QUERY(INDIRECT(""'""&amp;F216&amp;""'!C3:""&amp;T216&amp;""""), ""SELECT ""&amp;I216&amp;"", ""&amp;J216&amp;"", ""&amp;K216&amp;"", ""&amp;L216&amp;"", ""&amp;M216&amp;"", ""&amp;N216&amp;"", ""&amp;O216&amp;"", ""&amp;P216&amp;"", ""&amp;Q216&amp;"", ""&amp;R216&amp;"", ""&amp;S216&amp;"" WHERE '""&amp;B216&amp;""' = D"", 0), """")"),8)</f>
        <v>8</v>
      </c>
      <c r="V216" s="22" t="n">
        <f aca="false">IFERROR(__xludf.dummyfunction("""COMPUTED_VALUE"""),8)</f>
        <v>8</v>
      </c>
      <c r="W216" s="22" t="n">
        <f aca="false">IFERROR(__xludf.dummyfunction("""COMPUTED_VALUE"""),9)</f>
        <v>9</v>
      </c>
      <c r="X216" s="22" t="n">
        <f aca="false">IFERROR(__xludf.dummyfunction("""COMPUTED_VALUE"""),8)</f>
        <v>8</v>
      </c>
      <c r="Y216" s="22" t="n">
        <f aca="false">IFERROR(__xludf.dummyfunction("""COMPUTED_VALUE"""),0)</f>
        <v>0</v>
      </c>
      <c r="Z216" s="22"/>
      <c r="AA216" s="22"/>
      <c r="AB216" s="22" t="n">
        <f aca="false">IFERROR(__xludf.dummyfunction("""COMPUTED_VALUE"""),7)</f>
        <v>7</v>
      </c>
      <c r="AC216" s="22" t="n">
        <f aca="false">IFERROR(__xludf.dummyfunction("""COMPUTED_VALUE"""),27)</f>
        <v>27</v>
      </c>
      <c r="AD216" s="23" t="n">
        <f aca="false">IFERROR(__xludf.dummyfunction("""COMPUTED_VALUE"""),1)</f>
        <v>1</v>
      </c>
      <c r="AE216" s="24" t="n">
        <f aca="false">IFERROR(__xludf.dummyfunction("""COMPUTED_VALUE"""),68)</f>
        <v>68</v>
      </c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</row>
    <row r="217" customFormat="false" ht="18.65" hidden="false" customHeight="false" outlineLevel="0" collapsed="false">
      <c r="A217" s="13" t="n">
        <v>216</v>
      </c>
      <c r="B217" s="14" t="s">
        <v>466</v>
      </c>
      <c r="C217" s="15" t="s">
        <v>467</v>
      </c>
      <c r="D217" s="16" t="s">
        <v>218</v>
      </c>
      <c r="E217" s="16" t="s">
        <v>218</v>
      </c>
      <c r="F217" s="16" t="str">
        <f aca="false">REPLACE(E217, 1, 3, "")</f>
        <v>15</v>
      </c>
      <c r="G217" s="17" t="str">
        <f aca="true">IFERROR(VLOOKUP(B217,INDIRECT("'"&amp;F217&amp;"'!D3:D"),1,FALSE()), "Not found")</f>
        <v>Not found</v>
      </c>
      <c r="H217" s="18" t="n">
        <f aca="true">INDIRECT("'"&amp;F217&amp;"'!D1")</f>
        <v>0</v>
      </c>
      <c r="I217" s="18" t="str">
        <f aca="false">IFERROR(__xludf.dummyfunction("REGEXEXTRACT(ADDRESS(ROW(), 24+$H217), ""[A-Z]+"")"),"X")</f>
        <v>X</v>
      </c>
      <c r="J217" s="18" t="str">
        <f aca="false">IFERROR(__xludf.dummyfunction("REGEXEXTRACT(ADDRESS(ROW(), 30+$H217), ""[A-Z]+"")"),"AD")</f>
        <v>AD</v>
      </c>
      <c r="K217" s="18" t="str">
        <f aca="false">IFERROR(__xludf.dummyfunction("REGEXEXTRACT(ADDRESS(ROW(), 36+$H217), ""[A-Z]+"")"),"AJ")</f>
        <v>AJ</v>
      </c>
      <c r="L217" s="18" t="str">
        <f aca="false">IFERROR(__xludf.dummyfunction("REGEXEXTRACT(ADDRESS(ROW(), 42+$H217), ""[A-Z]+"")"),"AP")</f>
        <v>AP</v>
      </c>
      <c r="M217" s="18" t="str">
        <f aca="false">IFERROR(__xludf.dummyfunction("REGEXEXTRACT(ADDRESS(ROW(), 48+$H217), ""[A-Z]+"")"),"AV")</f>
        <v>AV</v>
      </c>
      <c r="N217" s="18" t="str">
        <f aca="false">IFERROR(__xludf.dummyfunction("REGEXEXTRACT(ADDRESS(ROW(), 50+$H217), ""[A-Z]+"")"),"AX")</f>
        <v>AX</v>
      </c>
      <c r="O217" s="18" t="str">
        <f aca="false">IFERROR(__xludf.dummyfunction("REGEXEXTRACT(ADDRESS(ROW(), 51+$H217), ""[A-Z]+"")"),"AY")</f>
        <v>AY</v>
      </c>
      <c r="P217" s="18" t="str">
        <f aca="false">IFERROR(__xludf.dummyfunction("REGEXEXTRACT(ADDRESS(ROW(), 54+$H217), ""[A-Z]+"")"),"BB")</f>
        <v>BB</v>
      </c>
      <c r="Q217" s="18" t="str">
        <f aca="false">IFERROR(__xludf.dummyfunction("REGEXEXTRACT(ADDRESS(ROW(), 59+$H217), ""[A-Z]+"")"),"BG")</f>
        <v>BG</v>
      </c>
      <c r="R217" s="18" t="str">
        <f aca="false">IFERROR(__xludf.dummyfunction("REGEXEXTRACT(ADDRESS(ROW(), 60+$H217), ""[A-Z]+"")"),"BH")</f>
        <v>BH</v>
      </c>
      <c r="S217" s="18" t="str">
        <f aca="false">IFERROR(__xludf.dummyfunction("REGEXEXTRACT(ADDRESS(ROW(), 62+$H217), ""[A-Z]+"")"),"BJ")</f>
        <v>BJ</v>
      </c>
      <c r="T217" s="18" t="str">
        <f aca="false">IFERROR(__xludf.dummyfunction("REGEXEXTRACT(ADDRESS(ROW(), 63+$H217), ""[A-Z]+"")"),"BK")</f>
        <v>BK</v>
      </c>
      <c r="U217" s="19" t="n">
        <f aca="false">IFERROR(__xludf.dummyfunction("IFERROR(QUERY(INDIRECT(""'""&amp;F217&amp;""'!C3:""&amp;T217&amp;""""), ""SELECT ""&amp;I217&amp;"", ""&amp;J217&amp;"", ""&amp;K217&amp;"", ""&amp;L217&amp;"", ""&amp;M217&amp;"", ""&amp;N217&amp;"", ""&amp;O217&amp;"", ""&amp;P217&amp;"", ""&amp;Q217&amp;"", ""&amp;R217&amp;"", ""&amp;S217&amp;"" WHERE '""&amp;B217&amp;""' = D"", 0), """")"),8)</f>
        <v>8</v>
      </c>
      <c r="V217" s="22" t="n">
        <f aca="false">IFERROR(__xludf.dummyfunction("""COMPUTED_VALUE"""),8.6)</f>
        <v>8.6</v>
      </c>
      <c r="W217" s="22" t="n">
        <f aca="false">IFERROR(__xludf.dummyfunction("""COMPUTED_VALUE"""),8)</f>
        <v>8</v>
      </c>
      <c r="X217" s="22" t="n">
        <f aca="false">IFERROR(__xludf.dummyfunction("""COMPUTED_VALUE"""),8)</f>
        <v>8</v>
      </c>
      <c r="Y217" s="22" t="n">
        <f aca="false">IFERROR(__xludf.dummyfunction("""COMPUTED_VALUE"""),0)</f>
        <v>0</v>
      </c>
      <c r="Z217" s="22" t="n">
        <f aca="false">IFERROR(__xludf.dummyfunction("""COMPUTED_VALUE"""),2)</f>
        <v>2</v>
      </c>
      <c r="AA217" s="22"/>
      <c r="AB217" s="22" t="n">
        <f aca="false">IFERROR(__xludf.dummyfunction("""COMPUTED_VALUE"""),10)</f>
        <v>10</v>
      </c>
      <c r="AC217" s="22" t="n">
        <f aca="false">IFERROR(__xludf.dummyfunction("""COMPUTED_VALUE"""),0)</f>
        <v>0</v>
      </c>
      <c r="AD217" s="23"/>
      <c r="AE217" s="24" t="n">
        <f aca="false">IFERROR(__xludf.dummyfunction("""COMPUTED_VALUE"""),44.6)</f>
        <v>44.6</v>
      </c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</row>
    <row r="218" customFormat="false" ht="18.65" hidden="false" customHeight="false" outlineLevel="0" collapsed="false">
      <c r="A218" s="13" t="n">
        <v>217</v>
      </c>
      <c r="B218" s="14" t="s">
        <v>468</v>
      </c>
      <c r="C218" s="15" t="s">
        <v>469</v>
      </c>
      <c r="D218" s="16" t="s">
        <v>183</v>
      </c>
      <c r="E218" s="16" t="s">
        <v>183</v>
      </c>
      <c r="F218" s="16" t="str">
        <f aca="false">REPLACE(E218, 1, 3, "")</f>
        <v>14</v>
      </c>
      <c r="G218" s="17" t="str">
        <f aca="true">IFERROR(VLOOKUP(B218,INDIRECT("'"&amp;F218&amp;"'!D3:D"),1,FALSE()), "Not found")</f>
        <v>Not found</v>
      </c>
      <c r="H218" s="18" t="n">
        <f aca="true">INDIRECT("'"&amp;F218&amp;"'!D1")</f>
        <v>0</v>
      </c>
      <c r="I218" s="18" t="str">
        <f aca="false">IFERROR(__xludf.dummyfunction("REGEXEXTRACT(ADDRESS(ROW(), 24+$H218), ""[A-Z]+"")"),"X")</f>
        <v>X</v>
      </c>
      <c r="J218" s="18" t="str">
        <f aca="false">IFERROR(__xludf.dummyfunction("REGEXEXTRACT(ADDRESS(ROW(), 30+$H218), ""[A-Z]+"")"),"AD")</f>
        <v>AD</v>
      </c>
      <c r="K218" s="18" t="str">
        <f aca="false">IFERROR(__xludf.dummyfunction("REGEXEXTRACT(ADDRESS(ROW(), 36+$H218), ""[A-Z]+"")"),"AJ")</f>
        <v>AJ</v>
      </c>
      <c r="L218" s="18" t="str">
        <f aca="false">IFERROR(__xludf.dummyfunction("REGEXEXTRACT(ADDRESS(ROW(), 42+$H218), ""[A-Z]+"")"),"AP")</f>
        <v>AP</v>
      </c>
      <c r="M218" s="18" t="str">
        <f aca="false">IFERROR(__xludf.dummyfunction("REGEXEXTRACT(ADDRESS(ROW(), 48+$H218), ""[A-Z]+"")"),"AV")</f>
        <v>AV</v>
      </c>
      <c r="N218" s="18" t="str">
        <f aca="false">IFERROR(__xludf.dummyfunction("REGEXEXTRACT(ADDRESS(ROW(), 50+$H218), ""[A-Z]+"")"),"AX")</f>
        <v>AX</v>
      </c>
      <c r="O218" s="18" t="str">
        <f aca="false">IFERROR(__xludf.dummyfunction("REGEXEXTRACT(ADDRESS(ROW(), 51+$H218), ""[A-Z]+"")"),"AY")</f>
        <v>AY</v>
      </c>
      <c r="P218" s="18" t="str">
        <f aca="false">IFERROR(__xludf.dummyfunction("REGEXEXTRACT(ADDRESS(ROW(), 54+$H218), ""[A-Z]+"")"),"BB")</f>
        <v>BB</v>
      </c>
      <c r="Q218" s="18" t="str">
        <f aca="false">IFERROR(__xludf.dummyfunction("REGEXEXTRACT(ADDRESS(ROW(), 59+$H218), ""[A-Z]+"")"),"BG")</f>
        <v>BG</v>
      </c>
      <c r="R218" s="18" t="str">
        <f aca="false">IFERROR(__xludf.dummyfunction("REGEXEXTRACT(ADDRESS(ROW(), 60+$H218), ""[A-Z]+"")"),"BH")</f>
        <v>BH</v>
      </c>
      <c r="S218" s="18" t="str">
        <f aca="false">IFERROR(__xludf.dummyfunction("REGEXEXTRACT(ADDRESS(ROW(), 62+$H218), ""[A-Z]+"")"),"BJ")</f>
        <v>BJ</v>
      </c>
      <c r="T218" s="18" t="str">
        <f aca="false">IFERROR(__xludf.dummyfunction("REGEXEXTRACT(ADDRESS(ROW(), 63+$H218), ""[A-Z]+"")"),"BK")</f>
        <v>BK</v>
      </c>
      <c r="U218" s="19" t="n">
        <f aca="false">IFERROR(__xludf.dummyfunction("IFERROR(QUERY(INDIRECT(""'""&amp;F218&amp;""'!C3:""&amp;T218&amp;""""), ""SELECT ""&amp;I218&amp;"", ""&amp;J218&amp;"", ""&amp;K218&amp;"", ""&amp;L218&amp;"", ""&amp;M218&amp;"", ""&amp;N218&amp;"", ""&amp;O218&amp;"", ""&amp;P218&amp;"", ""&amp;Q218&amp;"", ""&amp;R218&amp;"", ""&amp;S218&amp;"" WHERE '""&amp;B218&amp;""' = D"", 0), """")"),10)</f>
        <v>10</v>
      </c>
      <c r="V218" s="22" t="n">
        <f aca="false">IFERROR(__xludf.dummyfunction("""COMPUTED_VALUE"""),7)</f>
        <v>7</v>
      </c>
      <c r="W218" s="22" t="n">
        <f aca="false">IFERROR(__xludf.dummyfunction("""COMPUTED_VALUE"""),6)</f>
        <v>6</v>
      </c>
      <c r="X218" s="22" t="n">
        <f aca="false">IFERROR(__xludf.dummyfunction("""COMPUTED_VALUE"""),6)</f>
        <v>6</v>
      </c>
      <c r="Y218" s="22" t="n">
        <f aca="false">IFERROR(__xludf.dummyfunction("""COMPUTED_VALUE"""),0)</f>
        <v>0</v>
      </c>
      <c r="Z218" s="22"/>
      <c r="AA218" s="22"/>
      <c r="AB218" s="22" t="n">
        <f aca="false">IFERROR(__xludf.dummyfunction("""COMPUTED_VALUE"""),7)</f>
        <v>7</v>
      </c>
      <c r="AC218" s="22" t="n">
        <f aca="false">IFERROR(__xludf.dummyfunction("""COMPUTED_VALUE"""),26)</f>
        <v>26</v>
      </c>
      <c r="AD218" s="23"/>
      <c r="AE218" s="24" t="n">
        <f aca="false">IFERROR(__xludf.dummyfunction("""COMPUTED_VALUE"""),62)</f>
        <v>62</v>
      </c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</row>
    <row r="219" customFormat="false" ht="18.65" hidden="false" customHeight="false" outlineLevel="0" collapsed="false">
      <c r="A219" s="13" t="n">
        <v>218</v>
      </c>
      <c r="B219" s="14" t="s">
        <v>470</v>
      </c>
      <c r="C219" s="15" t="s">
        <v>471</v>
      </c>
      <c r="D219" s="16" t="s">
        <v>213</v>
      </c>
      <c r="E219" s="16" t="s">
        <v>213</v>
      </c>
      <c r="F219" s="16" t="str">
        <f aca="false">REPLACE(E219, 1, 3, "")</f>
        <v>16</v>
      </c>
      <c r="G219" s="17" t="str">
        <f aca="true">IFERROR(VLOOKUP(B219,INDIRECT("'"&amp;F219&amp;"'!D3:D"),1,FALSE()), "Not found")</f>
        <v>Not found</v>
      </c>
      <c r="H219" s="18" t="n">
        <f aca="true">INDIRECT("'"&amp;F219&amp;"'!D1")</f>
        <v>0</v>
      </c>
      <c r="I219" s="18" t="str">
        <f aca="false">IFERROR(__xludf.dummyfunction("REGEXEXTRACT(ADDRESS(ROW(), 24+$H219), ""[A-Z]+"")"),"X")</f>
        <v>X</v>
      </c>
      <c r="J219" s="18" t="str">
        <f aca="false">IFERROR(__xludf.dummyfunction("REGEXEXTRACT(ADDRESS(ROW(), 30+$H219), ""[A-Z]+"")"),"AD")</f>
        <v>AD</v>
      </c>
      <c r="K219" s="18" t="str">
        <f aca="false">IFERROR(__xludf.dummyfunction("REGEXEXTRACT(ADDRESS(ROW(), 36+$H219), ""[A-Z]+"")"),"AJ")</f>
        <v>AJ</v>
      </c>
      <c r="L219" s="18" t="str">
        <f aca="false">IFERROR(__xludf.dummyfunction("REGEXEXTRACT(ADDRESS(ROW(), 42+$H219), ""[A-Z]+"")"),"AP")</f>
        <v>AP</v>
      </c>
      <c r="M219" s="18" t="str">
        <f aca="false">IFERROR(__xludf.dummyfunction("REGEXEXTRACT(ADDRESS(ROW(), 48+$H219), ""[A-Z]+"")"),"AV")</f>
        <v>AV</v>
      </c>
      <c r="N219" s="18" t="str">
        <f aca="false">IFERROR(__xludf.dummyfunction("REGEXEXTRACT(ADDRESS(ROW(), 50+$H219), ""[A-Z]+"")"),"AX")</f>
        <v>AX</v>
      </c>
      <c r="O219" s="18" t="str">
        <f aca="false">IFERROR(__xludf.dummyfunction("REGEXEXTRACT(ADDRESS(ROW(), 51+$H219), ""[A-Z]+"")"),"AY")</f>
        <v>AY</v>
      </c>
      <c r="P219" s="18" t="str">
        <f aca="false">IFERROR(__xludf.dummyfunction("REGEXEXTRACT(ADDRESS(ROW(), 54+$H219), ""[A-Z]+"")"),"BB")</f>
        <v>BB</v>
      </c>
      <c r="Q219" s="18" t="str">
        <f aca="false">IFERROR(__xludf.dummyfunction("REGEXEXTRACT(ADDRESS(ROW(), 59+$H219), ""[A-Z]+"")"),"BG")</f>
        <v>BG</v>
      </c>
      <c r="R219" s="18" t="str">
        <f aca="false">IFERROR(__xludf.dummyfunction("REGEXEXTRACT(ADDRESS(ROW(), 60+$H219), ""[A-Z]+"")"),"BH")</f>
        <v>BH</v>
      </c>
      <c r="S219" s="18" t="str">
        <f aca="false">IFERROR(__xludf.dummyfunction("REGEXEXTRACT(ADDRESS(ROW(), 62+$H219), ""[A-Z]+"")"),"BJ")</f>
        <v>BJ</v>
      </c>
      <c r="T219" s="18" t="str">
        <f aca="false">IFERROR(__xludf.dummyfunction("REGEXEXTRACT(ADDRESS(ROW(), 63+$H219), ""[A-Z]+"")"),"BK")</f>
        <v>BK</v>
      </c>
      <c r="U219" s="19" t="n">
        <f aca="false">IFERROR(__xludf.dummyfunction("IFERROR(QUERY(INDIRECT(""'""&amp;F219&amp;""'!C3:""&amp;T219&amp;""""), ""SELECT ""&amp;I219&amp;"", ""&amp;J219&amp;"", ""&amp;K219&amp;"", ""&amp;L219&amp;"", ""&amp;M219&amp;"", ""&amp;N219&amp;"", ""&amp;O219&amp;"", ""&amp;P219&amp;"", ""&amp;Q219&amp;"", ""&amp;R219&amp;"", ""&amp;S219&amp;"" WHERE '""&amp;B219&amp;""' = D"", 0), """")"),8)</f>
        <v>8</v>
      </c>
      <c r="V219" s="22" t="n">
        <f aca="false">IFERROR(__xludf.dummyfunction("""COMPUTED_VALUE"""),8.5)</f>
        <v>8.5</v>
      </c>
      <c r="W219" s="22" t="n">
        <f aca="false">IFERROR(__xludf.dummyfunction("""COMPUTED_VALUE"""),9.5)</f>
        <v>9.5</v>
      </c>
      <c r="X219" s="22" t="n">
        <f aca="false">IFERROR(__xludf.dummyfunction("""COMPUTED_VALUE"""),10)</f>
        <v>10</v>
      </c>
      <c r="Y219" s="22" t="n">
        <f aca="false">IFERROR(__xludf.dummyfunction("""COMPUTED_VALUE"""),10)</f>
        <v>10</v>
      </c>
      <c r="Z219" s="22" t="n">
        <f aca="false">IFERROR(__xludf.dummyfunction("""COMPUTED_VALUE"""),2)</f>
        <v>2</v>
      </c>
      <c r="AA219" s="22" t="n">
        <f aca="false">IFERROR(__xludf.dummyfunction("""COMPUTED_VALUE"""),2)</f>
        <v>2</v>
      </c>
      <c r="AB219" s="22" t="n">
        <f aca="false">IFERROR(__xludf.dummyfunction("""COMPUTED_VALUE"""),7)</f>
        <v>7</v>
      </c>
      <c r="AC219" s="22" t="n">
        <f aca="false">IFERROR(__xludf.dummyfunction("""COMPUTED_VALUE"""),26)</f>
        <v>26</v>
      </c>
      <c r="AD219" s="23" t="n">
        <f aca="false">IFERROR(__xludf.dummyfunction("""COMPUTED_VALUE"""),1)</f>
        <v>1</v>
      </c>
      <c r="AE219" s="24" t="n">
        <f aca="false">IFERROR(__xludf.dummyfunction("""COMPUTED_VALUE"""),84)</f>
        <v>84</v>
      </c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</row>
    <row r="220" customFormat="false" ht="18.65" hidden="false" customHeight="false" outlineLevel="0" collapsed="false">
      <c r="A220" s="13" t="n">
        <v>219</v>
      </c>
      <c r="B220" s="14" t="s">
        <v>472</v>
      </c>
      <c r="C220" s="15" t="s">
        <v>473</v>
      </c>
      <c r="D220" s="16" t="s">
        <v>244</v>
      </c>
      <c r="E220" s="16" t="s">
        <v>244</v>
      </c>
      <c r="F220" s="16" t="str">
        <f aca="false">REPLACE(E220, 1, 3, "")</f>
        <v>13</v>
      </c>
      <c r="G220" s="17" t="str">
        <f aca="true">IFERROR(VLOOKUP(B220,INDIRECT("'"&amp;F220&amp;"'!D3:D"),1,FALSE()), "Not found")</f>
        <v>Not found</v>
      </c>
      <c r="H220" s="18" t="n">
        <f aca="true">INDIRECT("'"&amp;F220&amp;"'!D1")</f>
        <v>0</v>
      </c>
      <c r="I220" s="18" t="str">
        <f aca="false">IFERROR(__xludf.dummyfunction("REGEXEXTRACT(ADDRESS(ROW(), 24+$H220), ""[A-Z]+"")"),"X")</f>
        <v>X</v>
      </c>
      <c r="J220" s="18" t="str">
        <f aca="false">IFERROR(__xludf.dummyfunction("REGEXEXTRACT(ADDRESS(ROW(), 30+$H220), ""[A-Z]+"")"),"AD")</f>
        <v>AD</v>
      </c>
      <c r="K220" s="18" t="str">
        <f aca="false">IFERROR(__xludf.dummyfunction("REGEXEXTRACT(ADDRESS(ROW(), 36+$H220), ""[A-Z]+"")"),"AJ")</f>
        <v>AJ</v>
      </c>
      <c r="L220" s="18" t="str">
        <f aca="false">IFERROR(__xludf.dummyfunction("REGEXEXTRACT(ADDRESS(ROW(), 42+$H220), ""[A-Z]+"")"),"AP")</f>
        <v>AP</v>
      </c>
      <c r="M220" s="18" t="str">
        <f aca="false">IFERROR(__xludf.dummyfunction("REGEXEXTRACT(ADDRESS(ROW(), 48+$H220), ""[A-Z]+"")"),"AV")</f>
        <v>AV</v>
      </c>
      <c r="N220" s="18" t="str">
        <f aca="false">IFERROR(__xludf.dummyfunction("REGEXEXTRACT(ADDRESS(ROW(), 50+$H220), ""[A-Z]+"")"),"AX")</f>
        <v>AX</v>
      </c>
      <c r="O220" s="18" t="str">
        <f aca="false">IFERROR(__xludf.dummyfunction("REGEXEXTRACT(ADDRESS(ROW(), 51+$H220), ""[A-Z]+"")"),"AY")</f>
        <v>AY</v>
      </c>
      <c r="P220" s="18" t="str">
        <f aca="false">IFERROR(__xludf.dummyfunction("REGEXEXTRACT(ADDRESS(ROW(), 54+$H220), ""[A-Z]+"")"),"BB")</f>
        <v>BB</v>
      </c>
      <c r="Q220" s="18" t="str">
        <f aca="false">IFERROR(__xludf.dummyfunction("REGEXEXTRACT(ADDRESS(ROW(), 59+$H220), ""[A-Z]+"")"),"BG")</f>
        <v>BG</v>
      </c>
      <c r="R220" s="18" t="str">
        <f aca="false">IFERROR(__xludf.dummyfunction("REGEXEXTRACT(ADDRESS(ROW(), 60+$H220), ""[A-Z]+"")"),"BH")</f>
        <v>BH</v>
      </c>
      <c r="S220" s="18" t="str">
        <f aca="false">IFERROR(__xludf.dummyfunction("REGEXEXTRACT(ADDRESS(ROW(), 62+$H220), ""[A-Z]+"")"),"BJ")</f>
        <v>BJ</v>
      </c>
      <c r="T220" s="18" t="str">
        <f aca="false">IFERROR(__xludf.dummyfunction("REGEXEXTRACT(ADDRESS(ROW(), 63+$H220), ""[A-Z]+"")"),"BK")</f>
        <v>BK</v>
      </c>
      <c r="U220" s="19" t="n">
        <f aca="false">IFERROR(__xludf.dummyfunction("IFERROR(QUERY(INDIRECT(""'""&amp;F220&amp;""'!C3:""&amp;T220&amp;""""), ""SELECT ""&amp;I220&amp;"", ""&amp;J220&amp;"", ""&amp;K220&amp;"", ""&amp;L220&amp;"", ""&amp;M220&amp;"", ""&amp;N220&amp;"", ""&amp;O220&amp;"", ""&amp;P220&amp;"", ""&amp;Q220&amp;"", ""&amp;R220&amp;"", ""&amp;S220&amp;"" WHERE '""&amp;B220&amp;""' = D"", 0), """")"),9)</f>
        <v>9</v>
      </c>
      <c r="V220" s="22" t="n">
        <f aca="false">IFERROR(__xludf.dummyfunction("""COMPUTED_VALUE"""),8.5)</f>
        <v>8.5</v>
      </c>
      <c r="W220" s="22" t="n">
        <f aca="false">IFERROR(__xludf.dummyfunction("""COMPUTED_VALUE"""),8.8)</f>
        <v>8.8</v>
      </c>
      <c r="X220" s="22" t="n">
        <f aca="false">IFERROR(__xludf.dummyfunction("""COMPUTED_VALUE"""),9)</f>
        <v>9</v>
      </c>
      <c r="Y220" s="22" t="n">
        <f aca="false">IFERROR(__xludf.dummyfunction("""COMPUTED_VALUE"""),0)</f>
        <v>0</v>
      </c>
      <c r="Z220" s="22" t="n">
        <f aca="false">IFERROR(__xludf.dummyfunction("""COMPUTED_VALUE"""),0)</f>
        <v>0</v>
      </c>
      <c r="AA220" s="22" t="n">
        <f aca="false">IFERROR(__xludf.dummyfunction("""COMPUTED_VALUE"""),0)</f>
        <v>0</v>
      </c>
      <c r="AB220" s="22" t="n">
        <f aca="false">IFERROR(__xludf.dummyfunction("""COMPUTED_VALUE"""),6)</f>
        <v>6</v>
      </c>
      <c r="AC220" s="22" t="n">
        <f aca="false">IFERROR(__xludf.dummyfunction("""COMPUTED_VALUE"""),24)</f>
        <v>24</v>
      </c>
      <c r="AD220" s="23" t="n">
        <f aca="false">IFERROR(__xludf.dummyfunction("""COMPUTED_VALUE"""),2)</f>
        <v>2</v>
      </c>
      <c r="AE220" s="24" t="n">
        <f aca="false">IFERROR(__xludf.dummyfunction("""COMPUTED_VALUE"""),67.3)</f>
        <v>67.3</v>
      </c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</row>
    <row r="221" customFormat="false" ht="18.65" hidden="false" customHeight="false" outlineLevel="0" collapsed="false">
      <c r="A221" s="13" t="n">
        <v>220</v>
      </c>
      <c r="B221" s="14" t="s">
        <v>474</v>
      </c>
      <c r="C221" s="15" t="s">
        <v>475</v>
      </c>
      <c r="D221" s="16" t="s">
        <v>235</v>
      </c>
      <c r="E221" s="16" t="s">
        <v>235</v>
      </c>
      <c r="F221" s="16" t="str">
        <f aca="false">REPLACE(E221, 1, 3, "")</f>
        <v>18</v>
      </c>
      <c r="G221" s="17" t="str">
        <f aca="true">IFERROR(VLOOKUP(B221,INDIRECT("'"&amp;F221&amp;"'!D3:D"),1,FALSE()), "Not found")</f>
        <v>Not found</v>
      </c>
      <c r="H221" s="18" t="n">
        <f aca="true">INDIRECT("'"&amp;F221&amp;"'!D1")</f>
        <v>0</v>
      </c>
      <c r="I221" s="18" t="str">
        <f aca="false">IFERROR(__xludf.dummyfunction("REGEXEXTRACT(ADDRESS(ROW(), 24+$H221), ""[A-Z]+"")"),"X")</f>
        <v>X</v>
      </c>
      <c r="J221" s="18" t="str">
        <f aca="false">IFERROR(__xludf.dummyfunction("REGEXEXTRACT(ADDRESS(ROW(), 30+$H221), ""[A-Z]+"")"),"AD")</f>
        <v>AD</v>
      </c>
      <c r="K221" s="18" t="str">
        <f aca="false">IFERROR(__xludf.dummyfunction("REGEXEXTRACT(ADDRESS(ROW(), 36+$H221), ""[A-Z]+"")"),"AJ")</f>
        <v>AJ</v>
      </c>
      <c r="L221" s="18" t="str">
        <f aca="false">IFERROR(__xludf.dummyfunction("REGEXEXTRACT(ADDRESS(ROW(), 42+$H221), ""[A-Z]+"")"),"AP")</f>
        <v>AP</v>
      </c>
      <c r="M221" s="18" t="str">
        <f aca="false">IFERROR(__xludf.dummyfunction("REGEXEXTRACT(ADDRESS(ROW(), 48+$H221), ""[A-Z]+"")"),"AV")</f>
        <v>AV</v>
      </c>
      <c r="N221" s="18" t="str">
        <f aca="false">IFERROR(__xludf.dummyfunction("REGEXEXTRACT(ADDRESS(ROW(), 50+$H221), ""[A-Z]+"")"),"AX")</f>
        <v>AX</v>
      </c>
      <c r="O221" s="18" t="str">
        <f aca="false">IFERROR(__xludf.dummyfunction("REGEXEXTRACT(ADDRESS(ROW(), 51+$H221), ""[A-Z]+"")"),"AY")</f>
        <v>AY</v>
      </c>
      <c r="P221" s="18" t="str">
        <f aca="false">IFERROR(__xludf.dummyfunction("REGEXEXTRACT(ADDRESS(ROW(), 54+$H221), ""[A-Z]+"")"),"BB")</f>
        <v>BB</v>
      </c>
      <c r="Q221" s="18" t="str">
        <f aca="false">IFERROR(__xludf.dummyfunction("REGEXEXTRACT(ADDRESS(ROW(), 59+$H221), ""[A-Z]+"")"),"BG")</f>
        <v>BG</v>
      </c>
      <c r="R221" s="18" t="str">
        <f aca="false">IFERROR(__xludf.dummyfunction("REGEXEXTRACT(ADDRESS(ROW(), 60+$H221), ""[A-Z]+"")"),"BH")</f>
        <v>BH</v>
      </c>
      <c r="S221" s="18" t="str">
        <f aca="false">IFERROR(__xludf.dummyfunction("REGEXEXTRACT(ADDRESS(ROW(), 62+$H221), ""[A-Z]+"")"),"BJ")</f>
        <v>BJ</v>
      </c>
      <c r="T221" s="18" t="str">
        <f aca="false">IFERROR(__xludf.dummyfunction("REGEXEXTRACT(ADDRESS(ROW(), 63+$H221), ""[A-Z]+"")"),"BK")</f>
        <v>BK</v>
      </c>
      <c r="U221" s="19" t="str">
        <f aca="false">IFERROR(__xludf.dummyfunction("IFERROR(QUERY(INDIRECT(""'""&amp;F221&amp;""'!C3:""&amp;T221&amp;""""), ""SELECT ""&amp;I221&amp;"", ""&amp;J221&amp;"", ""&amp;K221&amp;"", ""&amp;L221&amp;"", ""&amp;M221&amp;"", ""&amp;N221&amp;"", ""&amp;O221&amp;"", ""&amp;P221&amp;"", ""&amp;Q221&amp;"", ""&amp;R221&amp;"", ""&amp;S221&amp;"" WHERE '""&amp;B221&amp;""' = D"", 0), """")"),"")</f>
        <v/>
      </c>
      <c r="V221" s="22"/>
      <c r="W221" s="22"/>
      <c r="X221" s="22"/>
      <c r="Y221" s="22" t="n">
        <f aca="false">IFERROR(__xludf.dummyfunction("""COMPUTED_VALUE"""),0)</f>
        <v>0</v>
      </c>
      <c r="Z221" s="22"/>
      <c r="AA221" s="22"/>
      <c r="AB221" s="22" t="n">
        <f aca="false">IFERROR(__xludf.dummyfunction("""COMPUTED_VALUE"""),0.01)</f>
        <v>0.01</v>
      </c>
      <c r="AC221" s="22"/>
      <c r="AD221" s="23"/>
      <c r="AE221" s="24" t="n">
        <f aca="false">IFERROR(__xludf.dummyfunction("""COMPUTED_VALUE"""),0.01)</f>
        <v>0.01</v>
      </c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</row>
    <row r="222" customFormat="false" ht="18.65" hidden="false" customHeight="false" outlineLevel="0" collapsed="false">
      <c r="A222" s="13" t="n">
        <v>221</v>
      </c>
      <c r="B222" s="14" t="s">
        <v>476</v>
      </c>
      <c r="C222" s="15" t="s">
        <v>477</v>
      </c>
      <c r="D222" s="16" t="s">
        <v>213</v>
      </c>
      <c r="E222" s="16" t="s">
        <v>213</v>
      </c>
      <c r="F222" s="16" t="str">
        <f aca="false">REPLACE(E222, 1, 3, "")</f>
        <v>16</v>
      </c>
      <c r="G222" s="17" t="str">
        <f aca="true">IFERROR(VLOOKUP(B222,INDIRECT("'"&amp;F222&amp;"'!D3:D"),1,FALSE()), "Not found")</f>
        <v>Not found</v>
      </c>
      <c r="H222" s="18" t="n">
        <f aca="true">INDIRECT("'"&amp;F222&amp;"'!D1")</f>
        <v>0</v>
      </c>
      <c r="I222" s="18" t="str">
        <f aca="false">IFERROR(__xludf.dummyfunction("REGEXEXTRACT(ADDRESS(ROW(), 24+$H222), ""[A-Z]+"")"),"X")</f>
        <v>X</v>
      </c>
      <c r="J222" s="18" t="str">
        <f aca="false">IFERROR(__xludf.dummyfunction("REGEXEXTRACT(ADDRESS(ROW(), 30+$H222), ""[A-Z]+"")"),"AD")</f>
        <v>AD</v>
      </c>
      <c r="K222" s="18" t="str">
        <f aca="false">IFERROR(__xludf.dummyfunction("REGEXEXTRACT(ADDRESS(ROW(), 36+$H222), ""[A-Z]+"")"),"AJ")</f>
        <v>AJ</v>
      </c>
      <c r="L222" s="18" t="str">
        <f aca="false">IFERROR(__xludf.dummyfunction("REGEXEXTRACT(ADDRESS(ROW(), 42+$H222), ""[A-Z]+"")"),"AP")</f>
        <v>AP</v>
      </c>
      <c r="M222" s="18" t="str">
        <f aca="false">IFERROR(__xludf.dummyfunction("REGEXEXTRACT(ADDRESS(ROW(), 48+$H222), ""[A-Z]+"")"),"AV")</f>
        <v>AV</v>
      </c>
      <c r="N222" s="18" t="str">
        <f aca="false">IFERROR(__xludf.dummyfunction("REGEXEXTRACT(ADDRESS(ROW(), 50+$H222), ""[A-Z]+"")"),"AX")</f>
        <v>AX</v>
      </c>
      <c r="O222" s="18" t="str">
        <f aca="false">IFERROR(__xludf.dummyfunction("REGEXEXTRACT(ADDRESS(ROW(), 51+$H222), ""[A-Z]+"")"),"AY")</f>
        <v>AY</v>
      </c>
      <c r="P222" s="18" t="str">
        <f aca="false">IFERROR(__xludf.dummyfunction("REGEXEXTRACT(ADDRESS(ROW(), 54+$H222), ""[A-Z]+"")"),"BB")</f>
        <v>BB</v>
      </c>
      <c r="Q222" s="18" t="str">
        <f aca="false">IFERROR(__xludf.dummyfunction("REGEXEXTRACT(ADDRESS(ROW(), 59+$H222), ""[A-Z]+"")"),"BG")</f>
        <v>BG</v>
      </c>
      <c r="R222" s="18" t="str">
        <f aca="false">IFERROR(__xludf.dummyfunction("REGEXEXTRACT(ADDRESS(ROW(), 60+$H222), ""[A-Z]+"")"),"BH")</f>
        <v>BH</v>
      </c>
      <c r="S222" s="18" t="str">
        <f aca="false">IFERROR(__xludf.dummyfunction("REGEXEXTRACT(ADDRESS(ROW(), 62+$H222), ""[A-Z]+"")"),"BJ")</f>
        <v>BJ</v>
      </c>
      <c r="T222" s="18" t="str">
        <f aca="false">IFERROR(__xludf.dummyfunction("REGEXEXTRACT(ADDRESS(ROW(), 63+$H222), ""[A-Z]+"")"),"BK")</f>
        <v>BK</v>
      </c>
      <c r="U222" s="19" t="n">
        <f aca="false">IFERROR(__xludf.dummyfunction("IFERROR(QUERY(INDIRECT(""'""&amp;F222&amp;""'!C3:""&amp;T222&amp;""""), ""SELECT ""&amp;I222&amp;"", ""&amp;J222&amp;"", ""&amp;K222&amp;"", ""&amp;L222&amp;"", ""&amp;M222&amp;"", ""&amp;N222&amp;"", ""&amp;O222&amp;"", ""&amp;P222&amp;"", ""&amp;Q222&amp;"", ""&amp;R222&amp;"", ""&amp;S222&amp;"" WHERE '""&amp;B222&amp;""' = D"", 0), """")"),8)</f>
        <v>8</v>
      </c>
      <c r="V222" s="22" t="n">
        <f aca="false">IFERROR(__xludf.dummyfunction("""COMPUTED_VALUE"""),9.5)</f>
        <v>9.5</v>
      </c>
      <c r="W222" s="22" t="n">
        <f aca="false">IFERROR(__xludf.dummyfunction("""COMPUTED_VALUE"""),8.5)</f>
        <v>8.5</v>
      </c>
      <c r="X222" s="22" t="n">
        <f aca="false">IFERROR(__xludf.dummyfunction("""COMPUTED_VALUE"""),9)</f>
        <v>9</v>
      </c>
      <c r="Y222" s="22" t="n">
        <f aca="false">IFERROR(__xludf.dummyfunction("""COMPUTED_VALUE"""),8.5)</f>
        <v>8.5</v>
      </c>
      <c r="Z222" s="22"/>
      <c r="AA222" s="22" t="n">
        <f aca="false">IFERROR(__xludf.dummyfunction("""COMPUTED_VALUE"""),1)</f>
        <v>1</v>
      </c>
      <c r="AB222" s="22" t="n">
        <f aca="false">IFERROR(__xludf.dummyfunction("""COMPUTED_VALUE"""),7)</f>
        <v>7</v>
      </c>
      <c r="AC222" s="22" t="n">
        <f aca="false">IFERROR(__xludf.dummyfunction("""COMPUTED_VALUE"""),27)</f>
        <v>27</v>
      </c>
      <c r="AD222" s="23"/>
      <c r="AE222" s="24" t="n">
        <f aca="false">IFERROR(__xludf.dummyfunction("""COMPUTED_VALUE"""),78.5)</f>
        <v>78.5</v>
      </c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</row>
    <row r="223" customFormat="false" ht="18.65" hidden="false" customHeight="false" outlineLevel="0" collapsed="false">
      <c r="A223" s="13" t="n">
        <v>222</v>
      </c>
      <c r="B223" s="14" t="s">
        <v>478</v>
      </c>
      <c r="C223" s="15" t="s">
        <v>479</v>
      </c>
      <c r="D223" s="16" t="s">
        <v>177</v>
      </c>
      <c r="E223" s="16" t="s">
        <v>177</v>
      </c>
      <c r="F223" s="16" t="str">
        <f aca="false">REPLACE(E223, 1, 3, "")</f>
        <v>19</v>
      </c>
      <c r="G223" s="17" t="str">
        <f aca="true">IFERROR(VLOOKUP(B223,INDIRECT("'"&amp;F223&amp;"'!D3:D"),1,FALSE()), "Not found")</f>
        <v>Not found</v>
      </c>
      <c r="H223" s="18" t="n">
        <f aca="true">INDIRECT("'"&amp;F223&amp;"'!D1")</f>
        <v>0</v>
      </c>
      <c r="I223" s="18" t="str">
        <f aca="false">IFERROR(__xludf.dummyfunction("REGEXEXTRACT(ADDRESS(ROW(), 24+$H223), ""[A-Z]+"")"),"X")</f>
        <v>X</v>
      </c>
      <c r="J223" s="18" t="str">
        <f aca="false">IFERROR(__xludf.dummyfunction("REGEXEXTRACT(ADDRESS(ROW(), 30+$H223), ""[A-Z]+"")"),"AD")</f>
        <v>AD</v>
      </c>
      <c r="K223" s="18" t="str">
        <f aca="false">IFERROR(__xludf.dummyfunction("REGEXEXTRACT(ADDRESS(ROW(), 36+$H223), ""[A-Z]+"")"),"AJ")</f>
        <v>AJ</v>
      </c>
      <c r="L223" s="18" t="str">
        <f aca="false">IFERROR(__xludf.dummyfunction("REGEXEXTRACT(ADDRESS(ROW(), 42+$H223), ""[A-Z]+"")"),"AP")</f>
        <v>AP</v>
      </c>
      <c r="M223" s="18" t="str">
        <f aca="false">IFERROR(__xludf.dummyfunction("REGEXEXTRACT(ADDRESS(ROW(), 48+$H223), ""[A-Z]+"")"),"AV")</f>
        <v>AV</v>
      </c>
      <c r="N223" s="18" t="str">
        <f aca="false">IFERROR(__xludf.dummyfunction("REGEXEXTRACT(ADDRESS(ROW(), 50+$H223), ""[A-Z]+"")"),"AX")</f>
        <v>AX</v>
      </c>
      <c r="O223" s="18" t="str">
        <f aca="false">IFERROR(__xludf.dummyfunction("REGEXEXTRACT(ADDRESS(ROW(), 51+$H223), ""[A-Z]+"")"),"AY")</f>
        <v>AY</v>
      </c>
      <c r="P223" s="18" t="str">
        <f aca="false">IFERROR(__xludf.dummyfunction("REGEXEXTRACT(ADDRESS(ROW(), 54+$H223), ""[A-Z]+"")"),"BB")</f>
        <v>BB</v>
      </c>
      <c r="Q223" s="18" t="str">
        <f aca="false">IFERROR(__xludf.dummyfunction("REGEXEXTRACT(ADDRESS(ROW(), 59+$H223), ""[A-Z]+"")"),"BG")</f>
        <v>BG</v>
      </c>
      <c r="R223" s="18" t="str">
        <f aca="false">IFERROR(__xludf.dummyfunction("REGEXEXTRACT(ADDRESS(ROW(), 60+$H223), ""[A-Z]+"")"),"BH")</f>
        <v>BH</v>
      </c>
      <c r="S223" s="18" t="str">
        <f aca="false">IFERROR(__xludf.dummyfunction("REGEXEXTRACT(ADDRESS(ROW(), 62+$H223), ""[A-Z]+"")"),"BJ")</f>
        <v>BJ</v>
      </c>
      <c r="T223" s="18" t="str">
        <f aca="false">IFERROR(__xludf.dummyfunction("REGEXEXTRACT(ADDRESS(ROW(), 63+$H223), ""[A-Z]+"")"),"BK")</f>
        <v>BK</v>
      </c>
      <c r="U223" s="19" t="n">
        <f aca="false">IFERROR(__xludf.dummyfunction("IFERROR(QUERY(INDIRECT(""'""&amp;F223&amp;""'!C3:""&amp;T223&amp;""""), ""SELECT ""&amp;I223&amp;"", ""&amp;J223&amp;"", ""&amp;K223&amp;"", ""&amp;L223&amp;"", ""&amp;M223&amp;"", ""&amp;N223&amp;"", ""&amp;O223&amp;"", ""&amp;P223&amp;"", ""&amp;Q223&amp;"", ""&amp;R223&amp;"", ""&amp;S223&amp;"" WHERE '""&amp;B223&amp;""' = D"", 0), """")"),10)</f>
        <v>10</v>
      </c>
      <c r="V223" s="22" t="n">
        <f aca="false">IFERROR(__xludf.dummyfunction("""COMPUTED_VALUE"""),10)</f>
        <v>10</v>
      </c>
      <c r="W223" s="22" t="n">
        <f aca="false">IFERROR(__xludf.dummyfunction("""COMPUTED_VALUE"""),10)</f>
        <v>10</v>
      </c>
      <c r="X223" s="22" t="n">
        <f aca="false">IFERROR(__xludf.dummyfunction("""COMPUTED_VALUE"""),10)</f>
        <v>10</v>
      </c>
      <c r="Y223" s="22" t="n">
        <f aca="false">IFERROR(__xludf.dummyfunction("""COMPUTED_VALUE"""),10)</f>
        <v>10</v>
      </c>
      <c r="Z223" s="22" t="n">
        <f aca="false">IFERROR(__xludf.dummyfunction("""COMPUTED_VALUE"""),0)</f>
        <v>0</v>
      </c>
      <c r="AA223" s="22" t="n">
        <f aca="false">IFERROR(__xludf.dummyfunction("""COMPUTED_VALUE"""),0)</f>
        <v>0</v>
      </c>
      <c r="AB223" s="22" t="n">
        <f aca="false">IFERROR(__xludf.dummyfunction("""COMPUTED_VALUE"""),6)</f>
        <v>6</v>
      </c>
      <c r="AC223" s="22" t="n">
        <f aca="false">IFERROR(__xludf.dummyfunction("""COMPUTED_VALUE"""),26)</f>
        <v>26</v>
      </c>
      <c r="AD223" s="23" t="n">
        <f aca="false">IFERROR(__xludf.dummyfunction("""COMPUTED_VALUE"""),2)</f>
        <v>2</v>
      </c>
      <c r="AE223" s="24" t="n">
        <f aca="false">IFERROR(__xludf.dummyfunction("""COMPUTED_VALUE"""),84)</f>
        <v>84</v>
      </c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</row>
    <row r="224" customFormat="false" ht="18.65" hidden="false" customHeight="false" outlineLevel="0" collapsed="false">
      <c r="A224" s="13" t="n">
        <v>223</v>
      </c>
      <c r="B224" s="14" t="s">
        <v>480</v>
      </c>
      <c r="C224" s="15" t="s">
        <v>481</v>
      </c>
      <c r="D224" s="16" t="s">
        <v>235</v>
      </c>
      <c r="E224" s="16" t="s">
        <v>235</v>
      </c>
      <c r="F224" s="16" t="str">
        <f aca="false">REPLACE(E224, 1, 3, "")</f>
        <v>18</v>
      </c>
      <c r="G224" s="17" t="str">
        <f aca="true">IFERROR(VLOOKUP(B224,INDIRECT("'"&amp;F224&amp;"'!D3:D"),1,FALSE()), "Not found")</f>
        <v>Not found</v>
      </c>
      <c r="H224" s="18" t="n">
        <f aca="true">INDIRECT("'"&amp;F224&amp;"'!D1")</f>
        <v>0</v>
      </c>
      <c r="I224" s="18" t="str">
        <f aca="false">IFERROR(__xludf.dummyfunction("REGEXEXTRACT(ADDRESS(ROW(), 24+$H224), ""[A-Z]+"")"),"X")</f>
        <v>X</v>
      </c>
      <c r="J224" s="18" t="str">
        <f aca="false">IFERROR(__xludf.dummyfunction("REGEXEXTRACT(ADDRESS(ROW(), 30+$H224), ""[A-Z]+"")"),"AD")</f>
        <v>AD</v>
      </c>
      <c r="K224" s="18" t="str">
        <f aca="false">IFERROR(__xludf.dummyfunction("REGEXEXTRACT(ADDRESS(ROW(), 36+$H224), ""[A-Z]+"")"),"AJ")</f>
        <v>AJ</v>
      </c>
      <c r="L224" s="18" t="str">
        <f aca="false">IFERROR(__xludf.dummyfunction("REGEXEXTRACT(ADDRESS(ROW(), 42+$H224), ""[A-Z]+"")"),"AP")</f>
        <v>AP</v>
      </c>
      <c r="M224" s="18" t="str">
        <f aca="false">IFERROR(__xludf.dummyfunction("REGEXEXTRACT(ADDRESS(ROW(), 48+$H224), ""[A-Z]+"")"),"AV")</f>
        <v>AV</v>
      </c>
      <c r="N224" s="18" t="str">
        <f aca="false">IFERROR(__xludf.dummyfunction("REGEXEXTRACT(ADDRESS(ROW(), 50+$H224), ""[A-Z]+"")"),"AX")</f>
        <v>AX</v>
      </c>
      <c r="O224" s="18" t="str">
        <f aca="false">IFERROR(__xludf.dummyfunction("REGEXEXTRACT(ADDRESS(ROW(), 51+$H224), ""[A-Z]+"")"),"AY")</f>
        <v>AY</v>
      </c>
      <c r="P224" s="18" t="str">
        <f aca="false">IFERROR(__xludf.dummyfunction("REGEXEXTRACT(ADDRESS(ROW(), 54+$H224), ""[A-Z]+"")"),"BB")</f>
        <v>BB</v>
      </c>
      <c r="Q224" s="18" t="str">
        <f aca="false">IFERROR(__xludf.dummyfunction("REGEXEXTRACT(ADDRESS(ROW(), 59+$H224), ""[A-Z]+"")"),"BG")</f>
        <v>BG</v>
      </c>
      <c r="R224" s="18" t="str">
        <f aca="false">IFERROR(__xludf.dummyfunction("REGEXEXTRACT(ADDRESS(ROW(), 60+$H224), ""[A-Z]+"")"),"BH")</f>
        <v>BH</v>
      </c>
      <c r="S224" s="18" t="str">
        <f aca="false">IFERROR(__xludf.dummyfunction("REGEXEXTRACT(ADDRESS(ROW(), 62+$H224), ""[A-Z]+"")"),"BJ")</f>
        <v>BJ</v>
      </c>
      <c r="T224" s="18" t="str">
        <f aca="false">IFERROR(__xludf.dummyfunction("REGEXEXTRACT(ADDRESS(ROW(), 63+$H224), ""[A-Z]+"")"),"BK")</f>
        <v>BK</v>
      </c>
      <c r="U224" s="19" t="n">
        <f aca="false">IFERROR(__xludf.dummyfunction("IFERROR(QUERY(INDIRECT(""'""&amp;F224&amp;""'!C3:""&amp;T224&amp;""""), ""SELECT ""&amp;I224&amp;"", ""&amp;J224&amp;"", ""&amp;K224&amp;"", ""&amp;L224&amp;"", ""&amp;M224&amp;"", ""&amp;N224&amp;"", ""&amp;O224&amp;"", ""&amp;P224&amp;"", ""&amp;Q224&amp;"", ""&amp;R224&amp;"", ""&amp;S224&amp;"" WHERE '""&amp;B224&amp;""' = D"", 0), """")"),9)</f>
        <v>9</v>
      </c>
      <c r="V224" s="22" t="n">
        <f aca="false">IFERROR(__xludf.dummyfunction("""COMPUTED_VALUE"""),9)</f>
        <v>9</v>
      </c>
      <c r="W224" s="22" t="n">
        <f aca="false">IFERROR(__xludf.dummyfunction("""COMPUTED_VALUE"""),9)</f>
        <v>9</v>
      </c>
      <c r="X224" s="22" t="n">
        <f aca="false">IFERROR(__xludf.dummyfunction("""COMPUTED_VALUE"""),8.8)</f>
        <v>8.8</v>
      </c>
      <c r="Y224" s="22" t="n">
        <f aca="false">IFERROR(__xludf.dummyfunction("""COMPUTED_VALUE"""),0)</f>
        <v>0</v>
      </c>
      <c r="Z224" s="22" t="n">
        <f aca="false">IFERROR(__xludf.dummyfunction("""COMPUTED_VALUE"""),1)</f>
        <v>1</v>
      </c>
      <c r="AA224" s="22" t="n">
        <f aca="false">IFERROR(__xludf.dummyfunction("""COMPUTED_VALUE"""),2)</f>
        <v>2</v>
      </c>
      <c r="AB224" s="22" t="n">
        <f aca="false">IFERROR(__xludf.dummyfunction("""COMPUTED_VALUE"""),6)</f>
        <v>6</v>
      </c>
      <c r="AC224" s="22" t="n">
        <f aca="false">IFERROR(__xludf.dummyfunction("""COMPUTED_VALUE"""),24)</f>
        <v>24</v>
      </c>
      <c r="AD224" s="23"/>
      <c r="AE224" s="24" t="n">
        <f aca="false">IFERROR(__xludf.dummyfunction("""COMPUTED_VALUE"""),68.8)</f>
        <v>68.8</v>
      </c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</row>
    <row r="225" customFormat="false" ht="18.65" hidden="false" customHeight="false" outlineLevel="0" collapsed="false">
      <c r="A225" s="13" t="n">
        <v>224</v>
      </c>
      <c r="B225" s="14" t="s">
        <v>482</v>
      </c>
      <c r="C225" s="15" t="s">
        <v>483</v>
      </c>
      <c r="D225" s="16" t="s">
        <v>244</v>
      </c>
      <c r="E225" s="16" t="s">
        <v>244</v>
      </c>
      <c r="F225" s="16" t="str">
        <f aca="false">REPLACE(E225, 1, 3, "")</f>
        <v>13</v>
      </c>
      <c r="G225" s="17" t="str">
        <f aca="true">IFERROR(VLOOKUP(B225,INDIRECT("'"&amp;F225&amp;"'!D3:D"),1,FALSE()), "Not found")</f>
        <v>Not found</v>
      </c>
      <c r="H225" s="18" t="n">
        <f aca="true">INDIRECT("'"&amp;F225&amp;"'!D1")</f>
        <v>0</v>
      </c>
      <c r="I225" s="18" t="str">
        <f aca="false">IFERROR(__xludf.dummyfunction("REGEXEXTRACT(ADDRESS(ROW(), 24+$H225), ""[A-Z]+"")"),"X")</f>
        <v>X</v>
      </c>
      <c r="J225" s="18" t="str">
        <f aca="false">IFERROR(__xludf.dummyfunction("REGEXEXTRACT(ADDRESS(ROW(), 30+$H225), ""[A-Z]+"")"),"AD")</f>
        <v>AD</v>
      </c>
      <c r="K225" s="18" t="str">
        <f aca="false">IFERROR(__xludf.dummyfunction("REGEXEXTRACT(ADDRESS(ROW(), 36+$H225), ""[A-Z]+"")"),"AJ")</f>
        <v>AJ</v>
      </c>
      <c r="L225" s="18" t="str">
        <f aca="false">IFERROR(__xludf.dummyfunction("REGEXEXTRACT(ADDRESS(ROW(), 42+$H225), ""[A-Z]+"")"),"AP")</f>
        <v>AP</v>
      </c>
      <c r="M225" s="18" t="str">
        <f aca="false">IFERROR(__xludf.dummyfunction("REGEXEXTRACT(ADDRESS(ROW(), 48+$H225), ""[A-Z]+"")"),"AV")</f>
        <v>AV</v>
      </c>
      <c r="N225" s="18" t="str">
        <f aca="false">IFERROR(__xludf.dummyfunction("REGEXEXTRACT(ADDRESS(ROW(), 50+$H225), ""[A-Z]+"")"),"AX")</f>
        <v>AX</v>
      </c>
      <c r="O225" s="18" t="str">
        <f aca="false">IFERROR(__xludf.dummyfunction("REGEXEXTRACT(ADDRESS(ROW(), 51+$H225), ""[A-Z]+"")"),"AY")</f>
        <v>AY</v>
      </c>
      <c r="P225" s="18" t="str">
        <f aca="false">IFERROR(__xludf.dummyfunction("REGEXEXTRACT(ADDRESS(ROW(), 54+$H225), ""[A-Z]+"")"),"BB")</f>
        <v>BB</v>
      </c>
      <c r="Q225" s="18" t="str">
        <f aca="false">IFERROR(__xludf.dummyfunction("REGEXEXTRACT(ADDRESS(ROW(), 59+$H225), ""[A-Z]+"")"),"BG")</f>
        <v>BG</v>
      </c>
      <c r="R225" s="18" t="str">
        <f aca="false">IFERROR(__xludf.dummyfunction("REGEXEXTRACT(ADDRESS(ROW(), 60+$H225), ""[A-Z]+"")"),"BH")</f>
        <v>BH</v>
      </c>
      <c r="S225" s="18" t="str">
        <f aca="false">IFERROR(__xludf.dummyfunction("REGEXEXTRACT(ADDRESS(ROW(), 62+$H225), ""[A-Z]+"")"),"BJ")</f>
        <v>BJ</v>
      </c>
      <c r="T225" s="18" t="str">
        <f aca="false">IFERROR(__xludf.dummyfunction("REGEXEXTRACT(ADDRESS(ROW(), 63+$H225), ""[A-Z]+"")"),"BK")</f>
        <v>BK</v>
      </c>
      <c r="U225" s="19" t="n">
        <f aca="false">IFERROR(__xludf.dummyfunction("IFERROR(QUERY(INDIRECT(""'""&amp;F225&amp;""'!C3:""&amp;T225&amp;""""), ""SELECT ""&amp;I225&amp;"", ""&amp;J225&amp;"", ""&amp;K225&amp;"", ""&amp;L225&amp;"", ""&amp;M225&amp;"", ""&amp;N225&amp;"", ""&amp;O225&amp;"", ""&amp;P225&amp;"", ""&amp;Q225&amp;"", ""&amp;R225&amp;"", ""&amp;S225&amp;"" WHERE '""&amp;B225&amp;""' = D"", 0), """")"),10)</f>
        <v>10</v>
      </c>
      <c r="V225" s="22" t="n">
        <f aca="false">IFERROR(__xludf.dummyfunction("""COMPUTED_VALUE"""),9.5)</f>
        <v>9.5</v>
      </c>
      <c r="W225" s="22" t="n">
        <f aca="false">IFERROR(__xludf.dummyfunction("""COMPUTED_VALUE"""),10)</f>
        <v>10</v>
      </c>
      <c r="X225" s="22" t="n">
        <f aca="false">IFERROR(__xludf.dummyfunction("""COMPUTED_VALUE"""),9.5)</f>
        <v>9.5</v>
      </c>
      <c r="Y225" s="22" t="n">
        <f aca="false">IFERROR(__xludf.dummyfunction("""COMPUTED_VALUE"""),10)</f>
        <v>10</v>
      </c>
      <c r="Z225" s="22" t="n">
        <f aca="false">IFERROR(__xludf.dummyfunction("""COMPUTED_VALUE"""),2)</f>
        <v>2</v>
      </c>
      <c r="AA225" s="22"/>
      <c r="AB225" s="22" t="n">
        <f aca="false">IFERROR(__xludf.dummyfunction("""COMPUTED_VALUE"""),9.5)</f>
        <v>9.5</v>
      </c>
      <c r="AC225" s="22" t="n">
        <f aca="false">IFERROR(__xludf.dummyfunction("""COMPUTED_VALUE"""),28)</f>
        <v>28</v>
      </c>
      <c r="AD225" s="23" t="n">
        <f aca="false">IFERROR(__xludf.dummyfunction("""COMPUTED_VALUE"""),2)</f>
        <v>2</v>
      </c>
      <c r="AE225" s="24" t="n">
        <f aca="false">IFERROR(__xludf.dummyfunction("""COMPUTED_VALUE"""),90.5)</f>
        <v>90.5</v>
      </c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</row>
    <row r="226" customFormat="false" ht="18.65" hidden="false" customHeight="false" outlineLevel="0" collapsed="false">
      <c r="A226" s="13" t="n">
        <v>225</v>
      </c>
      <c r="B226" s="14" t="s">
        <v>484</v>
      </c>
      <c r="C226" s="15" t="s">
        <v>485</v>
      </c>
      <c r="D226" s="16" t="s">
        <v>191</v>
      </c>
      <c r="E226" s="16" t="s">
        <v>191</v>
      </c>
      <c r="F226" s="16" t="str">
        <f aca="false">REPLACE(E226, 1, 3, "")</f>
        <v>12</v>
      </c>
      <c r="G226" s="17" t="str">
        <f aca="true">IFERROR(VLOOKUP(B226,INDIRECT("'"&amp;F226&amp;"'!D3:D"),1,FALSE()), "Not found")</f>
        <v>Not found</v>
      </c>
      <c r="H226" s="18" t="n">
        <f aca="true">INDIRECT("'"&amp;F226&amp;"'!D1")</f>
        <v>0</v>
      </c>
      <c r="I226" s="18" t="str">
        <f aca="false">IFERROR(__xludf.dummyfunction("REGEXEXTRACT(ADDRESS(ROW(), 24+$H226), ""[A-Z]+"")"),"X")</f>
        <v>X</v>
      </c>
      <c r="J226" s="18" t="str">
        <f aca="false">IFERROR(__xludf.dummyfunction("REGEXEXTRACT(ADDRESS(ROW(), 30+$H226), ""[A-Z]+"")"),"AD")</f>
        <v>AD</v>
      </c>
      <c r="K226" s="18" t="str">
        <f aca="false">IFERROR(__xludf.dummyfunction("REGEXEXTRACT(ADDRESS(ROW(), 36+$H226), ""[A-Z]+"")"),"AJ")</f>
        <v>AJ</v>
      </c>
      <c r="L226" s="18" t="str">
        <f aca="false">IFERROR(__xludf.dummyfunction("REGEXEXTRACT(ADDRESS(ROW(), 42+$H226), ""[A-Z]+"")"),"AP")</f>
        <v>AP</v>
      </c>
      <c r="M226" s="18" t="str">
        <f aca="false">IFERROR(__xludf.dummyfunction("REGEXEXTRACT(ADDRESS(ROW(), 48+$H226), ""[A-Z]+"")"),"AV")</f>
        <v>AV</v>
      </c>
      <c r="N226" s="18" t="str">
        <f aca="false">IFERROR(__xludf.dummyfunction("REGEXEXTRACT(ADDRESS(ROW(), 50+$H226), ""[A-Z]+"")"),"AX")</f>
        <v>AX</v>
      </c>
      <c r="O226" s="18" t="str">
        <f aca="false">IFERROR(__xludf.dummyfunction("REGEXEXTRACT(ADDRESS(ROW(), 51+$H226), ""[A-Z]+"")"),"AY")</f>
        <v>AY</v>
      </c>
      <c r="P226" s="18" t="str">
        <f aca="false">IFERROR(__xludf.dummyfunction("REGEXEXTRACT(ADDRESS(ROW(), 54+$H226), ""[A-Z]+"")"),"BB")</f>
        <v>BB</v>
      </c>
      <c r="Q226" s="18" t="str">
        <f aca="false">IFERROR(__xludf.dummyfunction("REGEXEXTRACT(ADDRESS(ROW(), 59+$H226), ""[A-Z]+"")"),"BG")</f>
        <v>BG</v>
      </c>
      <c r="R226" s="18" t="str">
        <f aca="false">IFERROR(__xludf.dummyfunction("REGEXEXTRACT(ADDRESS(ROW(), 60+$H226), ""[A-Z]+"")"),"BH")</f>
        <v>BH</v>
      </c>
      <c r="S226" s="18" t="str">
        <f aca="false">IFERROR(__xludf.dummyfunction("REGEXEXTRACT(ADDRESS(ROW(), 62+$H226), ""[A-Z]+"")"),"BJ")</f>
        <v>BJ</v>
      </c>
      <c r="T226" s="18" t="str">
        <f aca="false">IFERROR(__xludf.dummyfunction("REGEXEXTRACT(ADDRESS(ROW(), 63+$H226), ""[A-Z]+"")"),"BK")</f>
        <v>BK</v>
      </c>
      <c r="U226" s="19" t="n">
        <f aca="false">IFERROR(__xludf.dummyfunction("IFERROR(QUERY(INDIRECT(""'""&amp;F226&amp;""'!C3:""&amp;T226&amp;""""), ""SELECT ""&amp;I226&amp;"", ""&amp;J226&amp;"", ""&amp;K226&amp;"", ""&amp;L226&amp;"", ""&amp;M226&amp;"", ""&amp;N226&amp;"", ""&amp;O226&amp;"", ""&amp;P226&amp;"", ""&amp;Q226&amp;"", ""&amp;R226&amp;"", ""&amp;S226&amp;"" WHERE '""&amp;B226&amp;""' = D"", 0), """")"),9)</f>
        <v>9</v>
      </c>
      <c r="V226" s="22" t="n">
        <f aca="false">IFERROR(__xludf.dummyfunction("""COMPUTED_VALUE"""),10)</f>
        <v>10</v>
      </c>
      <c r="W226" s="22" t="n">
        <f aca="false">IFERROR(__xludf.dummyfunction("""COMPUTED_VALUE"""),9)</f>
        <v>9</v>
      </c>
      <c r="X226" s="22" t="n">
        <f aca="false">IFERROR(__xludf.dummyfunction("""COMPUTED_VALUE"""),8.5)</f>
        <v>8.5</v>
      </c>
      <c r="Y226" s="22" t="n">
        <f aca="false">IFERROR(__xludf.dummyfunction("""COMPUTED_VALUE"""),0)</f>
        <v>0</v>
      </c>
      <c r="Z226" s="22" t="n">
        <f aca="false">IFERROR(__xludf.dummyfunction("""COMPUTED_VALUE"""),0)</f>
        <v>0</v>
      </c>
      <c r="AA226" s="22"/>
      <c r="AB226" s="22" t="n">
        <f aca="false">IFERROR(__xludf.dummyfunction("""COMPUTED_VALUE"""),6)</f>
        <v>6</v>
      </c>
      <c r="AC226" s="22" t="n">
        <f aca="false">IFERROR(__xludf.dummyfunction("""COMPUTED_VALUE"""),25)</f>
        <v>25</v>
      </c>
      <c r="AD226" s="23"/>
      <c r="AE226" s="24" t="n">
        <f aca="false">IFERROR(__xludf.dummyfunction("""COMPUTED_VALUE"""),67.5)</f>
        <v>67.5</v>
      </c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</row>
    <row r="227" customFormat="false" ht="18.65" hidden="false" customHeight="false" outlineLevel="0" collapsed="false">
      <c r="A227" s="13" t="n">
        <v>226</v>
      </c>
      <c r="B227" s="14" t="s">
        <v>486</v>
      </c>
      <c r="C227" s="15" t="s">
        <v>487</v>
      </c>
      <c r="D227" s="16" t="s">
        <v>180</v>
      </c>
      <c r="E227" s="16" t="s">
        <v>180</v>
      </c>
      <c r="F227" s="16" t="str">
        <f aca="false">REPLACE(E227, 1, 3, "")</f>
        <v>11</v>
      </c>
      <c r="G227" s="17" t="str">
        <f aca="true">IFERROR(VLOOKUP(B227,INDIRECT("'"&amp;F227&amp;"'!D3:D"),1,FALSE()), "Not found")</f>
        <v>Not found</v>
      </c>
      <c r="H227" s="18" t="n">
        <f aca="true">INDIRECT("'"&amp;F227&amp;"'!D1")</f>
        <v>0</v>
      </c>
      <c r="I227" s="18" t="str">
        <f aca="false">IFERROR(__xludf.dummyfunction("REGEXEXTRACT(ADDRESS(ROW(), 24+$H227), ""[A-Z]+"")"),"X")</f>
        <v>X</v>
      </c>
      <c r="J227" s="18" t="str">
        <f aca="false">IFERROR(__xludf.dummyfunction("REGEXEXTRACT(ADDRESS(ROW(), 30+$H227), ""[A-Z]+"")"),"AD")</f>
        <v>AD</v>
      </c>
      <c r="K227" s="18" t="str">
        <f aca="false">IFERROR(__xludf.dummyfunction("REGEXEXTRACT(ADDRESS(ROW(), 36+$H227), ""[A-Z]+"")"),"AJ")</f>
        <v>AJ</v>
      </c>
      <c r="L227" s="18" t="str">
        <f aca="false">IFERROR(__xludf.dummyfunction("REGEXEXTRACT(ADDRESS(ROW(), 42+$H227), ""[A-Z]+"")"),"AP")</f>
        <v>AP</v>
      </c>
      <c r="M227" s="18" t="str">
        <f aca="false">IFERROR(__xludf.dummyfunction("REGEXEXTRACT(ADDRESS(ROW(), 48+$H227), ""[A-Z]+"")"),"AV")</f>
        <v>AV</v>
      </c>
      <c r="N227" s="18" t="str">
        <f aca="false">IFERROR(__xludf.dummyfunction("REGEXEXTRACT(ADDRESS(ROW(), 50+$H227), ""[A-Z]+"")"),"AX")</f>
        <v>AX</v>
      </c>
      <c r="O227" s="18" t="str">
        <f aca="false">IFERROR(__xludf.dummyfunction("REGEXEXTRACT(ADDRESS(ROW(), 51+$H227), ""[A-Z]+"")"),"AY")</f>
        <v>AY</v>
      </c>
      <c r="P227" s="18" t="str">
        <f aca="false">IFERROR(__xludf.dummyfunction("REGEXEXTRACT(ADDRESS(ROW(), 54+$H227), ""[A-Z]+"")"),"BB")</f>
        <v>BB</v>
      </c>
      <c r="Q227" s="18" t="str">
        <f aca="false">IFERROR(__xludf.dummyfunction("REGEXEXTRACT(ADDRESS(ROW(), 59+$H227), ""[A-Z]+"")"),"BG")</f>
        <v>BG</v>
      </c>
      <c r="R227" s="18" t="str">
        <f aca="false">IFERROR(__xludf.dummyfunction("REGEXEXTRACT(ADDRESS(ROW(), 60+$H227), ""[A-Z]+"")"),"BH")</f>
        <v>BH</v>
      </c>
      <c r="S227" s="18" t="str">
        <f aca="false">IFERROR(__xludf.dummyfunction("REGEXEXTRACT(ADDRESS(ROW(), 62+$H227), ""[A-Z]+"")"),"BJ")</f>
        <v>BJ</v>
      </c>
      <c r="T227" s="18" t="str">
        <f aca="false">IFERROR(__xludf.dummyfunction("REGEXEXTRACT(ADDRESS(ROW(), 63+$H227), ""[A-Z]+"")"),"BK")</f>
        <v>BK</v>
      </c>
      <c r="U227" s="19" t="str">
        <f aca="false">IFERROR(__xludf.dummyfunction("IFERROR(QUERY(INDIRECT(""'""&amp;F227&amp;""'!C3:""&amp;T227&amp;""""), ""SELECT ""&amp;I227&amp;"", ""&amp;J227&amp;"", ""&amp;K227&amp;"", ""&amp;L227&amp;"", ""&amp;M227&amp;"", ""&amp;N227&amp;"", ""&amp;O227&amp;"", ""&amp;P227&amp;"", ""&amp;Q227&amp;"", ""&amp;R227&amp;"", ""&amp;S227&amp;"" WHERE '""&amp;B227&amp;""' = D"", 0), """")"),"")</f>
        <v/>
      </c>
      <c r="V227" s="22"/>
      <c r="W227" s="22"/>
      <c r="X227" s="22"/>
      <c r="Y227" s="22" t="n">
        <f aca="false">IFERROR(__xludf.dummyfunction("""COMPUTED_VALUE"""),0)</f>
        <v>0</v>
      </c>
      <c r="Z227" s="22"/>
      <c r="AA227" s="22"/>
      <c r="AB227" s="22"/>
      <c r="AC227" s="22"/>
      <c r="AD227" s="23"/>
      <c r="AE227" s="24" t="n">
        <f aca="false">IFERROR(__xludf.dummyfunction("""COMPUTED_VALUE"""),0)</f>
        <v>0</v>
      </c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</row>
    <row r="228" customFormat="false" ht="18.65" hidden="false" customHeight="false" outlineLevel="0" collapsed="false">
      <c r="A228" s="13" t="n">
        <v>227</v>
      </c>
      <c r="B228" s="14" t="s">
        <v>488</v>
      </c>
      <c r="C228" s="15" t="s">
        <v>489</v>
      </c>
      <c r="D228" s="16" t="s">
        <v>194</v>
      </c>
      <c r="E228" s="16" t="s">
        <v>194</v>
      </c>
      <c r="F228" s="16" t="str">
        <f aca="false">REPLACE(E228, 1, 3, "")</f>
        <v>10</v>
      </c>
      <c r="G228" s="17" t="str">
        <f aca="true">IFERROR(VLOOKUP(B228,INDIRECT("'"&amp;F228&amp;"'!D3:D"),1,FALSE()), "Not found")</f>
        <v>Not found</v>
      </c>
      <c r="H228" s="18" t="n">
        <f aca="true">INDIRECT("'"&amp;F228&amp;"'!D1")</f>
        <v>0</v>
      </c>
      <c r="I228" s="18" t="str">
        <f aca="false">IFERROR(__xludf.dummyfunction("REGEXEXTRACT(ADDRESS(ROW(), 24+$H228), ""[A-Z]+"")"),"X")</f>
        <v>X</v>
      </c>
      <c r="J228" s="18" t="str">
        <f aca="false">IFERROR(__xludf.dummyfunction("REGEXEXTRACT(ADDRESS(ROW(), 30+$H228), ""[A-Z]+"")"),"AD")</f>
        <v>AD</v>
      </c>
      <c r="K228" s="18" t="str">
        <f aca="false">IFERROR(__xludf.dummyfunction("REGEXEXTRACT(ADDRESS(ROW(), 36+$H228), ""[A-Z]+"")"),"AJ")</f>
        <v>AJ</v>
      </c>
      <c r="L228" s="18" t="str">
        <f aca="false">IFERROR(__xludf.dummyfunction("REGEXEXTRACT(ADDRESS(ROW(), 42+$H228), ""[A-Z]+"")"),"AP")</f>
        <v>AP</v>
      </c>
      <c r="M228" s="18" t="str">
        <f aca="false">IFERROR(__xludf.dummyfunction("REGEXEXTRACT(ADDRESS(ROW(), 48+$H228), ""[A-Z]+"")"),"AV")</f>
        <v>AV</v>
      </c>
      <c r="N228" s="18" t="str">
        <f aca="false">IFERROR(__xludf.dummyfunction("REGEXEXTRACT(ADDRESS(ROW(), 50+$H228), ""[A-Z]+"")"),"AX")</f>
        <v>AX</v>
      </c>
      <c r="O228" s="18" t="str">
        <f aca="false">IFERROR(__xludf.dummyfunction("REGEXEXTRACT(ADDRESS(ROW(), 51+$H228), ""[A-Z]+"")"),"AY")</f>
        <v>AY</v>
      </c>
      <c r="P228" s="18" t="str">
        <f aca="false">IFERROR(__xludf.dummyfunction("REGEXEXTRACT(ADDRESS(ROW(), 54+$H228), ""[A-Z]+"")"),"BB")</f>
        <v>BB</v>
      </c>
      <c r="Q228" s="18" t="str">
        <f aca="false">IFERROR(__xludf.dummyfunction("REGEXEXTRACT(ADDRESS(ROW(), 59+$H228), ""[A-Z]+"")"),"BG")</f>
        <v>BG</v>
      </c>
      <c r="R228" s="18" t="str">
        <f aca="false">IFERROR(__xludf.dummyfunction("REGEXEXTRACT(ADDRESS(ROW(), 60+$H228), ""[A-Z]+"")"),"BH")</f>
        <v>BH</v>
      </c>
      <c r="S228" s="18" t="str">
        <f aca="false">IFERROR(__xludf.dummyfunction("REGEXEXTRACT(ADDRESS(ROW(), 62+$H228), ""[A-Z]+"")"),"BJ")</f>
        <v>BJ</v>
      </c>
      <c r="T228" s="18" t="str">
        <f aca="false">IFERROR(__xludf.dummyfunction("REGEXEXTRACT(ADDRESS(ROW(), 63+$H228), ""[A-Z]+"")"),"BK")</f>
        <v>BK</v>
      </c>
      <c r="U228" s="19" t="n">
        <f aca="false">IFERROR(__xludf.dummyfunction("IFERROR(QUERY(INDIRECT(""'""&amp;F228&amp;""'!C3:""&amp;T228&amp;""""), ""SELECT ""&amp;I228&amp;"", ""&amp;J228&amp;"", ""&amp;K228&amp;"", ""&amp;L228&amp;"", ""&amp;M228&amp;"", ""&amp;N228&amp;"", ""&amp;O228&amp;"", ""&amp;P228&amp;"", ""&amp;Q228&amp;"", ""&amp;R228&amp;"", ""&amp;S228&amp;"" WHERE '""&amp;B228&amp;""' = D"", 0), """")"),8.3)</f>
        <v>8.3</v>
      </c>
      <c r="V228" s="22" t="n">
        <f aca="false">IFERROR(__xludf.dummyfunction("""COMPUTED_VALUE"""),9.5)</f>
        <v>9.5</v>
      </c>
      <c r="W228" s="22" t="n">
        <f aca="false">IFERROR(__xludf.dummyfunction("""COMPUTED_VALUE"""),9)</f>
        <v>9</v>
      </c>
      <c r="X228" s="22" t="n">
        <f aca="false">IFERROR(__xludf.dummyfunction("""COMPUTED_VALUE"""),8.5)</f>
        <v>8.5</v>
      </c>
      <c r="Y228" s="22" t="n">
        <f aca="false">IFERROR(__xludf.dummyfunction("""COMPUTED_VALUE"""),0)</f>
        <v>0</v>
      </c>
      <c r="Z228" s="22" t="n">
        <f aca="false">IFERROR(__xludf.dummyfunction("""COMPUTED_VALUE"""),1)</f>
        <v>1</v>
      </c>
      <c r="AA228" s="22" t="n">
        <f aca="false">IFERROR(__xludf.dummyfunction("""COMPUTED_VALUE"""),1.5)</f>
        <v>1.5</v>
      </c>
      <c r="AB228" s="22" t="n">
        <f aca="false">IFERROR(__xludf.dummyfunction("""COMPUTED_VALUE"""),10)</f>
        <v>10</v>
      </c>
      <c r="AC228" s="22" t="n">
        <f aca="false">IFERROR(__xludf.dummyfunction("""COMPUTED_VALUE"""),29)</f>
        <v>29</v>
      </c>
      <c r="AD228" s="23"/>
      <c r="AE228" s="24" t="n">
        <f aca="false">IFERROR(__xludf.dummyfunction("""COMPUTED_VALUE"""),76.8)</f>
        <v>76.8</v>
      </c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</row>
    <row r="229" customFormat="false" ht="18.65" hidden="false" customHeight="false" outlineLevel="0" collapsed="false">
      <c r="A229" s="13" t="n">
        <v>228</v>
      </c>
      <c r="B229" s="14" t="s">
        <v>490</v>
      </c>
      <c r="C229" s="15" t="s">
        <v>491</v>
      </c>
      <c r="D229" s="16" t="s">
        <v>232</v>
      </c>
      <c r="E229" s="16" t="s">
        <v>232</v>
      </c>
      <c r="F229" s="16" t="str">
        <f aca="false">REPLACE(E229, 1, 3, "")</f>
        <v>09</v>
      </c>
      <c r="G229" s="17" t="str">
        <f aca="true">IFERROR(VLOOKUP(B229,INDIRECT("'"&amp;F229&amp;"'!D3:D"),1,FALSE()), "Not found")</f>
        <v>Not found</v>
      </c>
      <c r="H229" s="18" t="n">
        <f aca="true">INDIRECT("'"&amp;F229&amp;"'!D1")</f>
        <v>0</v>
      </c>
      <c r="I229" s="18" t="str">
        <f aca="false">IFERROR(__xludf.dummyfunction("REGEXEXTRACT(ADDRESS(ROW(), 24+$H229), ""[A-Z]+"")"),"X")</f>
        <v>X</v>
      </c>
      <c r="J229" s="18" t="str">
        <f aca="false">IFERROR(__xludf.dummyfunction("REGEXEXTRACT(ADDRESS(ROW(), 30+$H229), ""[A-Z]+"")"),"AD")</f>
        <v>AD</v>
      </c>
      <c r="K229" s="18" t="str">
        <f aca="false">IFERROR(__xludf.dummyfunction("REGEXEXTRACT(ADDRESS(ROW(), 36+$H229), ""[A-Z]+"")"),"AJ")</f>
        <v>AJ</v>
      </c>
      <c r="L229" s="18" t="str">
        <f aca="false">IFERROR(__xludf.dummyfunction("REGEXEXTRACT(ADDRESS(ROW(), 42+$H229), ""[A-Z]+"")"),"AP")</f>
        <v>AP</v>
      </c>
      <c r="M229" s="18" t="str">
        <f aca="false">IFERROR(__xludf.dummyfunction("REGEXEXTRACT(ADDRESS(ROW(), 48+$H229), ""[A-Z]+"")"),"AV")</f>
        <v>AV</v>
      </c>
      <c r="N229" s="18" t="str">
        <f aca="false">IFERROR(__xludf.dummyfunction("REGEXEXTRACT(ADDRESS(ROW(), 50+$H229), ""[A-Z]+"")"),"AX")</f>
        <v>AX</v>
      </c>
      <c r="O229" s="18" t="str">
        <f aca="false">IFERROR(__xludf.dummyfunction("REGEXEXTRACT(ADDRESS(ROW(), 51+$H229), ""[A-Z]+"")"),"AY")</f>
        <v>AY</v>
      </c>
      <c r="P229" s="18" t="str">
        <f aca="false">IFERROR(__xludf.dummyfunction("REGEXEXTRACT(ADDRESS(ROW(), 54+$H229), ""[A-Z]+"")"),"BB")</f>
        <v>BB</v>
      </c>
      <c r="Q229" s="18" t="str">
        <f aca="false">IFERROR(__xludf.dummyfunction("REGEXEXTRACT(ADDRESS(ROW(), 59+$H229), ""[A-Z]+"")"),"BG")</f>
        <v>BG</v>
      </c>
      <c r="R229" s="18" t="str">
        <f aca="false">IFERROR(__xludf.dummyfunction("REGEXEXTRACT(ADDRESS(ROW(), 60+$H229), ""[A-Z]+"")"),"BH")</f>
        <v>BH</v>
      </c>
      <c r="S229" s="18" t="str">
        <f aca="false">IFERROR(__xludf.dummyfunction("REGEXEXTRACT(ADDRESS(ROW(), 62+$H229), ""[A-Z]+"")"),"BJ")</f>
        <v>BJ</v>
      </c>
      <c r="T229" s="18" t="str">
        <f aca="false">IFERROR(__xludf.dummyfunction("REGEXEXTRACT(ADDRESS(ROW(), 63+$H229), ""[A-Z]+"")"),"BK")</f>
        <v>BK</v>
      </c>
      <c r="U229" s="19" t="n">
        <f aca="false">IFERROR(__xludf.dummyfunction("IFERROR(QUERY(INDIRECT(""'""&amp;F229&amp;""'!C3:""&amp;T229&amp;""""), ""SELECT ""&amp;I229&amp;"", ""&amp;J229&amp;"", ""&amp;K229&amp;"", ""&amp;L229&amp;"", ""&amp;M229&amp;"", ""&amp;N229&amp;"", ""&amp;O229&amp;"", ""&amp;P229&amp;"", ""&amp;Q229&amp;"", ""&amp;R229&amp;"", ""&amp;S229&amp;"" WHERE '""&amp;B229&amp;""' = D"", 0), """")"),9)</f>
        <v>9</v>
      </c>
      <c r="V229" s="22" t="n">
        <f aca="false">IFERROR(__xludf.dummyfunction("""COMPUTED_VALUE"""),9)</f>
        <v>9</v>
      </c>
      <c r="W229" s="22" t="n">
        <f aca="false">IFERROR(__xludf.dummyfunction("""COMPUTED_VALUE"""),9)</f>
        <v>9</v>
      </c>
      <c r="X229" s="22" t="n">
        <f aca="false">IFERROR(__xludf.dummyfunction("""COMPUTED_VALUE"""),9)</f>
        <v>9</v>
      </c>
      <c r="Y229" s="22" t="n">
        <f aca="false">IFERROR(__xludf.dummyfunction("""COMPUTED_VALUE"""),0)</f>
        <v>0</v>
      </c>
      <c r="Z229" s="22" t="n">
        <f aca="false">IFERROR(__xludf.dummyfunction("""COMPUTED_VALUE"""),1)</f>
        <v>1</v>
      </c>
      <c r="AA229" s="22" t="n">
        <f aca="false">IFERROR(__xludf.dummyfunction("""COMPUTED_VALUE"""),1)</f>
        <v>1</v>
      </c>
      <c r="AB229" s="22" t="n">
        <f aca="false">IFERROR(__xludf.dummyfunction("""COMPUTED_VALUE"""),6)</f>
        <v>6</v>
      </c>
      <c r="AC229" s="22" t="n">
        <f aca="false">IFERROR(__xludf.dummyfunction("""COMPUTED_VALUE"""),18)</f>
        <v>18</v>
      </c>
      <c r="AD229" s="23"/>
      <c r="AE229" s="24" t="n">
        <f aca="false">IFERROR(__xludf.dummyfunction("""COMPUTED_VALUE"""),62)</f>
        <v>62</v>
      </c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</row>
    <row r="230" customFormat="false" ht="18.65" hidden="false" customHeight="false" outlineLevel="0" collapsed="false">
      <c r="A230" s="13" t="n">
        <v>229</v>
      </c>
      <c r="B230" s="14" t="s">
        <v>492</v>
      </c>
      <c r="C230" s="15" t="s">
        <v>493</v>
      </c>
      <c r="D230" s="16" t="s">
        <v>174</v>
      </c>
      <c r="E230" s="16" t="s">
        <v>174</v>
      </c>
      <c r="F230" s="16" t="str">
        <f aca="false">REPLACE(E230, 1, 3, "")</f>
        <v>08</v>
      </c>
      <c r="G230" s="17" t="str">
        <f aca="true">IFERROR(VLOOKUP(B230,INDIRECT("'"&amp;F230&amp;"'!D3:D"),1,FALSE()), "Not found")</f>
        <v>Not found</v>
      </c>
      <c r="H230" s="18" t="n">
        <f aca="true">INDIRECT("'"&amp;F230&amp;"'!D1")</f>
        <v>0</v>
      </c>
      <c r="I230" s="18" t="str">
        <f aca="false">IFERROR(__xludf.dummyfunction("REGEXEXTRACT(ADDRESS(ROW(), 24+$H230), ""[A-Z]+"")"),"X")</f>
        <v>X</v>
      </c>
      <c r="J230" s="18" t="str">
        <f aca="false">IFERROR(__xludf.dummyfunction("REGEXEXTRACT(ADDRESS(ROW(), 30+$H230), ""[A-Z]+"")"),"AD")</f>
        <v>AD</v>
      </c>
      <c r="K230" s="18" t="str">
        <f aca="false">IFERROR(__xludf.dummyfunction("REGEXEXTRACT(ADDRESS(ROW(), 36+$H230), ""[A-Z]+"")"),"AJ")</f>
        <v>AJ</v>
      </c>
      <c r="L230" s="18" t="str">
        <f aca="false">IFERROR(__xludf.dummyfunction("REGEXEXTRACT(ADDRESS(ROW(), 42+$H230), ""[A-Z]+"")"),"AP")</f>
        <v>AP</v>
      </c>
      <c r="M230" s="18" t="str">
        <f aca="false">IFERROR(__xludf.dummyfunction("REGEXEXTRACT(ADDRESS(ROW(), 48+$H230), ""[A-Z]+"")"),"AV")</f>
        <v>AV</v>
      </c>
      <c r="N230" s="18" t="str">
        <f aca="false">IFERROR(__xludf.dummyfunction("REGEXEXTRACT(ADDRESS(ROW(), 50+$H230), ""[A-Z]+"")"),"AX")</f>
        <v>AX</v>
      </c>
      <c r="O230" s="18" t="str">
        <f aca="false">IFERROR(__xludf.dummyfunction("REGEXEXTRACT(ADDRESS(ROW(), 51+$H230), ""[A-Z]+"")"),"AY")</f>
        <v>AY</v>
      </c>
      <c r="P230" s="18" t="str">
        <f aca="false">IFERROR(__xludf.dummyfunction("REGEXEXTRACT(ADDRESS(ROW(), 54+$H230), ""[A-Z]+"")"),"BB")</f>
        <v>BB</v>
      </c>
      <c r="Q230" s="18" t="str">
        <f aca="false">IFERROR(__xludf.dummyfunction("REGEXEXTRACT(ADDRESS(ROW(), 59+$H230), ""[A-Z]+"")"),"BG")</f>
        <v>BG</v>
      </c>
      <c r="R230" s="18" t="str">
        <f aca="false">IFERROR(__xludf.dummyfunction("REGEXEXTRACT(ADDRESS(ROW(), 60+$H230), ""[A-Z]+"")"),"BH")</f>
        <v>BH</v>
      </c>
      <c r="S230" s="18" t="str">
        <f aca="false">IFERROR(__xludf.dummyfunction("REGEXEXTRACT(ADDRESS(ROW(), 62+$H230), ""[A-Z]+"")"),"BJ")</f>
        <v>BJ</v>
      </c>
      <c r="T230" s="18" t="str">
        <f aca="false">IFERROR(__xludf.dummyfunction("REGEXEXTRACT(ADDRESS(ROW(), 63+$H230), ""[A-Z]+"")"),"BK")</f>
        <v>BK</v>
      </c>
      <c r="U230" s="19" t="n">
        <f aca="false">IFERROR(__xludf.dummyfunction("IFERROR(QUERY(INDIRECT(""'""&amp;F230&amp;""'!C3:""&amp;T230&amp;""""), ""SELECT ""&amp;I230&amp;"", ""&amp;J230&amp;"", ""&amp;K230&amp;"", ""&amp;L230&amp;"", ""&amp;M230&amp;"", ""&amp;N230&amp;"", ""&amp;O230&amp;"", ""&amp;P230&amp;"", ""&amp;Q230&amp;"", ""&amp;R230&amp;"", ""&amp;S230&amp;"" WHERE '""&amp;B230&amp;""' = D"", 0), """")"),9.5)</f>
        <v>9.5</v>
      </c>
      <c r="V230" s="22" t="n">
        <f aca="false">IFERROR(__xludf.dummyfunction("""COMPUTED_VALUE"""),10)</f>
        <v>10</v>
      </c>
      <c r="W230" s="22"/>
      <c r="X230" s="22"/>
      <c r="Y230" s="22" t="n">
        <f aca="false">IFERROR(__xludf.dummyfunction("""COMPUTED_VALUE"""),0)</f>
        <v>0</v>
      </c>
      <c r="Z230" s="22"/>
      <c r="AA230" s="22"/>
      <c r="AB230" s="22"/>
      <c r="AC230" s="22"/>
      <c r="AD230" s="23"/>
      <c r="AE230" s="24" t="n">
        <f aca="false">IFERROR(__xludf.dummyfunction("""COMPUTED_VALUE"""),19.5)</f>
        <v>19.5</v>
      </c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</row>
    <row r="231" customFormat="false" ht="18.65" hidden="false" customHeight="false" outlineLevel="0" collapsed="false">
      <c r="A231" s="13" t="n">
        <v>230</v>
      </c>
      <c r="B231" s="14" t="s">
        <v>494</v>
      </c>
      <c r="C231" s="15" t="s">
        <v>495</v>
      </c>
      <c r="D231" s="16" t="s">
        <v>279</v>
      </c>
      <c r="E231" s="16" t="s">
        <v>279</v>
      </c>
      <c r="F231" s="16" t="str">
        <f aca="false">REPLACE(E231, 1, 3, "")</f>
        <v>07</v>
      </c>
      <c r="G231" s="17" t="str">
        <f aca="true">IFERROR(VLOOKUP(B231,INDIRECT("'"&amp;F231&amp;"'!D3:D"),1,FALSE()), "Not found")</f>
        <v>Not found</v>
      </c>
      <c r="H231" s="18" t="n">
        <f aca="true">INDIRECT("'"&amp;F231&amp;"'!D1")</f>
        <v>0</v>
      </c>
      <c r="I231" s="18" t="str">
        <f aca="false">IFERROR(__xludf.dummyfunction("REGEXEXTRACT(ADDRESS(ROW(), 24+$H231), ""[A-Z]+"")"),"X")</f>
        <v>X</v>
      </c>
      <c r="J231" s="18" t="str">
        <f aca="false">IFERROR(__xludf.dummyfunction("REGEXEXTRACT(ADDRESS(ROW(), 30+$H231), ""[A-Z]+"")"),"AD")</f>
        <v>AD</v>
      </c>
      <c r="K231" s="18" t="str">
        <f aca="false">IFERROR(__xludf.dummyfunction("REGEXEXTRACT(ADDRESS(ROW(), 36+$H231), ""[A-Z]+"")"),"AJ")</f>
        <v>AJ</v>
      </c>
      <c r="L231" s="18" t="str">
        <f aca="false">IFERROR(__xludf.dummyfunction("REGEXEXTRACT(ADDRESS(ROW(), 42+$H231), ""[A-Z]+"")"),"AP")</f>
        <v>AP</v>
      </c>
      <c r="M231" s="18" t="str">
        <f aca="false">IFERROR(__xludf.dummyfunction("REGEXEXTRACT(ADDRESS(ROW(), 48+$H231), ""[A-Z]+"")"),"AV")</f>
        <v>AV</v>
      </c>
      <c r="N231" s="18" t="str">
        <f aca="false">IFERROR(__xludf.dummyfunction("REGEXEXTRACT(ADDRESS(ROW(), 50+$H231), ""[A-Z]+"")"),"AX")</f>
        <v>AX</v>
      </c>
      <c r="O231" s="18" t="str">
        <f aca="false">IFERROR(__xludf.dummyfunction("REGEXEXTRACT(ADDRESS(ROW(), 51+$H231), ""[A-Z]+"")"),"AY")</f>
        <v>AY</v>
      </c>
      <c r="P231" s="18" t="str">
        <f aca="false">IFERROR(__xludf.dummyfunction("REGEXEXTRACT(ADDRESS(ROW(), 54+$H231), ""[A-Z]+"")"),"BB")</f>
        <v>BB</v>
      </c>
      <c r="Q231" s="18" t="str">
        <f aca="false">IFERROR(__xludf.dummyfunction("REGEXEXTRACT(ADDRESS(ROW(), 59+$H231), ""[A-Z]+"")"),"BG")</f>
        <v>BG</v>
      </c>
      <c r="R231" s="18" t="str">
        <f aca="false">IFERROR(__xludf.dummyfunction("REGEXEXTRACT(ADDRESS(ROW(), 60+$H231), ""[A-Z]+"")"),"BH")</f>
        <v>BH</v>
      </c>
      <c r="S231" s="18" t="str">
        <f aca="false">IFERROR(__xludf.dummyfunction("REGEXEXTRACT(ADDRESS(ROW(), 62+$H231), ""[A-Z]+"")"),"BJ")</f>
        <v>BJ</v>
      </c>
      <c r="T231" s="18" t="str">
        <f aca="false">IFERROR(__xludf.dummyfunction("REGEXEXTRACT(ADDRESS(ROW(), 63+$H231), ""[A-Z]+"")"),"BK")</f>
        <v>BK</v>
      </c>
      <c r="U231" s="19" t="n">
        <f aca="false">IFERROR(__xludf.dummyfunction("IFERROR(QUERY(INDIRECT(""'""&amp;F231&amp;""'!C3:""&amp;T231&amp;""""), ""SELECT ""&amp;I231&amp;"", ""&amp;J231&amp;"", ""&amp;K231&amp;"", ""&amp;L231&amp;"", ""&amp;M231&amp;"", ""&amp;N231&amp;"", ""&amp;O231&amp;"", ""&amp;P231&amp;"", ""&amp;Q231&amp;"", ""&amp;R231&amp;"", ""&amp;S231&amp;"" WHERE '""&amp;B231&amp;""' = D"", 0), """")"),9)</f>
        <v>9</v>
      </c>
      <c r="V231" s="22" t="n">
        <f aca="false">IFERROR(__xludf.dummyfunction("""COMPUTED_VALUE"""),9.5)</f>
        <v>9.5</v>
      </c>
      <c r="W231" s="22" t="n">
        <f aca="false">IFERROR(__xludf.dummyfunction("""COMPUTED_VALUE"""),9.5)</f>
        <v>9.5</v>
      </c>
      <c r="X231" s="22" t="n">
        <f aca="false">IFERROR(__xludf.dummyfunction("""COMPUTED_VALUE"""),9.5)</f>
        <v>9.5</v>
      </c>
      <c r="Y231" s="22" t="n">
        <f aca="false">IFERROR(__xludf.dummyfunction("""COMPUTED_VALUE"""),9)</f>
        <v>9</v>
      </c>
      <c r="Z231" s="22" t="n">
        <f aca="false">IFERROR(__xludf.dummyfunction("""COMPUTED_VALUE"""),0)</f>
        <v>0</v>
      </c>
      <c r="AA231" s="22" t="n">
        <f aca="false">IFERROR(__xludf.dummyfunction("""COMPUTED_VALUE"""),0)</f>
        <v>0</v>
      </c>
      <c r="AB231" s="22" t="n">
        <f aca="false">IFERROR(__xludf.dummyfunction("""COMPUTED_VALUE"""),7)</f>
        <v>7</v>
      </c>
      <c r="AC231" s="22" t="n">
        <f aca="false">IFERROR(__xludf.dummyfunction("""COMPUTED_VALUE"""),30)</f>
        <v>30</v>
      </c>
      <c r="AD231" s="23"/>
      <c r="AE231" s="24" t="n">
        <f aca="false">IFERROR(__xludf.dummyfunction("""COMPUTED_VALUE"""),83.5)</f>
        <v>83.5</v>
      </c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</row>
    <row r="232" customFormat="false" ht="18.65" hidden="false" customHeight="false" outlineLevel="0" collapsed="false">
      <c r="A232" s="13" t="n">
        <v>231</v>
      </c>
      <c r="B232" s="14" t="s">
        <v>496</v>
      </c>
      <c r="C232" s="15" t="s">
        <v>497</v>
      </c>
      <c r="D232" s="16" t="s">
        <v>186</v>
      </c>
      <c r="E232" s="16" t="s">
        <v>186</v>
      </c>
      <c r="F232" s="16" t="str">
        <f aca="false">REPLACE(E232, 1, 3, "")</f>
        <v>06</v>
      </c>
      <c r="G232" s="17" t="str">
        <f aca="true">IFERROR(VLOOKUP(B232,INDIRECT("'"&amp;F232&amp;"'!D3:D"),1,FALSE()), "Not found")</f>
        <v>Not found</v>
      </c>
      <c r="H232" s="18" t="n">
        <f aca="true">INDIRECT("'"&amp;F232&amp;"'!D1")</f>
        <v>0</v>
      </c>
      <c r="I232" s="18" t="str">
        <f aca="false">IFERROR(__xludf.dummyfunction("REGEXEXTRACT(ADDRESS(ROW(), 24+$H232), ""[A-Z]+"")"),"X")</f>
        <v>X</v>
      </c>
      <c r="J232" s="18" t="str">
        <f aca="false">IFERROR(__xludf.dummyfunction("REGEXEXTRACT(ADDRESS(ROW(), 30+$H232), ""[A-Z]+"")"),"AD")</f>
        <v>AD</v>
      </c>
      <c r="K232" s="18" t="str">
        <f aca="false">IFERROR(__xludf.dummyfunction("REGEXEXTRACT(ADDRESS(ROW(), 36+$H232), ""[A-Z]+"")"),"AJ")</f>
        <v>AJ</v>
      </c>
      <c r="L232" s="18" t="str">
        <f aca="false">IFERROR(__xludf.dummyfunction("REGEXEXTRACT(ADDRESS(ROW(), 42+$H232), ""[A-Z]+"")"),"AP")</f>
        <v>AP</v>
      </c>
      <c r="M232" s="18" t="str">
        <f aca="false">IFERROR(__xludf.dummyfunction("REGEXEXTRACT(ADDRESS(ROW(), 48+$H232), ""[A-Z]+"")"),"AV")</f>
        <v>AV</v>
      </c>
      <c r="N232" s="18" t="str">
        <f aca="false">IFERROR(__xludf.dummyfunction("REGEXEXTRACT(ADDRESS(ROW(), 50+$H232), ""[A-Z]+"")"),"AX")</f>
        <v>AX</v>
      </c>
      <c r="O232" s="18" t="str">
        <f aca="false">IFERROR(__xludf.dummyfunction("REGEXEXTRACT(ADDRESS(ROW(), 51+$H232), ""[A-Z]+"")"),"AY")</f>
        <v>AY</v>
      </c>
      <c r="P232" s="18" t="str">
        <f aca="false">IFERROR(__xludf.dummyfunction("REGEXEXTRACT(ADDRESS(ROW(), 54+$H232), ""[A-Z]+"")"),"BB")</f>
        <v>BB</v>
      </c>
      <c r="Q232" s="18" t="str">
        <f aca="false">IFERROR(__xludf.dummyfunction("REGEXEXTRACT(ADDRESS(ROW(), 59+$H232), ""[A-Z]+"")"),"BG")</f>
        <v>BG</v>
      </c>
      <c r="R232" s="18" t="str">
        <f aca="false">IFERROR(__xludf.dummyfunction("REGEXEXTRACT(ADDRESS(ROW(), 60+$H232), ""[A-Z]+"")"),"BH")</f>
        <v>BH</v>
      </c>
      <c r="S232" s="18" t="str">
        <f aca="false">IFERROR(__xludf.dummyfunction("REGEXEXTRACT(ADDRESS(ROW(), 62+$H232), ""[A-Z]+"")"),"BJ")</f>
        <v>BJ</v>
      </c>
      <c r="T232" s="18" t="str">
        <f aca="false">IFERROR(__xludf.dummyfunction("REGEXEXTRACT(ADDRESS(ROW(), 63+$H232), ""[A-Z]+"")"),"BK")</f>
        <v>BK</v>
      </c>
      <c r="U232" s="19" t="n">
        <f aca="false">IFERROR(__xludf.dummyfunction("IFERROR(QUERY(INDIRECT(""'""&amp;F232&amp;""'!C3:""&amp;T232&amp;""""), ""SELECT ""&amp;I232&amp;"", ""&amp;J232&amp;"", ""&amp;K232&amp;"", ""&amp;L232&amp;"", ""&amp;M232&amp;"", ""&amp;N232&amp;"", ""&amp;O232&amp;"", ""&amp;P232&amp;"", ""&amp;Q232&amp;"", ""&amp;R232&amp;"", ""&amp;S232&amp;"" WHERE '""&amp;B232&amp;""' = D"", 0), """")"),8)</f>
        <v>8</v>
      </c>
      <c r="V232" s="22" t="n">
        <f aca="false">IFERROR(__xludf.dummyfunction("""COMPUTED_VALUE"""),8.5)</f>
        <v>8.5</v>
      </c>
      <c r="W232" s="22" t="n">
        <f aca="false">IFERROR(__xludf.dummyfunction("""COMPUTED_VALUE"""),9)</f>
        <v>9</v>
      </c>
      <c r="X232" s="22" t="n">
        <f aca="false">IFERROR(__xludf.dummyfunction("""COMPUTED_VALUE"""),9)</f>
        <v>9</v>
      </c>
      <c r="Y232" s="22" t="n">
        <f aca="false">IFERROR(__xludf.dummyfunction("""COMPUTED_VALUE"""),10)</f>
        <v>10</v>
      </c>
      <c r="Z232" s="22" t="n">
        <f aca="false">IFERROR(__xludf.dummyfunction("""COMPUTED_VALUE"""),1)</f>
        <v>1</v>
      </c>
      <c r="AA232" s="22" t="n">
        <f aca="false">IFERROR(__xludf.dummyfunction("""COMPUTED_VALUE"""),0)</f>
        <v>0</v>
      </c>
      <c r="AB232" s="22" t="n">
        <f aca="false">IFERROR(__xludf.dummyfunction("""COMPUTED_VALUE"""),8)</f>
        <v>8</v>
      </c>
      <c r="AC232" s="22" t="n">
        <f aca="false">IFERROR(__xludf.dummyfunction("""COMPUTED_VALUE"""),29)</f>
        <v>29</v>
      </c>
      <c r="AD232" s="23" t="n">
        <f aca="false">IFERROR(__xludf.dummyfunction("""COMPUTED_VALUE"""),2)</f>
        <v>2</v>
      </c>
      <c r="AE232" s="24" t="n">
        <f aca="false">IFERROR(__xludf.dummyfunction("""COMPUTED_VALUE"""),84.5)</f>
        <v>84.5</v>
      </c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</row>
    <row r="233" customFormat="false" ht="18.65" hidden="false" customHeight="false" outlineLevel="0" collapsed="false">
      <c r="A233" s="13" t="n">
        <v>232</v>
      </c>
      <c r="B233" s="14" t="s">
        <v>498</v>
      </c>
      <c r="C233" s="15" t="s">
        <v>499</v>
      </c>
      <c r="D233" s="16" t="s">
        <v>279</v>
      </c>
      <c r="E233" s="16" t="s">
        <v>279</v>
      </c>
      <c r="F233" s="16" t="str">
        <f aca="false">REPLACE(E233, 1, 3, "")</f>
        <v>07</v>
      </c>
      <c r="G233" s="17" t="str">
        <f aca="true">IFERROR(VLOOKUP(B233,INDIRECT("'"&amp;F233&amp;"'!D3:D"),1,FALSE()), "Not found")</f>
        <v>Not found</v>
      </c>
      <c r="H233" s="18" t="n">
        <f aca="true">INDIRECT("'"&amp;F233&amp;"'!D1")</f>
        <v>0</v>
      </c>
      <c r="I233" s="18" t="str">
        <f aca="false">IFERROR(__xludf.dummyfunction("REGEXEXTRACT(ADDRESS(ROW(), 24+$H233), ""[A-Z]+"")"),"X")</f>
        <v>X</v>
      </c>
      <c r="J233" s="18" t="str">
        <f aca="false">IFERROR(__xludf.dummyfunction("REGEXEXTRACT(ADDRESS(ROW(), 30+$H233), ""[A-Z]+"")"),"AD")</f>
        <v>AD</v>
      </c>
      <c r="K233" s="18" t="str">
        <f aca="false">IFERROR(__xludf.dummyfunction("REGEXEXTRACT(ADDRESS(ROW(), 36+$H233), ""[A-Z]+"")"),"AJ")</f>
        <v>AJ</v>
      </c>
      <c r="L233" s="18" t="str">
        <f aca="false">IFERROR(__xludf.dummyfunction("REGEXEXTRACT(ADDRESS(ROW(), 42+$H233), ""[A-Z]+"")"),"AP")</f>
        <v>AP</v>
      </c>
      <c r="M233" s="18" t="str">
        <f aca="false">IFERROR(__xludf.dummyfunction("REGEXEXTRACT(ADDRESS(ROW(), 48+$H233), ""[A-Z]+"")"),"AV")</f>
        <v>AV</v>
      </c>
      <c r="N233" s="18" t="str">
        <f aca="false">IFERROR(__xludf.dummyfunction("REGEXEXTRACT(ADDRESS(ROW(), 50+$H233), ""[A-Z]+"")"),"AX")</f>
        <v>AX</v>
      </c>
      <c r="O233" s="18" t="str">
        <f aca="false">IFERROR(__xludf.dummyfunction("REGEXEXTRACT(ADDRESS(ROW(), 51+$H233), ""[A-Z]+"")"),"AY")</f>
        <v>AY</v>
      </c>
      <c r="P233" s="18" t="str">
        <f aca="false">IFERROR(__xludf.dummyfunction("REGEXEXTRACT(ADDRESS(ROW(), 54+$H233), ""[A-Z]+"")"),"BB")</f>
        <v>BB</v>
      </c>
      <c r="Q233" s="18" t="str">
        <f aca="false">IFERROR(__xludf.dummyfunction("REGEXEXTRACT(ADDRESS(ROW(), 59+$H233), ""[A-Z]+"")"),"BG")</f>
        <v>BG</v>
      </c>
      <c r="R233" s="18" t="str">
        <f aca="false">IFERROR(__xludf.dummyfunction("REGEXEXTRACT(ADDRESS(ROW(), 60+$H233), ""[A-Z]+"")"),"BH")</f>
        <v>BH</v>
      </c>
      <c r="S233" s="18" t="str">
        <f aca="false">IFERROR(__xludf.dummyfunction("REGEXEXTRACT(ADDRESS(ROW(), 62+$H233), ""[A-Z]+"")"),"BJ")</f>
        <v>BJ</v>
      </c>
      <c r="T233" s="18" t="str">
        <f aca="false">IFERROR(__xludf.dummyfunction("REGEXEXTRACT(ADDRESS(ROW(), 63+$H233), ""[A-Z]+"")"),"BK")</f>
        <v>BK</v>
      </c>
      <c r="U233" s="19" t="n">
        <f aca="false">IFERROR(__xludf.dummyfunction("IFERROR(QUERY(INDIRECT(""'""&amp;F233&amp;""'!C3:""&amp;T233&amp;""""), ""SELECT ""&amp;I233&amp;"", ""&amp;J233&amp;"", ""&amp;K233&amp;"", ""&amp;L233&amp;"", ""&amp;M233&amp;"", ""&amp;N233&amp;"", ""&amp;O233&amp;"", ""&amp;P233&amp;"", ""&amp;Q233&amp;"", ""&amp;R233&amp;"", ""&amp;S233&amp;"" WHERE '""&amp;B233&amp;""' = D"", 0), """")"),10)</f>
        <v>10</v>
      </c>
      <c r="V233" s="22" t="n">
        <f aca="false">IFERROR(__xludf.dummyfunction("""COMPUTED_VALUE"""),9.5)</f>
        <v>9.5</v>
      </c>
      <c r="W233" s="22" t="n">
        <f aca="false">IFERROR(__xludf.dummyfunction("""COMPUTED_VALUE"""),9.5)</f>
        <v>9.5</v>
      </c>
      <c r="X233" s="22" t="n">
        <f aca="false">IFERROR(__xludf.dummyfunction("""COMPUTED_VALUE"""),9.5)</f>
        <v>9.5</v>
      </c>
      <c r="Y233" s="22" t="n">
        <f aca="false">IFERROR(__xludf.dummyfunction("""COMPUTED_VALUE"""),10)</f>
        <v>10</v>
      </c>
      <c r="Z233" s="22" t="n">
        <f aca="false">IFERROR(__xludf.dummyfunction("""COMPUTED_VALUE"""),0)</f>
        <v>0</v>
      </c>
      <c r="AA233" s="22" t="n">
        <f aca="false">IFERROR(__xludf.dummyfunction("""COMPUTED_VALUE"""),2)</f>
        <v>2</v>
      </c>
      <c r="AB233" s="22" t="n">
        <f aca="false">IFERROR(__xludf.dummyfunction("""COMPUTED_VALUE"""),10)</f>
        <v>10</v>
      </c>
      <c r="AC233" s="22" t="n">
        <f aca="false">IFERROR(__xludf.dummyfunction("""COMPUTED_VALUE"""),30)</f>
        <v>30</v>
      </c>
      <c r="AD233" s="23" t="n">
        <f aca="false">IFERROR(__xludf.dummyfunction("""COMPUTED_VALUE"""),3)</f>
        <v>3</v>
      </c>
      <c r="AE233" s="24" t="n">
        <f aca="false">IFERROR(__xludf.dummyfunction("""COMPUTED_VALUE"""),93.5)</f>
        <v>93.5</v>
      </c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</row>
    <row r="234" customFormat="false" ht="18.65" hidden="false" customHeight="false" outlineLevel="0" collapsed="false">
      <c r="A234" s="13" t="n">
        <v>233</v>
      </c>
      <c r="B234" s="14" t="s">
        <v>500</v>
      </c>
      <c r="C234" s="15" t="s">
        <v>501</v>
      </c>
      <c r="D234" s="16" t="s">
        <v>279</v>
      </c>
      <c r="E234" s="16" t="s">
        <v>279</v>
      </c>
      <c r="F234" s="16" t="str">
        <f aca="false">REPLACE(E234, 1, 3, "")</f>
        <v>07</v>
      </c>
      <c r="G234" s="17" t="str">
        <f aca="true">IFERROR(VLOOKUP(B234,INDIRECT("'"&amp;F234&amp;"'!D3:D"),1,FALSE()), "Not found")</f>
        <v>Not found</v>
      </c>
      <c r="H234" s="18" t="n">
        <f aca="true">INDIRECT("'"&amp;F234&amp;"'!D1")</f>
        <v>0</v>
      </c>
      <c r="I234" s="18" t="str">
        <f aca="false">IFERROR(__xludf.dummyfunction("REGEXEXTRACT(ADDRESS(ROW(), 24+$H234), ""[A-Z]+"")"),"X")</f>
        <v>X</v>
      </c>
      <c r="J234" s="18" t="str">
        <f aca="false">IFERROR(__xludf.dummyfunction("REGEXEXTRACT(ADDRESS(ROW(), 30+$H234), ""[A-Z]+"")"),"AD")</f>
        <v>AD</v>
      </c>
      <c r="K234" s="18" t="str">
        <f aca="false">IFERROR(__xludf.dummyfunction("REGEXEXTRACT(ADDRESS(ROW(), 36+$H234), ""[A-Z]+"")"),"AJ")</f>
        <v>AJ</v>
      </c>
      <c r="L234" s="18" t="str">
        <f aca="false">IFERROR(__xludf.dummyfunction("REGEXEXTRACT(ADDRESS(ROW(), 42+$H234), ""[A-Z]+"")"),"AP")</f>
        <v>AP</v>
      </c>
      <c r="M234" s="18" t="str">
        <f aca="false">IFERROR(__xludf.dummyfunction("REGEXEXTRACT(ADDRESS(ROW(), 48+$H234), ""[A-Z]+"")"),"AV")</f>
        <v>AV</v>
      </c>
      <c r="N234" s="18" t="str">
        <f aca="false">IFERROR(__xludf.dummyfunction("REGEXEXTRACT(ADDRESS(ROW(), 50+$H234), ""[A-Z]+"")"),"AX")</f>
        <v>AX</v>
      </c>
      <c r="O234" s="18" t="str">
        <f aca="false">IFERROR(__xludf.dummyfunction("REGEXEXTRACT(ADDRESS(ROW(), 51+$H234), ""[A-Z]+"")"),"AY")</f>
        <v>AY</v>
      </c>
      <c r="P234" s="18" t="str">
        <f aca="false">IFERROR(__xludf.dummyfunction("REGEXEXTRACT(ADDRESS(ROW(), 54+$H234), ""[A-Z]+"")"),"BB")</f>
        <v>BB</v>
      </c>
      <c r="Q234" s="18" t="str">
        <f aca="false">IFERROR(__xludf.dummyfunction("REGEXEXTRACT(ADDRESS(ROW(), 59+$H234), ""[A-Z]+"")"),"BG")</f>
        <v>BG</v>
      </c>
      <c r="R234" s="18" t="str">
        <f aca="false">IFERROR(__xludf.dummyfunction("REGEXEXTRACT(ADDRESS(ROW(), 60+$H234), ""[A-Z]+"")"),"BH")</f>
        <v>BH</v>
      </c>
      <c r="S234" s="18" t="str">
        <f aca="false">IFERROR(__xludf.dummyfunction("REGEXEXTRACT(ADDRESS(ROW(), 62+$H234), ""[A-Z]+"")"),"BJ")</f>
        <v>BJ</v>
      </c>
      <c r="T234" s="18" t="str">
        <f aca="false">IFERROR(__xludf.dummyfunction("REGEXEXTRACT(ADDRESS(ROW(), 63+$H234), ""[A-Z]+"")"),"BK")</f>
        <v>BK</v>
      </c>
      <c r="U234" s="19" t="n">
        <f aca="false">IFERROR(__xludf.dummyfunction("IFERROR(QUERY(INDIRECT(""'""&amp;F234&amp;""'!C3:""&amp;T234&amp;""""), ""SELECT ""&amp;I234&amp;"", ""&amp;J234&amp;"", ""&amp;K234&amp;"", ""&amp;L234&amp;"", ""&amp;M234&amp;"", ""&amp;N234&amp;"", ""&amp;O234&amp;"", ""&amp;P234&amp;"", ""&amp;Q234&amp;"", ""&amp;R234&amp;"", ""&amp;S234&amp;"" WHERE '""&amp;B234&amp;""' = D"", 0), """")"),8.5)</f>
        <v>8.5</v>
      </c>
      <c r="V234" s="22" t="n">
        <f aca="false">IFERROR(__xludf.dummyfunction("""COMPUTED_VALUE"""),8.5)</f>
        <v>8.5</v>
      </c>
      <c r="W234" s="22" t="n">
        <f aca="false">IFERROR(__xludf.dummyfunction("""COMPUTED_VALUE"""),8.5)</f>
        <v>8.5</v>
      </c>
      <c r="X234" s="22" t="n">
        <f aca="false">IFERROR(__xludf.dummyfunction("""COMPUTED_VALUE"""),7.5)</f>
        <v>7.5</v>
      </c>
      <c r="Y234" s="22" t="n">
        <f aca="false">IFERROR(__xludf.dummyfunction("""COMPUTED_VALUE"""),6)</f>
        <v>6</v>
      </c>
      <c r="Z234" s="22" t="n">
        <f aca="false">IFERROR(__xludf.dummyfunction("""COMPUTED_VALUE"""),0)</f>
        <v>0</v>
      </c>
      <c r="AA234" s="22" t="n">
        <f aca="false">IFERROR(__xludf.dummyfunction("""COMPUTED_VALUE"""),1)</f>
        <v>1</v>
      </c>
      <c r="AB234" s="22" t="n">
        <f aca="false">IFERROR(__xludf.dummyfunction("""COMPUTED_VALUE"""),7)</f>
        <v>7</v>
      </c>
      <c r="AC234" s="22" t="n">
        <f aca="false">IFERROR(__xludf.dummyfunction("""COMPUTED_VALUE"""),26.1)</f>
        <v>26.1</v>
      </c>
      <c r="AD234" s="23" t="n">
        <f aca="false">IFERROR(__xludf.dummyfunction("""COMPUTED_VALUE"""),1)</f>
        <v>1</v>
      </c>
      <c r="AE234" s="24" t="n">
        <f aca="false">IFERROR(__xludf.dummyfunction("""COMPUTED_VALUE"""),74.1)</f>
        <v>74.1</v>
      </c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</row>
    <row r="235" customFormat="false" ht="18.65" hidden="false" customHeight="false" outlineLevel="0" collapsed="false">
      <c r="A235" s="13" t="n">
        <v>234</v>
      </c>
      <c r="B235" s="14" t="s">
        <v>502</v>
      </c>
      <c r="C235" s="15" t="s">
        <v>503</v>
      </c>
      <c r="D235" s="16" t="s">
        <v>218</v>
      </c>
      <c r="E235" s="16" t="s">
        <v>218</v>
      </c>
      <c r="F235" s="16" t="str">
        <f aca="false">REPLACE(E235, 1, 3, "")</f>
        <v>15</v>
      </c>
      <c r="G235" s="17" t="str">
        <f aca="true">IFERROR(VLOOKUP(B235,INDIRECT("'"&amp;F235&amp;"'!D3:D"),1,FALSE()), "Not found")</f>
        <v>Not found</v>
      </c>
      <c r="H235" s="18" t="n">
        <f aca="true">INDIRECT("'"&amp;F235&amp;"'!D1")</f>
        <v>0</v>
      </c>
      <c r="I235" s="18" t="str">
        <f aca="false">IFERROR(__xludf.dummyfunction("REGEXEXTRACT(ADDRESS(ROW(), 24+$H235), ""[A-Z]+"")"),"X")</f>
        <v>X</v>
      </c>
      <c r="J235" s="18" t="str">
        <f aca="false">IFERROR(__xludf.dummyfunction("REGEXEXTRACT(ADDRESS(ROW(), 30+$H235), ""[A-Z]+"")"),"AD")</f>
        <v>AD</v>
      </c>
      <c r="K235" s="18" t="str">
        <f aca="false">IFERROR(__xludf.dummyfunction("REGEXEXTRACT(ADDRESS(ROW(), 36+$H235), ""[A-Z]+"")"),"AJ")</f>
        <v>AJ</v>
      </c>
      <c r="L235" s="18" t="str">
        <f aca="false">IFERROR(__xludf.dummyfunction("REGEXEXTRACT(ADDRESS(ROW(), 42+$H235), ""[A-Z]+"")"),"AP")</f>
        <v>AP</v>
      </c>
      <c r="M235" s="18" t="str">
        <f aca="false">IFERROR(__xludf.dummyfunction("REGEXEXTRACT(ADDRESS(ROW(), 48+$H235), ""[A-Z]+"")"),"AV")</f>
        <v>AV</v>
      </c>
      <c r="N235" s="18" t="str">
        <f aca="false">IFERROR(__xludf.dummyfunction("REGEXEXTRACT(ADDRESS(ROW(), 50+$H235), ""[A-Z]+"")"),"AX")</f>
        <v>AX</v>
      </c>
      <c r="O235" s="18" t="str">
        <f aca="false">IFERROR(__xludf.dummyfunction("REGEXEXTRACT(ADDRESS(ROW(), 51+$H235), ""[A-Z]+"")"),"AY")</f>
        <v>AY</v>
      </c>
      <c r="P235" s="18" t="str">
        <f aca="false">IFERROR(__xludf.dummyfunction("REGEXEXTRACT(ADDRESS(ROW(), 54+$H235), ""[A-Z]+"")"),"BB")</f>
        <v>BB</v>
      </c>
      <c r="Q235" s="18" t="str">
        <f aca="false">IFERROR(__xludf.dummyfunction("REGEXEXTRACT(ADDRESS(ROW(), 59+$H235), ""[A-Z]+"")"),"BG")</f>
        <v>BG</v>
      </c>
      <c r="R235" s="18" t="str">
        <f aca="false">IFERROR(__xludf.dummyfunction("REGEXEXTRACT(ADDRESS(ROW(), 60+$H235), ""[A-Z]+"")"),"BH")</f>
        <v>BH</v>
      </c>
      <c r="S235" s="18" t="str">
        <f aca="false">IFERROR(__xludf.dummyfunction("REGEXEXTRACT(ADDRESS(ROW(), 62+$H235), ""[A-Z]+"")"),"BJ")</f>
        <v>BJ</v>
      </c>
      <c r="T235" s="18" t="str">
        <f aca="false">IFERROR(__xludf.dummyfunction("REGEXEXTRACT(ADDRESS(ROW(), 63+$H235), ""[A-Z]+"")"),"BK")</f>
        <v>BK</v>
      </c>
      <c r="U235" s="19" t="n">
        <f aca="false">IFERROR(__xludf.dummyfunction("IFERROR(QUERY(INDIRECT(""'""&amp;F235&amp;""'!C3:""&amp;T235&amp;""""), ""SELECT ""&amp;I235&amp;"", ""&amp;J235&amp;"", ""&amp;K235&amp;"", ""&amp;L235&amp;"", ""&amp;M235&amp;"", ""&amp;N235&amp;"", ""&amp;O235&amp;"", ""&amp;P235&amp;"", ""&amp;Q235&amp;"", ""&amp;R235&amp;"", ""&amp;S235&amp;"" WHERE '""&amp;B235&amp;""' = D"", 0), """")"),9)</f>
        <v>9</v>
      </c>
      <c r="V235" s="22" t="n">
        <f aca="false">IFERROR(__xludf.dummyfunction("""COMPUTED_VALUE"""),9.6)</f>
        <v>9.6</v>
      </c>
      <c r="W235" s="22" t="n">
        <f aca="false">IFERROR(__xludf.dummyfunction("""COMPUTED_VALUE"""),9)</f>
        <v>9</v>
      </c>
      <c r="X235" s="22" t="n">
        <f aca="false">IFERROR(__xludf.dummyfunction("""COMPUTED_VALUE"""),9.7)</f>
        <v>9.7</v>
      </c>
      <c r="Y235" s="22" t="n">
        <f aca="false">IFERROR(__xludf.dummyfunction("""COMPUTED_VALUE"""),8.5)</f>
        <v>8.5</v>
      </c>
      <c r="Z235" s="22" t="n">
        <f aca="false">IFERROR(__xludf.dummyfunction("""COMPUTED_VALUE"""),2)</f>
        <v>2</v>
      </c>
      <c r="AA235" s="22"/>
      <c r="AB235" s="22" t="n">
        <f aca="false">IFERROR(__xludf.dummyfunction("""COMPUTED_VALUE"""),10)</f>
        <v>10</v>
      </c>
      <c r="AC235" s="22" t="n">
        <f aca="false">IFERROR(__xludf.dummyfunction("""COMPUTED_VALUE"""),27)</f>
        <v>27</v>
      </c>
      <c r="AD235" s="23"/>
      <c r="AE235" s="24" t="n">
        <f aca="false">IFERROR(__xludf.dummyfunction("""COMPUTED_VALUE"""),84.8)</f>
        <v>84.8</v>
      </c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</row>
    <row r="236" customFormat="false" ht="18.65" hidden="false" customHeight="false" outlineLevel="0" collapsed="false">
      <c r="A236" s="13" t="n">
        <v>235</v>
      </c>
      <c r="B236" s="14" t="s">
        <v>504</v>
      </c>
      <c r="C236" s="15" t="s">
        <v>505</v>
      </c>
      <c r="D236" s="16" t="s">
        <v>244</v>
      </c>
      <c r="E236" s="16" t="s">
        <v>244</v>
      </c>
      <c r="F236" s="16" t="str">
        <f aca="false">REPLACE(E236, 1, 3, "")</f>
        <v>13</v>
      </c>
      <c r="G236" s="17" t="str">
        <f aca="true">IFERROR(VLOOKUP(B236,INDIRECT("'"&amp;F236&amp;"'!D3:D"),1,FALSE()), "Not found")</f>
        <v>Not found</v>
      </c>
      <c r="H236" s="18" t="n">
        <f aca="true">INDIRECT("'"&amp;F236&amp;"'!D1")</f>
        <v>0</v>
      </c>
      <c r="I236" s="18" t="str">
        <f aca="false">IFERROR(__xludf.dummyfunction("REGEXEXTRACT(ADDRESS(ROW(), 24+$H236), ""[A-Z]+"")"),"X")</f>
        <v>X</v>
      </c>
      <c r="J236" s="18" t="str">
        <f aca="false">IFERROR(__xludf.dummyfunction("REGEXEXTRACT(ADDRESS(ROW(), 30+$H236), ""[A-Z]+"")"),"AD")</f>
        <v>AD</v>
      </c>
      <c r="K236" s="18" t="str">
        <f aca="false">IFERROR(__xludf.dummyfunction("REGEXEXTRACT(ADDRESS(ROW(), 36+$H236), ""[A-Z]+"")"),"AJ")</f>
        <v>AJ</v>
      </c>
      <c r="L236" s="18" t="str">
        <f aca="false">IFERROR(__xludf.dummyfunction("REGEXEXTRACT(ADDRESS(ROW(), 42+$H236), ""[A-Z]+"")"),"AP")</f>
        <v>AP</v>
      </c>
      <c r="M236" s="18" t="str">
        <f aca="false">IFERROR(__xludf.dummyfunction("REGEXEXTRACT(ADDRESS(ROW(), 48+$H236), ""[A-Z]+"")"),"AV")</f>
        <v>AV</v>
      </c>
      <c r="N236" s="18" t="str">
        <f aca="false">IFERROR(__xludf.dummyfunction("REGEXEXTRACT(ADDRESS(ROW(), 50+$H236), ""[A-Z]+"")"),"AX")</f>
        <v>AX</v>
      </c>
      <c r="O236" s="18" t="str">
        <f aca="false">IFERROR(__xludf.dummyfunction("REGEXEXTRACT(ADDRESS(ROW(), 51+$H236), ""[A-Z]+"")"),"AY")</f>
        <v>AY</v>
      </c>
      <c r="P236" s="18" t="str">
        <f aca="false">IFERROR(__xludf.dummyfunction("REGEXEXTRACT(ADDRESS(ROW(), 54+$H236), ""[A-Z]+"")"),"BB")</f>
        <v>BB</v>
      </c>
      <c r="Q236" s="18" t="str">
        <f aca="false">IFERROR(__xludf.dummyfunction("REGEXEXTRACT(ADDRESS(ROW(), 59+$H236), ""[A-Z]+"")"),"BG")</f>
        <v>BG</v>
      </c>
      <c r="R236" s="18" t="str">
        <f aca="false">IFERROR(__xludf.dummyfunction("REGEXEXTRACT(ADDRESS(ROW(), 60+$H236), ""[A-Z]+"")"),"BH")</f>
        <v>BH</v>
      </c>
      <c r="S236" s="18" t="str">
        <f aca="false">IFERROR(__xludf.dummyfunction("REGEXEXTRACT(ADDRESS(ROW(), 62+$H236), ""[A-Z]+"")"),"BJ")</f>
        <v>BJ</v>
      </c>
      <c r="T236" s="18" t="str">
        <f aca="false">IFERROR(__xludf.dummyfunction("REGEXEXTRACT(ADDRESS(ROW(), 63+$H236), ""[A-Z]+"")"),"BK")</f>
        <v>BK</v>
      </c>
      <c r="U236" s="19" t="n">
        <f aca="false">IFERROR(__xludf.dummyfunction("IFERROR(QUERY(INDIRECT(""'""&amp;F236&amp;""'!C3:""&amp;T236&amp;""""), ""SELECT ""&amp;I236&amp;"", ""&amp;J236&amp;"", ""&amp;K236&amp;"", ""&amp;L236&amp;"", ""&amp;M236&amp;"", ""&amp;N236&amp;"", ""&amp;O236&amp;"", ""&amp;P236&amp;"", ""&amp;Q236&amp;"", ""&amp;R236&amp;"", ""&amp;S236&amp;"" WHERE '""&amp;B236&amp;""' = D"", 0), """")"),8.5)</f>
        <v>8.5</v>
      </c>
      <c r="V236" s="22" t="n">
        <f aca="false">IFERROR(__xludf.dummyfunction("""COMPUTED_VALUE"""),8.5)</f>
        <v>8.5</v>
      </c>
      <c r="W236" s="22" t="n">
        <f aca="false">IFERROR(__xludf.dummyfunction("""COMPUTED_VALUE"""),5.9)</f>
        <v>5.9</v>
      </c>
      <c r="X236" s="22"/>
      <c r="Y236" s="22" t="n">
        <f aca="false">IFERROR(__xludf.dummyfunction("""COMPUTED_VALUE"""),0)</f>
        <v>0</v>
      </c>
      <c r="Z236" s="22" t="n">
        <f aca="false">IFERROR(__xludf.dummyfunction("""COMPUTED_VALUE"""),0)</f>
        <v>0</v>
      </c>
      <c r="AA236" s="22" t="n">
        <f aca="false">IFERROR(__xludf.dummyfunction("""COMPUTED_VALUE"""),1)</f>
        <v>1</v>
      </c>
      <c r="AB236" s="22" t="n">
        <f aca="false">IFERROR(__xludf.dummyfunction("""COMPUTED_VALUE"""),0.01)</f>
        <v>0.01</v>
      </c>
      <c r="AC236" s="22"/>
      <c r="AD236" s="23"/>
      <c r="AE236" s="24" t="n">
        <f aca="false">IFERROR(__xludf.dummyfunction("""COMPUTED_VALUE"""),23.91)</f>
        <v>23.91</v>
      </c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</row>
    <row r="237" customFormat="false" ht="18.65" hidden="false" customHeight="false" outlineLevel="0" collapsed="false">
      <c r="A237" s="13" t="n">
        <v>236</v>
      </c>
      <c r="B237" s="14" t="s">
        <v>506</v>
      </c>
      <c r="C237" s="15" t="s">
        <v>507</v>
      </c>
      <c r="D237" s="16" t="s">
        <v>174</v>
      </c>
      <c r="E237" s="16" t="s">
        <v>174</v>
      </c>
      <c r="F237" s="16" t="str">
        <f aca="false">REPLACE(E237, 1, 3, "")</f>
        <v>08</v>
      </c>
      <c r="G237" s="17" t="str">
        <f aca="true">IFERROR(VLOOKUP(B237,INDIRECT("'"&amp;F237&amp;"'!D3:D"),1,FALSE()), "Not found")</f>
        <v>Not found</v>
      </c>
      <c r="H237" s="18" t="n">
        <f aca="true">INDIRECT("'"&amp;F237&amp;"'!D1")</f>
        <v>0</v>
      </c>
      <c r="I237" s="18" t="str">
        <f aca="false">IFERROR(__xludf.dummyfunction("REGEXEXTRACT(ADDRESS(ROW(), 24+$H237), ""[A-Z]+"")"),"X")</f>
        <v>X</v>
      </c>
      <c r="J237" s="18" t="str">
        <f aca="false">IFERROR(__xludf.dummyfunction("REGEXEXTRACT(ADDRESS(ROW(), 30+$H237), ""[A-Z]+"")"),"AD")</f>
        <v>AD</v>
      </c>
      <c r="K237" s="18" t="str">
        <f aca="false">IFERROR(__xludf.dummyfunction("REGEXEXTRACT(ADDRESS(ROW(), 36+$H237), ""[A-Z]+"")"),"AJ")</f>
        <v>AJ</v>
      </c>
      <c r="L237" s="18" t="str">
        <f aca="false">IFERROR(__xludf.dummyfunction("REGEXEXTRACT(ADDRESS(ROW(), 42+$H237), ""[A-Z]+"")"),"AP")</f>
        <v>AP</v>
      </c>
      <c r="M237" s="18" t="str">
        <f aca="false">IFERROR(__xludf.dummyfunction("REGEXEXTRACT(ADDRESS(ROW(), 48+$H237), ""[A-Z]+"")"),"AV")</f>
        <v>AV</v>
      </c>
      <c r="N237" s="18" t="str">
        <f aca="false">IFERROR(__xludf.dummyfunction("REGEXEXTRACT(ADDRESS(ROW(), 50+$H237), ""[A-Z]+"")"),"AX")</f>
        <v>AX</v>
      </c>
      <c r="O237" s="18" t="str">
        <f aca="false">IFERROR(__xludf.dummyfunction("REGEXEXTRACT(ADDRESS(ROW(), 51+$H237), ""[A-Z]+"")"),"AY")</f>
        <v>AY</v>
      </c>
      <c r="P237" s="18" t="str">
        <f aca="false">IFERROR(__xludf.dummyfunction("REGEXEXTRACT(ADDRESS(ROW(), 54+$H237), ""[A-Z]+"")"),"BB")</f>
        <v>BB</v>
      </c>
      <c r="Q237" s="18" t="str">
        <f aca="false">IFERROR(__xludf.dummyfunction("REGEXEXTRACT(ADDRESS(ROW(), 59+$H237), ""[A-Z]+"")"),"BG")</f>
        <v>BG</v>
      </c>
      <c r="R237" s="18" t="str">
        <f aca="false">IFERROR(__xludf.dummyfunction("REGEXEXTRACT(ADDRESS(ROW(), 60+$H237), ""[A-Z]+"")"),"BH")</f>
        <v>BH</v>
      </c>
      <c r="S237" s="18" t="str">
        <f aca="false">IFERROR(__xludf.dummyfunction("REGEXEXTRACT(ADDRESS(ROW(), 62+$H237), ""[A-Z]+"")"),"BJ")</f>
        <v>BJ</v>
      </c>
      <c r="T237" s="18" t="str">
        <f aca="false">IFERROR(__xludf.dummyfunction("REGEXEXTRACT(ADDRESS(ROW(), 63+$H237), ""[A-Z]+"")"),"BK")</f>
        <v>BK</v>
      </c>
      <c r="U237" s="19" t="n">
        <f aca="false">IFERROR(__xludf.dummyfunction("IFERROR(QUERY(INDIRECT(""'""&amp;F237&amp;""'!C3:""&amp;T237&amp;""""), ""SELECT ""&amp;I237&amp;"", ""&amp;J237&amp;"", ""&amp;K237&amp;"", ""&amp;L237&amp;"", ""&amp;M237&amp;"", ""&amp;N237&amp;"", ""&amp;O237&amp;"", ""&amp;P237&amp;"", ""&amp;Q237&amp;"", ""&amp;R237&amp;"", ""&amp;S237&amp;"" WHERE '""&amp;B237&amp;""' = D"", 0), """")"),9)</f>
        <v>9</v>
      </c>
      <c r="V237" s="22" t="n">
        <f aca="false">IFERROR(__xludf.dummyfunction("""COMPUTED_VALUE"""),10)</f>
        <v>10</v>
      </c>
      <c r="W237" s="22" t="n">
        <f aca="false">IFERROR(__xludf.dummyfunction("""COMPUTED_VALUE"""),10)</f>
        <v>10</v>
      </c>
      <c r="X237" s="22" t="n">
        <f aca="false">IFERROR(__xludf.dummyfunction("""COMPUTED_VALUE"""),10)</f>
        <v>10</v>
      </c>
      <c r="Y237" s="22" t="n">
        <f aca="false">IFERROR(__xludf.dummyfunction("""COMPUTED_VALUE"""),0)</f>
        <v>0</v>
      </c>
      <c r="Z237" s="22" t="n">
        <f aca="false">IFERROR(__xludf.dummyfunction("""COMPUTED_VALUE"""),0)</f>
        <v>0</v>
      </c>
      <c r="AA237" s="22" t="n">
        <f aca="false">IFERROR(__xludf.dummyfunction("""COMPUTED_VALUE"""),1.5)</f>
        <v>1.5</v>
      </c>
      <c r="AB237" s="22" t="n">
        <f aca="false">IFERROR(__xludf.dummyfunction("""COMPUTED_VALUE"""),7)</f>
        <v>7</v>
      </c>
      <c r="AC237" s="22" t="n">
        <f aca="false">IFERROR(__xludf.dummyfunction("""COMPUTED_VALUE"""),21)</f>
        <v>21</v>
      </c>
      <c r="AD237" s="23"/>
      <c r="AE237" s="24" t="n">
        <f aca="false">IFERROR(__xludf.dummyfunction("""COMPUTED_VALUE"""),68.5)</f>
        <v>68.5</v>
      </c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</row>
    <row r="238" customFormat="false" ht="18.65" hidden="false" customHeight="false" outlineLevel="0" collapsed="false">
      <c r="A238" s="13" t="n">
        <v>237</v>
      </c>
      <c r="B238" s="14" t="s">
        <v>508</v>
      </c>
      <c r="C238" s="15" t="s">
        <v>509</v>
      </c>
      <c r="D238" s="16" t="s">
        <v>174</v>
      </c>
      <c r="E238" s="16" t="s">
        <v>174</v>
      </c>
      <c r="F238" s="16" t="str">
        <f aca="false">REPLACE(E238, 1, 3, "")</f>
        <v>08</v>
      </c>
      <c r="G238" s="17" t="str">
        <f aca="true">IFERROR(VLOOKUP(B238,INDIRECT("'"&amp;F238&amp;"'!D3:D"),1,FALSE()), "Not found")</f>
        <v>Not found</v>
      </c>
      <c r="H238" s="18" t="n">
        <f aca="true">INDIRECT("'"&amp;F238&amp;"'!D1")</f>
        <v>0</v>
      </c>
      <c r="I238" s="18" t="str">
        <f aca="false">IFERROR(__xludf.dummyfunction("REGEXEXTRACT(ADDRESS(ROW(), 24+$H238), ""[A-Z]+"")"),"X")</f>
        <v>X</v>
      </c>
      <c r="J238" s="18" t="str">
        <f aca="false">IFERROR(__xludf.dummyfunction("REGEXEXTRACT(ADDRESS(ROW(), 30+$H238), ""[A-Z]+"")"),"AD")</f>
        <v>AD</v>
      </c>
      <c r="K238" s="18" t="str">
        <f aca="false">IFERROR(__xludf.dummyfunction("REGEXEXTRACT(ADDRESS(ROW(), 36+$H238), ""[A-Z]+"")"),"AJ")</f>
        <v>AJ</v>
      </c>
      <c r="L238" s="18" t="str">
        <f aca="false">IFERROR(__xludf.dummyfunction("REGEXEXTRACT(ADDRESS(ROW(), 42+$H238), ""[A-Z]+"")"),"AP")</f>
        <v>AP</v>
      </c>
      <c r="M238" s="18" t="str">
        <f aca="false">IFERROR(__xludf.dummyfunction("REGEXEXTRACT(ADDRESS(ROW(), 48+$H238), ""[A-Z]+"")"),"AV")</f>
        <v>AV</v>
      </c>
      <c r="N238" s="18" t="str">
        <f aca="false">IFERROR(__xludf.dummyfunction("REGEXEXTRACT(ADDRESS(ROW(), 50+$H238), ""[A-Z]+"")"),"AX")</f>
        <v>AX</v>
      </c>
      <c r="O238" s="18" t="str">
        <f aca="false">IFERROR(__xludf.dummyfunction("REGEXEXTRACT(ADDRESS(ROW(), 51+$H238), ""[A-Z]+"")"),"AY")</f>
        <v>AY</v>
      </c>
      <c r="P238" s="18" t="str">
        <f aca="false">IFERROR(__xludf.dummyfunction("REGEXEXTRACT(ADDRESS(ROW(), 54+$H238), ""[A-Z]+"")"),"BB")</f>
        <v>BB</v>
      </c>
      <c r="Q238" s="18" t="str">
        <f aca="false">IFERROR(__xludf.dummyfunction("REGEXEXTRACT(ADDRESS(ROW(), 59+$H238), ""[A-Z]+"")"),"BG")</f>
        <v>BG</v>
      </c>
      <c r="R238" s="18" t="str">
        <f aca="false">IFERROR(__xludf.dummyfunction("REGEXEXTRACT(ADDRESS(ROW(), 60+$H238), ""[A-Z]+"")"),"BH")</f>
        <v>BH</v>
      </c>
      <c r="S238" s="18" t="str">
        <f aca="false">IFERROR(__xludf.dummyfunction("REGEXEXTRACT(ADDRESS(ROW(), 62+$H238), ""[A-Z]+"")"),"BJ")</f>
        <v>BJ</v>
      </c>
      <c r="T238" s="18" t="str">
        <f aca="false">IFERROR(__xludf.dummyfunction("REGEXEXTRACT(ADDRESS(ROW(), 63+$H238), ""[A-Z]+"")"),"BK")</f>
        <v>BK</v>
      </c>
      <c r="U238" s="19" t="n">
        <f aca="false">IFERROR(__xludf.dummyfunction("IFERROR(QUERY(INDIRECT(""'""&amp;F238&amp;""'!C3:""&amp;T238&amp;""""), ""SELECT ""&amp;I238&amp;"", ""&amp;J238&amp;"", ""&amp;K238&amp;"", ""&amp;L238&amp;"", ""&amp;M238&amp;"", ""&amp;N238&amp;"", ""&amp;O238&amp;"", ""&amp;P238&amp;"", ""&amp;Q238&amp;"", ""&amp;R238&amp;"", ""&amp;S238&amp;"" WHERE '""&amp;B238&amp;""' = D"", 0), """")"),9.5)</f>
        <v>9.5</v>
      </c>
      <c r="V238" s="22" t="n">
        <f aca="false">IFERROR(__xludf.dummyfunction("""COMPUTED_VALUE"""),8.5)</f>
        <v>8.5</v>
      </c>
      <c r="W238" s="22" t="n">
        <f aca="false">IFERROR(__xludf.dummyfunction("""COMPUTED_VALUE"""),10)</f>
        <v>10</v>
      </c>
      <c r="X238" s="22"/>
      <c r="Y238" s="22" t="n">
        <f aca="false">IFERROR(__xludf.dummyfunction("""COMPUTED_VALUE"""),0)</f>
        <v>0</v>
      </c>
      <c r="Z238" s="22"/>
      <c r="AA238" s="22"/>
      <c r="AB238" s="22" t="n">
        <f aca="false">IFERROR(__xludf.dummyfunction("""COMPUTED_VALUE"""),10)</f>
        <v>10</v>
      </c>
      <c r="AC238" s="22"/>
      <c r="AD238" s="23"/>
      <c r="AE238" s="24" t="n">
        <f aca="false">IFERROR(__xludf.dummyfunction("""COMPUTED_VALUE"""),38)</f>
        <v>38</v>
      </c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</row>
    <row r="239" customFormat="false" ht="18.65" hidden="false" customHeight="false" outlineLevel="0" collapsed="false">
      <c r="A239" s="13" t="n">
        <v>238</v>
      </c>
      <c r="B239" s="14" t="s">
        <v>510</v>
      </c>
      <c r="C239" s="15" t="s">
        <v>511</v>
      </c>
      <c r="D239" s="16" t="s">
        <v>232</v>
      </c>
      <c r="E239" s="16" t="s">
        <v>232</v>
      </c>
      <c r="F239" s="16" t="str">
        <f aca="false">REPLACE(E239, 1, 3, "")</f>
        <v>09</v>
      </c>
      <c r="G239" s="17" t="str">
        <f aca="true">IFERROR(VLOOKUP(B239,INDIRECT("'"&amp;F239&amp;"'!D3:D"),1,FALSE()), "Not found")</f>
        <v>Not found</v>
      </c>
      <c r="H239" s="18" t="n">
        <f aca="true">INDIRECT("'"&amp;F239&amp;"'!D1")</f>
        <v>0</v>
      </c>
      <c r="I239" s="18" t="str">
        <f aca="false">IFERROR(__xludf.dummyfunction("REGEXEXTRACT(ADDRESS(ROW(), 24+$H239), ""[A-Z]+"")"),"X")</f>
        <v>X</v>
      </c>
      <c r="J239" s="18" t="str">
        <f aca="false">IFERROR(__xludf.dummyfunction("REGEXEXTRACT(ADDRESS(ROW(), 30+$H239), ""[A-Z]+"")"),"AD")</f>
        <v>AD</v>
      </c>
      <c r="K239" s="18" t="str">
        <f aca="false">IFERROR(__xludf.dummyfunction("REGEXEXTRACT(ADDRESS(ROW(), 36+$H239), ""[A-Z]+"")"),"AJ")</f>
        <v>AJ</v>
      </c>
      <c r="L239" s="18" t="str">
        <f aca="false">IFERROR(__xludf.dummyfunction("REGEXEXTRACT(ADDRESS(ROW(), 42+$H239), ""[A-Z]+"")"),"AP")</f>
        <v>AP</v>
      </c>
      <c r="M239" s="18" t="str">
        <f aca="false">IFERROR(__xludf.dummyfunction("REGEXEXTRACT(ADDRESS(ROW(), 48+$H239), ""[A-Z]+"")"),"AV")</f>
        <v>AV</v>
      </c>
      <c r="N239" s="18" t="str">
        <f aca="false">IFERROR(__xludf.dummyfunction("REGEXEXTRACT(ADDRESS(ROW(), 50+$H239), ""[A-Z]+"")"),"AX")</f>
        <v>AX</v>
      </c>
      <c r="O239" s="18" t="str">
        <f aca="false">IFERROR(__xludf.dummyfunction("REGEXEXTRACT(ADDRESS(ROW(), 51+$H239), ""[A-Z]+"")"),"AY")</f>
        <v>AY</v>
      </c>
      <c r="P239" s="18" t="str">
        <f aca="false">IFERROR(__xludf.dummyfunction("REGEXEXTRACT(ADDRESS(ROW(), 54+$H239), ""[A-Z]+"")"),"BB")</f>
        <v>BB</v>
      </c>
      <c r="Q239" s="18" t="str">
        <f aca="false">IFERROR(__xludf.dummyfunction("REGEXEXTRACT(ADDRESS(ROW(), 59+$H239), ""[A-Z]+"")"),"BG")</f>
        <v>BG</v>
      </c>
      <c r="R239" s="18" t="str">
        <f aca="false">IFERROR(__xludf.dummyfunction("REGEXEXTRACT(ADDRESS(ROW(), 60+$H239), ""[A-Z]+"")"),"BH")</f>
        <v>BH</v>
      </c>
      <c r="S239" s="18" t="str">
        <f aca="false">IFERROR(__xludf.dummyfunction("REGEXEXTRACT(ADDRESS(ROW(), 62+$H239), ""[A-Z]+"")"),"BJ")</f>
        <v>BJ</v>
      </c>
      <c r="T239" s="18" t="str">
        <f aca="false">IFERROR(__xludf.dummyfunction("REGEXEXTRACT(ADDRESS(ROW(), 63+$H239), ""[A-Z]+"")"),"BK")</f>
        <v>BK</v>
      </c>
      <c r="U239" s="19" t="n">
        <f aca="false">IFERROR(__xludf.dummyfunction("IFERROR(QUERY(INDIRECT(""'""&amp;F239&amp;""'!C3:""&amp;T239&amp;""""), ""SELECT ""&amp;I239&amp;"", ""&amp;J239&amp;"", ""&amp;K239&amp;"", ""&amp;L239&amp;"", ""&amp;M239&amp;"", ""&amp;N239&amp;"", ""&amp;O239&amp;"", ""&amp;P239&amp;"", ""&amp;Q239&amp;"", ""&amp;R239&amp;"", ""&amp;S239&amp;"" WHERE '""&amp;B239&amp;""' = D"", 0), """")"),9)</f>
        <v>9</v>
      </c>
      <c r="V239" s="22" t="n">
        <f aca="false">IFERROR(__xludf.dummyfunction("""COMPUTED_VALUE"""),9)</f>
        <v>9</v>
      </c>
      <c r="W239" s="22" t="n">
        <f aca="false">IFERROR(__xludf.dummyfunction("""COMPUTED_VALUE"""),7)</f>
        <v>7</v>
      </c>
      <c r="X239" s="22" t="n">
        <f aca="false">IFERROR(__xludf.dummyfunction("""COMPUTED_VALUE"""),8)</f>
        <v>8</v>
      </c>
      <c r="Y239" s="22" t="n">
        <f aca="false">IFERROR(__xludf.dummyfunction("""COMPUTED_VALUE"""),7)</f>
        <v>7</v>
      </c>
      <c r="Z239" s="22" t="n">
        <f aca="false">IFERROR(__xludf.dummyfunction("""COMPUTED_VALUE"""),1)</f>
        <v>1</v>
      </c>
      <c r="AA239" s="22"/>
      <c r="AB239" s="22" t="n">
        <f aca="false">IFERROR(__xludf.dummyfunction("""COMPUTED_VALUE"""),7)</f>
        <v>7</v>
      </c>
      <c r="AC239" s="22" t="n">
        <f aca="false">IFERROR(__xludf.dummyfunction("""COMPUTED_VALUE"""),18)</f>
        <v>18</v>
      </c>
      <c r="AD239" s="23"/>
      <c r="AE239" s="24" t="n">
        <f aca="false">IFERROR(__xludf.dummyfunction("""COMPUTED_VALUE"""),66)</f>
        <v>66</v>
      </c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</row>
    <row r="240" customFormat="false" ht="18.65" hidden="false" customHeight="false" outlineLevel="0" collapsed="false">
      <c r="A240" s="13" t="n">
        <v>239</v>
      </c>
      <c r="B240" s="14" t="s">
        <v>512</v>
      </c>
      <c r="C240" s="15" t="s">
        <v>513</v>
      </c>
      <c r="D240" s="16" t="s">
        <v>213</v>
      </c>
      <c r="E240" s="16" t="s">
        <v>213</v>
      </c>
      <c r="F240" s="16" t="str">
        <f aca="false">REPLACE(E240, 1, 3, "")</f>
        <v>16</v>
      </c>
      <c r="G240" s="17" t="str">
        <f aca="true">IFERROR(VLOOKUP(B240,INDIRECT("'"&amp;F240&amp;"'!D3:D"),1,FALSE()), "Not found")</f>
        <v>Not found</v>
      </c>
      <c r="H240" s="18" t="n">
        <f aca="true">INDIRECT("'"&amp;F240&amp;"'!D1")</f>
        <v>0</v>
      </c>
      <c r="I240" s="18" t="str">
        <f aca="false">IFERROR(__xludf.dummyfunction("REGEXEXTRACT(ADDRESS(ROW(), 24+$H240), ""[A-Z]+"")"),"X")</f>
        <v>X</v>
      </c>
      <c r="J240" s="18" t="str">
        <f aca="false">IFERROR(__xludf.dummyfunction("REGEXEXTRACT(ADDRESS(ROW(), 30+$H240), ""[A-Z]+"")"),"AD")</f>
        <v>AD</v>
      </c>
      <c r="K240" s="18" t="str">
        <f aca="false">IFERROR(__xludf.dummyfunction("REGEXEXTRACT(ADDRESS(ROW(), 36+$H240), ""[A-Z]+"")"),"AJ")</f>
        <v>AJ</v>
      </c>
      <c r="L240" s="18" t="str">
        <f aca="false">IFERROR(__xludf.dummyfunction("REGEXEXTRACT(ADDRESS(ROW(), 42+$H240), ""[A-Z]+"")"),"AP")</f>
        <v>AP</v>
      </c>
      <c r="M240" s="18" t="str">
        <f aca="false">IFERROR(__xludf.dummyfunction("REGEXEXTRACT(ADDRESS(ROW(), 48+$H240), ""[A-Z]+"")"),"AV")</f>
        <v>AV</v>
      </c>
      <c r="N240" s="18" t="str">
        <f aca="false">IFERROR(__xludf.dummyfunction("REGEXEXTRACT(ADDRESS(ROW(), 50+$H240), ""[A-Z]+"")"),"AX")</f>
        <v>AX</v>
      </c>
      <c r="O240" s="18" t="str">
        <f aca="false">IFERROR(__xludf.dummyfunction("REGEXEXTRACT(ADDRESS(ROW(), 51+$H240), ""[A-Z]+"")"),"AY")</f>
        <v>AY</v>
      </c>
      <c r="P240" s="18" t="str">
        <f aca="false">IFERROR(__xludf.dummyfunction("REGEXEXTRACT(ADDRESS(ROW(), 54+$H240), ""[A-Z]+"")"),"BB")</f>
        <v>BB</v>
      </c>
      <c r="Q240" s="18" t="str">
        <f aca="false">IFERROR(__xludf.dummyfunction("REGEXEXTRACT(ADDRESS(ROW(), 59+$H240), ""[A-Z]+"")"),"BG")</f>
        <v>BG</v>
      </c>
      <c r="R240" s="18" t="str">
        <f aca="false">IFERROR(__xludf.dummyfunction("REGEXEXTRACT(ADDRESS(ROW(), 60+$H240), ""[A-Z]+"")"),"BH")</f>
        <v>BH</v>
      </c>
      <c r="S240" s="18" t="str">
        <f aca="false">IFERROR(__xludf.dummyfunction("REGEXEXTRACT(ADDRESS(ROW(), 62+$H240), ""[A-Z]+"")"),"BJ")</f>
        <v>BJ</v>
      </c>
      <c r="T240" s="18" t="str">
        <f aca="false">IFERROR(__xludf.dummyfunction("REGEXEXTRACT(ADDRESS(ROW(), 63+$H240), ""[A-Z]+"")"),"BK")</f>
        <v>BK</v>
      </c>
      <c r="U240" s="19" t="n">
        <f aca="false">IFERROR(__xludf.dummyfunction("IFERROR(QUERY(INDIRECT(""'""&amp;F240&amp;""'!C3:""&amp;T240&amp;""""), ""SELECT ""&amp;I240&amp;"", ""&amp;J240&amp;"", ""&amp;K240&amp;"", ""&amp;L240&amp;"", ""&amp;M240&amp;"", ""&amp;N240&amp;"", ""&amp;O240&amp;"", ""&amp;P240&amp;"", ""&amp;Q240&amp;"", ""&amp;R240&amp;"", ""&amp;S240&amp;"" WHERE '""&amp;B240&amp;""' = D"", 0), """")"),10)</f>
        <v>10</v>
      </c>
      <c r="V240" s="22" t="n">
        <f aca="false">IFERROR(__xludf.dummyfunction("""COMPUTED_VALUE"""),9.5)</f>
        <v>9.5</v>
      </c>
      <c r="W240" s="22" t="n">
        <f aca="false">IFERROR(__xludf.dummyfunction("""COMPUTED_VALUE"""),9)</f>
        <v>9</v>
      </c>
      <c r="X240" s="22" t="n">
        <f aca="false">IFERROR(__xludf.dummyfunction("""COMPUTED_VALUE"""),9)</f>
        <v>9</v>
      </c>
      <c r="Y240" s="22" t="n">
        <f aca="false">IFERROR(__xludf.dummyfunction("""COMPUTED_VALUE"""),0)</f>
        <v>0</v>
      </c>
      <c r="Z240" s="22" t="n">
        <f aca="false">IFERROR(__xludf.dummyfunction("""COMPUTED_VALUE"""),0)</f>
        <v>0</v>
      </c>
      <c r="AA240" s="22" t="n">
        <f aca="false">IFERROR(__xludf.dummyfunction("""COMPUTED_VALUE"""),0)</f>
        <v>0</v>
      </c>
      <c r="AB240" s="22" t="n">
        <f aca="false">IFERROR(__xludf.dummyfunction("""COMPUTED_VALUE"""),8)</f>
        <v>8</v>
      </c>
      <c r="AC240" s="22" t="n">
        <f aca="false">IFERROR(__xludf.dummyfunction("""COMPUTED_VALUE"""),28)</f>
        <v>28</v>
      </c>
      <c r="AD240" s="23" t="n">
        <f aca="false">IFERROR(__xludf.dummyfunction("""COMPUTED_VALUE"""),1)</f>
        <v>1</v>
      </c>
      <c r="AE240" s="24" t="n">
        <f aca="false">IFERROR(__xludf.dummyfunction("""COMPUTED_VALUE"""),74.5)</f>
        <v>74.5</v>
      </c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</row>
    <row r="241" customFormat="false" ht="18.65" hidden="false" customHeight="false" outlineLevel="0" collapsed="false">
      <c r="A241" s="13" t="n">
        <v>240</v>
      </c>
      <c r="B241" s="14" t="s">
        <v>514</v>
      </c>
      <c r="C241" s="15" t="s">
        <v>515</v>
      </c>
      <c r="D241" s="16" t="s">
        <v>244</v>
      </c>
      <c r="E241" s="16" t="s">
        <v>244</v>
      </c>
      <c r="F241" s="16" t="str">
        <f aca="false">REPLACE(E241, 1, 3, "")</f>
        <v>13</v>
      </c>
      <c r="G241" s="17" t="str">
        <f aca="true">IFERROR(VLOOKUP(B241,INDIRECT("'"&amp;F241&amp;"'!D3:D"),1,FALSE()), "Not found")</f>
        <v>Not found</v>
      </c>
      <c r="H241" s="18" t="n">
        <f aca="true">INDIRECT("'"&amp;F241&amp;"'!D1")</f>
        <v>0</v>
      </c>
      <c r="I241" s="18" t="str">
        <f aca="false">IFERROR(__xludf.dummyfunction("REGEXEXTRACT(ADDRESS(ROW(), 24+$H241), ""[A-Z]+"")"),"X")</f>
        <v>X</v>
      </c>
      <c r="J241" s="18" t="str">
        <f aca="false">IFERROR(__xludf.dummyfunction("REGEXEXTRACT(ADDRESS(ROW(), 30+$H241), ""[A-Z]+"")"),"AD")</f>
        <v>AD</v>
      </c>
      <c r="K241" s="18" t="str">
        <f aca="false">IFERROR(__xludf.dummyfunction("REGEXEXTRACT(ADDRESS(ROW(), 36+$H241), ""[A-Z]+"")"),"AJ")</f>
        <v>AJ</v>
      </c>
      <c r="L241" s="18" t="str">
        <f aca="false">IFERROR(__xludf.dummyfunction("REGEXEXTRACT(ADDRESS(ROW(), 42+$H241), ""[A-Z]+"")"),"AP")</f>
        <v>AP</v>
      </c>
      <c r="M241" s="18" t="str">
        <f aca="false">IFERROR(__xludf.dummyfunction("REGEXEXTRACT(ADDRESS(ROW(), 48+$H241), ""[A-Z]+"")"),"AV")</f>
        <v>AV</v>
      </c>
      <c r="N241" s="18" t="str">
        <f aca="false">IFERROR(__xludf.dummyfunction("REGEXEXTRACT(ADDRESS(ROW(), 50+$H241), ""[A-Z]+"")"),"AX")</f>
        <v>AX</v>
      </c>
      <c r="O241" s="18" t="str">
        <f aca="false">IFERROR(__xludf.dummyfunction("REGEXEXTRACT(ADDRESS(ROW(), 51+$H241), ""[A-Z]+"")"),"AY")</f>
        <v>AY</v>
      </c>
      <c r="P241" s="18" t="str">
        <f aca="false">IFERROR(__xludf.dummyfunction("REGEXEXTRACT(ADDRESS(ROW(), 54+$H241), ""[A-Z]+"")"),"BB")</f>
        <v>BB</v>
      </c>
      <c r="Q241" s="18" t="str">
        <f aca="false">IFERROR(__xludf.dummyfunction("REGEXEXTRACT(ADDRESS(ROW(), 59+$H241), ""[A-Z]+"")"),"BG")</f>
        <v>BG</v>
      </c>
      <c r="R241" s="18" t="str">
        <f aca="false">IFERROR(__xludf.dummyfunction("REGEXEXTRACT(ADDRESS(ROW(), 60+$H241), ""[A-Z]+"")"),"BH")</f>
        <v>BH</v>
      </c>
      <c r="S241" s="18" t="str">
        <f aca="false">IFERROR(__xludf.dummyfunction("REGEXEXTRACT(ADDRESS(ROW(), 62+$H241), ""[A-Z]+"")"),"BJ")</f>
        <v>BJ</v>
      </c>
      <c r="T241" s="18" t="str">
        <f aca="false">IFERROR(__xludf.dummyfunction("REGEXEXTRACT(ADDRESS(ROW(), 63+$H241), ""[A-Z]+"")"),"BK")</f>
        <v>BK</v>
      </c>
      <c r="U241" s="19" t="n">
        <f aca="false">IFERROR(__xludf.dummyfunction("IFERROR(QUERY(INDIRECT(""'""&amp;F241&amp;""'!C3:""&amp;T241&amp;""""), ""SELECT ""&amp;I241&amp;"", ""&amp;J241&amp;"", ""&amp;K241&amp;"", ""&amp;L241&amp;"", ""&amp;M241&amp;"", ""&amp;N241&amp;"", ""&amp;O241&amp;"", ""&amp;P241&amp;"", ""&amp;Q241&amp;"", ""&amp;R241&amp;"", ""&amp;S241&amp;"" WHERE '""&amp;B241&amp;""' = D"", 0), """")"),9)</f>
        <v>9</v>
      </c>
      <c r="V241" s="22" t="n">
        <f aca="false">IFERROR(__xludf.dummyfunction("""COMPUTED_VALUE"""),9)</f>
        <v>9</v>
      </c>
      <c r="W241" s="22" t="n">
        <f aca="false">IFERROR(__xludf.dummyfunction("""COMPUTED_VALUE"""),9.3)</f>
        <v>9.3</v>
      </c>
      <c r="X241" s="22" t="n">
        <f aca="false">IFERROR(__xludf.dummyfunction("""COMPUTED_VALUE"""),9)</f>
        <v>9</v>
      </c>
      <c r="Y241" s="22" t="n">
        <f aca="false">IFERROR(__xludf.dummyfunction("""COMPUTED_VALUE"""),8.5)</f>
        <v>8.5</v>
      </c>
      <c r="Z241" s="22" t="n">
        <f aca="false">IFERROR(__xludf.dummyfunction("""COMPUTED_VALUE"""),0)</f>
        <v>0</v>
      </c>
      <c r="AA241" s="22" t="n">
        <f aca="false">IFERROR(__xludf.dummyfunction("""COMPUTED_VALUE"""),0)</f>
        <v>0</v>
      </c>
      <c r="AB241" s="22" t="n">
        <f aca="false">IFERROR(__xludf.dummyfunction("""COMPUTED_VALUE"""),7.5)</f>
        <v>7.5</v>
      </c>
      <c r="AC241" s="22" t="n">
        <f aca="false">IFERROR(__xludf.dummyfunction("""COMPUTED_VALUE"""),27)</f>
        <v>27</v>
      </c>
      <c r="AD241" s="23"/>
      <c r="AE241" s="24" t="n">
        <f aca="false">IFERROR(__xludf.dummyfunction("""COMPUTED_VALUE"""),79.3)</f>
        <v>79.3</v>
      </c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</row>
    <row r="242" customFormat="false" ht="18.65" hidden="false" customHeight="false" outlineLevel="0" collapsed="false">
      <c r="A242" s="13" t="n">
        <v>241</v>
      </c>
      <c r="B242" s="14" t="s">
        <v>516</v>
      </c>
      <c r="C242" s="15" t="s">
        <v>517</v>
      </c>
      <c r="D242" s="16" t="s">
        <v>213</v>
      </c>
      <c r="E242" s="16" t="s">
        <v>213</v>
      </c>
      <c r="F242" s="16" t="str">
        <f aca="false">REPLACE(E242, 1, 3, "")</f>
        <v>16</v>
      </c>
      <c r="G242" s="17" t="str">
        <f aca="true">IFERROR(VLOOKUP(B242,INDIRECT("'"&amp;F242&amp;"'!D3:D"),1,FALSE()), "Not found")</f>
        <v>Not found</v>
      </c>
      <c r="H242" s="18" t="n">
        <f aca="true">INDIRECT("'"&amp;F242&amp;"'!D1")</f>
        <v>0</v>
      </c>
      <c r="I242" s="18" t="str">
        <f aca="false">IFERROR(__xludf.dummyfunction("REGEXEXTRACT(ADDRESS(ROW(), 24+$H242), ""[A-Z]+"")"),"X")</f>
        <v>X</v>
      </c>
      <c r="J242" s="18" t="str">
        <f aca="false">IFERROR(__xludf.dummyfunction("REGEXEXTRACT(ADDRESS(ROW(), 30+$H242), ""[A-Z]+"")"),"AD")</f>
        <v>AD</v>
      </c>
      <c r="K242" s="18" t="str">
        <f aca="false">IFERROR(__xludf.dummyfunction("REGEXEXTRACT(ADDRESS(ROW(), 36+$H242), ""[A-Z]+"")"),"AJ")</f>
        <v>AJ</v>
      </c>
      <c r="L242" s="18" t="str">
        <f aca="false">IFERROR(__xludf.dummyfunction("REGEXEXTRACT(ADDRESS(ROW(), 42+$H242), ""[A-Z]+"")"),"AP")</f>
        <v>AP</v>
      </c>
      <c r="M242" s="18" t="str">
        <f aca="false">IFERROR(__xludf.dummyfunction("REGEXEXTRACT(ADDRESS(ROW(), 48+$H242), ""[A-Z]+"")"),"AV")</f>
        <v>AV</v>
      </c>
      <c r="N242" s="18" t="str">
        <f aca="false">IFERROR(__xludf.dummyfunction("REGEXEXTRACT(ADDRESS(ROW(), 50+$H242), ""[A-Z]+"")"),"AX")</f>
        <v>AX</v>
      </c>
      <c r="O242" s="18" t="str">
        <f aca="false">IFERROR(__xludf.dummyfunction("REGEXEXTRACT(ADDRESS(ROW(), 51+$H242), ""[A-Z]+"")"),"AY")</f>
        <v>AY</v>
      </c>
      <c r="P242" s="18" t="str">
        <f aca="false">IFERROR(__xludf.dummyfunction("REGEXEXTRACT(ADDRESS(ROW(), 54+$H242), ""[A-Z]+"")"),"BB")</f>
        <v>BB</v>
      </c>
      <c r="Q242" s="18" t="str">
        <f aca="false">IFERROR(__xludf.dummyfunction("REGEXEXTRACT(ADDRESS(ROW(), 59+$H242), ""[A-Z]+"")"),"BG")</f>
        <v>BG</v>
      </c>
      <c r="R242" s="18" t="str">
        <f aca="false">IFERROR(__xludf.dummyfunction("REGEXEXTRACT(ADDRESS(ROW(), 60+$H242), ""[A-Z]+"")"),"BH")</f>
        <v>BH</v>
      </c>
      <c r="S242" s="18" t="str">
        <f aca="false">IFERROR(__xludf.dummyfunction("REGEXEXTRACT(ADDRESS(ROW(), 62+$H242), ""[A-Z]+"")"),"BJ")</f>
        <v>BJ</v>
      </c>
      <c r="T242" s="18" t="str">
        <f aca="false">IFERROR(__xludf.dummyfunction("REGEXEXTRACT(ADDRESS(ROW(), 63+$H242), ""[A-Z]+"")"),"BK")</f>
        <v>BK</v>
      </c>
      <c r="U242" s="19" t="str">
        <f aca="false">IFERROR(__xludf.dummyfunction("IFERROR(QUERY(INDIRECT(""'""&amp;F242&amp;""'!C3:""&amp;T242&amp;""""), ""SELECT ""&amp;I242&amp;"", ""&amp;J242&amp;"", ""&amp;K242&amp;"", ""&amp;L242&amp;"", ""&amp;M242&amp;"", ""&amp;N242&amp;"", ""&amp;O242&amp;"", ""&amp;P242&amp;"", ""&amp;Q242&amp;"", ""&amp;R242&amp;"", ""&amp;S242&amp;"" WHERE '""&amp;B242&amp;""' = D"", 0), """")"),"")</f>
        <v/>
      </c>
      <c r="V242" s="22"/>
      <c r="W242" s="22"/>
      <c r="X242" s="22"/>
      <c r="Y242" s="22" t="n">
        <f aca="false">IFERROR(__xludf.dummyfunction("""COMPUTED_VALUE"""),0)</f>
        <v>0</v>
      </c>
      <c r="Z242" s="22"/>
      <c r="AA242" s="22"/>
      <c r="AB242" s="22"/>
      <c r="AC242" s="22"/>
      <c r="AD242" s="23"/>
      <c r="AE242" s="24" t="n">
        <f aca="false">IFERROR(__xludf.dummyfunction("""COMPUTED_VALUE"""),0)</f>
        <v>0</v>
      </c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</row>
    <row r="243" customFormat="false" ht="18.65" hidden="false" customHeight="false" outlineLevel="0" collapsed="false">
      <c r="A243" s="13" t="n">
        <v>242</v>
      </c>
      <c r="B243" s="14" t="s">
        <v>518</v>
      </c>
      <c r="C243" s="15" t="s">
        <v>519</v>
      </c>
      <c r="D243" s="16" t="s">
        <v>180</v>
      </c>
      <c r="E243" s="16" t="s">
        <v>180</v>
      </c>
      <c r="F243" s="16" t="str">
        <f aca="false">REPLACE(E243, 1, 3, "")</f>
        <v>11</v>
      </c>
      <c r="G243" s="17" t="str">
        <f aca="true">IFERROR(VLOOKUP(B243,INDIRECT("'"&amp;F243&amp;"'!D3:D"),1,FALSE()), "Not found")</f>
        <v>Not found</v>
      </c>
      <c r="H243" s="18" t="n">
        <f aca="true">INDIRECT("'"&amp;F243&amp;"'!D1")</f>
        <v>0</v>
      </c>
      <c r="I243" s="18" t="str">
        <f aca="false">IFERROR(__xludf.dummyfunction("REGEXEXTRACT(ADDRESS(ROW(), 24+$H243), ""[A-Z]+"")"),"X")</f>
        <v>X</v>
      </c>
      <c r="J243" s="18" t="str">
        <f aca="false">IFERROR(__xludf.dummyfunction("REGEXEXTRACT(ADDRESS(ROW(), 30+$H243), ""[A-Z]+"")"),"AD")</f>
        <v>AD</v>
      </c>
      <c r="K243" s="18" t="str">
        <f aca="false">IFERROR(__xludf.dummyfunction("REGEXEXTRACT(ADDRESS(ROW(), 36+$H243), ""[A-Z]+"")"),"AJ")</f>
        <v>AJ</v>
      </c>
      <c r="L243" s="18" t="str">
        <f aca="false">IFERROR(__xludf.dummyfunction("REGEXEXTRACT(ADDRESS(ROW(), 42+$H243), ""[A-Z]+"")"),"AP")</f>
        <v>AP</v>
      </c>
      <c r="M243" s="18" t="str">
        <f aca="false">IFERROR(__xludf.dummyfunction("REGEXEXTRACT(ADDRESS(ROW(), 48+$H243), ""[A-Z]+"")"),"AV")</f>
        <v>AV</v>
      </c>
      <c r="N243" s="18" t="str">
        <f aca="false">IFERROR(__xludf.dummyfunction("REGEXEXTRACT(ADDRESS(ROW(), 50+$H243), ""[A-Z]+"")"),"AX")</f>
        <v>AX</v>
      </c>
      <c r="O243" s="18" t="str">
        <f aca="false">IFERROR(__xludf.dummyfunction("REGEXEXTRACT(ADDRESS(ROW(), 51+$H243), ""[A-Z]+"")"),"AY")</f>
        <v>AY</v>
      </c>
      <c r="P243" s="18" t="str">
        <f aca="false">IFERROR(__xludf.dummyfunction("REGEXEXTRACT(ADDRESS(ROW(), 54+$H243), ""[A-Z]+"")"),"BB")</f>
        <v>BB</v>
      </c>
      <c r="Q243" s="18" t="str">
        <f aca="false">IFERROR(__xludf.dummyfunction("REGEXEXTRACT(ADDRESS(ROW(), 59+$H243), ""[A-Z]+"")"),"BG")</f>
        <v>BG</v>
      </c>
      <c r="R243" s="18" t="str">
        <f aca="false">IFERROR(__xludf.dummyfunction("REGEXEXTRACT(ADDRESS(ROW(), 60+$H243), ""[A-Z]+"")"),"BH")</f>
        <v>BH</v>
      </c>
      <c r="S243" s="18" t="str">
        <f aca="false">IFERROR(__xludf.dummyfunction("REGEXEXTRACT(ADDRESS(ROW(), 62+$H243), ""[A-Z]+"")"),"BJ")</f>
        <v>BJ</v>
      </c>
      <c r="T243" s="18" t="str">
        <f aca="false">IFERROR(__xludf.dummyfunction("REGEXEXTRACT(ADDRESS(ROW(), 63+$H243), ""[A-Z]+"")"),"BK")</f>
        <v>BK</v>
      </c>
      <c r="U243" s="19" t="n">
        <f aca="false">IFERROR(__xludf.dummyfunction("IFERROR(QUERY(INDIRECT(""'""&amp;F243&amp;""'!C3:""&amp;T243&amp;""""), ""SELECT ""&amp;I243&amp;"", ""&amp;J243&amp;"", ""&amp;K243&amp;"", ""&amp;L243&amp;"", ""&amp;M243&amp;"", ""&amp;N243&amp;"", ""&amp;O243&amp;"", ""&amp;P243&amp;"", ""&amp;Q243&amp;"", ""&amp;R243&amp;"", ""&amp;S243&amp;"" WHERE '""&amp;B243&amp;""' = D"", 0), """")"),10)</f>
        <v>10</v>
      </c>
      <c r="V243" s="22" t="n">
        <f aca="false">IFERROR(__xludf.dummyfunction("""COMPUTED_VALUE"""),10)</f>
        <v>10</v>
      </c>
      <c r="W243" s="22" t="n">
        <f aca="false">IFERROR(__xludf.dummyfunction("""COMPUTED_VALUE"""),10)</f>
        <v>10</v>
      </c>
      <c r="X243" s="22" t="n">
        <f aca="false">IFERROR(__xludf.dummyfunction("""COMPUTED_VALUE"""),10)</f>
        <v>10</v>
      </c>
      <c r="Y243" s="22" t="n">
        <f aca="false">IFERROR(__xludf.dummyfunction("""COMPUTED_VALUE"""),0)</f>
        <v>0</v>
      </c>
      <c r="Z243" s="22"/>
      <c r="AA243" s="22"/>
      <c r="AB243" s="22" t="n">
        <f aca="false">IFERROR(__xludf.dummyfunction("""COMPUTED_VALUE"""),6)</f>
        <v>6</v>
      </c>
      <c r="AC243" s="22" t="n">
        <f aca="false">IFERROR(__xludf.dummyfunction("""COMPUTED_VALUE"""),27)</f>
        <v>27</v>
      </c>
      <c r="AD243" s="23" t="n">
        <f aca="false">IFERROR(__xludf.dummyfunction("""COMPUTED_VALUE"""),2)</f>
        <v>2</v>
      </c>
      <c r="AE243" s="24" t="n">
        <f aca="false">IFERROR(__xludf.dummyfunction("""COMPUTED_VALUE"""),75)</f>
        <v>75</v>
      </c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</row>
    <row r="244" customFormat="false" ht="18.65" hidden="false" customHeight="false" outlineLevel="0" collapsed="false">
      <c r="A244" s="13" t="n">
        <v>243</v>
      </c>
      <c r="B244" s="14" t="s">
        <v>520</v>
      </c>
      <c r="C244" s="15" t="s">
        <v>521</v>
      </c>
      <c r="D244" s="16" t="s">
        <v>194</v>
      </c>
      <c r="E244" s="16" t="s">
        <v>194</v>
      </c>
      <c r="F244" s="16" t="str">
        <f aca="false">REPLACE(E244, 1, 3, "")</f>
        <v>10</v>
      </c>
      <c r="G244" s="17" t="str">
        <f aca="true">IFERROR(VLOOKUP(B244,INDIRECT("'"&amp;F244&amp;"'!D3:D"),1,FALSE()), "Not found")</f>
        <v>Not found</v>
      </c>
      <c r="H244" s="18" t="n">
        <f aca="true">INDIRECT("'"&amp;F244&amp;"'!D1")</f>
        <v>0</v>
      </c>
      <c r="I244" s="18" t="str">
        <f aca="false">IFERROR(__xludf.dummyfunction("REGEXEXTRACT(ADDRESS(ROW(), 24+$H244), ""[A-Z]+"")"),"X")</f>
        <v>X</v>
      </c>
      <c r="J244" s="18" t="str">
        <f aca="false">IFERROR(__xludf.dummyfunction("REGEXEXTRACT(ADDRESS(ROW(), 30+$H244), ""[A-Z]+"")"),"AD")</f>
        <v>AD</v>
      </c>
      <c r="K244" s="18" t="str">
        <f aca="false">IFERROR(__xludf.dummyfunction("REGEXEXTRACT(ADDRESS(ROW(), 36+$H244), ""[A-Z]+"")"),"AJ")</f>
        <v>AJ</v>
      </c>
      <c r="L244" s="18" t="str">
        <f aca="false">IFERROR(__xludf.dummyfunction("REGEXEXTRACT(ADDRESS(ROW(), 42+$H244), ""[A-Z]+"")"),"AP")</f>
        <v>AP</v>
      </c>
      <c r="M244" s="18" t="str">
        <f aca="false">IFERROR(__xludf.dummyfunction("REGEXEXTRACT(ADDRESS(ROW(), 48+$H244), ""[A-Z]+"")"),"AV")</f>
        <v>AV</v>
      </c>
      <c r="N244" s="18" t="str">
        <f aca="false">IFERROR(__xludf.dummyfunction("REGEXEXTRACT(ADDRESS(ROW(), 50+$H244), ""[A-Z]+"")"),"AX")</f>
        <v>AX</v>
      </c>
      <c r="O244" s="18" t="str">
        <f aca="false">IFERROR(__xludf.dummyfunction("REGEXEXTRACT(ADDRESS(ROW(), 51+$H244), ""[A-Z]+"")"),"AY")</f>
        <v>AY</v>
      </c>
      <c r="P244" s="18" t="str">
        <f aca="false">IFERROR(__xludf.dummyfunction("REGEXEXTRACT(ADDRESS(ROW(), 54+$H244), ""[A-Z]+"")"),"BB")</f>
        <v>BB</v>
      </c>
      <c r="Q244" s="18" t="str">
        <f aca="false">IFERROR(__xludf.dummyfunction("REGEXEXTRACT(ADDRESS(ROW(), 59+$H244), ""[A-Z]+"")"),"BG")</f>
        <v>BG</v>
      </c>
      <c r="R244" s="18" t="str">
        <f aca="false">IFERROR(__xludf.dummyfunction("REGEXEXTRACT(ADDRESS(ROW(), 60+$H244), ""[A-Z]+"")"),"BH")</f>
        <v>BH</v>
      </c>
      <c r="S244" s="18" t="str">
        <f aca="false">IFERROR(__xludf.dummyfunction("REGEXEXTRACT(ADDRESS(ROW(), 62+$H244), ""[A-Z]+"")"),"BJ")</f>
        <v>BJ</v>
      </c>
      <c r="T244" s="18" t="str">
        <f aca="false">IFERROR(__xludf.dummyfunction("REGEXEXTRACT(ADDRESS(ROW(), 63+$H244), ""[A-Z]+"")"),"BK")</f>
        <v>BK</v>
      </c>
      <c r="U244" s="19" t="n">
        <f aca="false">IFERROR(__xludf.dummyfunction("IFERROR(QUERY(INDIRECT(""'""&amp;F244&amp;""'!C3:""&amp;T244&amp;""""), ""SELECT ""&amp;I244&amp;"", ""&amp;J244&amp;"", ""&amp;K244&amp;"", ""&amp;L244&amp;"", ""&amp;M244&amp;"", ""&amp;N244&amp;"", ""&amp;O244&amp;"", ""&amp;P244&amp;"", ""&amp;Q244&amp;"", ""&amp;R244&amp;"", ""&amp;S244&amp;"" WHERE '""&amp;B244&amp;""' = D"", 0), """")"),8)</f>
        <v>8</v>
      </c>
      <c r="V244" s="22" t="n">
        <f aca="false">IFERROR(__xludf.dummyfunction("""COMPUTED_VALUE"""),9)</f>
        <v>9</v>
      </c>
      <c r="W244" s="22" t="n">
        <f aca="false">IFERROR(__xludf.dummyfunction("""COMPUTED_VALUE"""),6)</f>
        <v>6</v>
      </c>
      <c r="X244" s="22" t="n">
        <f aca="false">IFERROR(__xludf.dummyfunction("""COMPUTED_VALUE"""),8)</f>
        <v>8</v>
      </c>
      <c r="Y244" s="22" t="n">
        <f aca="false">IFERROR(__xludf.dummyfunction("""COMPUTED_VALUE"""),0)</f>
        <v>0</v>
      </c>
      <c r="Z244" s="22"/>
      <c r="AA244" s="22"/>
      <c r="AB244" s="22" t="n">
        <f aca="false">IFERROR(__xludf.dummyfunction("""COMPUTED_VALUE"""),10)</f>
        <v>10</v>
      </c>
      <c r="AC244" s="22" t="n">
        <f aca="false">IFERROR(__xludf.dummyfunction("""COMPUTED_VALUE"""),0)</f>
        <v>0</v>
      </c>
      <c r="AD244" s="23"/>
      <c r="AE244" s="24" t="n">
        <f aca="false">IFERROR(__xludf.dummyfunction("""COMPUTED_VALUE"""),41)</f>
        <v>41</v>
      </c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</row>
    <row r="245" customFormat="false" ht="18.65" hidden="false" customHeight="false" outlineLevel="0" collapsed="false">
      <c r="A245" s="13" t="n">
        <v>244</v>
      </c>
      <c r="B245" s="14" t="s">
        <v>522</v>
      </c>
      <c r="C245" s="15" t="s">
        <v>523</v>
      </c>
      <c r="D245" s="16" t="s">
        <v>180</v>
      </c>
      <c r="E245" s="16" t="s">
        <v>180</v>
      </c>
      <c r="F245" s="16" t="str">
        <f aca="false">REPLACE(E245, 1, 3, "")</f>
        <v>11</v>
      </c>
      <c r="G245" s="17" t="str">
        <f aca="true">IFERROR(VLOOKUP(B245,INDIRECT("'"&amp;F245&amp;"'!D3:D"),1,FALSE()), "Not found")</f>
        <v>Not found</v>
      </c>
      <c r="H245" s="18" t="n">
        <f aca="true">INDIRECT("'"&amp;F245&amp;"'!D1")</f>
        <v>0</v>
      </c>
      <c r="I245" s="18" t="str">
        <f aca="false">IFERROR(__xludf.dummyfunction("REGEXEXTRACT(ADDRESS(ROW(), 24+$H245), ""[A-Z]+"")"),"X")</f>
        <v>X</v>
      </c>
      <c r="J245" s="18" t="str">
        <f aca="false">IFERROR(__xludf.dummyfunction("REGEXEXTRACT(ADDRESS(ROW(), 30+$H245), ""[A-Z]+"")"),"AD")</f>
        <v>AD</v>
      </c>
      <c r="K245" s="18" t="str">
        <f aca="false">IFERROR(__xludf.dummyfunction("REGEXEXTRACT(ADDRESS(ROW(), 36+$H245), ""[A-Z]+"")"),"AJ")</f>
        <v>AJ</v>
      </c>
      <c r="L245" s="18" t="str">
        <f aca="false">IFERROR(__xludf.dummyfunction("REGEXEXTRACT(ADDRESS(ROW(), 42+$H245), ""[A-Z]+"")"),"AP")</f>
        <v>AP</v>
      </c>
      <c r="M245" s="18" t="str">
        <f aca="false">IFERROR(__xludf.dummyfunction("REGEXEXTRACT(ADDRESS(ROW(), 48+$H245), ""[A-Z]+"")"),"AV")</f>
        <v>AV</v>
      </c>
      <c r="N245" s="18" t="str">
        <f aca="false">IFERROR(__xludf.dummyfunction("REGEXEXTRACT(ADDRESS(ROW(), 50+$H245), ""[A-Z]+"")"),"AX")</f>
        <v>AX</v>
      </c>
      <c r="O245" s="18" t="str">
        <f aca="false">IFERROR(__xludf.dummyfunction("REGEXEXTRACT(ADDRESS(ROW(), 51+$H245), ""[A-Z]+"")"),"AY")</f>
        <v>AY</v>
      </c>
      <c r="P245" s="18" t="str">
        <f aca="false">IFERROR(__xludf.dummyfunction("REGEXEXTRACT(ADDRESS(ROW(), 54+$H245), ""[A-Z]+"")"),"BB")</f>
        <v>BB</v>
      </c>
      <c r="Q245" s="18" t="str">
        <f aca="false">IFERROR(__xludf.dummyfunction("REGEXEXTRACT(ADDRESS(ROW(), 59+$H245), ""[A-Z]+"")"),"BG")</f>
        <v>BG</v>
      </c>
      <c r="R245" s="18" t="str">
        <f aca="false">IFERROR(__xludf.dummyfunction("REGEXEXTRACT(ADDRESS(ROW(), 60+$H245), ""[A-Z]+"")"),"BH")</f>
        <v>BH</v>
      </c>
      <c r="S245" s="18" t="str">
        <f aca="false">IFERROR(__xludf.dummyfunction("REGEXEXTRACT(ADDRESS(ROW(), 62+$H245), ""[A-Z]+"")"),"BJ")</f>
        <v>BJ</v>
      </c>
      <c r="T245" s="18" t="str">
        <f aca="false">IFERROR(__xludf.dummyfunction("REGEXEXTRACT(ADDRESS(ROW(), 63+$H245), ""[A-Z]+"")"),"BK")</f>
        <v>BK</v>
      </c>
      <c r="U245" s="19" t="n">
        <f aca="false">IFERROR(__xludf.dummyfunction("IFERROR(QUERY(INDIRECT(""'""&amp;F245&amp;""'!C3:""&amp;T245&amp;""""), ""SELECT ""&amp;I245&amp;"", ""&amp;J245&amp;"", ""&amp;K245&amp;"", ""&amp;L245&amp;"", ""&amp;M245&amp;"", ""&amp;N245&amp;"", ""&amp;O245&amp;"", ""&amp;P245&amp;"", ""&amp;Q245&amp;"", ""&amp;R245&amp;"", ""&amp;S245&amp;"" WHERE '""&amp;B245&amp;""' = D"", 0), """")"),10)</f>
        <v>10</v>
      </c>
      <c r="V245" s="22" t="n">
        <f aca="false">IFERROR(__xludf.dummyfunction("""COMPUTED_VALUE"""),10)</f>
        <v>10</v>
      </c>
      <c r="W245" s="22" t="n">
        <f aca="false">IFERROR(__xludf.dummyfunction("""COMPUTED_VALUE"""),10)</f>
        <v>10</v>
      </c>
      <c r="X245" s="22" t="n">
        <f aca="false">IFERROR(__xludf.dummyfunction("""COMPUTED_VALUE"""),10)</f>
        <v>10</v>
      </c>
      <c r="Y245" s="22" t="n">
        <f aca="false">IFERROR(__xludf.dummyfunction("""COMPUTED_VALUE"""),10)</f>
        <v>10</v>
      </c>
      <c r="Z245" s="22" t="n">
        <f aca="false">IFERROR(__xludf.dummyfunction("""COMPUTED_VALUE"""),0)</f>
        <v>0</v>
      </c>
      <c r="AA245" s="22"/>
      <c r="AB245" s="22" t="n">
        <f aca="false">IFERROR(__xludf.dummyfunction("""COMPUTED_VALUE"""),6)</f>
        <v>6</v>
      </c>
      <c r="AC245" s="22" t="n">
        <f aca="false">IFERROR(__xludf.dummyfunction("""COMPUTED_VALUE"""),26)</f>
        <v>26</v>
      </c>
      <c r="AD245" s="23" t="n">
        <f aca="false">IFERROR(__xludf.dummyfunction("""COMPUTED_VALUE"""),3)</f>
        <v>3</v>
      </c>
      <c r="AE245" s="24" t="n">
        <f aca="false">IFERROR(__xludf.dummyfunction("""COMPUTED_VALUE"""),85)</f>
        <v>85</v>
      </c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</row>
    <row r="246" customFormat="false" ht="18.65" hidden="false" customHeight="false" outlineLevel="0" collapsed="false">
      <c r="A246" s="13" t="n">
        <v>245</v>
      </c>
      <c r="B246" s="14" t="s">
        <v>524</v>
      </c>
      <c r="C246" s="15" t="s">
        <v>525</v>
      </c>
      <c r="D246" s="16" t="s">
        <v>279</v>
      </c>
      <c r="E246" s="16" t="s">
        <v>279</v>
      </c>
      <c r="F246" s="16" t="str">
        <f aca="false">REPLACE(E246, 1, 3, "")</f>
        <v>07</v>
      </c>
      <c r="G246" s="17" t="str">
        <f aca="true">IFERROR(VLOOKUP(B246,INDIRECT("'"&amp;F246&amp;"'!D3:D"),1,FALSE()), "Not found")</f>
        <v>Not found</v>
      </c>
      <c r="H246" s="18" t="n">
        <f aca="true">INDIRECT("'"&amp;F246&amp;"'!D1")</f>
        <v>0</v>
      </c>
      <c r="I246" s="18" t="str">
        <f aca="false">IFERROR(__xludf.dummyfunction("REGEXEXTRACT(ADDRESS(ROW(), 24+$H246), ""[A-Z]+"")"),"X")</f>
        <v>X</v>
      </c>
      <c r="J246" s="18" t="str">
        <f aca="false">IFERROR(__xludf.dummyfunction("REGEXEXTRACT(ADDRESS(ROW(), 30+$H246), ""[A-Z]+"")"),"AD")</f>
        <v>AD</v>
      </c>
      <c r="K246" s="18" t="str">
        <f aca="false">IFERROR(__xludf.dummyfunction("REGEXEXTRACT(ADDRESS(ROW(), 36+$H246), ""[A-Z]+"")"),"AJ")</f>
        <v>AJ</v>
      </c>
      <c r="L246" s="18" t="str">
        <f aca="false">IFERROR(__xludf.dummyfunction("REGEXEXTRACT(ADDRESS(ROW(), 42+$H246), ""[A-Z]+"")"),"AP")</f>
        <v>AP</v>
      </c>
      <c r="M246" s="18" t="str">
        <f aca="false">IFERROR(__xludf.dummyfunction("REGEXEXTRACT(ADDRESS(ROW(), 48+$H246), ""[A-Z]+"")"),"AV")</f>
        <v>AV</v>
      </c>
      <c r="N246" s="18" t="str">
        <f aca="false">IFERROR(__xludf.dummyfunction("REGEXEXTRACT(ADDRESS(ROW(), 50+$H246), ""[A-Z]+"")"),"AX")</f>
        <v>AX</v>
      </c>
      <c r="O246" s="18" t="str">
        <f aca="false">IFERROR(__xludf.dummyfunction("REGEXEXTRACT(ADDRESS(ROW(), 51+$H246), ""[A-Z]+"")"),"AY")</f>
        <v>AY</v>
      </c>
      <c r="P246" s="18" t="str">
        <f aca="false">IFERROR(__xludf.dummyfunction("REGEXEXTRACT(ADDRESS(ROW(), 54+$H246), ""[A-Z]+"")"),"BB")</f>
        <v>BB</v>
      </c>
      <c r="Q246" s="18" t="str">
        <f aca="false">IFERROR(__xludf.dummyfunction("REGEXEXTRACT(ADDRESS(ROW(), 59+$H246), ""[A-Z]+"")"),"BG")</f>
        <v>BG</v>
      </c>
      <c r="R246" s="18" t="str">
        <f aca="false">IFERROR(__xludf.dummyfunction("REGEXEXTRACT(ADDRESS(ROW(), 60+$H246), ""[A-Z]+"")"),"BH")</f>
        <v>BH</v>
      </c>
      <c r="S246" s="18" t="str">
        <f aca="false">IFERROR(__xludf.dummyfunction("REGEXEXTRACT(ADDRESS(ROW(), 62+$H246), ""[A-Z]+"")"),"BJ")</f>
        <v>BJ</v>
      </c>
      <c r="T246" s="18" t="str">
        <f aca="false">IFERROR(__xludf.dummyfunction("REGEXEXTRACT(ADDRESS(ROW(), 63+$H246), ""[A-Z]+"")"),"BK")</f>
        <v>BK</v>
      </c>
      <c r="U246" s="19" t="n">
        <f aca="false">IFERROR(__xludf.dummyfunction("IFERROR(QUERY(INDIRECT(""'""&amp;F246&amp;""'!C3:""&amp;T246&amp;""""), ""SELECT ""&amp;I246&amp;"", ""&amp;J246&amp;"", ""&amp;K246&amp;"", ""&amp;L246&amp;"", ""&amp;M246&amp;"", ""&amp;N246&amp;"", ""&amp;O246&amp;"", ""&amp;P246&amp;"", ""&amp;Q246&amp;"", ""&amp;R246&amp;"", ""&amp;S246&amp;"" WHERE '""&amp;B246&amp;""' = D"", 0), """")"),10)</f>
        <v>10</v>
      </c>
      <c r="V246" s="22" t="n">
        <f aca="false">IFERROR(__xludf.dummyfunction("""COMPUTED_VALUE"""),9.5)</f>
        <v>9.5</v>
      </c>
      <c r="W246" s="22" t="n">
        <f aca="false">IFERROR(__xludf.dummyfunction("""COMPUTED_VALUE"""),9.5)</f>
        <v>9.5</v>
      </c>
      <c r="X246" s="22" t="n">
        <f aca="false">IFERROR(__xludf.dummyfunction("""COMPUTED_VALUE"""),10)</f>
        <v>10</v>
      </c>
      <c r="Y246" s="22" t="n">
        <f aca="false">IFERROR(__xludf.dummyfunction("""COMPUTED_VALUE"""),10)</f>
        <v>10</v>
      </c>
      <c r="Z246" s="22" t="n">
        <f aca="false">IFERROR(__xludf.dummyfunction("""COMPUTED_VALUE"""),3)</f>
        <v>3</v>
      </c>
      <c r="AA246" s="22" t="n">
        <f aca="false">IFERROR(__xludf.dummyfunction("""COMPUTED_VALUE"""),1)</f>
        <v>1</v>
      </c>
      <c r="AB246" s="22" t="n">
        <f aca="false">IFERROR(__xludf.dummyfunction("""COMPUTED_VALUE"""),9)</f>
        <v>9</v>
      </c>
      <c r="AC246" s="22" t="n">
        <f aca="false">IFERROR(__xludf.dummyfunction("""COMPUTED_VALUE"""),29)</f>
        <v>29</v>
      </c>
      <c r="AD246" s="23"/>
      <c r="AE246" s="24" t="n">
        <f aca="false">IFERROR(__xludf.dummyfunction("""COMPUTED_VALUE"""),91)</f>
        <v>91</v>
      </c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</row>
    <row r="247" customFormat="false" ht="18.65" hidden="false" customHeight="false" outlineLevel="0" collapsed="false">
      <c r="A247" s="13" t="n">
        <v>246</v>
      </c>
      <c r="B247" s="14" t="s">
        <v>526</v>
      </c>
      <c r="C247" s="15" t="s">
        <v>527</v>
      </c>
      <c r="D247" s="16" t="s">
        <v>191</v>
      </c>
      <c r="E247" s="16" t="s">
        <v>191</v>
      </c>
      <c r="F247" s="16" t="str">
        <f aca="false">REPLACE(E247, 1, 3, "")</f>
        <v>12</v>
      </c>
      <c r="G247" s="17" t="str">
        <f aca="true">IFERROR(VLOOKUP(B247,INDIRECT("'"&amp;F247&amp;"'!D3:D"),1,FALSE()), "Not found")</f>
        <v>Not found</v>
      </c>
      <c r="H247" s="18" t="n">
        <f aca="true">INDIRECT("'"&amp;F247&amp;"'!D1")</f>
        <v>0</v>
      </c>
      <c r="I247" s="18" t="str">
        <f aca="false">IFERROR(__xludf.dummyfunction("REGEXEXTRACT(ADDRESS(ROW(), 24+$H247), ""[A-Z]+"")"),"X")</f>
        <v>X</v>
      </c>
      <c r="J247" s="18" t="str">
        <f aca="false">IFERROR(__xludf.dummyfunction("REGEXEXTRACT(ADDRESS(ROW(), 30+$H247), ""[A-Z]+"")"),"AD")</f>
        <v>AD</v>
      </c>
      <c r="K247" s="18" t="str">
        <f aca="false">IFERROR(__xludf.dummyfunction("REGEXEXTRACT(ADDRESS(ROW(), 36+$H247), ""[A-Z]+"")"),"AJ")</f>
        <v>AJ</v>
      </c>
      <c r="L247" s="18" t="str">
        <f aca="false">IFERROR(__xludf.dummyfunction("REGEXEXTRACT(ADDRESS(ROW(), 42+$H247), ""[A-Z]+"")"),"AP")</f>
        <v>AP</v>
      </c>
      <c r="M247" s="18" t="str">
        <f aca="false">IFERROR(__xludf.dummyfunction("REGEXEXTRACT(ADDRESS(ROW(), 48+$H247), ""[A-Z]+"")"),"AV")</f>
        <v>AV</v>
      </c>
      <c r="N247" s="18" t="str">
        <f aca="false">IFERROR(__xludf.dummyfunction("REGEXEXTRACT(ADDRESS(ROW(), 50+$H247), ""[A-Z]+"")"),"AX")</f>
        <v>AX</v>
      </c>
      <c r="O247" s="18" t="str">
        <f aca="false">IFERROR(__xludf.dummyfunction("REGEXEXTRACT(ADDRESS(ROW(), 51+$H247), ""[A-Z]+"")"),"AY")</f>
        <v>AY</v>
      </c>
      <c r="P247" s="18" t="str">
        <f aca="false">IFERROR(__xludf.dummyfunction("REGEXEXTRACT(ADDRESS(ROW(), 54+$H247), ""[A-Z]+"")"),"BB")</f>
        <v>BB</v>
      </c>
      <c r="Q247" s="18" t="str">
        <f aca="false">IFERROR(__xludf.dummyfunction("REGEXEXTRACT(ADDRESS(ROW(), 59+$H247), ""[A-Z]+"")"),"BG")</f>
        <v>BG</v>
      </c>
      <c r="R247" s="18" t="str">
        <f aca="false">IFERROR(__xludf.dummyfunction("REGEXEXTRACT(ADDRESS(ROW(), 60+$H247), ""[A-Z]+"")"),"BH")</f>
        <v>BH</v>
      </c>
      <c r="S247" s="18" t="str">
        <f aca="false">IFERROR(__xludf.dummyfunction("REGEXEXTRACT(ADDRESS(ROW(), 62+$H247), ""[A-Z]+"")"),"BJ")</f>
        <v>BJ</v>
      </c>
      <c r="T247" s="18" t="str">
        <f aca="false">IFERROR(__xludf.dummyfunction("REGEXEXTRACT(ADDRESS(ROW(), 63+$H247), ""[A-Z]+"")"),"BK")</f>
        <v>BK</v>
      </c>
      <c r="U247" s="19" t="n">
        <f aca="false">IFERROR(__xludf.dummyfunction("IFERROR(QUERY(INDIRECT(""'""&amp;F247&amp;""'!C3:""&amp;T247&amp;""""), ""SELECT ""&amp;I247&amp;"", ""&amp;J247&amp;"", ""&amp;K247&amp;"", ""&amp;L247&amp;"", ""&amp;M247&amp;"", ""&amp;N247&amp;"", ""&amp;O247&amp;"", ""&amp;P247&amp;"", ""&amp;Q247&amp;"", ""&amp;R247&amp;"", ""&amp;S247&amp;"" WHERE '""&amp;B247&amp;""' = D"", 0), """")"),10)</f>
        <v>10</v>
      </c>
      <c r="V247" s="22" t="n">
        <f aca="false">IFERROR(__xludf.dummyfunction("""COMPUTED_VALUE"""),10)</f>
        <v>10</v>
      </c>
      <c r="W247" s="22" t="n">
        <f aca="false">IFERROR(__xludf.dummyfunction("""COMPUTED_VALUE"""),10)</f>
        <v>10</v>
      </c>
      <c r="X247" s="22" t="n">
        <f aca="false">IFERROR(__xludf.dummyfunction("""COMPUTED_VALUE"""),10)</f>
        <v>10</v>
      </c>
      <c r="Y247" s="22" t="n">
        <f aca="false">IFERROR(__xludf.dummyfunction("""COMPUTED_VALUE"""),10)</f>
        <v>10</v>
      </c>
      <c r="Z247" s="22" t="n">
        <f aca="false">IFERROR(__xludf.dummyfunction("""COMPUTED_VALUE"""),1)</f>
        <v>1</v>
      </c>
      <c r="AA247" s="22"/>
      <c r="AB247" s="22" t="n">
        <f aca="false">IFERROR(__xludf.dummyfunction("""COMPUTED_VALUE"""),10)</f>
        <v>10</v>
      </c>
      <c r="AC247" s="22" t="n">
        <f aca="false">IFERROR(__xludf.dummyfunction("""COMPUTED_VALUE"""),20)</f>
        <v>20</v>
      </c>
      <c r="AD247" s="23"/>
      <c r="AE247" s="24" t="n">
        <f aca="false">IFERROR(__xludf.dummyfunction("""COMPUTED_VALUE"""),81)</f>
        <v>81</v>
      </c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</row>
    <row r="248" customFormat="false" ht="18.65" hidden="false" customHeight="false" outlineLevel="0" collapsed="false">
      <c r="A248" s="13" t="n">
        <v>247</v>
      </c>
      <c r="B248" s="14" t="s">
        <v>528</v>
      </c>
      <c r="C248" s="15" t="s">
        <v>529</v>
      </c>
      <c r="D248" s="16" t="s">
        <v>194</v>
      </c>
      <c r="E248" s="16" t="s">
        <v>194</v>
      </c>
      <c r="F248" s="16" t="str">
        <f aca="false">REPLACE(E248, 1, 3, "")</f>
        <v>10</v>
      </c>
      <c r="G248" s="17" t="str">
        <f aca="true">IFERROR(VLOOKUP(B248,INDIRECT("'"&amp;F248&amp;"'!D3:D"),1,FALSE()), "Not found")</f>
        <v>Not found</v>
      </c>
      <c r="H248" s="18" t="n">
        <f aca="true">INDIRECT("'"&amp;F248&amp;"'!D1")</f>
        <v>0</v>
      </c>
      <c r="I248" s="18" t="str">
        <f aca="false">IFERROR(__xludf.dummyfunction("REGEXEXTRACT(ADDRESS(ROW(), 24+$H248), ""[A-Z]+"")"),"X")</f>
        <v>X</v>
      </c>
      <c r="J248" s="18" t="str">
        <f aca="false">IFERROR(__xludf.dummyfunction("REGEXEXTRACT(ADDRESS(ROW(), 30+$H248), ""[A-Z]+"")"),"AD")</f>
        <v>AD</v>
      </c>
      <c r="K248" s="18" t="str">
        <f aca="false">IFERROR(__xludf.dummyfunction("REGEXEXTRACT(ADDRESS(ROW(), 36+$H248), ""[A-Z]+"")"),"AJ")</f>
        <v>AJ</v>
      </c>
      <c r="L248" s="18" t="str">
        <f aca="false">IFERROR(__xludf.dummyfunction("REGEXEXTRACT(ADDRESS(ROW(), 42+$H248), ""[A-Z]+"")"),"AP")</f>
        <v>AP</v>
      </c>
      <c r="M248" s="18" t="str">
        <f aca="false">IFERROR(__xludf.dummyfunction("REGEXEXTRACT(ADDRESS(ROW(), 48+$H248), ""[A-Z]+"")"),"AV")</f>
        <v>AV</v>
      </c>
      <c r="N248" s="18" t="str">
        <f aca="false">IFERROR(__xludf.dummyfunction("REGEXEXTRACT(ADDRESS(ROW(), 50+$H248), ""[A-Z]+"")"),"AX")</f>
        <v>AX</v>
      </c>
      <c r="O248" s="18" t="str">
        <f aca="false">IFERROR(__xludf.dummyfunction("REGEXEXTRACT(ADDRESS(ROW(), 51+$H248), ""[A-Z]+"")"),"AY")</f>
        <v>AY</v>
      </c>
      <c r="P248" s="18" t="str">
        <f aca="false">IFERROR(__xludf.dummyfunction("REGEXEXTRACT(ADDRESS(ROW(), 54+$H248), ""[A-Z]+"")"),"BB")</f>
        <v>BB</v>
      </c>
      <c r="Q248" s="18" t="str">
        <f aca="false">IFERROR(__xludf.dummyfunction("REGEXEXTRACT(ADDRESS(ROW(), 59+$H248), ""[A-Z]+"")"),"BG")</f>
        <v>BG</v>
      </c>
      <c r="R248" s="18" t="str">
        <f aca="false">IFERROR(__xludf.dummyfunction("REGEXEXTRACT(ADDRESS(ROW(), 60+$H248), ""[A-Z]+"")"),"BH")</f>
        <v>BH</v>
      </c>
      <c r="S248" s="18" t="str">
        <f aca="false">IFERROR(__xludf.dummyfunction("REGEXEXTRACT(ADDRESS(ROW(), 62+$H248), ""[A-Z]+"")"),"BJ")</f>
        <v>BJ</v>
      </c>
      <c r="T248" s="18" t="str">
        <f aca="false">IFERROR(__xludf.dummyfunction("REGEXEXTRACT(ADDRESS(ROW(), 63+$H248), ""[A-Z]+"")"),"BK")</f>
        <v>BK</v>
      </c>
      <c r="U248" s="19" t="n">
        <f aca="false">IFERROR(__xludf.dummyfunction("IFERROR(QUERY(INDIRECT(""'""&amp;F248&amp;""'!C3:""&amp;T248&amp;""""), ""SELECT ""&amp;I248&amp;"", ""&amp;J248&amp;"", ""&amp;K248&amp;"", ""&amp;L248&amp;"", ""&amp;M248&amp;"", ""&amp;N248&amp;"", ""&amp;O248&amp;"", ""&amp;P248&amp;"", ""&amp;Q248&amp;"", ""&amp;R248&amp;"", ""&amp;S248&amp;"" WHERE '""&amp;B248&amp;""' = D"", 0), """")"),9)</f>
        <v>9</v>
      </c>
      <c r="V248" s="22" t="n">
        <f aca="false">IFERROR(__xludf.dummyfunction("""COMPUTED_VALUE"""),9)</f>
        <v>9</v>
      </c>
      <c r="W248" s="22" t="n">
        <f aca="false">IFERROR(__xludf.dummyfunction("""COMPUTED_VALUE"""),8.9)</f>
        <v>8.9</v>
      </c>
      <c r="X248" s="22" t="n">
        <f aca="false">IFERROR(__xludf.dummyfunction("""COMPUTED_VALUE"""),8.9)</f>
        <v>8.9</v>
      </c>
      <c r="Y248" s="22" t="n">
        <f aca="false">IFERROR(__xludf.dummyfunction("""COMPUTED_VALUE"""),9)</f>
        <v>9</v>
      </c>
      <c r="Z248" s="22"/>
      <c r="AA248" s="22" t="n">
        <f aca="false">IFERROR(__xludf.dummyfunction("""COMPUTED_VALUE"""),2)</f>
        <v>2</v>
      </c>
      <c r="AB248" s="22" t="n">
        <f aca="false">IFERROR(__xludf.dummyfunction("""COMPUTED_VALUE"""),10)</f>
        <v>10</v>
      </c>
      <c r="AC248" s="22" t="n">
        <f aca="false">IFERROR(__xludf.dummyfunction("""COMPUTED_VALUE"""),28)</f>
        <v>28</v>
      </c>
      <c r="AD248" s="23"/>
      <c r="AE248" s="24" t="n">
        <f aca="false">IFERROR(__xludf.dummyfunction("""COMPUTED_VALUE"""),84.8)</f>
        <v>84.8</v>
      </c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</row>
    <row r="249" customFormat="false" ht="18.65" hidden="false" customHeight="false" outlineLevel="0" collapsed="false">
      <c r="A249" s="13" t="n">
        <v>248</v>
      </c>
      <c r="B249" s="14" t="s">
        <v>530</v>
      </c>
      <c r="C249" s="15" t="s">
        <v>531</v>
      </c>
      <c r="D249" s="16" t="s">
        <v>223</v>
      </c>
      <c r="E249" s="16" t="s">
        <v>223</v>
      </c>
      <c r="F249" s="16" t="str">
        <f aca="false">REPLACE(E249, 1, 3, "")</f>
        <v>17</v>
      </c>
      <c r="G249" s="17" t="str">
        <f aca="true">IFERROR(VLOOKUP(B249,INDIRECT("'"&amp;F249&amp;"'!D3:D"),1,FALSE()), "Not found")</f>
        <v>Not found</v>
      </c>
      <c r="H249" s="18" t="n">
        <f aca="true">INDIRECT("'"&amp;F249&amp;"'!D1")</f>
        <v>0</v>
      </c>
      <c r="I249" s="18" t="str">
        <f aca="false">IFERROR(__xludf.dummyfunction("REGEXEXTRACT(ADDRESS(ROW(), 24+$H249), ""[A-Z]+"")"),"X")</f>
        <v>X</v>
      </c>
      <c r="J249" s="18" t="str">
        <f aca="false">IFERROR(__xludf.dummyfunction("REGEXEXTRACT(ADDRESS(ROW(), 30+$H249), ""[A-Z]+"")"),"AD")</f>
        <v>AD</v>
      </c>
      <c r="K249" s="18" t="str">
        <f aca="false">IFERROR(__xludf.dummyfunction("REGEXEXTRACT(ADDRESS(ROW(), 36+$H249), ""[A-Z]+"")"),"AJ")</f>
        <v>AJ</v>
      </c>
      <c r="L249" s="18" t="str">
        <f aca="false">IFERROR(__xludf.dummyfunction("REGEXEXTRACT(ADDRESS(ROW(), 42+$H249), ""[A-Z]+"")"),"AP")</f>
        <v>AP</v>
      </c>
      <c r="M249" s="18" t="str">
        <f aca="false">IFERROR(__xludf.dummyfunction("REGEXEXTRACT(ADDRESS(ROW(), 48+$H249), ""[A-Z]+"")"),"AV")</f>
        <v>AV</v>
      </c>
      <c r="N249" s="18" t="str">
        <f aca="false">IFERROR(__xludf.dummyfunction("REGEXEXTRACT(ADDRESS(ROW(), 50+$H249), ""[A-Z]+"")"),"AX")</f>
        <v>AX</v>
      </c>
      <c r="O249" s="18" t="str">
        <f aca="false">IFERROR(__xludf.dummyfunction("REGEXEXTRACT(ADDRESS(ROW(), 51+$H249), ""[A-Z]+"")"),"AY")</f>
        <v>AY</v>
      </c>
      <c r="P249" s="18" t="str">
        <f aca="false">IFERROR(__xludf.dummyfunction("REGEXEXTRACT(ADDRESS(ROW(), 54+$H249), ""[A-Z]+"")"),"BB")</f>
        <v>BB</v>
      </c>
      <c r="Q249" s="18" t="str">
        <f aca="false">IFERROR(__xludf.dummyfunction("REGEXEXTRACT(ADDRESS(ROW(), 59+$H249), ""[A-Z]+"")"),"BG")</f>
        <v>BG</v>
      </c>
      <c r="R249" s="18" t="str">
        <f aca="false">IFERROR(__xludf.dummyfunction("REGEXEXTRACT(ADDRESS(ROW(), 60+$H249), ""[A-Z]+"")"),"BH")</f>
        <v>BH</v>
      </c>
      <c r="S249" s="18" t="str">
        <f aca="false">IFERROR(__xludf.dummyfunction("REGEXEXTRACT(ADDRESS(ROW(), 62+$H249), ""[A-Z]+"")"),"BJ")</f>
        <v>BJ</v>
      </c>
      <c r="T249" s="18" t="str">
        <f aca="false">IFERROR(__xludf.dummyfunction("REGEXEXTRACT(ADDRESS(ROW(), 63+$H249), ""[A-Z]+"")"),"BK")</f>
        <v>BK</v>
      </c>
      <c r="U249" s="19" t="n">
        <f aca="false">IFERROR(__xludf.dummyfunction("IFERROR(QUERY(INDIRECT(""'""&amp;F249&amp;""'!C3:""&amp;T249&amp;""""), ""SELECT ""&amp;I249&amp;"", ""&amp;J249&amp;"", ""&amp;K249&amp;"", ""&amp;L249&amp;"", ""&amp;M249&amp;"", ""&amp;N249&amp;"", ""&amp;O249&amp;"", ""&amp;P249&amp;"", ""&amp;Q249&amp;"", ""&amp;R249&amp;"", ""&amp;S249&amp;"" WHERE '""&amp;B249&amp;""' = D"", 0), """")"),8.5)</f>
        <v>8.5</v>
      </c>
      <c r="V249" s="22" t="n">
        <f aca="false">IFERROR(__xludf.dummyfunction("""COMPUTED_VALUE"""),8.5)</f>
        <v>8.5</v>
      </c>
      <c r="W249" s="22" t="n">
        <f aca="false">IFERROR(__xludf.dummyfunction("""COMPUTED_VALUE"""),9.2)</f>
        <v>9.2</v>
      </c>
      <c r="X249" s="22" t="n">
        <f aca="false">IFERROR(__xludf.dummyfunction("""COMPUTED_VALUE"""),9.2)</f>
        <v>9.2</v>
      </c>
      <c r="Y249" s="22" t="n">
        <f aca="false">IFERROR(__xludf.dummyfunction("""COMPUTED_VALUE"""),7)</f>
        <v>7</v>
      </c>
      <c r="Z249" s="22" t="n">
        <f aca="false">IFERROR(__xludf.dummyfunction("""COMPUTED_VALUE"""),2)</f>
        <v>2</v>
      </c>
      <c r="AA249" s="22"/>
      <c r="AB249" s="22" t="n">
        <f aca="false">IFERROR(__xludf.dummyfunction("""COMPUTED_VALUE"""),10)</f>
        <v>10</v>
      </c>
      <c r="AC249" s="22" t="n">
        <f aca="false">IFERROR(__xludf.dummyfunction("""COMPUTED_VALUE"""),16)</f>
        <v>16</v>
      </c>
      <c r="AD249" s="23"/>
      <c r="AE249" s="24" t="n">
        <f aca="false">IFERROR(__xludf.dummyfunction("""COMPUTED_VALUE"""),70.4)</f>
        <v>70.4</v>
      </c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</row>
    <row r="250" customFormat="false" ht="18.65" hidden="false" customHeight="false" outlineLevel="0" collapsed="false">
      <c r="A250" s="13" t="n">
        <v>249</v>
      </c>
      <c r="B250" s="14" t="s">
        <v>532</v>
      </c>
      <c r="C250" s="15" t="s">
        <v>533</v>
      </c>
      <c r="D250" s="16" t="s">
        <v>244</v>
      </c>
      <c r="E250" s="16" t="s">
        <v>244</v>
      </c>
      <c r="F250" s="16" t="str">
        <f aca="false">REPLACE(E250, 1, 3, "")</f>
        <v>13</v>
      </c>
      <c r="G250" s="17" t="str">
        <f aca="true">IFERROR(VLOOKUP(B250,INDIRECT("'"&amp;F250&amp;"'!D3:D"),1,FALSE()), "Not found")</f>
        <v>Not found</v>
      </c>
      <c r="H250" s="18" t="n">
        <f aca="true">INDIRECT("'"&amp;F250&amp;"'!D1")</f>
        <v>0</v>
      </c>
      <c r="I250" s="18" t="str">
        <f aca="false">IFERROR(__xludf.dummyfunction("REGEXEXTRACT(ADDRESS(ROW(), 24+$H250), ""[A-Z]+"")"),"X")</f>
        <v>X</v>
      </c>
      <c r="J250" s="18" t="str">
        <f aca="false">IFERROR(__xludf.dummyfunction("REGEXEXTRACT(ADDRESS(ROW(), 30+$H250), ""[A-Z]+"")"),"AD")</f>
        <v>AD</v>
      </c>
      <c r="K250" s="18" t="str">
        <f aca="false">IFERROR(__xludf.dummyfunction("REGEXEXTRACT(ADDRESS(ROW(), 36+$H250), ""[A-Z]+"")"),"AJ")</f>
        <v>AJ</v>
      </c>
      <c r="L250" s="18" t="str">
        <f aca="false">IFERROR(__xludf.dummyfunction("REGEXEXTRACT(ADDRESS(ROW(), 42+$H250), ""[A-Z]+"")"),"AP")</f>
        <v>AP</v>
      </c>
      <c r="M250" s="18" t="str">
        <f aca="false">IFERROR(__xludf.dummyfunction("REGEXEXTRACT(ADDRESS(ROW(), 48+$H250), ""[A-Z]+"")"),"AV")</f>
        <v>AV</v>
      </c>
      <c r="N250" s="18" t="str">
        <f aca="false">IFERROR(__xludf.dummyfunction("REGEXEXTRACT(ADDRESS(ROW(), 50+$H250), ""[A-Z]+"")"),"AX")</f>
        <v>AX</v>
      </c>
      <c r="O250" s="18" t="str">
        <f aca="false">IFERROR(__xludf.dummyfunction("REGEXEXTRACT(ADDRESS(ROW(), 51+$H250), ""[A-Z]+"")"),"AY")</f>
        <v>AY</v>
      </c>
      <c r="P250" s="18" t="str">
        <f aca="false">IFERROR(__xludf.dummyfunction("REGEXEXTRACT(ADDRESS(ROW(), 54+$H250), ""[A-Z]+"")"),"BB")</f>
        <v>BB</v>
      </c>
      <c r="Q250" s="18" t="str">
        <f aca="false">IFERROR(__xludf.dummyfunction("REGEXEXTRACT(ADDRESS(ROW(), 59+$H250), ""[A-Z]+"")"),"BG")</f>
        <v>BG</v>
      </c>
      <c r="R250" s="18" t="str">
        <f aca="false">IFERROR(__xludf.dummyfunction("REGEXEXTRACT(ADDRESS(ROW(), 60+$H250), ""[A-Z]+"")"),"BH")</f>
        <v>BH</v>
      </c>
      <c r="S250" s="18" t="str">
        <f aca="false">IFERROR(__xludf.dummyfunction("REGEXEXTRACT(ADDRESS(ROW(), 62+$H250), ""[A-Z]+"")"),"BJ")</f>
        <v>BJ</v>
      </c>
      <c r="T250" s="18" t="str">
        <f aca="false">IFERROR(__xludf.dummyfunction("REGEXEXTRACT(ADDRESS(ROW(), 63+$H250), ""[A-Z]+"")"),"BK")</f>
        <v>BK</v>
      </c>
      <c r="U250" s="19" t="n">
        <f aca="false">IFERROR(__xludf.dummyfunction("IFERROR(QUERY(INDIRECT(""'""&amp;F250&amp;""'!C3:""&amp;T250&amp;""""), ""SELECT ""&amp;I250&amp;"", ""&amp;J250&amp;"", ""&amp;K250&amp;"", ""&amp;L250&amp;"", ""&amp;M250&amp;"", ""&amp;N250&amp;"", ""&amp;O250&amp;"", ""&amp;P250&amp;"", ""&amp;Q250&amp;"", ""&amp;R250&amp;"", ""&amp;S250&amp;"" WHERE '""&amp;B250&amp;""' = D"", 0), """")"),10)</f>
        <v>10</v>
      </c>
      <c r="V250" s="22" t="n">
        <f aca="false">IFERROR(__xludf.dummyfunction("""COMPUTED_VALUE"""),9.5)</f>
        <v>9.5</v>
      </c>
      <c r="W250" s="22" t="n">
        <f aca="false">IFERROR(__xludf.dummyfunction("""COMPUTED_VALUE"""),9.5)</f>
        <v>9.5</v>
      </c>
      <c r="X250" s="22" t="n">
        <f aca="false">IFERROR(__xludf.dummyfunction("""COMPUTED_VALUE"""),9)</f>
        <v>9</v>
      </c>
      <c r="Y250" s="22" t="n">
        <f aca="false">IFERROR(__xludf.dummyfunction("""COMPUTED_VALUE"""),9)</f>
        <v>9</v>
      </c>
      <c r="Z250" s="22" t="n">
        <f aca="false">IFERROR(__xludf.dummyfunction("""COMPUTED_VALUE"""),2)</f>
        <v>2</v>
      </c>
      <c r="AA250" s="22" t="n">
        <f aca="false">IFERROR(__xludf.dummyfunction("""COMPUTED_VALUE"""),2)</f>
        <v>2</v>
      </c>
      <c r="AB250" s="22" t="n">
        <f aca="false">IFERROR(__xludf.dummyfunction("""COMPUTED_VALUE"""),10)</f>
        <v>10</v>
      </c>
      <c r="AC250" s="22" t="n">
        <f aca="false">IFERROR(__xludf.dummyfunction("""COMPUTED_VALUE"""),29)</f>
        <v>29</v>
      </c>
      <c r="AD250" s="23" t="n">
        <f aca="false">IFERROR(__xludf.dummyfunction("""COMPUTED_VALUE"""),1)</f>
        <v>1</v>
      </c>
      <c r="AE250" s="24" t="n">
        <f aca="false">IFERROR(__xludf.dummyfunction("""COMPUTED_VALUE"""),91)</f>
        <v>91</v>
      </c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</row>
    <row r="251" customFormat="false" ht="18.65" hidden="false" customHeight="false" outlineLevel="0" collapsed="false">
      <c r="A251" s="13" t="n">
        <v>250</v>
      </c>
      <c r="B251" s="14" t="s">
        <v>534</v>
      </c>
      <c r="C251" s="15" t="s">
        <v>535</v>
      </c>
      <c r="D251" s="16" t="s">
        <v>183</v>
      </c>
      <c r="E251" s="16" t="s">
        <v>183</v>
      </c>
      <c r="F251" s="16" t="str">
        <f aca="false">REPLACE(E251, 1, 3, "")</f>
        <v>14</v>
      </c>
      <c r="G251" s="17" t="str">
        <f aca="true">IFERROR(VLOOKUP(B251,INDIRECT("'"&amp;F251&amp;"'!D3:D"),1,FALSE()), "Not found")</f>
        <v>Not found</v>
      </c>
      <c r="H251" s="18" t="n">
        <f aca="true">INDIRECT("'"&amp;F251&amp;"'!D1")</f>
        <v>0</v>
      </c>
      <c r="I251" s="18" t="str">
        <f aca="false">IFERROR(__xludf.dummyfunction("REGEXEXTRACT(ADDRESS(ROW(), 24+$H251), ""[A-Z]+"")"),"X")</f>
        <v>X</v>
      </c>
      <c r="J251" s="18" t="str">
        <f aca="false">IFERROR(__xludf.dummyfunction("REGEXEXTRACT(ADDRESS(ROW(), 30+$H251), ""[A-Z]+"")"),"AD")</f>
        <v>AD</v>
      </c>
      <c r="K251" s="18" t="str">
        <f aca="false">IFERROR(__xludf.dummyfunction("REGEXEXTRACT(ADDRESS(ROW(), 36+$H251), ""[A-Z]+"")"),"AJ")</f>
        <v>AJ</v>
      </c>
      <c r="L251" s="18" t="str">
        <f aca="false">IFERROR(__xludf.dummyfunction("REGEXEXTRACT(ADDRESS(ROW(), 42+$H251), ""[A-Z]+"")"),"AP")</f>
        <v>AP</v>
      </c>
      <c r="M251" s="18" t="str">
        <f aca="false">IFERROR(__xludf.dummyfunction("REGEXEXTRACT(ADDRESS(ROW(), 48+$H251), ""[A-Z]+"")"),"AV")</f>
        <v>AV</v>
      </c>
      <c r="N251" s="18" t="str">
        <f aca="false">IFERROR(__xludf.dummyfunction("REGEXEXTRACT(ADDRESS(ROW(), 50+$H251), ""[A-Z]+"")"),"AX")</f>
        <v>AX</v>
      </c>
      <c r="O251" s="18" t="str">
        <f aca="false">IFERROR(__xludf.dummyfunction("REGEXEXTRACT(ADDRESS(ROW(), 51+$H251), ""[A-Z]+"")"),"AY")</f>
        <v>AY</v>
      </c>
      <c r="P251" s="18" t="str">
        <f aca="false">IFERROR(__xludf.dummyfunction("REGEXEXTRACT(ADDRESS(ROW(), 54+$H251), ""[A-Z]+"")"),"BB")</f>
        <v>BB</v>
      </c>
      <c r="Q251" s="18" t="str">
        <f aca="false">IFERROR(__xludf.dummyfunction("REGEXEXTRACT(ADDRESS(ROW(), 59+$H251), ""[A-Z]+"")"),"BG")</f>
        <v>BG</v>
      </c>
      <c r="R251" s="18" t="str">
        <f aca="false">IFERROR(__xludf.dummyfunction("REGEXEXTRACT(ADDRESS(ROW(), 60+$H251), ""[A-Z]+"")"),"BH")</f>
        <v>BH</v>
      </c>
      <c r="S251" s="18" t="str">
        <f aca="false">IFERROR(__xludf.dummyfunction("REGEXEXTRACT(ADDRESS(ROW(), 62+$H251), ""[A-Z]+"")"),"BJ")</f>
        <v>BJ</v>
      </c>
      <c r="T251" s="18" t="str">
        <f aca="false">IFERROR(__xludf.dummyfunction("REGEXEXTRACT(ADDRESS(ROW(), 63+$H251), ""[A-Z]+"")"),"BK")</f>
        <v>BK</v>
      </c>
      <c r="U251" s="19" t="str">
        <f aca="false">IFERROR(__xludf.dummyfunction("IFERROR(QUERY(INDIRECT(""'""&amp;F251&amp;""'!C3:""&amp;T251&amp;""""), ""SELECT ""&amp;I251&amp;"", ""&amp;J251&amp;"", ""&amp;K251&amp;"", ""&amp;L251&amp;"", ""&amp;M251&amp;"", ""&amp;N251&amp;"", ""&amp;O251&amp;"", ""&amp;P251&amp;"", ""&amp;Q251&amp;"", ""&amp;R251&amp;"", ""&amp;S251&amp;"" WHERE '""&amp;B251&amp;""' = D"", 0), """")"),"")</f>
        <v/>
      </c>
      <c r="V251" s="22"/>
      <c r="W251" s="22"/>
      <c r="X251" s="22"/>
      <c r="Y251" s="22" t="n">
        <f aca="false">IFERROR(__xludf.dummyfunction("""COMPUTED_VALUE"""),0)</f>
        <v>0</v>
      </c>
      <c r="Z251" s="22"/>
      <c r="AA251" s="22"/>
      <c r="AB251" s="22"/>
      <c r="AC251" s="22"/>
      <c r="AD251" s="23"/>
      <c r="AE251" s="24" t="n">
        <f aca="false">IFERROR(__xludf.dummyfunction("""COMPUTED_VALUE"""),0)</f>
        <v>0</v>
      </c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</row>
    <row r="252" customFormat="false" ht="18.65" hidden="false" customHeight="false" outlineLevel="0" collapsed="false">
      <c r="A252" s="13" t="n">
        <v>251</v>
      </c>
      <c r="B252" s="14" t="s">
        <v>536</v>
      </c>
      <c r="C252" s="15" t="s">
        <v>537</v>
      </c>
      <c r="D252" s="16" t="s">
        <v>186</v>
      </c>
      <c r="E252" s="16" t="s">
        <v>186</v>
      </c>
      <c r="F252" s="16" t="str">
        <f aca="false">REPLACE(E252, 1, 3, "")</f>
        <v>06</v>
      </c>
      <c r="G252" s="17" t="str">
        <f aca="true">IFERROR(VLOOKUP(B252,INDIRECT("'"&amp;F252&amp;"'!D3:D"),1,FALSE()), "Not found")</f>
        <v>Not found</v>
      </c>
      <c r="H252" s="18" t="n">
        <f aca="true">INDIRECT("'"&amp;F252&amp;"'!D1")</f>
        <v>0</v>
      </c>
      <c r="I252" s="18" t="str">
        <f aca="false">IFERROR(__xludf.dummyfunction("REGEXEXTRACT(ADDRESS(ROW(), 24+$H252), ""[A-Z]+"")"),"X")</f>
        <v>X</v>
      </c>
      <c r="J252" s="18" t="str">
        <f aca="false">IFERROR(__xludf.dummyfunction("REGEXEXTRACT(ADDRESS(ROW(), 30+$H252), ""[A-Z]+"")"),"AD")</f>
        <v>AD</v>
      </c>
      <c r="K252" s="18" t="str">
        <f aca="false">IFERROR(__xludf.dummyfunction("REGEXEXTRACT(ADDRESS(ROW(), 36+$H252), ""[A-Z]+"")"),"AJ")</f>
        <v>AJ</v>
      </c>
      <c r="L252" s="18" t="str">
        <f aca="false">IFERROR(__xludf.dummyfunction("REGEXEXTRACT(ADDRESS(ROW(), 42+$H252), ""[A-Z]+"")"),"AP")</f>
        <v>AP</v>
      </c>
      <c r="M252" s="18" t="str">
        <f aca="false">IFERROR(__xludf.dummyfunction("REGEXEXTRACT(ADDRESS(ROW(), 48+$H252), ""[A-Z]+"")"),"AV")</f>
        <v>AV</v>
      </c>
      <c r="N252" s="18" t="str">
        <f aca="false">IFERROR(__xludf.dummyfunction("REGEXEXTRACT(ADDRESS(ROW(), 50+$H252), ""[A-Z]+"")"),"AX")</f>
        <v>AX</v>
      </c>
      <c r="O252" s="18" t="str">
        <f aca="false">IFERROR(__xludf.dummyfunction("REGEXEXTRACT(ADDRESS(ROW(), 51+$H252), ""[A-Z]+"")"),"AY")</f>
        <v>AY</v>
      </c>
      <c r="P252" s="18" t="str">
        <f aca="false">IFERROR(__xludf.dummyfunction("REGEXEXTRACT(ADDRESS(ROW(), 54+$H252), ""[A-Z]+"")"),"BB")</f>
        <v>BB</v>
      </c>
      <c r="Q252" s="18" t="str">
        <f aca="false">IFERROR(__xludf.dummyfunction("REGEXEXTRACT(ADDRESS(ROW(), 59+$H252), ""[A-Z]+"")"),"BG")</f>
        <v>BG</v>
      </c>
      <c r="R252" s="18" t="str">
        <f aca="false">IFERROR(__xludf.dummyfunction("REGEXEXTRACT(ADDRESS(ROW(), 60+$H252), ""[A-Z]+"")"),"BH")</f>
        <v>BH</v>
      </c>
      <c r="S252" s="18" t="str">
        <f aca="false">IFERROR(__xludf.dummyfunction("REGEXEXTRACT(ADDRESS(ROW(), 62+$H252), ""[A-Z]+"")"),"BJ")</f>
        <v>BJ</v>
      </c>
      <c r="T252" s="18" t="str">
        <f aca="false">IFERROR(__xludf.dummyfunction("REGEXEXTRACT(ADDRESS(ROW(), 63+$H252), ""[A-Z]+"")"),"BK")</f>
        <v>BK</v>
      </c>
      <c r="U252" s="19" t="n">
        <f aca="false">IFERROR(__xludf.dummyfunction("IFERROR(QUERY(INDIRECT(""'""&amp;F252&amp;""'!C3:""&amp;T252&amp;""""), ""SELECT ""&amp;I252&amp;"", ""&amp;J252&amp;"", ""&amp;K252&amp;"", ""&amp;L252&amp;"", ""&amp;M252&amp;"", ""&amp;N252&amp;"", ""&amp;O252&amp;"", ""&amp;P252&amp;"", ""&amp;Q252&amp;"", ""&amp;R252&amp;"", ""&amp;S252&amp;"" WHERE '""&amp;B252&amp;""' = D"", 0), """")"),7.5)</f>
        <v>7.5</v>
      </c>
      <c r="V252" s="22" t="n">
        <f aca="false">IFERROR(__xludf.dummyfunction("""COMPUTED_VALUE"""),8)</f>
        <v>8</v>
      </c>
      <c r="W252" s="22" t="n">
        <f aca="false">IFERROR(__xludf.dummyfunction("""COMPUTED_VALUE"""),7)</f>
        <v>7</v>
      </c>
      <c r="X252" s="22" t="n">
        <f aca="false">IFERROR(__xludf.dummyfunction("""COMPUTED_VALUE"""),8)</f>
        <v>8</v>
      </c>
      <c r="Y252" s="22" t="n">
        <f aca="false">IFERROR(__xludf.dummyfunction("""COMPUTED_VALUE"""),0)</f>
        <v>0</v>
      </c>
      <c r="Z252" s="22"/>
      <c r="AA252" s="22"/>
      <c r="AB252" s="22" t="n">
        <f aca="false">IFERROR(__xludf.dummyfunction("""COMPUTED_VALUE"""),7)</f>
        <v>7</v>
      </c>
      <c r="AC252" s="22" t="n">
        <f aca="false">IFERROR(__xludf.dummyfunction("""COMPUTED_VALUE"""),27)</f>
        <v>27</v>
      </c>
      <c r="AD252" s="23"/>
      <c r="AE252" s="24" t="n">
        <f aca="false">IFERROR(__xludf.dummyfunction("""COMPUTED_VALUE"""),64.5)</f>
        <v>64.5</v>
      </c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</row>
    <row r="253" customFormat="false" ht="18.65" hidden="false" customHeight="false" outlineLevel="0" collapsed="false">
      <c r="A253" s="13" t="n">
        <v>252</v>
      </c>
      <c r="B253" s="14" t="s">
        <v>538</v>
      </c>
      <c r="C253" s="15" t="s">
        <v>539</v>
      </c>
      <c r="D253" s="16" t="s">
        <v>213</v>
      </c>
      <c r="E253" s="16" t="s">
        <v>213</v>
      </c>
      <c r="F253" s="16" t="str">
        <f aca="false">REPLACE(E253, 1, 3, "")</f>
        <v>16</v>
      </c>
      <c r="G253" s="17" t="str">
        <f aca="true">IFERROR(VLOOKUP(B253,INDIRECT("'"&amp;F253&amp;"'!D3:D"),1,FALSE()), "Not found")</f>
        <v>Not found</v>
      </c>
      <c r="H253" s="18" t="n">
        <f aca="true">INDIRECT("'"&amp;F253&amp;"'!D1")</f>
        <v>0</v>
      </c>
      <c r="I253" s="18" t="str">
        <f aca="false">IFERROR(__xludf.dummyfunction("REGEXEXTRACT(ADDRESS(ROW(), 24+$H253), ""[A-Z]+"")"),"X")</f>
        <v>X</v>
      </c>
      <c r="J253" s="18" t="str">
        <f aca="false">IFERROR(__xludf.dummyfunction("REGEXEXTRACT(ADDRESS(ROW(), 30+$H253), ""[A-Z]+"")"),"AD")</f>
        <v>AD</v>
      </c>
      <c r="K253" s="18" t="str">
        <f aca="false">IFERROR(__xludf.dummyfunction("REGEXEXTRACT(ADDRESS(ROW(), 36+$H253), ""[A-Z]+"")"),"AJ")</f>
        <v>AJ</v>
      </c>
      <c r="L253" s="18" t="str">
        <f aca="false">IFERROR(__xludf.dummyfunction("REGEXEXTRACT(ADDRESS(ROW(), 42+$H253), ""[A-Z]+"")"),"AP")</f>
        <v>AP</v>
      </c>
      <c r="M253" s="18" t="str">
        <f aca="false">IFERROR(__xludf.dummyfunction("REGEXEXTRACT(ADDRESS(ROW(), 48+$H253), ""[A-Z]+"")"),"AV")</f>
        <v>AV</v>
      </c>
      <c r="N253" s="18" t="str">
        <f aca="false">IFERROR(__xludf.dummyfunction("REGEXEXTRACT(ADDRESS(ROW(), 50+$H253), ""[A-Z]+"")"),"AX")</f>
        <v>AX</v>
      </c>
      <c r="O253" s="18" t="str">
        <f aca="false">IFERROR(__xludf.dummyfunction("REGEXEXTRACT(ADDRESS(ROW(), 51+$H253), ""[A-Z]+"")"),"AY")</f>
        <v>AY</v>
      </c>
      <c r="P253" s="18" t="str">
        <f aca="false">IFERROR(__xludf.dummyfunction("REGEXEXTRACT(ADDRESS(ROW(), 54+$H253), ""[A-Z]+"")"),"BB")</f>
        <v>BB</v>
      </c>
      <c r="Q253" s="18" t="str">
        <f aca="false">IFERROR(__xludf.dummyfunction("REGEXEXTRACT(ADDRESS(ROW(), 59+$H253), ""[A-Z]+"")"),"BG")</f>
        <v>BG</v>
      </c>
      <c r="R253" s="18" t="str">
        <f aca="false">IFERROR(__xludf.dummyfunction("REGEXEXTRACT(ADDRESS(ROW(), 60+$H253), ""[A-Z]+"")"),"BH")</f>
        <v>BH</v>
      </c>
      <c r="S253" s="18" t="str">
        <f aca="false">IFERROR(__xludf.dummyfunction("REGEXEXTRACT(ADDRESS(ROW(), 62+$H253), ""[A-Z]+"")"),"BJ")</f>
        <v>BJ</v>
      </c>
      <c r="T253" s="18" t="str">
        <f aca="false">IFERROR(__xludf.dummyfunction("REGEXEXTRACT(ADDRESS(ROW(), 63+$H253), ""[A-Z]+"")"),"BK")</f>
        <v>BK</v>
      </c>
      <c r="U253" s="19" t="n">
        <f aca="false">IFERROR(__xludf.dummyfunction("IFERROR(QUERY(INDIRECT(""'""&amp;F253&amp;""'!C3:""&amp;T253&amp;""""), ""SELECT ""&amp;I253&amp;"", ""&amp;J253&amp;"", ""&amp;K253&amp;"", ""&amp;L253&amp;"", ""&amp;M253&amp;"", ""&amp;N253&amp;"", ""&amp;O253&amp;"", ""&amp;P253&amp;"", ""&amp;Q253&amp;"", ""&amp;R253&amp;"", ""&amp;S253&amp;"" WHERE '""&amp;B253&amp;""' = D"", 0), """")"),6)</f>
        <v>6</v>
      </c>
      <c r="V253" s="22" t="n">
        <f aca="false">IFERROR(__xludf.dummyfunction("""COMPUTED_VALUE"""),10)</f>
        <v>10</v>
      </c>
      <c r="W253" s="22" t="n">
        <f aca="false">IFERROR(__xludf.dummyfunction("""COMPUTED_VALUE"""),10)</f>
        <v>10</v>
      </c>
      <c r="X253" s="22" t="n">
        <f aca="false">IFERROR(__xludf.dummyfunction("""COMPUTED_VALUE"""),9)</f>
        <v>9</v>
      </c>
      <c r="Y253" s="22" t="n">
        <f aca="false">IFERROR(__xludf.dummyfunction("""COMPUTED_VALUE"""),0)</f>
        <v>0</v>
      </c>
      <c r="Z253" s="22" t="n">
        <f aca="false">IFERROR(__xludf.dummyfunction("""COMPUTED_VALUE"""),0)</f>
        <v>0</v>
      </c>
      <c r="AA253" s="22" t="n">
        <f aca="false">IFERROR(__xludf.dummyfunction("""COMPUTED_VALUE"""),2)</f>
        <v>2</v>
      </c>
      <c r="AB253" s="22" t="n">
        <f aca="false">IFERROR(__xludf.dummyfunction("""COMPUTED_VALUE"""),8)</f>
        <v>8</v>
      </c>
      <c r="AC253" s="22" t="n">
        <f aca="false">IFERROR(__xludf.dummyfunction("""COMPUTED_VALUE"""),0)</f>
        <v>0</v>
      </c>
      <c r="AD253" s="23"/>
      <c r="AE253" s="24" t="n">
        <f aca="false">IFERROR(__xludf.dummyfunction("""COMPUTED_VALUE"""),45)</f>
        <v>45</v>
      </c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</row>
    <row r="254" customFormat="false" ht="18.65" hidden="false" customHeight="false" outlineLevel="0" collapsed="false">
      <c r="A254" s="13" t="n">
        <v>253</v>
      </c>
      <c r="B254" s="14" t="s">
        <v>540</v>
      </c>
      <c r="C254" s="15" t="s">
        <v>541</v>
      </c>
      <c r="D254" s="16" t="s">
        <v>218</v>
      </c>
      <c r="E254" s="16" t="s">
        <v>218</v>
      </c>
      <c r="F254" s="16" t="str">
        <f aca="false">REPLACE(E254, 1, 3, "")</f>
        <v>15</v>
      </c>
      <c r="G254" s="17" t="str">
        <f aca="true">IFERROR(VLOOKUP(B254,INDIRECT("'"&amp;F254&amp;"'!D3:D"),1,FALSE()), "Not found")</f>
        <v>Not found</v>
      </c>
      <c r="H254" s="18" t="n">
        <f aca="true">INDIRECT("'"&amp;F254&amp;"'!D1")</f>
        <v>0</v>
      </c>
      <c r="I254" s="18" t="str">
        <f aca="false">IFERROR(__xludf.dummyfunction("REGEXEXTRACT(ADDRESS(ROW(), 24+$H254), ""[A-Z]+"")"),"X")</f>
        <v>X</v>
      </c>
      <c r="J254" s="18" t="str">
        <f aca="false">IFERROR(__xludf.dummyfunction("REGEXEXTRACT(ADDRESS(ROW(), 30+$H254), ""[A-Z]+"")"),"AD")</f>
        <v>AD</v>
      </c>
      <c r="K254" s="18" t="str">
        <f aca="false">IFERROR(__xludf.dummyfunction("REGEXEXTRACT(ADDRESS(ROW(), 36+$H254), ""[A-Z]+"")"),"AJ")</f>
        <v>AJ</v>
      </c>
      <c r="L254" s="18" t="str">
        <f aca="false">IFERROR(__xludf.dummyfunction("REGEXEXTRACT(ADDRESS(ROW(), 42+$H254), ""[A-Z]+"")"),"AP")</f>
        <v>AP</v>
      </c>
      <c r="M254" s="18" t="str">
        <f aca="false">IFERROR(__xludf.dummyfunction("REGEXEXTRACT(ADDRESS(ROW(), 48+$H254), ""[A-Z]+"")"),"AV")</f>
        <v>AV</v>
      </c>
      <c r="N254" s="18" t="str">
        <f aca="false">IFERROR(__xludf.dummyfunction("REGEXEXTRACT(ADDRESS(ROW(), 50+$H254), ""[A-Z]+"")"),"AX")</f>
        <v>AX</v>
      </c>
      <c r="O254" s="18" t="str">
        <f aca="false">IFERROR(__xludf.dummyfunction("REGEXEXTRACT(ADDRESS(ROW(), 51+$H254), ""[A-Z]+"")"),"AY")</f>
        <v>AY</v>
      </c>
      <c r="P254" s="18" t="str">
        <f aca="false">IFERROR(__xludf.dummyfunction("REGEXEXTRACT(ADDRESS(ROW(), 54+$H254), ""[A-Z]+"")"),"BB")</f>
        <v>BB</v>
      </c>
      <c r="Q254" s="18" t="str">
        <f aca="false">IFERROR(__xludf.dummyfunction("REGEXEXTRACT(ADDRESS(ROW(), 59+$H254), ""[A-Z]+"")"),"BG")</f>
        <v>BG</v>
      </c>
      <c r="R254" s="18" t="str">
        <f aca="false">IFERROR(__xludf.dummyfunction("REGEXEXTRACT(ADDRESS(ROW(), 60+$H254), ""[A-Z]+"")"),"BH")</f>
        <v>BH</v>
      </c>
      <c r="S254" s="18" t="str">
        <f aca="false">IFERROR(__xludf.dummyfunction("REGEXEXTRACT(ADDRESS(ROW(), 62+$H254), ""[A-Z]+"")"),"BJ")</f>
        <v>BJ</v>
      </c>
      <c r="T254" s="18" t="str">
        <f aca="false">IFERROR(__xludf.dummyfunction("REGEXEXTRACT(ADDRESS(ROW(), 63+$H254), ""[A-Z]+"")"),"BK")</f>
        <v>BK</v>
      </c>
      <c r="U254" s="19" t="n">
        <f aca="false">IFERROR(__xludf.dummyfunction("IFERROR(QUERY(INDIRECT(""'""&amp;F254&amp;""'!C3:""&amp;T254&amp;""""), ""SELECT ""&amp;I254&amp;"", ""&amp;J254&amp;"", ""&amp;K254&amp;"", ""&amp;L254&amp;"", ""&amp;M254&amp;"", ""&amp;N254&amp;"", ""&amp;O254&amp;"", ""&amp;P254&amp;"", ""&amp;Q254&amp;"", ""&amp;R254&amp;"", ""&amp;S254&amp;"" WHERE '""&amp;B254&amp;""' = D"", 0), """")"),8.8)</f>
        <v>8.8</v>
      </c>
      <c r="V254" s="22" t="n">
        <f aca="false">IFERROR(__xludf.dummyfunction("""COMPUTED_VALUE"""),8)</f>
        <v>8</v>
      </c>
      <c r="W254" s="22" t="n">
        <f aca="false">IFERROR(__xludf.dummyfunction("""COMPUTED_VALUE"""),8)</f>
        <v>8</v>
      </c>
      <c r="X254" s="22" t="n">
        <f aca="false">IFERROR(__xludf.dummyfunction("""COMPUTED_VALUE"""),8)</f>
        <v>8</v>
      </c>
      <c r="Y254" s="22" t="n">
        <f aca="false">IFERROR(__xludf.dummyfunction("""COMPUTED_VALUE"""),0)</f>
        <v>0</v>
      </c>
      <c r="Z254" s="22"/>
      <c r="AA254" s="22"/>
      <c r="AB254" s="22" t="n">
        <f aca="false">IFERROR(__xludf.dummyfunction("""COMPUTED_VALUE"""),10)</f>
        <v>10</v>
      </c>
      <c r="AC254" s="22" t="n">
        <f aca="false">IFERROR(__xludf.dummyfunction("""COMPUTED_VALUE"""),25)</f>
        <v>25</v>
      </c>
      <c r="AD254" s="23"/>
      <c r="AE254" s="24" t="n">
        <f aca="false">IFERROR(__xludf.dummyfunction("""COMPUTED_VALUE"""),67.8)</f>
        <v>67.8</v>
      </c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</row>
    <row r="255" customFormat="false" ht="18.65" hidden="false" customHeight="false" outlineLevel="0" collapsed="false">
      <c r="A255" s="13" t="n">
        <v>254</v>
      </c>
      <c r="B255" s="14" t="s">
        <v>542</v>
      </c>
      <c r="C255" s="15" t="s">
        <v>543</v>
      </c>
      <c r="D255" s="16" t="s">
        <v>213</v>
      </c>
      <c r="E255" s="16" t="s">
        <v>213</v>
      </c>
      <c r="F255" s="16" t="str">
        <f aca="false">REPLACE(E255, 1, 3, "")</f>
        <v>16</v>
      </c>
      <c r="G255" s="17" t="str">
        <f aca="true">IFERROR(VLOOKUP(B255,INDIRECT("'"&amp;F255&amp;"'!D3:D"),1,FALSE()), "Not found")</f>
        <v>Not found</v>
      </c>
      <c r="H255" s="18" t="n">
        <f aca="true">INDIRECT("'"&amp;F255&amp;"'!D1")</f>
        <v>0</v>
      </c>
      <c r="I255" s="18" t="str">
        <f aca="false">IFERROR(__xludf.dummyfunction("REGEXEXTRACT(ADDRESS(ROW(), 24+$H255), ""[A-Z]+"")"),"X")</f>
        <v>X</v>
      </c>
      <c r="J255" s="18" t="str">
        <f aca="false">IFERROR(__xludf.dummyfunction("REGEXEXTRACT(ADDRESS(ROW(), 30+$H255), ""[A-Z]+"")"),"AD")</f>
        <v>AD</v>
      </c>
      <c r="K255" s="18" t="str">
        <f aca="false">IFERROR(__xludf.dummyfunction("REGEXEXTRACT(ADDRESS(ROW(), 36+$H255), ""[A-Z]+"")"),"AJ")</f>
        <v>AJ</v>
      </c>
      <c r="L255" s="18" t="str">
        <f aca="false">IFERROR(__xludf.dummyfunction("REGEXEXTRACT(ADDRESS(ROW(), 42+$H255), ""[A-Z]+"")"),"AP")</f>
        <v>AP</v>
      </c>
      <c r="M255" s="18" t="str">
        <f aca="false">IFERROR(__xludf.dummyfunction("REGEXEXTRACT(ADDRESS(ROW(), 48+$H255), ""[A-Z]+"")"),"AV")</f>
        <v>AV</v>
      </c>
      <c r="N255" s="18" t="str">
        <f aca="false">IFERROR(__xludf.dummyfunction("REGEXEXTRACT(ADDRESS(ROW(), 50+$H255), ""[A-Z]+"")"),"AX")</f>
        <v>AX</v>
      </c>
      <c r="O255" s="18" t="str">
        <f aca="false">IFERROR(__xludf.dummyfunction("REGEXEXTRACT(ADDRESS(ROW(), 51+$H255), ""[A-Z]+"")"),"AY")</f>
        <v>AY</v>
      </c>
      <c r="P255" s="18" t="str">
        <f aca="false">IFERROR(__xludf.dummyfunction("REGEXEXTRACT(ADDRESS(ROW(), 54+$H255), ""[A-Z]+"")"),"BB")</f>
        <v>BB</v>
      </c>
      <c r="Q255" s="18" t="str">
        <f aca="false">IFERROR(__xludf.dummyfunction("REGEXEXTRACT(ADDRESS(ROW(), 59+$H255), ""[A-Z]+"")"),"BG")</f>
        <v>BG</v>
      </c>
      <c r="R255" s="18" t="str">
        <f aca="false">IFERROR(__xludf.dummyfunction("REGEXEXTRACT(ADDRESS(ROW(), 60+$H255), ""[A-Z]+"")"),"BH")</f>
        <v>BH</v>
      </c>
      <c r="S255" s="18" t="str">
        <f aca="false">IFERROR(__xludf.dummyfunction("REGEXEXTRACT(ADDRESS(ROW(), 62+$H255), ""[A-Z]+"")"),"BJ")</f>
        <v>BJ</v>
      </c>
      <c r="T255" s="18" t="str">
        <f aca="false">IFERROR(__xludf.dummyfunction("REGEXEXTRACT(ADDRESS(ROW(), 63+$H255), ""[A-Z]+"")"),"BK")</f>
        <v>BK</v>
      </c>
      <c r="U255" s="19" t="n">
        <f aca="false">IFERROR(__xludf.dummyfunction("IFERROR(QUERY(INDIRECT(""'""&amp;F255&amp;""'!C3:""&amp;T255&amp;""""), ""SELECT ""&amp;I255&amp;"", ""&amp;J255&amp;"", ""&amp;K255&amp;"", ""&amp;L255&amp;"", ""&amp;M255&amp;"", ""&amp;N255&amp;"", ""&amp;O255&amp;"", ""&amp;P255&amp;"", ""&amp;Q255&amp;"", ""&amp;R255&amp;"", ""&amp;S255&amp;"" WHERE '""&amp;B255&amp;""' = D"", 0), """")"),6)</f>
        <v>6</v>
      </c>
      <c r="V255" s="22" t="n">
        <f aca="false">IFERROR(__xludf.dummyfunction("""COMPUTED_VALUE"""),7)</f>
        <v>7</v>
      </c>
      <c r="W255" s="22"/>
      <c r="X255" s="22"/>
      <c r="Y255" s="22" t="n">
        <f aca="false">IFERROR(__xludf.dummyfunction("""COMPUTED_VALUE"""),0)</f>
        <v>0</v>
      </c>
      <c r="Z255" s="22" t="n">
        <f aca="false">IFERROR(__xludf.dummyfunction("""COMPUTED_VALUE"""),0)</f>
        <v>0</v>
      </c>
      <c r="AA255" s="22"/>
      <c r="AB255" s="22" t="n">
        <f aca="false">IFERROR(__xludf.dummyfunction("""COMPUTED_VALUE"""),0)</f>
        <v>0</v>
      </c>
      <c r="AC255" s="22"/>
      <c r="AD255" s="23"/>
      <c r="AE255" s="24" t="n">
        <f aca="false">IFERROR(__xludf.dummyfunction("""COMPUTED_VALUE"""),13)</f>
        <v>13</v>
      </c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</row>
    <row r="256" customFormat="false" ht="18.65" hidden="false" customHeight="false" outlineLevel="0" collapsed="false">
      <c r="A256" s="13" t="n">
        <v>255</v>
      </c>
      <c r="B256" s="14" t="s">
        <v>544</v>
      </c>
      <c r="C256" s="15" t="s">
        <v>545</v>
      </c>
      <c r="D256" s="16" t="s">
        <v>191</v>
      </c>
      <c r="E256" s="16" t="s">
        <v>191</v>
      </c>
      <c r="F256" s="16" t="str">
        <f aca="false">REPLACE(E256, 1, 3, "")</f>
        <v>12</v>
      </c>
      <c r="G256" s="17" t="str">
        <f aca="true">IFERROR(VLOOKUP(B256,INDIRECT("'"&amp;F256&amp;"'!D3:D"),1,FALSE()), "Not found")</f>
        <v>Not found</v>
      </c>
      <c r="H256" s="18" t="n">
        <f aca="true">INDIRECT("'"&amp;F256&amp;"'!D1")</f>
        <v>0</v>
      </c>
      <c r="I256" s="18" t="str">
        <f aca="false">IFERROR(__xludf.dummyfunction("REGEXEXTRACT(ADDRESS(ROW(), 24+$H256), ""[A-Z]+"")"),"X")</f>
        <v>X</v>
      </c>
      <c r="J256" s="18" t="str">
        <f aca="false">IFERROR(__xludf.dummyfunction("REGEXEXTRACT(ADDRESS(ROW(), 30+$H256), ""[A-Z]+"")"),"AD")</f>
        <v>AD</v>
      </c>
      <c r="K256" s="18" t="str">
        <f aca="false">IFERROR(__xludf.dummyfunction("REGEXEXTRACT(ADDRESS(ROW(), 36+$H256), ""[A-Z]+"")"),"AJ")</f>
        <v>AJ</v>
      </c>
      <c r="L256" s="18" t="str">
        <f aca="false">IFERROR(__xludf.dummyfunction("REGEXEXTRACT(ADDRESS(ROW(), 42+$H256), ""[A-Z]+"")"),"AP")</f>
        <v>AP</v>
      </c>
      <c r="M256" s="18" t="str">
        <f aca="false">IFERROR(__xludf.dummyfunction("REGEXEXTRACT(ADDRESS(ROW(), 48+$H256), ""[A-Z]+"")"),"AV")</f>
        <v>AV</v>
      </c>
      <c r="N256" s="18" t="str">
        <f aca="false">IFERROR(__xludf.dummyfunction("REGEXEXTRACT(ADDRESS(ROW(), 50+$H256), ""[A-Z]+"")"),"AX")</f>
        <v>AX</v>
      </c>
      <c r="O256" s="18" t="str">
        <f aca="false">IFERROR(__xludf.dummyfunction("REGEXEXTRACT(ADDRESS(ROW(), 51+$H256), ""[A-Z]+"")"),"AY")</f>
        <v>AY</v>
      </c>
      <c r="P256" s="18" t="str">
        <f aca="false">IFERROR(__xludf.dummyfunction("REGEXEXTRACT(ADDRESS(ROW(), 54+$H256), ""[A-Z]+"")"),"BB")</f>
        <v>BB</v>
      </c>
      <c r="Q256" s="18" t="str">
        <f aca="false">IFERROR(__xludf.dummyfunction("REGEXEXTRACT(ADDRESS(ROW(), 59+$H256), ""[A-Z]+"")"),"BG")</f>
        <v>BG</v>
      </c>
      <c r="R256" s="18" t="str">
        <f aca="false">IFERROR(__xludf.dummyfunction("REGEXEXTRACT(ADDRESS(ROW(), 60+$H256), ""[A-Z]+"")"),"BH")</f>
        <v>BH</v>
      </c>
      <c r="S256" s="18" t="str">
        <f aca="false">IFERROR(__xludf.dummyfunction("REGEXEXTRACT(ADDRESS(ROW(), 62+$H256), ""[A-Z]+"")"),"BJ")</f>
        <v>BJ</v>
      </c>
      <c r="T256" s="18" t="str">
        <f aca="false">IFERROR(__xludf.dummyfunction("REGEXEXTRACT(ADDRESS(ROW(), 63+$H256), ""[A-Z]+"")"),"BK")</f>
        <v>BK</v>
      </c>
      <c r="U256" s="19" t="n">
        <f aca="false">IFERROR(__xludf.dummyfunction("IFERROR(QUERY(INDIRECT(""'""&amp;F256&amp;""'!C3:""&amp;T256&amp;""""), ""SELECT ""&amp;I256&amp;"", ""&amp;J256&amp;"", ""&amp;K256&amp;"", ""&amp;L256&amp;"", ""&amp;M256&amp;"", ""&amp;N256&amp;"", ""&amp;O256&amp;"", ""&amp;P256&amp;"", ""&amp;Q256&amp;"", ""&amp;R256&amp;"", ""&amp;S256&amp;"" WHERE '""&amp;B256&amp;""' = D"", 0), """")"),8)</f>
        <v>8</v>
      </c>
      <c r="V256" s="22" t="n">
        <f aca="false">IFERROR(__xludf.dummyfunction("""COMPUTED_VALUE"""),10)</f>
        <v>10</v>
      </c>
      <c r="W256" s="22" t="n">
        <f aca="false">IFERROR(__xludf.dummyfunction("""COMPUTED_VALUE"""),8.5)</f>
        <v>8.5</v>
      </c>
      <c r="X256" s="22" t="n">
        <f aca="false">IFERROR(__xludf.dummyfunction("""COMPUTED_VALUE"""),8)</f>
        <v>8</v>
      </c>
      <c r="Y256" s="22" t="n">
        <f aca="false">IFERROR(__xludf.dummyfunction("""COMPUTED_VALUE"""),0)</f>
        <v>0</v>
      </c>
      <c r="Z256" s="22" t="n">
        <f aca="false">IFERROR(__xludf.dummyfunction("""COMPUTED_VALUE"""),0)</f>
        <v>0</v>
      </c>
      <c r="AA256" s="22" t="n">
        <f aca="false">IFERROR(__xludf.dummyfunction("""COMPUTED_VALUE"""),1)</f>
        <v>1</v>
      </c>
      <c r="AB256" s="22" t="n">
        <f aca="false">IFERROR(__xludf.dummyfunction("""COMPUTED_VALUE"""),6)</f>
        <v>6</v>
      </c>
      <c r="AC256" s="22" t="n">
        <f aca="false">IFERROR(__xludf.dummyfunction("""COMPUTED_VALUE"""),20)</f>
        <v>20</v>
      </c>
      <c r="AD256" s="23"/>
      <c r="AE256" s="24" t="n">
        <f aca="false">IFERROR(__xludf.dummyfunction("""COMPUTED_VALUE"""),61.5)</f>
        <v>61.5</v>
      </c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</row>
    <row r="257" customFormat="false" ht="18.65" hidden="false" customHeight="false" outlineLevel="0" collapsed="false">
      <c r="A257" s="13" t="n">
        <v>256</v>
      </c>
      <c r="B257" s="14" t="s">
        <v>546</v>
      </c>
      <c r="C257" s="15" t="s">
        <v>547</v>
      </c>
      <c r="D257" s="16" t="s">
        <v>213</v>
      </c>
      <c r="E257" s="16" t="s">
        <v>213</v>
      </c>
      <c r="F257" s="16" t="str">
        <f aca="false">REPLACE(E257, 1, 3, "")</f>
        <v>16</v>
      </c>
      <c r="G257" s="17" t="str">
        <f aca="true">IFERROR(VLOOKUP(B257,INDIRECT("'"&amp;F257&amp;"'!D3:D"),1,FALSE()), "Not found")</f>
        <v>Not found</v>
      </c>
      <c r="H257" s="18" t="n">
        <f aca="true">INDIRECT("'"&amp;F257&amp;"'!D1")</f>
        <v>0</v>
      </c>
      <c r="I257" s="18" t="str">
        <f aca="false">IFERROR(__xludf.dummyfunction("REGEXEXTRACT(ADDRESS(ROW(), 24+$H257), ""[A-Z]+"")"),"X")</f>
        <v>X</v>
      </c>
      <c r="J257" s="18" t="str">
        <f aca="false">IFERROR(__xludf.dummyfunction("REGEXEXTRACT(ADDRESS(ROW(), 30+$H257), ""[A-Z]+"")"),"AD")</f>
        <v>AD</v>
      </c>
      <c r="K257" s="18" t="str">
        <f aca="false">IFERROR(__xludf.dummyfunction("REGEXEXTRACT(ADDRESS(ROW(), 36+$H257), ""[A-Z]+"")"),"AJ")</f>
        <v>AJ</v>
      </c>
      <c r="L257" s="18" t="str">
        <f aca="false">IFERROR(__xludf.dummyfunction("REGEXEXTRACT(ADDRESS(ROW(), 42+$H257), ""[A-Z]+"")"),"AP")</f>
        <v>AP</v>
      </c>
      <c r="M257" s="18" t="str">
        <f aca="false">IFERROR(__xludf.dummyfunction("REGEXEXTRACT(ADDRESS(ROW(), 48+$H257), ""[A-Z]+"")"),"AV")</f>
        <v>AV</v>
      </c>
      <c r="N257" s="18" t="str">
        <f aca="false">IFERROR(__xludf.dummyfunction("REGEXEXTRACT(ADDRESS(ROW(), 50+$H257), ""[A-Z]+"")"),"AX")</f>
        <v>AX</v>
      </c>
      <c r="O257" s="18" t="str">
        <f aca="false">IFERROR(__xludf.dummyfunction("REGEXEXTRACT(ADDRESS(ROW(), 51+$H257), ""[A-Z]+"")"),"AY")</f>
        <v>AY</v>
      </c>
      <c r="P257" s="18" t="str">
        <f aca="false">IFERROR(__xludf.dummyfunction("REGEXEXTRACT(ADDRESS(ROW(), 54+$H257), ""[A-Z]+"")"),"BB")</f>
        <v>BB</v>
      </c>
      <c r="Q257" s="18" t="str">
        <f aca="false">IFERROR(__xludf.dummyfunction("REGEXEXTRACT(ADDRESS(ROW(), 59+$H257), ""[A-Z]+"")"),"BG")</f>
        <v>BG</v>
      </c>
      <c r="R257" s="18" t="str">
        <f aca="false">IFERROR(__xludf.dummyfunction("REGEXEXTRACT(ADDRESS(ROW(), 60+$H257), ""[A-Z]+"")"),"BH")</f>
        <v>BH</v>
      </c>
      <c r="S257" s="18" t="str">
        <f aca="false">IFERROR(__xludf.dummyfunction("REGEXEXTRACT(ADDRESS(ROW(), 62+$H257), ""[A-Z]+"")"),"BJ")</f>
        <v>BJ</v>
      </c>
      <c r="T257" s="18" t="str">
        <f aca="false">IFERROR(__xludf.dummyfunction("REGEXEXTRACT(ADDRESS(ROW(), 63+$H257), ""[A-Z]+"")"),"BK")</f>
        <v>BK</v>
      </c>
      <c r="U257" s="19" t="n">
        <f aca="false">IFERROR(__xludf.dummyfunction("IFERROR(QUERY(INDIRECT(""'""&amp;F257&amp;""'!C3:""&amp;T257&amp;""""), ""SELECT ""&amp;I257&amp;"", ""&amp;J257&amp;"", ""&amp;K257&amp;"", ""&amp;L257&amp;"", ""&amp;M257&amp;"", ""&amp;N257&amp;"", ""&amp;O257&amp;"", ""&amp;P257&amp;"", ""&amp;Q257&amp;"", ""&amp;R257&amp;"", ""&amp;S257&amp;"" WHERE '""&amp;B257&amp;""' = D"", 0), """")"),9)</f>
        <v>9</v>
      </c>
      <c r="V257" s="22" t="n">
        <f aca="false">IFERROR(__xludf.dummyfunction("""COMPUTED_VALUE"""),9)</f>
        <v>9</v>
      </c>
      <c r="W257" s="22" t="n">
        <f aca="false">IFERROR(__xludf.dummyfunction("""COMPUTED_VALUE"""),10)</f>
        <v>10</v>
      </c>
      <c r="X257" s="22" t="n">
        <f aca="false">IFERROR(__xludf.dummyfunction("""COMPUTED_VALUE"""),9)</f>
        <v>9</v>
      </c>
      <c r="Y257" s="22" t="n">
        <f aca="false">IFERROR(__xludf.dummyfunction("""COMPUTED_VALUE"""),0)</f>
        <v>0</v>
      </c>
      <c r="Z257" s="22"/>
      <c r="AA257" s="22"/>
      <c r="AB257" s="22" t="n">
        <f aca="false">IFERROR(__xludf.dummyfunction("""COMPUTED_VALUE"""),10)</f>
        <v>10</v>
      </c>
      <c r="AC257" s="22" t="n">
        <f aca="false">IFERROR(__xludf.dummyfunction("""COMPUTED_VALUE"""),25.1)</f>
        <v>25.1</v>
      </c>
      <c r="AD257" s="23" t="n">
        <f aca="false">IFERROR(__xludf.dummyfunction("""COMPUTED_VALUE"""),2)</f>
        <v>2</v>
      </c>
      <c r="AE257" s="24" t="n">
        <f aca="false">IFERROR(__xludf.dummyfunction("""COMPUTED_VALUE"""),74.1)</f>
        <v>74.1</v>
      </c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</row>
    <row r="258" customFormat="false" ht="18.65" hidden="false" customHeight="false" outlineLevel="0" collapsed="false">
      <c r="A258" s="13" t="n">
        <v>257</v>
      </c>
      <c r="B258" s="14" t="s">
        <v>548</v>
      </c>
      <c r="C258" s="15" t="s">
        <v>549</v>
      </c>
      <c r="D258" s="16" t="s">
        <v>186</v>
      </c>
      <c r="E258" s="16" t="s">
        <v>186</v>
      </c>
      <c r="F258" s="16" t="str">
        <f aca="false">REPLACE(E258, 1, 3, "")</f>
        <v>06</v>
      </c>
      <c r="G258" s="17" t="str">
        <f aca="true">IFERROR(VLOOKUP(B258,INDIRECT("'"&amp;F258&amp;"'!D3:D"),1,FALSE()), "Not found")</f>
        <v>Not found</v>
      </c>
      <c r="H258" s="18" t="n">
        <f aca="true">INDIRECT("'"&amp;F258&amp;"'!D1")</f>
        <v>0</v>
      </c>
      <c r="I258" s="18" t="str">
        <f aca="false">IFERROR(__xludf.dummyfunction("REGEXEXTRACT(ADDRESS(ROW(), 24+$H258), ""[A-Z]+"")"),"X")</f>
        <v>X</v>
      </c>
      <c r="J258" s="18" t="str">
        <f aca="false">IFERROR(__xludf.dummyfunction("REGEXEXTRACT(ADDRESS(ROW(), 30+$H258), ""[A-Z]+"")"),"AD")</f>
        <v>AD</v>
      </c>
      <c r="K258" s="18" t="str">
        <f aca="false">IFERROR(__xludf.dummyfunction("REGEXEXTRACT(ADDRESS(ROW(), 36+$H258), ""[A-Z]+"")"),"AJ")</f>
        <v>AJ</v>
      </c>
      <c r="L258" s="18" t="str">
        <f aca="false">IFERROR(__xludf.dummyfunction("REGEXEXTRACT(ADDRESS(ROW(), 42+$H258), ""[A-Z]+"")"),"AP")</f>
        <v>AP</v>
      </c>
      <c r="M258" s="18" t="str">
        <f aca="false">IFERROR(__xludf.dummyfunction("REGEXEXTRACT(ADDRESS(ROW(), 48+$H258), ""[A-Z]+"")"),"AV")</f>
        <v>AV</v>
      </c>
      <c r="N258" s="18" t="str">
        <f aca="false">IFERROR(__xludf.dummyfunction("REGEXEXTRACT(ADDRESS(ROW(), 50+$H258), ""[A-Z]+"")"),"AX")</f>
        <v>AX</v>
      </c>
      <c r="O258" s="18" t="str">
        <f aca="false">IFERROR(__xludf.dummyfunction("REGEXEXTRACT(ADDRESS(ROW(), 51+$H258), ""[A-Z]+"")"),"AY")</f>
        <v>AY</v>
      </c>
      <c r="P258" s="18" t="str">
        <f aca="false">IFERROR(__xludf.dummyfunction("REGEXEXTRACT(ADDRESS(ROW(), 54+$H258), ""[A-Z]+"")"),"BB")</f>
        <v>BB</v>
      </c>
      <c r="Q258" s="18" t="str">
        <f aca="false">IFERROR(__xludf.dummyfunction("REGEXEXTRACT(ADDRESS(ROW(), 59+$H258), ""[A-Z]+"")"),"BG")</f>
        <v>BG</v>
      </c>
      <c r="R258" s="18" t="str">
        <f aca="false">IFERROR(__xludf.dummyfunction("REGEXEXTRACT(ADDRESS(ROW(), 60+$H258), ""[A-Z]+"")"),"BH")</f>
        <v>BH</v>
      </c>
      <c r="S258" s="18" t="str">
        <f aca="false">IFERROR(__xludf.dummyfunction("REGEXEXTRACT(ADDRESS(ROW(), 62+$H258), ""[A-Z]+"")"),"BJ")</f>
        <v>BJ</v>
      </c>
      <c r="T258" s="18" t="str">
        <f aca="false">IFERROR(__xludf.dummyfunction("REGEXEXTRACT(ADDRESS(ROW(), 63+$H258), ""[A-Z]+"")"),"BK")</f>
        <v>BK</v>
      </c>
      <c r="U258" s="19" t="n">
        <f aca="false">IFERROR(__xludf.dummyfunction("IFERROR(QUERY(INDIRECT(""'""&amp;F258&amp;""'!C3:""&amp;T258&amp;""""), ""SELECT ""&amp;I258&amp;"", ""&amp;J258&amp;"", ""&amp;K258&amp;"", ""&amp;L258&amp;"", ""&amp;M258&amp;"", ""&amp;N258&amp;"", ""&amp;O258&amp;"", ""&amp;P258&amp;"", ""&amp;Q258&amp;"", ""&amp;R258&amp;"", ""&amp;S258&amp;"" WHERE '""&amp;B258&amp;""' = D"", 0), """")"),7.5)</f>
        <v>7.5</v>
      </c>
      <c r="V258" s="22" t="n">
        <f aca="false">IFERROR(__xludf.dummyfunction("""COMPUTED_VALUE"""),7.5)</f>
        <v>7.5</v>
      </c>
      <c r="W258" s="22" t="n">
        <f aca="false">IFERROR(__xludf.dummyfunction("""COMPUTED_VALUE"""),8)</f>
        <v>8</v>
      </c>
      <c r="X258" s="22" t="n">
        <f aca="false">IFERROR(__xludf.dummyfunction("""COMPUTED_VALUE"""),8)</f>
        <v>8</v>
      </c>
      <c r="Y258" s="22" t="n">
        <f aca="false">IFERROR(__xludf.dummyfunction("""COMPUTED_VALUE"""),0)</f>
        <v>0</v>
      </c>
      <c r="Z258" s="22"/>
      <c r="AA258" s="22" t="n">
        <f aca="false">IFERROR(__xludf.dummyfunction("""COMPUTED_VALUE"""),1)</f>
        <v>1</v>
      </c>
      <c r="AB258" s="22" t="n">
        <f aca="false">IFERROR(__xludf.dummyfunction("""COMPUTED_VALUE"""),6)</f>
        <v>6</v>
      </c>
      <c r="AC258" s="22" t="n">
        <f aca="false">IFERROR(__xludf.dummyfunction("""COMPUTED_VALUE"""),25)</f>
        <v>25</v>
      </c>
      <c r="AD258" s="23"/>
      <c r="AE258" s="24" t="n">
        <f aca="false">IFERROR(__xludf.dummyfunction("""COMPUTED_VALUE"""),63)</f>
        <v>63</v>
      </c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</row>
    <row r="259" customFormat="false" ht="18.65" hidden="false" customHeight="false" outlineLevel="0" collapsed="false">
      <c r="A259" s="13" t="n">
        <v>258</v>
      </c>
      <c r="B259" s="14" t="s">
        <v>550</v>
      </c>
      <c r="C259" s="15" t="s">
        <v>551</v>
      </c>
      <c r="D259" s="16" t="s">
        <v>183</v>
      </c>
      <c r="E259" s="16" t="s">
        <v>183</v>
      </c>
      <c r="F259" s="16" t="str">
        <f aca="false">REPLACE(E259, 1, 3, "")</f>
        <v>14</v>
      </c>
      <c r="G259" s="17" t="str">
        <f aca="true">IFERROR(VLOOKUP(B259,INDIRECT("'"&amp;F259&amp;"'!D3:D"),1,FALSE()), "Not found")</f>
        <v>Not found</v>
      </c>
      <c r="H259" s="18" t="n">
        <f aca="true">INDIRECT("'"&amp;F259&amp;"'!D1")</f>
        <v>0</v>
      </c>
      <c r="I259" s="18" t="str">
        <f aca="false">IFERROR(__xludf.dummyfunction("REGEXEXTRACT(ADDRESS(ROW(), 24+$H259), ""[A-Z]+"")"),"X")</f>
        <v>X</v>
      </c>
      <c r="J259" s="18" t="str">
        <f aca="false">IFERROR(__xludf.dummyfunction("REGEXEXTRACT(ADDRESS(ROW(), 30+$H259), ""[A-Z]+"")"),"AD")</f>
        <v>AD</v>
      </c>
      <c r="K259" s="18" t="str">
        <f aca="false">IFERROR(__xludf.dummyfunction("REGEXEXTRACT(ADDRESS(ROW(), 36+$H259), ""[A-Z]+"")"),"AJ")</f>
        <v>AJ</v>
      </c>
      <c r="L259" s="18" t="str">
        <f aca="false">IFERROR(__xludf.dummyfunction("REGEXEXTRACT(ADDRESS(ROW(), 42+$H259), ""[A-Z]+"")"),"AP")</f>
        <v>AP</v>
      </c>
      <c r="M259" s="18" t="str">
        <f aca="false">IFERROR(__xludf.dummyfunction("REGEXEXTRACT(ADDRESS(ROW(), 48+$H259), ""[A-Z]+"")"),"AV")</f>
        <v>AV</v>
      </c>
      <c r="N259" s="18" t="str">
        <f aca="false">IFERROR(__xludf.dummyfunction("REGEXEXTRACT(ADDRESS(ROW(), 50+$H259), ""[A-Z]+"")"),"AX")</f>
        <v>AX</v>
      </c>
      <c r="O259" s="18" t="str">
        <f aca="false">IFERROR(__xludf.dummyfunction("REGEXEXTRACT(ADDRESS(ROW(), 51+$H259), ""[A-Z]+"")"),"AY")</f>
        <v>AY</v>
      </c>
      <c r="P259" s="18" t="str">
        <f aca="false">IFERROR(__xludf.dummyfunction("REGEXEXTRACT(ADDRESS(ROW(), 54+$H259), ""[A-Z]+"")"),"BB")</f>
        <v>BB</v>
      </c>
      <c r="Q259" s="18" t="str">
        <f aca="false">IFERROR(__xludf.dummyfunction("REGEXEXTRACT(ADDRESS(ROW(), 59+$H259), ""[A-Z]+"")"),"BG")</f>
        <v>BG</v>
      </c>
      <c r="R259" s="18" t="str">
        <f aca="false">IFERROR(__xludf.dummyfunction("REGEXEXTRACT(ADDRESS(ROW(), 60+$H259), ""[A-Z]+"")"),"BH")</f>
        <v>BH</v>
      </c>
      <c r="S259" s="18" t="str">
        <f aca="false">IFERROR(__xludf.dummyfunction("REGEXEXTRACT(ADDRESS(ROW(), 62+$H259), ""[A-Z]+"")"),"BJ")</f>
        <v>BJ</v>
      </c>
      <c r="T259" s="18" t="str">
        <f aca="false">IFERROR(__xludf.dummyfunction("REGEXEXTRACT(ADDRESS(ROW(), 63+$H259), ""[A-Z]+"")"),"BK")</f>
        <v>BK</v>
      </c>
      <c r="U259" s="19" t="n">
        <f aca="false">IFERROR(__xludf.dummyfunction("IFERROR(QUERY(INDIRECT(""'""&amp;F259&amp;""'!C3:""&amp;T259&amp;""""), ""SELECT ""&amp;I259&amp;"", ""&amp;J259&amp;"", ""&amp;K259&amp;"", ""&amp;L259&amp;"", ""&amp;M259&amp;"", ""&amp;N259&amp;"", ""&amp;O259&amp;"", ""&amp;P259&amp;"", ""&amp;Q259&amp;"", ""&amp;R259&amp;"", ""&amp;S259&amp;"" WHERE '""&amp;B259&amp;""' = D"", 0), """")"),6)</f>
        <v>6</v>
      </c>
      <c r="V259" s="22" t="n">
        <f aca="false">IFERROR(__xludf.dummyfunction("""COMPUTED_VALUE"""),6)</f>
        <v>6</v>
      </c>
      <c r="W259" s="22" t="n">
        <f aca="false">IFERROR(__xludf.dummyfunction("""COMPUTED_VALUE"""),6)</f>
        <v>6</v>
      </c>
      <c r="X259" s="22"/>
      <c r="Y259" s="22" t="n">
        <f aca="false">IFERROR(__xludf.dummyfunction("""COMPUTED_VALUE"""),0)</f>
        <v>0</v>
      </c>
      <c r="Z259" s="22" t="n">
        <f aca="false">IFERROR(__xludf.dummyfunction("""COMPUTED_VALUE"""),0)</f>
        <v>0</v>
      </c>
      <c r="AA259" s="22" t="n">
        <f aca="false">IFERROR(__xludf.dummyfunction("""COMPUTED_VALUE"""),1)</f>
        <v>1</v>
      </c>
      <c r="AB259" s="22" t="n">
        <f aca="false">IFERROR(__xludf.dummyfunction("""COMPUTED_VALUE"""),6)</f>
        <v>6</v>
      </c>
      <c r="AC259" s="22"/>
      <c r="AD259" s="23"/>
      <c r="AE259" s="24" t="n">
        <f aca="false">IFERROR(__xludf.dummyfunction("""COMPUTED_VALUE"""),25)</f>
        <v>25</v>
      </c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</row>
    <row r="260" customFormat="false" ht="18.65" hidden="false" customHeight="false" outlineLevel="0" collapsed="false">
      <c r="A260" s="13" t="n">
        <v>259</v>
      </c>
      <c r="B260" s="14" t="s">
        <v>552</v>
      </c>
      <c r="C260" s="15" t="s">
        <v>553</v>
      </c>
      <c r="D260" s="16" t="s">
        <v>177</v>
      </c>
      <c r="E260" s="16" t="s">
        <v>177</v>
      </c>
      <c r="F260" s="16" t="str">
        <f aca="false">REPLACE(E260, 1, 3, "")</f>
        <v>19</v>
      </c>
      <c r="G260" s="17" t="str">
        <f aca="true">IFERROR(VLOOKUP(B260,INDIRECT("'"&amp;F260&amp;"'!D3:D"),1,FALSE()), "Not found")</f>
        <v>Not found</v>
      </c>
      <c r="H260" s="18" t="n">
        <f aca="true">INDIRECT("'"&amp;F260&amp;"'!D1")</f>
        <v>0</v>
      </c>
      <c r="I260" s="18" t="str">
        <f aca="false">IFERROR(__xludf.dummyfunction("REGEXEXTRACT(ADDRESS(ROW(), 24+$H260), ""[A-Z]+"")"),"X")</f>
        <v>X</v>
      </c>
      <c r="J260" s="18" t="str">
        <f aca="false">IFERROR(__xludf.dummyfunction("REGEXEXTRACT(ADDRESS(ROW(), 30+$H260), ""[A-Z]+"")"),"AD")</f>
        <v>AD</v>
      </c>
      <c r="K260" s="18" t="str">
        <f aca="false">IFERROR(__xludf.dummyfunction("REGEXEXTRACT(ADDRESS(ROW(), 36+$H260), ""[A-Z]+"")"),"AJ")</f>
        <v>AJ</v>
      </c>
      <c r="L260" s="18" t="str">
        <f aca="false">IFERROR(__xludf.dummyfunction("REGEXEXTRACT(ADDRESS(ROW(), 42+$H260), ""[A-Z]+"")"),"AP")</f>
        <v>AP</v>
      </c>
      <c r="M260" s="18" t="str">
        <f aca="false">IFERROR(__xludf.dummyfunction("REGEXEXTRACT(ADDRESS(ROW(), 48+$H260), ""[A-Z]+"")"),"AV")</f>
        <v>AV</v>
      </c>
      <c r="N260" s="18" t="str">
        <f aca="false">IFERROR(__xludf.dummyfunction("REGEXEXTRACT(ADDRESS(ROW(), 50+$H260), ""[A-Z]+"")"),"AX")</f>
        <v>AX</v>
      </c>
      <c r="O260" s="18" t="str">
        <f aca="false">IFERROR(__xludf.dummyfunction("REGEXEXTRACT(ADDRESS(ROW(), 51+$H260), ""[A-Z]+"")"),"AY")</f>
        <v>AY</v>
      </c>
      <c r="P260" s="18" t="str">
        <f aca="false">IFERROR(__xludf.dummyfunction("REGEXEXTRACT(ADDRESS(ROW(), 54+$H260), ""[A-Z]+"")"),"BB")</f>
        <v>BB</v>
      </c>
      <c r="Q260" s="18" t="str">
        <f aca="false">IFERROR(__xludf.dummyfunction("REGEXEXTRACT(ADDRESS(ROW(), 59+$H260), ""[A-Z]+"")"),"BG")</f>
        <v>BG</v>
      </c>
      <c r="R260" s="18" t="str">
        <f aca="false">IFERROR(__xludf.dummyfunction("REGEXEXTRACT(ADDRESS(ROW(), 60+$H260), ""[A-Z]+"")"),"BH")</f>
        <v>BH</v>
      </c>
      <c r="S260" s="18" t="str">
        <f aca="false">IFERROR(__xludf.dummyfunction("REGEXEXTRACT(ADDRESS(ROW(), 62+$H260), ""[A-Z]+"")"),"BJ")</f>
        <v>BJ</v>
      </c>
      <c r="T260" s="18" t="str">
        <f aca="false">IFERROR(__xludf.dummyfunction("REGEXEXTRACT(ADDRESS(ROW(), 63+$H260), ""[A-Z]+"")"),"BK")</f>
        <v>BK</v>
      </c>
      <c r="U260" s="19" t="n">
        <f aca="false">IFERROR(__xludf.dummyfunction("IFERROR(QUERY(INDIRECT(""'""&amp;F260&amp;""'!C3:""&amp;T260&amp;""""), ""SELECT ""&amp;I260&amp;"", ""&amp;J260&amp;"", ""&amp;K260&amp;"", ""&amp;L260&amp;"", ""&amp;M260&amp;"", ""&amp;N260&amp;"", ""&amp;O260&amp;"", ""&amp;P260&amp;"", ""&amp;Q260&amp;"", ""&amp;R260&amp;"", ""&amp;S260&amp;"" WHERE '""&amp;B260&amp;""' = D"", 0), """")"),10)</f>
        <v>10</v>
      </c>
      <c r="V260" s="22" t="n">
        <f aca="false">IFERROR(__xludf.dummyfunction("""COMPUTED_VALUE"""),10)</f>
        <v>10</v>
      </c>
      <c r="W260" s="22" t="n">
        <f aca="false">IFERROR(__xludf.dummyfunction("""COMPUTED_VALUE"""),10)</f>
        <v>10</v>
      </c>
      <c r="X260" s="22" t="n">
        <f aca="false">IFERROR(__xludf.dummyfunction("""COMPUTED_VALUE"""),10)</f>
        <v>10</v>
      </c>
      <c r="Y260" s="22" t="n">
        <f aca="false">IFERROR(__xludf.dummyfunction("""COMPUTED_VALUE"""),10)</f>
        <v>10</v>
      </c>
      <c r="Z260" s="22"/>
      <c r="AA260" s="22"/>
      <c r="AB260" s="22" t="n">
        <f aca="false">IFERROR(__xludf.dummyfunction("""COMPUTED_VALUE"""),6)</f>
        <v>6</v>
      </c>
      <c r="AC260" s="22" t="n">
        <f aca="false">IFERROR(__xludf.dummyfunction("""COMPUTED_VALUE"""),20)</f>
        <v>20</v>
      </c>
      <c r="AD260" s="23"/>
      <c r="AE260" s="24" t="n">
        <f aca="false">IFERROR(__xludf.dummyfunction("""COMPUTED_VALUE"""),76)</f>
        <v>76</v>
      </c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</row>
    <row r="261" customFormat="false" ht="18.65" hidden="false" customHeight="false" outlineLevel="0" collapsed="false">
      <c r="A261" s="13" t="n">
        <v>260</v>
      </c>
      <c r="B261" s="14" t="s">
        <v>554</v>
      </c>
      <c r="C261" s="15" t="s">
        <v>555</v>
      </c>
      <c r="D261" s="16" t="s">
        <v>223</v>
      </c>
      <c r="E261" s="16" t="s">
        <v>223</v>
      </c>
      <c r="F261" s="16" t="str">
        <f aca="false">REPLACE(E261, 1, 3, "")</f>
        <v>17</v>
      </c>
      <c r="G261" s="17" t="str">
        <f aca="true">IFERROR(VLOOKUP(B261,INDIRECT("'"&amp;F261&amp;"'!D3:D"),1,FALSE()), "Not found")</f>
        <v>Not found</v>
      </c>
      <c r="H261" s="18" t="n">
        <f aca="true">INDIRECT("'"&amp;F261&amp;"'!D1")</f>
        <v>0</v>
      </c>
      <c r="I261" s="18" t="str">
        <f aca="false">IFERROR(__xludf.dummyfunction("REGEXEXTRACT(ADDRESS(ROW(), 24+$H261), ""[A-Z]+"")"),"X")</f>
        <v>X</v>
      </c>
      <c r="J261" s="18" t="str">
        <f aca="false">IFERROR(__xludf.dummyfunction("REGEXEXTRACT(ADDRESS(ROW(), 30+$H261), ""[A-Z]+"")"),"AD")</f>
        <v>AD</v>
      </c>
      <c r="K261" s="18" t="str">
        <f aca="false">IFERROR(__xludf.dummyfunction("REGEXEXTRACT(ADDRESS(ROW(), 36+$H261), ""[A-Z]+"")"),"AJ")</f>
        <v>AJ</v>
      </c>
      <c r="L261" s="18" t="str">
        <f aca="false">IFERROR(__xludf.dummyfunction("REGEXEXTRACT(ADDRESS(ROW(), 42+$H261), ""[A-Z]+"")"),"AP")</f>
        <v>AP</v>
      </c>
      <c r="M261" s="18" t="str">
        <f aca="false">IFERROR(__xludf.dummyfunction("REGEXEXTRACT(ADDRESS(ROW(), 48+$H261), ""[A-Z]+"")"),"AV")</f>
        <v>AV</v>
      </c>
      <c r="N261" s="18" t="str">
        <f aca="false">IFERROR(__xludf.dummyfunction("REGEXEXTRACT(ADDRESS(ROW(), 50+$H261), ""[A-Z]+"")"),"AX")</f>
        <v>AX</v>
      </c>
      <c r="O261" s="18" t="str">
        <f aca="false">IFERROR(__xludf.dummyfunction("REGEXEXTRACT(ADDRESS(ROW(), 51+$H261), ""[A-Z]+"")"),"AY")</f>
        <v>AY</v>
      </c>
      <c r="P261" s="18" t="str">
        <f aca="false">IFERROR(__xludf.dummyfunction("REGEXEXTRACT(ADDRESS(ROW(), 54+$H261), ""[A-Z]+"")"),"BB")</f>
        <v>BB</v>
      </c>
      <c r="Q261" s="18" t="str">
        <f aca="false">IFERROR(__xludf.dummyfunction("REGEXEXTRACT(ADDRESS(ROW(), 59+$H261), ""[A-Z]+"")"),"BG")</f>
        <v>BG</v>
      </c>
      <c r="R261" s="18" t="str">
        <f aca="false">IFERROR(__xludf.dummyfunction("REGEXEXTRACT(ADDRESS(ROW(), 60+$H261), ""[A-Z]+"")"),"BH")</f>
        <v>BH</v>
      </c>
      <c r="S261" s="18" t="str">
        <f aca="false">IFERROR(__xludf.dummyfunction("REGEXEXTRACT(ADDRESS(ROW(), 62+$H261), ""[A-Z]+"")"),"BJ")</f>
        <v>BJ</v>
      </c>
      <c r="T261" s="18" t="str">
        <f aca="false">IFERROR(__xludf.dummyfunction("REGEXEXTRACT(ADDRESS(ROW(), 63+$H261), ""[A-Z]+"")"),"BK")</f>
        <v>BK</v>
      </c>
      <c r="U261" s="19" t="n">
        <f aca="false">IFERROR(__xludf.dummyfunction("IFERROR(QUERY(INDIRECT(""'""&amp;F261&amp;""'!C3:""&amp;T261&amp;""""), ""SELECT ""&amp;I261&amp;"", ""&amp;J261&amp;"", ""&amp;K261&amp;"", ""&amp;L261&amp;"", ""&amp;M261&amp;"", ""&amp;N261&amp;"", ""&amp;O261&amp;"", ""&amp;P261&amp;"", ""&amp;Q261&amp;"", ""&amp;R261&amp;"", ""&amp;S261&amp;"" WHERE '""&amp;B261&amp;""' = D"", 0), """")"),8.9)</f>
        <v>8.9</v>
      </c>
      <c r="V261" s="22" t="n">
        <f aca="false">IFERROR(__xludf.dummyfunction("""COMPUTED_VALUE"""),8.9)</f>
        <v>8.9</v>
      </c>
      <c r="W261" s="22" t="n">
        <f aca="false">IFERROR(__xludf.dummyfunction("""COMPUTED_VALUE"""),9.1)</f>
        <v>9.1</v>
      </c>
      <c r="X261" s="22" t="n">
        <f aca="false">IFERROR(__xludf.dummyfunction("""COMPUTED_VALUE"""),9)</f>
        <v>9</v>
      </c>
      <c r="Y261" s="22" t="n">
        <f aca="false">IFERROR(__xludf.dummyfunction("""COMPUTED_VALUE"""),10)</f>
        <v>10</v>
      </c>
      <c r="Z261" s="22" t="n">
        <f aca="false">IFERROR(__xludf.dummyfunction("""COMPUTED_VALUE"""),2)</f>
        <v>2</v>
      </c>
      <c r="AA261" s="22" t="n">
        <f aca="false">IFERROR(__xludf.dummyfunction("""COMPUTED_VALUE"""),2)</f>
        <v>2</v>
      </c>
      <c r="AB261" s="22" t="n">
        <f aca="false">IFERROR(__xludf.dummyfunction("""COMPUTED_VALUE"""),10)</f>
        <v>10</v>
      </c>
      <c r="AC261" s="22" t="n">
        <f aca="false">IFERROR(__xludf.dummyfunction("""COMPUTED_VALUE"""),29)</f>
        <v>29</v>
      </c>
      <c r="AD261" s="23" t="n">
        <f aca="false">IFERROR(__xludf.dummyfunction("""COMPUTED_VALUE"""),2)</f>
        <v>2</v>
      </c>
      <c r="AE261" s="24" t="n">
        <f aca="false">IFERROR(__xludf.dummyfunction("""COMPUTED_VALUE"""),90.9)</f>
        <v>90.9</v>
      </c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</row>
    <row r="262" customFormat="false" ht="18.65" hidden="false" customHeight="false" outlineLevel="0" collapsed="false">
      <c r="A262" s="13" t="n">
        <v>261</v>
      </c>
      <c r="B262" s="14" t="s">
        <v>556</v>
      </c>
      <c r="C262" s="15" t="s">
        <v>557</v>
      </c>
      <c r="D262" s="16" t="s">
        <v>244</v>
      </c>
      <c r="E262" s="16" t="s">
        <v>244</v>
      </c>
      <c r="F262" s="16" t="str">
        <f aca="false">REPLACE(E262, 1, 3, "")</f>
        <v>13</v>
      </c>
      <c r="G262" s="17" t="str">
        <f aca="true">IFERROR(VLOOKUP(B262,INDIRECT("'"&amp;F262&amp;"'!D3:D"),1,FALSE()), "Not found")</f>
        <v>Not found</v>
      </c>
      <c r="H262" s="18" t="n">
        <f aca="true">INDIRECT("'"&amp;F262&amp;"'!D1")</f>
        <v>0</v>
      </c>
      <c r="I262" s="18" t="str">
        <f aca="false">IFERROR(__xludf.dummyfunction("REGEXEXTRACT(ADDRESS(ROW(), 24+$H262), ""[A-Z]+"")"),"X")</f>
        <v>X</v>
      </c>
      <c r="J262" s="18" t="str">
        <f aca="false">IFERROR(__xludf.dummyfunction("REGEXEXTRACT(ADDRESS(ROW(), 30+$H262), ""[A-Z]+"")"),"AD")</f>
        <v>AD</v>
      </c>
      <c r="K262" s="18" t="str">
        <f aca="false">IFERROR(__xludf.dummyfunction("REGEXEXTRACT(ADDRESS(ROW(), 36+$H262), ""[A-Z]+"")"),"AJ")</f>
        <v>AJ</v>
      </c>
      <c r="L262" s="18" t="str">
        <f aca="false">IFERROR(__xludf.dummyfunction("REGEXEXTRACT(ADDRESS(ROW(), 42+$H262), ""[A-Z]+"")"),"AP")</f>
        <v>AP</v>
      </c>
      <c r="M262" s="18" t="str">
        <f aca="false">IFERROR(__xludf.dummyfunction("REGEXEXTRACT(ADDRESS(ROW(), 48+$H262), ""[A-Z]+"")"),"AV")</f>
        <v>AV</v>
      </c>
      <c r="N262" s="18" t="str">
        <f aca="false">IFERROR(__xludf.dummyfunction("REGEXEXTRACT(ADDRESS(ROW(), 50+$H262), ""[A-Z]+"")"),"AX")</f>
        <v>AX</v>
      </c>
      <c r="O262" s="18" t="str">
        <f aca="false">IFERROR(__xludf.dummyfunction("REGEXEXTRACT(ADDRESS(ROW(), 51+$H262), ""[A-Z]+"")"),"AY")</f>
        <v>AY</v>
      </c>
      <c r="P262" s="18" t="str">
        <f aca="false">IFERROR(__xludf.dummyfunction("REGEXEXTRACT(ADDRESS(ROW(), 54+$H262), ""[A-Z]+"")"),"BB")</f>
        <v>BB</v>
      </c>
      <c r="Q262" s="18" t="str">
        <f aca="false">IFERROR(__xludf.dummyfunction("REGEXEXTRACT(ADDRESS(ROW(), 59+$H262), ""[A-Z]+"")"),"BG")</f>
        <v>BG</v>
      </c>
      <c r="R262" s="18" t="str">
        <f aca="false">IFERROR(__xludf.dummyfunction("REGEXEXTRACT(ADDRESS(ROW(), 60+$H262), ""[A-Z]+"")"),"BH")</f>
        <v>BH</v>
      </c>
      <c r="S262" s="18" t="str">
        <f aca="false">IFERROR(__xludf.dummyfunction("REGEXEXTRACT(ADDRESS(ROW(), 62+$H262), ""[A-Z]+"")"),"BJ")</f>
        <v>BJ</v>
      </c>
      <c r="T262" s="18" t="str">
        <f aca="false">IFERROR(__xludf.dummyfunction("REGEXEXTRACT(ADDRESS(ROW(), 63+$H262), ""[A-Z]+"")"),"BK")</f>
        <v>BK</v>
      </c>
      <c r="U262" s="19" t="n">
        <f aca="false">IFERROR(__xludf.dummyfunction("IFERROR(QUERY(INDIRECT(""'""&amp;F262&amp;""'!C3:""&amp;T262&amp;""""), ""SELECT ""&amp;I262&amp;"", ""&amp;J262&amp;"", ""&amp;K262&amp;"", ""&amp;L262&amp;"", ""&amp;M262&amp;"", ""&amp;N262&amp;"", ""&amp;O262&amp;"", ""&amp;P262&amp;"", ""&amp;Q262&amp;"", ""&amp;R262&amp;"", ""&amp;S262&amp;"" WHERE '""&amp;B262&amp;""' = D"", 0), """")"),10)</f>
        <v>10</v>
      </c>
      <c r="V262" s="22" t="n">
        <f aca="false">IFERROR(__xludf.dummyfunction("""COMPUTED_VALUE"""),10)</f>
        <v>10</v>
      </c>
      <c r="W262" s="22" t="n">
        <f aca="false">IFERROR(__xludf.dummyfunction("""COMPUTED_VALUE"""),10)</f>
        <v>10</v>
      </c>
      <c r="X262" s="22" t="n">
        <f aca="false">IFERROR(__xludf.dummyfunction("""COMPUTED_VALUE"""),10)</f>
        <v>10</v>
      </c>
      <c r="Y262" s="22" t="n">
        <f aca="false">IFERROR(__xludf.dummyfunction("""COMPUTED_VALUE"""),10)</f>
        <v>10</v>
      </c>
      <c r="Z262" s="22" t="n">
        <f aca="false">IFERROR(__xludf.dummyfunction("""COMPUTED_VALUE"""),4)</f>
        <v>4</v>
      </c>
      <c r="AA262" s="22" t="n">
        <f aca="false">IFERROR(__xludf.dummyfunction("""COMPUTED_VALUE"""),1)</f>
        <v>1</v>
      </c>
      <c r="AB262" s="22" t="n">
        <f aca="false">IFERROR(__xludf.dummyfunction("""COMPUTED_VALUE"""),9.5)</f>
        <v>9.5</v>
      </c>
      <c r="AC262" s="22" t="n">
        <f aca="false">IFERROR(__xludf.dummyfunction("""COMPUTED_VALUE"""),26)</f>
        <v>26</v>
      </c>
      <c r="AD262" s="23"/>
      <c r="AE262" s="24" t="n">
        <f aca="false">IFERROR(__xludf.dummyfunction("""COMPUTED_VALUE"""),90.5)</f>
        <v>90.5</v>
      </c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</row>
    <row r="263" customFormat="false" ht="18.65" hidden="false" customHeight="false" outlineLevel="0" collapsed="false">
      <c r="A263" s="13" t="n">
        <v>262</v>
      </c>
      <c r="B263" s="14" t="s">
        <v>558</v>
      </c>
      <c r="C263" s="15" t="s">
        <v>559</v>
      </c>
      <c r="D263" s="16" t="s">
        <v>177</v>
      </c>
      <c r="E263" s="16" t="s">
        <v>177</v>
      </c>
      <c r="F263" s="16" t="str">
        <f aca="false">REPLACE(E263, 1, 3, "")</f>
        <v>19</v>
      </c>
      <c r="G263" s="17" t="str">
        <f aca="true">IFERROR(VLOOKUP(B263,INDIRECT("'"&amp;F263&amp;"'!D3:D"),1,FALSE()), "Not found")</f>
        <v>Not found</v>
      </c>
      <c r="H263" s="18" t="n">
        <f aca="true">INDIRECT("'"&amp;F263&amp;"'!D1")</f>
        <v>0</v>
      </c>
      <c r="I263" s="18" t="str">
        <f aca="false">IFERROR(__xludf.dummyfunction("REGEXEXTRACT(ADDRESS(ROW(), 24+$H263), ""[A-Z]+"")"),"X")</f>
        <v>X</v>
      </c>
      <c r="J263" s="18" t="str">
        <f aca="false">IFERROR(__xludf.dummyfunction("REGEXEXTRACT(ADDRESS(ROW(), 30+$H263), ""[A-Z]+"")"),"AD")</f>
        <v>AD</v>
      </c>
      <c r="K263" s="18" t="str">
        <f aca="false">IFERROR(__xludf.dummyfunction("REGEXEXTRACT(ADDRESS(ROW(), 36+$H263), ""[A-Z]+"")"),"AJ")</f>
        <v>AJ</v>
      </c>
      <c r="L263" s="18" t="str">
        <f aca="false">IFERROR(__xludf.dummyfunction("REGEXEXTRACT(ADDRESS(ROW(), 42+$H263), ""[A-Z]+"")"),"AP")</f>
        <v>AP</v>
      </c>
      <c r="M263" s="18" t="str">
        <f aca="false">IFERROR(__xludf.dummyfunction("REGEXEXTRACT(ADDRESS(ROW(), 48+$H263), ""[A-Z]+"")"),"AV")</f>
        <v>AV</v>
      </c>
      <c r="N263" s="18" t="str">
        <f aca="false">IFERROR(__xludf.dummyfunction("REGEXEXTRACT(ADDRESS(ROW(), 50+$H263), ""[A-Z]+"")"),"AX")</f>
        <v>AX</v>
      </c>
      <c r="O263" s="18" t="str">
        <f aca="false">IFERROR(__xludf.dummyfunction("REGEXEXTRACT(ADDRESS(ROW(), 51+$H263), ""[A-Z]+"")"),"AY")</f>
        <v>AY</v>
      </c>
      <c r="P263" s="18" t="str">
        <f aca="false">IFERROR(__xludf.dummyfunction("REGEXEXTRACT(ADDRESS(ROW(), 54+$H263), ""[A-Z]+"")"),"BB")</f>
        <v>BB</v>
      </c>
      <c r="Q263" s="18" t="str">
        <f aca="false">IFERROR(__xludf.dummyfunction("REGEXEXTRACT(ADDRESS(ROW(), 59+$H263), ""[A-Z]+"")"),"BG")</f>
        <v>BG</v>
      </c>
      <c r="R263" s="18" t="str">
        <f aca="false">IFERROR(__xludf.dummyfunction("REGEXEXTRACT(ADDRESS(ROW(), 60+$H263), ""[A-Z]+"")"),"BH")</f>
        <v>BH</v>
      </c>
      <c r="S263" s="18" t="str">
        <f aca="false">IFERROR(__xludf.dummyfunction("REGEXEXTRACT(ADDRESS(ROW(), 62+$H263), ""[A-Z]+"")"),"BJ")</f>
        <v>BJ</v>
      </c>
      <c r="T263" s="18" t="str">
        <f aca="false">IFERROR(__xludf.dummyfunction("REGEXEXTRACT(ADDRESS(ROW(), 63+$H263), ""[A-Z]+"")"),"BK")</f>
        <v>BK</v>
      </c>
      <c r="U263" s="19" t="n">
        <f aca="false">IFERROR(__xludf.dummyfunction("IFERROR(QUERY(INDIRECT(""'""&amp;F263&amp;""'!C3:""&amp;T263&amp;""""), ""SELECT ""&amp;I263&amp;"", ""&amp;J263&amp;"", ""&amp;K263&amp;"", ""&amp;L263&amp;"", ""&amp;M263&amp;"", ""&amp;N263&amp;"", ""&amp;O263&amp;"", ""&amp;P263&amp;"", ""&amp;Q263&amp;"", ""&amp;R263&amp;"", ""&amp;S263&amp;"" WHERE '""&amp;B263&amp;""' = D"", 0), """")"),10)</f>
        <v>10</v>
      </c>
      <c r="V263" s="22" t="n">
        <f aca="false">IFERROR(__xludf.dummyfunction("""COMPUTED_VALUE"""),10)</f>
        <v>10</v>
      </c>
      <c r="W263" s="22" t="n">
        <f aca="false">IFERROR(__xludf.dummyfunction("""COMPUTED_VALUE"""),10)</f>
        <v>10</v>
      </c>
      <c r="X263" s="22" t="n">
        <f aca="false">IFERROR(__xludf.dummyfunction("""COMPUTED_VALUE"""),9)</f>
        <v>9</v>
      </c>
      <c r="Y263" s="22" t="n">
        <f aca="false">IFERROR(__xludf.dummyfunction("""COMPUTED_VALUE"""),10)</f>
        <v>10</v>
      </c>
      <c r="Z263" s="22" t="n">
        <f aca="false">IFERROR(__xludf.dummyfunction("""COMPUTED_VALUE"""),0)</f>
        <v>0</v>
      </c>
      <c r="AA263" s="22" t="n">
        <f aca="false">IFERROR(__xludf.dummyfunction("""COMPUTED_VALUE"""),0)</f>
        <v>0</v>
      </c>
      <c r="AB263" s="22" t="n">
        <f aca="false">IFERROR(__xludf.dummyfunction("""COMPUTED_VALUE"""),7)</f>
        <v>7</v>
      </c>
      <c r="AC263" s="22" t="n">
        <f aca="false">IFERROR(__xludf.dummyfunction("""COMPUTED_VALUE"""),28)</f>
        <v>28</v>
      </c>
      <c r="AD263" s="23"/>
      <c r="AE263" s="24" t="n">
        <f aca="false">IFERROR(__xludf.dummyfunction("""COMPUTED_VALUE"""),84)</f>
        <v>84</v>
      </c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</row>
    <row r="264" customFormat="false" ht="18.65" hidden="false" customHeight="false" outlineLevel="0" collapsed="false">
      <c r="A264" s="13" t="n">
        <v>263</v>
      </c>
      <c r="B264" s="14" t="s">
        <v>560</v>
      </c>
      <c r="C264" s="15" t="s">
        <v>561</v>
      </c>
      <c r="D264" s="16" t="s">
        <v>218</v>
      </c>
      <c r="E264" s="16" t="s">
        <v>218</v>
      </c>
      <c r="F264" s="16" t="str">
        <f aca="false">REPLACE(E264, 1, 3, "")</f>
        <v>15</v>
      </c>
      <c r="G264" s="17" t="str">
        <f aca="true">IFERROR(VLOOKUP(B264,INDIRECT("'"&amp;F264&amp;"'!D3:D"),1,FALSE()), "Not found")</f>
        <v>Not found</v>
      </c>
      <c r="H264" s="18" t="n">
        <f aca="true">INDIRECT("'"&amp;F264&amp;"'!D1")</f>
        <v>0</v>
      </c>
      <c r="I264" s="18" t="str">
        <f aca="false">IFERROR(__xludf.dummyfunction("REGEXEXTRACT(ADDRESS(ROW(), 24+$H264), ""[A-Z]+"")"),"X")</f>
        <v>X</v>
      </c>
      <c r="J264" s="18" t="str">
        <f aca="false">IFERROR(__xludf.dummyfunction("REGEXEXTRACT(ADDRESS(ROW(), 30+$H264), ""[A-Z]+"")"),"AD")</f>
        <v>AD</v>
      </c>
      <c r="K264" s="18" t="str">
        <f aca="false">IFERROR(__xludf.dummyfunction("REGEXEXTRACT(ADDRESS(ROW(), 36+$H264), ""[A-Z]+"")"),"AJ")</f>
        <v>AJ</v>
      </c>
      <c r="L264" s="18" t="str">
        <f aca="false">IFERROR(__xludf.dummyfunction("REGEXEXTRACT(ADDRESS(ROW(), 42+$H264), ""[A-Z]+"")"),"AP")</f>
        <v>AP</v>
      </c>
      <c r="M264" s="18" t="str">
        <f aca="false">IFERROR(__xludf.dummyfunction("REGEXEXTRACT(ADDRESS(ROW(), 48+$H264), ""[A-Z]+"")"),"AV")</f>
        <v>AV</v>
      </c>
      <c r="N264" s="18" t="str">
        <f aca="false">IFERROR(__xludf.dummyfunction("REGEXEXTRACT(ADDRESS(ROW(), 50+$H264), ""[A-Z]+"")"),"AX")</f>
        <v>AX</v>
      </c>
      <c r="O264" s="18" t="str">
        <f aca="false">IFERROR(__xludf.dummyfunction("REGEXEXTRACT(ADDRESS(ROW(), 51+$H264), ""[A-Z]+"")"),"AY")</f>
        <v>AY</v>
      </c>
      <c r="P264" s="18" t="str">
        <f aca="false">IFERROR(__xludf.dummyfunction("REGEXEXTRACT(ADDRESS(ROW(), 54+$H264), ""[A-Z]+"")"),"BB")</f>
        <v>BB</v>
      </c>
      <c r="Q264" s="18" t="str">
        <f aca="false">IFERROR(__xludf.dummyfunction("REGEXEXTRACT(ADDRESS(ROW(), 59+$H264), ""[A-Z]+"")"),"BG")</f>
        <v>BG</v>
      </c>
      <c r="R264" s="18" t="str">
        <f aca="false">IFERROR(__xludf.dummyfunction("REGEXEXTRACT(ADDRESS(ROW(), 60+$H264), ""[A-Z]+"")"),"BH")</f>
        <v>BH</v>
      </c>
      <c r="S264" s="18" t="str">
        <f aca="false">IFERROR(__xludf.dummyfunction("REGEXEXTRACT(ADDRESS(ROW(), 62+$H264), ""[A-Z]+"")"),"BJ")</f>
        <v>BJ</v>
      </c>
      <c r="T264" s="18" t="str">
        <f aca="false">IFERROR(__xludf.dummyfunction("REGEXEXTRACT(ADDRESS(ROW(), 63+$H264), ""[A-Z]+"")"),"BK")</f>
        <v>BK</v>
      </c>
      <c r="U264" s="19" t="n">
        <f aca="false">IFERROR(__xludf.dummyfunction("IFERROR(QUERY(INDIRECT(""'""&amp;F264&amp;""'!C3:""&amp;T264&amp;""""), ""SELECT ""&amp;I264&amp;"", ""&amp;J264&amp;"", ""&amp;K264&amp;"", ""&amp;L264&amp;"", ""&amp;M264&amp;"", ""&amp;N264&amp;"", ""&amp;O264&amp;"", ""&amp;P264&amp;"", ""&amp;Q264&amp;"", ""&amp;R264&amp;"", ""&amp;S264&amp;"" WHERE '""&amp;B264&amp;""' = D"", 0), """")"),10)</f>
        <v>10</v>
      </c>
      <c r="V264" s="22" t="n">
        <f aca="false">IFERROR(__xludf.dummyfunction("""COMPUTED_VALUE"""),10)</f>
        <v>10</v>
      </c>
      <c r="W264" s="22" t="n">
        <f aca="false">IFERROR(__xludf.dummyfunction("""COMPUTED_VALUE"""),10)</f>
        <v>10</v>
      </c>
      <c r="X264" s="22" t="n">
        <f aca="false">IFERROR(__xludf.dummyfunction("""COMPUTED_VALUE"""),10)</f>
        <v>10</v>
      </c>
      <c r="Y264" s="22" t="n">
        <f aca="false">IFERROR(__xludf.dummyfunction("""COMPUTED_VALUE"""),10)</f>
        <v>10</v>
      </c>
      <c r="Z264" s="22" t="n">
        <f aca="false">IFERROR(__xludf.dummyfunction("""COMPUTED_VALUE"""),2)</f>
        <v>2</v>
      </c>
      <c r="AA264" s="22"/>
      <c r="AB264" s="22" t="n">
        <f aca="false">IFERROR(__xludf.dummyfunction("""COMPUTED_VALUE"""),10)</f>
        <v>10</v>
      </c>
      <c r="AC264" s="22" t="n">
        <f aca="false">IFERROR(__xludf.dummyfunction("""COMPUTED_VALUE"""),28)</f>
        <v>28</v>
      </c>
      <c r="AD264" s="23" t="n">
        <f aca="false">IFERROR(__xludf.dummyfunction("""COMPUTED_VALUE"""),2)</f>
        <v>2</v>
      </c>
      <c r="AE264" s="24" t="n">
        <f aca="false">IFERROR(__xludf.dummyfunction("""COMPUTED_VALUE"""),92)</f>
        <v>92</v>
      </c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</row>
    <row r="265" customFormat="false" ht="18.65" hidden="false" customHeight="false" outlineLevel="0" collapsed="false">
      <c r="A265" s="13" t="n">
        <v>264</v>
      </c>
      <c r="B265" s="14" t="s">
        <v>562</v>
      </c>
      <c r="C265" s="15" t="s">
        <v>563</v>
      </c>
      <c r="D265" s="16" t="s">
        <v>232</v>
      </c>
      <c r="E265" s="16" t="s">
        <v>232</v>
      </c>
      <c r="F265" s="16" t="str">
        <f aca="false">REPLACE(E265, 1, 3, "")</f>
        <v>09</v>
      </c>
      <c r="G265" s="17" t="str">
        <f aca="true">IFERROR(VLOOKUP(B265,INDIRECT("'"&amp;F265&amp;"'!D3:D"),1,FALSE()), "Not found")</f>
        <v>Not found</v>
      </c>
      <c r="H265" s="18" t="n">
        <f aca="true">INDIRECT("'"&amp;F265&amp;"'!D1")</f>
        <v>0</v>
      </c>
      <c r="I265" s="18" t="str">
        <f aca="false">IFERROR(__xludf.dummyfunction("REGEXEXTRACT(ADDRESS(ROW(), 24+$H265), ""[A-Z]+"")"),"X")</f>
        <v>X</v>
      </c>
      <c r="J265" s="18" t="str">
        <f aca="false">IFERROR(__xludf.dummyfunction("REGEXEXTRACT(ADDRESS(ROW(), 30+$H265), ""[A-Z]+"")"),"AD")</f>
        <v>AD</v>
      </c>
      <c r="K265" s="18" t="str">
        <f aca="false">IFERROR(__xludf.dummyfunction("REGEXEXTRACT(ADDRESS(ROW(), 36+$H265), ""[A-Z]+"")"),"AJ")</f>
        <v>AJ</v>
      </c>
      <c r="L265" s="18" t="str">
        <f aca="false">IFERROR(__xludf.dummyfunction("REGEXEXTRACT(ADDRESS(ROW(), 42+$H265), ""[A-Z]+"")"),"AP")</f>
        <v>AP</v>
      </c>
      <c r="M265" s="18" t="str">
        <f aca="false">IFERROR(__xludf.dummyfunction("REGEXEXTRACT(ADDRESS(ROW(), 48+$H265), ""[A-Z]+"")"),"AV")</f>
        <v>AV</v>
      </c>
      <c r="N265" s="18" t="str">
        <f aca="false">IFERROR(__xludf.dummyfunction("REGEXEXTRACT(ADDRESS(ROW(), 50+$H265), ""[A-Z]+"")"),"AX")</f>
        <v>AX</v>
      </c>
      <c r="O265" s="18" t="str">
        <f aca="false">IFERROR(__xludf.dummyfunction("REGEXEXTRACT(ADDRESS(ROW(), 51+$H265), ""[A-Z]+"")"),"AY")</f>
        <v>AY</v>
      </c>
      <c r="P265" s="18" t="str">
        <f aca="false">IFERROR(__xludf.dummyfunction("REGEXEXTRACT(ADDRESS(ROW(), 54+$H265), ""[A-Z]+"")"),"BB")</f>
        <v>BB</v>
      </c>
      <c r="Q265" s="18" t="str">
        <f aca="false">IFERROR(__xludf.dummyfunction("REGEXEXTRACT(ADDRESS(ROW(), 59+$H265), ""[A-Z]+"")"),"BG")</f>
        <v>BG</v>
      </c>
      <c r="R265" s="18" t="str">
        <f aca="false">IFERROR(__xludf.dummyfunction("REGEXEXTRACT(ADDRESS(ROW(), 60+$H265), ""[A-Z]+"")"),"BH")</f>
        <v>BH</v>
      </c>
      <c r="S265" s="18" t="str">
        <f aca="false">IFERROR(__xludf.dummyfunction("REGEXEXTRACT(ADDRESS(ROW(), 62+$H265), ""[A-Z]+"")"),"BJ")</f>
        <v>BJ</v>
      </c>
      <c r="T265" s="18" t="str">
        <f aca="false">IFERROR(__xludf.dummyfunction("REGEXEXTRACT(ADDRESS(ROW(), 63+$H265), ""[A-Z]+"")"),"BK")</f>
        <v>BK</v>
      </c>
      <c r="U265" s="19" t="n">
        <f aca="false">IFERROR(__xludf.dummyfunction("IFERROR(QUERY(INDIRECT(""'""&amp;F265&amp;""'!C3:""&amp;T265&amp;""""), ""SELECT ""&amp;I265&amp;"", ""&amp;J265&amp;"", ""&amp;K265&amp;"", ""&amp;L265&amp;"", ""&amp;M265&amp;"", ""&amp;N265&amp;"", ""&amp;O265&amp;"", ""&amp;P265&amp;"", ""&amp;Q265&amp;"", ""&amp;R265&amp;"", ""&amp;S265&amp;"" WHERE '""&amp;B265&amp;""' = D"", 0), """")"),9)</f>
        <v>9</v>
      </c>
      <c r="V265" s="22" t="n">
        <f aca="false">IFERROR(__xludf.dummyfunction("""COMPUTED_VALUE"""),9)</f>
        <v>9</v>
      </c>
      <c r="W265" s="22" t="n">
        <f aca="false">IFERROR(__xludf.dummyfunction("""COMPUTED_VALUE"""),10)</f>
        <v>10</v>
      </c>
      <c r="X265" s="22" t="n">
        <f aca="false">IFERROR(__xludf.dummyfunction("""COMPUTED_VALUE"""),9)</f>
        <v>9</v>
      </c>
      <c r="Y265" s="22" t="n">
        <f aca="false">IFERROR(__xludf.dummyfunction("""COMPUTED_VALUE"""),8.5)</f>
        <v>8.5</v>
      </c>
      <c r="Z265" s="22" t="n">
        <f aca="false">IFERROR(__xludf.dummyfunction("""COMPUTED_VALUE"""),0)</f>
        <v>0</v>
      </c>
      <c r="AA265" s="22" t="n">
        <f aca="false">IFERROR(__xludf.dummyfunction("""COMPUTED_VALUE"""),0)</f>
        <v>0</v>
      </c>
      <c r="AB265" s="22" t="n">
        <f aca="false">IFERROR(__xludf.dummyfunction("""COMPUTED_VALUE"""),8)</f>
        <v>8</v>
      </c>
      <c r="AC265" s="22" t="n">
        <f aca="false">IFERROR(__xludf.dummyfunction("""COMPUTED_VALUE"""),23)</f>
        <v>23</v>
      </c>
      <c r="AD265" s="23"/>
      <c r="AE265" s="24" t="n">
        <f aca="false">IFERROR(__xludf.dummyfunction("""COMPUTED_VALUE"""),76.5)</f>
        <v>76.5</v>
      </c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</row>
    <row r="266" customFormat="false" ht="18.65" hidden="false" customHeight="false" outlineLevel="0" collapsed="false">
      <c r="A266" s="13" t="n">
        <v>265</v>
      </c>
      <c r="B266" s="14" t="s">
        <v>564</v>
      </c>
      <c r="C266" s="15" t="s">
        <v>565</v>
      </c>
      <c r="D266" s="16" t="s">
        <v>174</v>
      </c>
      <c r="E266" s="16" t="s">
        <v>174</v>
      </c>
      <c r="F266" s="16" t="str">
        <f aca="false">REPLACE(E266, 1, 3, "")</f>
        <v>08</v>
      </c>
      <c r="G266" s="17" t="str">
        <f aca="true">IFERROR(VLOOKUP(B266,INDIRECT("'"&amp;F266&amp;"'!D3:D"),1,FALSE()), "Not found")</f>
        <v>Not found</v>
      </c>
      <c r="H266" s="18" t="n">
        <f aca="true">INDIRECT("'"&amp;F266&amp;"'!D1")</f>
        <v>0</v>
      </c>
      <c r="I266" s="18" t="str">
        <f aca="false">IFERROR(__xludf.dummyfunction("REGEXEXTRACT(ADDRESS(ROW(), 24+$H266), ""[A-Z]+"")"),"X")</f>
        <v>X</v>
      </c>
      <c r="J266" s="18" t="str">
        <f aca="false">IFERROR(__xludf.dummyfunction("REGEXEXTRACT(ADDRESS(ROW(), 30+$H266), ""[A-Z]+"")"),"AD")</f>
        <v>AD</v>
      </c>
      <c r="K266" s="18" t="str">
        <f aca="false">IFERROR(__xludf.dummyfunction("REGEXEXTRACT(ADDRESS(ROW(), 36+$H266), ""[A-Z]+"")"),"AJ")</f>
        <v>AJ</v>
      </c>
      <c r="L266" s="18" t="str">
        <f aca="false">IFERROR(__xludf.dummyfunction("REGEXEXTRACT(ADDRESS(ROW(), 42+$H266), ""[A-Z]+"")"),"AP")</f>
        <v>AP</v>
      </c>
      <c r="M266" s="18" t="str">
        <f aca="false">IFERROR(__xludf.dummyfunction("REGEXEXTRACT(ADDRESS(ROW(), 48+$H266), ""[A-Z]+"")"),"AV")</f>
        <v>AV</v>
      </c>
      <c r="N266" s="18" t="str">
        <f aca="false">IFERROR(__xludf.dummyfunction("REGEXEXTRACT(ADDRESS(ROW(), 50+$H266), ""[A-Z]+"")"),"AX")</f>
        <v>AX</v>
      </c>
      <c r="O266" s="18" t="str">
        <f aca="false">IFERROR(__xludf.dummyfunction("REGEXEXTRACT(ADDRESS(ROW(), 51+$H266), ""[A-Z]+"")"),"AY")</f>
        <v>AY</v>
      </c>
      <c r="P266" s="18" t="str">
        <f aca="false">IFERROR(__xludf.dummyfunction("REGEXEXTRACT(ADDRESS(ROW(), 54+$H266), ""[A-Z]+"")"),"BB")</f>
        <v>BB</v>
      </c>
      <c r="Q266" s="18" t="str">
        <f aca="false">IFERROR(__xludf.dummyfunction("REGEXEXTRACT(ADDRESS(ROW(), 59+$H266), ""[A-Z]+"")"),"BG")</f>
        <v>BG</v>
      </c>
      <c r="R266" s="18" t="str">
        <f aca="false">IFERROR(__xludf.dummyfunction("REGEXEXTRACT(ADDRESS(ROW(), 60+$H266), ""[A-Z]+"")"),"BH")</f>
        <v>BH</v>
      </c>
      <c r="S266" s="18" t="str">
        <f aca="false">IFERROR(__xludf.dummyfunction("REGEXEXTRACT(ADDRESS(ROW(), 62+$H266), ""[A-Z]+"")"),"BJ")</f>
        <v>BJ</v>
      </c>
      <c r="T266" s="18" t="str">
        <f aca="false">IFERROR(__xludf.dummyfunction("REGEXEXTRACT(ADDRESS(ROW(), 63+$H266), ""[A-Z]+"")"),"BK")</f>
        <v>BK</v>
      </c>
      <c r="U266" s="19" t="n">
        <f aca="false">IFERROR(__xludf.dummyfunction("IFERROR(QUERY(INDIRECT(""'""&amp;F266&amp;""'!C3:""&amp;T266&amp;""""), ""SELECT ""&amp;I266&amp;"", ""&amp;J266&amp;"", ""&amp;K266&amp;"", ""&amp;L266&amp;"", ""&amp;M266&amp;"", ""&amp;N266&amp;"", ""&amp;O266&amp;"", ""&amp;P266&amp;"", ""&amp;Q266&amp;"", ""&amp;R266&amp;"", ""&amp;S266&amp;"" WHERE '""&amp;B266&amp;""' = D"", 0), """")"),10)</f>
        <v>10</v>
      </c>
      <c r="V266" s="22" t="n">
        <f aca="false">IFERROR(__xludf.dummyfunction("""COMPUTED_VALUE"""),10)</f>
        <v>10</v>
      </c>
      <c r="W266" s="22" t="n">
        <f aca="false">IFERROR(__xludf.dummyfunction("""COMPUTED_VALUE"""),9.5)</f>
        <v>9.5</v>
      </c>
      <c r="X266" s="22" t="n">
        <f aca="false">IFERROR(__xludf.dummyfunction("""COMPUTED_VALUE"""),10)</f>
        <v>10</v>
      </c>
      <c r="Y266" s="22" t="n">
        <f aca="false">IFERROR(__xludf.dummyfunction("""COMPUTED_VALUE"""),0)</f>
        <v>0</v>
      </c>
      <c r="Z266" s="22"/>
      <c r="AA266" s="22"/>
      <c r="AB266" s="22" t="n">
        <f aca="false">IFERROR(__xludf.dummyfunction("""COMPUTED_VALUE"""),10)</f>
        <v>10</v>
      </c>
      <c r="AC266" s="22" t="n">
        <f aca="false">IFERROR(__xludf.dummyfunction("""COMPUTED_VALUE"""),27)</f>
        <v>27</v>
      </c>
      <c r="AD266" s="23"/>
      <c r="AE266" s="24" t="n">
        <f aca="false">IFERROR(__xludf.dummyfunction("""COMPUTED_VALUE"""),76.5)</f>
        <v>76.5</v>
      </c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</row>
    <row r="267" customFormat="false" ht="18.65" hidden="false" customHeight="false" outlineLevel="0" collapsed="false">
      <c r="A267" s="13" t="n">
        <v>266</v>
      </c>
      <c r="B267" s="14" t="s">
        <v>566</v>
      </c>
      <c r="C267" s="15" t="s">
        <v>567</v>
      </c>
      <c r="D267" s="16" t="s">
        <v>186</v>
      </c>
      <c r="E267" s="16" t="s">
        <v>186</v>
      </c>
      <c r="F267" s="16" t="str">
        <f aca="false">REPLACE(E267, 1, 3, "")</f>
        <v>06</v>
      </c>
      <c r="G267" s="17" t="str">
        <f aca="true">IFERROR(VLOOKUP(B267,INDIRECT("'"&amp;F267&amp;"'!D3:D"),1,FALSE()), "Not found")</f>
        <v>Not found</v>
      </c>
      <c r="H267" s="18" t="n">
        <f aca="true">INDIRECT("'"&amp;F267&amp;"'!D1")</f>
        <v>0</v>
      </c>
      <c r="I267" s="18" t="str">
        <f aca="false">IFERROR(__xludf.dummyfunction("REGEXEXTRACT(ADDRESS(ROW(), 24+$H267), ""[A-Z]+"")"),"X")</f>
        <v>X</v>
      </c>
      <c r="J267" s="18" t="str">
        <f aca="false">IFERROR(__xludf.dummyfunction("REGEXEXTRACT(ADDRESS(ROW(), 30+$H267), ""[A-Z]+"")"),"AD")</f>
        <v>AD</v>
      </c>
      <c r="K267" s="18" t="str">
        <f aca="false">IFERROR(__xludf.dummyfunction("REGEXEXTRACT(ADDRESS(ROW(), 36+$H267), ""[A-Z]+"")"),"AJ")</f>
        <v>AJ</v>
      </c>
      <c r="L267" s="18" t="str">
        <f aca="false">IFERROR(__xludf.dummyfunction("REGEXEXTRACT(ADDRESS(ROW(), 42+$H267), ""[A-Z]+"")"),"AP")</f>
        <v>AP</v>
      </c>
      <c r="M267" s="18" t="str">
        <f aca="false">IFERROR(__xludf.dummyfunction("REGEXEXTRACT(ADDRESS(ROW(), 48+$H267), ""[A-Z]+"")"),"AV")</f>
        <v>AV</v>
      </c>
      <c r="N267" s="18" t="str">
        <f aca="false">IFERROR(__xludf.dummyfunction("REGEXEXTRACT(ADDRESS(ROW(), 50+$H267), ""[A-Z]+"")"),"AX")</f>
        <v>AX</v>
      </c>
      <c r="O267" s="18" t="str">
        <f aca="false">IFERROR(__xludf.dummyfunction("REGEXEXTRACT(ADDRESS(ROW(), 51+$H267), ""[A-Z]+"")"),"AY")</f>
        <v>AY</v>
      </c>
      <c r="P267" s="18" t="str">
        <f aca="false">IFERROR(__xludf.dummyfunction("REGEXEXTRACT(ADDRESS(ROW(), 54+$H267), ""[A-Z]+"")"),"BB")</f>
        <v>BB</v>
      </c>
      <c r="Q267" s="18" t="str">
        <f aca="false">IFERROR(__xludf.dummyfunction("REGEXEXTRACT(ADDRESS(ROW(), 59+$H267), ""[A-Z]+"")"),"BG")</f>
        <v>BG</v>
      </c>
      <c r="R267" s="18" t="str">
        <f aca="false">IFERROR(__xludf.dummyfunction("REGEXEXTRACT(ADDRESS(ROW(), 60+$H267), ""[A-Z]+"")"),"BH")</f>
        <v>BH</v>
      </c>
      <c r="S267" s="18" t="str">
        <f aca="false">IFERROR(__xludf.dummyfunction("REGEXEXTRACT(ADDRESS(ROW(), 62+$H267), ""[A-Z]+"")"),"BJ")</f>
        <v>BJ</v>
      </c>
      <c r="T267" s="18" t="str">
        <f aca="false">IFERROR(__xludf.dummyfunction("REGEXEXTRACT(ADDRESS(ROW(), 63+$H267), ""[A-Z]+"")"),"BK")</f>
        <v>BK</v>
      </c>
      <c r="U267" s="19" t="str">
        <f aca="false">IFERROR(__xludf.dummyfunction("IFERROR(QUERY(INDIRECT(""'""&amp;F267&amp;""'!C3:""&amp;T267&amp;""""), ""SELECT ""&amp;I267&amp;"", ""&amp;J267&amp;"", ""&amp;K267&amp;"", ""&amp;L267&amp;"", ""&amp;M267&amp;"", ""&amp;N267&amp;"", ""&amp;O267&amp;"", ""&amp;P267&amp;"", ""&amp;Q267&amp;"", ""&amp;R267&amp;"", ""&amp;S267&amp;"" WHERE '""&amp;B267&amp;""' = D"", 0), """")"),"")</f>
        <v/>
      </c>
      <c r="V267" s="22"/>
      <c r="W267" s="22"/>
      <c r="X267" s="22"/>
      <c r="Y267" s="22" t="n">
        <f aca="false">IFERROR(__xludf.dummyfunction("""COMPUTED_VALUE"""),0)</f>
        <v>0</v>
      </c>
      <c r="Z267" s="22" t="n">
        <f aca="false">IFERROR(__xludf.dummyfunction("""COMPUTED_VALUE"""),0)</f>
        <v>0</v>
      </c>
      <c r="AA267" s="22"/>
      <c r="AB267" s="22" t="n">
        <f aca="false">IFERROR(__xludf.dummyfunction("""COMPUTED_VALUE"""),7)</f>
        <v>7</v>
      </c>
      <c r="AC267" s="22"/>
      <c r="AD267" s="23"/>
      <c r="AE267" s="24" t="n">
        <f aca="false">IFERROR(__xludf.dummyfunction("""COMPUTED_VALUE"""),7)</f>
        <v>7</v>
      </c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</row>
    <row r="268" customFormat="false" ht="18.65" hidden="false" customHeight="false" outlineLevel="0" collapsed="false">
      <c r="A268" s="13" t="n">
        <v>267</v>
      </c>
      <c r="B268" s="14" t="s">
        <v>568</v>
      </c>
      <c r="C268" s="15" t="s">
        <v>569</v>
      </c>
      <c r="D268" s="16" t="s">
        <v>279</v>
      </c>
      <c r="E268" s="16" t="s">
        <v>279</v>
      </c>
      <c r="F268" s="16" t="str">
        <f aca="false">REPLACE(E268, 1, 3, "")</f>
        <v>07</v>
      </c>
      <c r="G268" s="17" t="str">
        <f aca="true">IFERROR(VLOOKUP(B268,INDIRECT("'"&amp;F268&amp;"'!D3:D"),1,FALSE()), "Not found")</f>
        <v>Not found</v>
      </c>
      <c r="H268" s="18" t="n">
        <f aca="true">INDIRECT("'"&amp;F268&amp;"'!D1")</f>
        <v>0</v>
      </c>
      <c r="I268" s="18" t="str">
        <f aca="false">IFERROR(__xludf.dummyfunction("REGEXEXTRACT(ADDRESS(ROW(), 24+$H268), ""[A-Z]+"")"),"X")</f>
        <v>X</v>
      </c>
      <c r="J268" s="18" t="str">
        <f aca="false">IFERROR(__xludf.dummyfunction("REGEXEXTRACT(ADDRESS(ROW(), 30+$H268), ""[A-Z]+"")"),"AD")</f>
        <v>AD</v>
      </c>
      <c r="K268" s="18" t="str">
        <f aca="false">IFERROR(__xludf.dummyfunction("REGEXEXTRACT(ADDRESS(ROW(), 36+$H268), ""[A-Z]+"")"),"AJ")</f>
        <v>AJ</v>
      </c>
      <c r="L268" s="18" t="str">
        <f aca="false">IFERROR(__xludf.dummyfunction("REGEXEXTRACT(ADDRESS(ROW(), 42+$H268), ""[A-Z]+"")"),"AP")</f>
        <v>AP</v>
      </c>
      <c r="M268" s="18" t="str">
        <f aca="false">IFERROR(__xludf.dummyfunction("REGEXEXTRACT(ADDRESS(ROW(), 48+$H268), ""[A-Z]+"")"),"AV")</f>
        <v>AV</v>
      </c>
      <c r="N268" s="18" t="str">
        <f aca="false">IFERROR(__xludf.dummyfunction("REGEXEXTRACT(ADDRESS(ROW(), 50+$H268), ""[A-Z]+"")"),"AX")</f>
        <v>AX</v>
      </c>
      <c r="O268" s="18" t="str">
        <f aca="false">IFERROR(__xludf.dummyfunction("REGEXEXTRACT(ADDRESS(ROW(), 51+$H268), ""[A-Z]+"")"),"AY")</f>
        <v>AY</v>
      </c>
      <c r="P268" s="18" t="str">
        <f aca="false">IFERROR(__xludf.dummyfunction("REGEXEXTRACT(ADDRESS(ROW(), 54+$H268), ""[A-Z]+"")"),"BB")</f>
        <v>BB</v>
      </c>
      <c r="Q268" s="18" t="str">
        <f aca="false">IFERROR(__xludf.dummyfunction("REGEXEXTRACT(ADDRESS(ROW(), 59+$H268), ""[A-Z]+"")"),"BG")</f>
        <v>BG</v>
      </c>
      <c r="R268" s="18" t="str">
        <f aca="false">IFERROR(__xludf.dummyfunction("REGEXEXTRACT(ADDRESS(ROW(), 60+$H268), ""[A-Z]+"")"),"BH")</f>
        <v>BH</v>
      </c>
      <c r="S268" s="18" t="str">
        <f aca="false">IFERROR(__xludf.dummyfunction("REGEXEXTRACT(ADDRESS(ROW(), 62+$H268), ""[A-Z]+"")"),"BJ")</f>
        <v>BJ</v>
      </c>
      <c r="T268" s="18" t="str">
        <f aca="false">IFERROR(__xludf.dummyfunction("REGEXEXTRACT(ADDRESS(ROW(), 63+$H268), ""[A-Z]+"")"),"BK")</f>
        <v>BK</v>
      </c>
      <c r="U268" s="19" t="n">
        <f aca="false">IFERROR(__xludf.dummyfunction("IFERROR(QUERY(INDIRECT(""'""&amp;F268&amp;""'!C3:""&amp;T268&amp;""""), ""SELECT ""&amp;I268&amp;"", ""&amp;J268&amp;"", ""&amp;K268&amp;"", ""&amp;L268&amp;"", ""&amp;M268&amp;"", ""&amp;N268&amp;"", ""&amp;O268&amp;"", ""&amp;P268&amp;"", ""&amp;Q268&amp;"", ""&amp;R268&amp;"", ""&amp;S268&amp;"" WHERE '""&amp;B268&amp;""' = D"", 0), """")"),10)</f>
        <v>10</v>
      </c>
      <c r="V268" s="22" t="n">
        <f aca="false">IFERROR(__xludf.dummyfunction("""COMPUTED_VALUE"""),10)</f>
        <v>10</v>
      </c>
      <c r="W268" s="22" t="n">
        <f aca="false">IFERROR(__xludf.dummyfunction("""COMPUTED_VALUE"""),9.5)</f>
        <v>9.5</v>
      </c>
      <c r="X268" s="22" t="n">
        <f aca="false">IFERROR(__xludf.dummyfunction("""COMPUTED_VALUE"""),10)</f>
        <v>10</v>
      </c>
      <c r="Y268" s="22" t="n">
        <f aca="false">IFERROR(__xludf.dummyfunction("""COMPUTED_VALUE"""),10)</f>
        <v>10</v>
      </c>
      <c r="Z268" s="22" t="n">
        <f aca="false">IFERROR(__xludf.dummyfunction("""COMPUTED_VALUE"""),2)</f>
        <v>2</v>
      </c>
      <c r="AA268" s="22" t="n">
        <f aca="false">IFERROR(__xludf.dummyfunction("""COMPUTED_VALUE"""),1)</f>
        <v>1</v>
      </c>
      <c r="AB268" s="22" t="n">
        <f aca="false">IFERROR(__xludf.dummyfunction("""COMPUTED_VALUE"""),10)</f>
        <v>10</v>
      </c>
      <c r="AC268" s="22" t="n">
        <f aca="false">IFERROR(__xludf.dummyfunction("""COMPUTED_VALUE"""),30)</f>
        <v>30</v>
      </c>
      <c r="AD268" s="23"/>
      <c r="AE268" s="24" t="n">
        <f aca="false">IFERROR(__xludf.dummyfunction("""COMPUTED_VALUE"""),92.5)</f>
        <v>92.5</v>
      </c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</row>
    <row r="269" customFormat="false" ht="18.65" hidden="false" customHeight="false" outlineLevel="0" collapsed="false">
      <c r="A269" s="13" t="n">
        <v>268</v>
      </c>
      <c r="B269" s="14" t="s">
        <v>570</v>
      </c>
      <c r="C269" s="15" t="s">
        <v>571</v>
      </c>
      <c r="D269" s="16" t="s">
        <v>244</v>
      </c>
      <c r="E269" s="16" t="s">
        <v>244</v>
      </c>
      <c r="F269" s="16" t="str">
        <f aca="false">REPLACE(E269, 1, 3, "")</f>
        <v>13</v>
      </c>
      <c r="G269" s="17" t="str">
        <f aca="true">IFERROR(VLOOKUP(B269,INDIRECT("'"&amp;F269&amp;"'!D3:D"),1,FALSE()), "Not found")</f>
        <v>Not found</v>
      </c>
      <c r="H269" s="18" t="n">
        <f aca="true">INDIRECT("'"&amp;F269&amp;"'!D1")</f>
        <v>0</v>
      </c>
      <c r="I269" s="18" t="str">
        <f aca="false">IFERROR(__xludf.dummyfunction("REGEXEXTRACT(ADDRESS(ROW(), 24+$H269), ""[A-Z]+"")"),"X")</f>
        <v>X</v>
      </c>
      <c r="J269" s="18" t="str">
        <f aca="false">IFERROR(__xludf.dummyfunction("REGEXEXTRACT(ADDRESS(ROW(), 30+$H269), ""[A-Z]+"")"),"AD")</f>
        <v>AD</v>
      </c>
      <c r="K269" s="18" t="str">
        <f aca="false">IFERROR(__xludf.dummyfunction("REGEXEXTRACT(ADDRESS(ROW(), 36+$H269), ""[A-Z]+"")"),"AJ")</f>
        <v>AJ</v>
      </c>
      <c r="L269" s="18" t="str">
        <f aca="false">IFERROR(__xludf.dummyfunction("REGEXEXTRACT(ADDRESS(ROW(), 42+$H269), ""[A-Z]+"")"),"AP")</f>
        <v>AP</v>
      </c>
      <c r="M269" s="18" t="str">
        <f aca="false">IFERROR(__xludf.dummyfunction("REGEXEXTRACT(ADDRESS(ROW(), 48+$H269), ""[A-Z]+"")"),"AV")</f>
        <v>AV</v>
      </c>
      <c r="N269" s="18" t="str">
        <f aca="false">IFERROR(__xludf.dummyfunction("REGEXEXTRACT(ADDRESS(ROW(), 50+$H269), ""[A-Z]+"")"),"AX")</f>
        <v>AX</v>
      </c>
      <c r="O269" s="18" t="str">
        <f aca="false">IFERROR(__xludf.dummyfunction("REGEXEXTRACT(ADDRESS(ROW(), 51+$H269), ""[A-Z]+"")"),"AY")</f>
        <v>AY</v>
      </c>
      <c r="P269" s="18" t="str">
        <f aca="false">IFERROR(__xludf.dummyfunction("REGEXEXTRACT(ADDRESS(ROW(), 54+$H269), ""[A-Z]+"")"),"BB")</f>
        <v>BB</v>
      </c>
      <c r="Q269" s="18" t="str">
        <f aca="false">IFERROR(__xludf.dummyfunction("REGEXEXTRACT(ADDRESS(ROW(), 59+$H269), ""[A-Z]+"")"),"BG")</f>
        <v>BG</v>
      </c>
      <c r="R269" s="18" t="str">
        <f aca="false">IFERROR(__xludf.dummyfunction("REGEXEXTRACT(ADDRESS(ROW(), 60+$H269), ""[A-Z]+"")"),"BH")</f>
        <v>BH</v>
      </c>
      <c r="S269" s="18" t="str">
        <f aca="false">IFERROR(__xludf.dummyfunction("REGEXEXTRACT(ADDRESS(ROW(), 62+$H269), ""[A-Z]+"")"),"BJ")</f>
        <v>BJ</v>
      </c>
      <c r="T269" s="18" t="str">
        <f aca="false">IFERROR(__xludf.dummyfunction("REGEXEXTRACT(ADDRESS(ROW(), 63+$H269), ""[A-Z]+"")"),"BK")</f>
        <v>BK</v>
      </c>
      <c r="U269" s="19" t="n">
        <f aca="false">IFERROR(__xludf.dummyfunction("IFERROR(QUERY(INDIRECT(""'""&amp;F269&amp;""'!C3:""&amp;T269&amp;""""), ""SELECT ""&amp;I269&amp;"", ""&amp;J269&amp;"", ""&amp;K269&amp;"", ""&amp;L269&amp;"", ""&amp;M269&amp;"", ""&amp;N269&amp;"", ""&amp;O269&amp;"", ""&amp;P269&amp;"", ""&amp;Q269&amp;"", ""&amp;R269&amp;"", ""&amp;S269&amp;"" WHERE '""&amp;B269&amp;""' = D"", 0), """")"),9.5)</f>
        <v>9.5</v>
      </c>
      <c r="V269" s="22" t="n">
        <f aca="false">IFERROR(__xludf.dummyfunction("""COMPUTED_VALUE"""),9)</f>
        <v>9</v>
      </c>
      <c r="W269" s="22" t="n">
        <f aca="false">IFERROR(__xludf.dummyfunction("""COMPUTED_VALUE"""),10)</f>
        <v>10</v>
      </c>
      <c r="X269" s="22" t="n">
        <f aca="false">IFERROR(__xludf.dummyfunction("""COMPUTED_VALUE"""),10)</f>
        <v>10</v>
      </c>
      <c r="Y269" s="22" t="n">
        <f aca="false">IFERROR(__xludf.dummyfunction("""COMPUTED_VALUE"""),9.5)</f>
        <v>9.5</v>
      </c>
      <c r="Z269" s="22" t="n">
        <f aca="false">IFERROR(__xludf.dummyfunction("""COMPUTED_VALUE"""),4)</f>
        <v>4</v>
      </c>
      <c r="AA269" s="22" t="n">
        <f aca="false">IFERROR(__xludf.dummyfunction("""COMPUTED_VALUE"""),1)</f>
        <v>1</v>
      </c>
      <c r="AB269" s="22" t="n">
        <f aca="false">IFERROR(__xludf.dummyfunction("""COMPUTED_VALUE"""),6)</f>
        <v>6</v>
      </c>
      <c r="AC269" s="22" t="n">
        <f aca="false">IFERROR(__xludf.dummyfunction("""COMPUTED_VALUE"""),29)</f>
        <v>29</v>
      </c>
      <c r="AD269" s="23" t="n">
        <f aca="false">IFERROR(__xludf.dummyfunction("""COMPUTED_VALUE"""),3)</f>
        <v>3</v>
      </c>
      <c r="AE269" s="24" t="n">
        <f aca="false">IFERROR(__xludf.dummyfunction("""COMPUTED_VALUE"""),91)</f>
        <v>91</v>
      </c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</row>
    <row r="270" customFormat="false" ht="18.65" hidden="false" customHeight="false" outlineLevel="0" collapsed="false">
      <c r="A270" s="13" t="n">
        <v>269</v>
      </c>
      <c r="B270" s="14" t="s">
        <v>572</v>
      </c>
      <c r="C270" s="15" t="s">
        <v>573</v>
      </c>
      <c r="D270" s="16" t="s">
        <v>218</v>
      </c>
      <c r="E270" s="16" t="s">
        <v>218</v>
      </c>
      <c r="F270" s="16" t="str">
        <f aca="false">REPLACE(E270, 1, 3, "")</f>
        <v>15</v>
      </c>
      <c r="G270" s="17" t="str">
        <f aca="true">IFERROR(VLOOKUP(B270,INDIRECT("'"&amp;F270&amp;"'!D3:D"),1,FALSE()), "Not found")</f>
        <v>Not found</v>
      </c>
      <c r="H270" s="18" t="n">
        <f aca="true">INDIRECT("'"&amp;F270&amp;"'!D1")</f>
        <v>0</v>
      </c>
      <c r="I270" s="18" t="str">
        <f aca="false">IFERROR(__xludf.dummyfunction("REGEXEXTRACT(ADDRESS(ROW(), 24+$H270), ""[A-Z]+"")"),"X")</f>
        <v>X</v>
      </c>
      <c r="J270" s="18" t="str">
        <f aca="false">IFERROR(__xludf.dummyfunction("REGEXEXTRACT(ADDRESS(ROW(), 30+$H270), ""[A-Z]+"")"),"AD")</f>
        <v>AD</v>
      </c>
      <c r="K270" s="18" t="str">
        <f aca="false">IFERROR(__xludf.dummyfunction("REGEXEXTRACT(ADDRESS(ROW(), 36+$H270), ""[A-Z]+"")"),"AJ")</f>
        <v>AJ</v>
      </c>
      <c r="L270" s="18" t="str">
        <f aca="false">IFERROR(__xludf.dummyfunction("REGEXEXTRACT(ADDRESS(ROW(), 42+$H270), ""[A-Z]+"")"),"AP")</f>
        <v>AP</v>
      </c>
      <c r="M270" s="18" t="str">
        <f aca="false">IFERROR(__xludf.dummyfunction("REGEXEXTRACT(ADDRESS(ROW(), 48+$H270), ""[A-Z]+"")"),"AV")</f>
        <v>AV</v>
      </c>
      <c r="N270" s="18" t="str">
        <f aca="false">IFERROR(__xludf.dummyfunction("REGEXEXTRACT(ADDRESS(ROW(), 50+$H270), ""[A-Z]+"")"),"AX")</f>
        <v>AX</v>
      </c>
      <c r="O270" s="18" t="str">
        <f aca="false">IFERROR(__xludf.dummyfunction("REGEXEXTRACT(ADDRESS(ROW(), 51+$H270), ""[A-Z]+"")"),"AY")</f>
        <v>AY</v>
      </c>
      <c r="P270" s="18" t="str">
        <f aca="false">IFERROR(__xludf.dummyfunction("REGEXEXTRACT(ADDRESS(ROW(), 54+$H270), ""[A-Z]+"")"),"BB")</f>
        <v>BB</v>
      </c>
      <c r="Q270" s="18" t="str">
        <f aca="false">IFERROR(__xludf.dummyfunction("REGEXEXTRACT(ADDRESS(ROW(), 59+$H270), ""[A-Z]+"")"),"BG")</f>
        <v>BG</v>
      </c>
      <c r="R270" s="18" t="str">
        <f aca="false">IFERROR(__xludf.dummyfunction("REGEXEXTRACT(ADDRESS(ROW(), 60+$H270), ""[A-Z]+"")"),"BH")</f>
        <v>BH</v>
      </c>
      <c r="S270" s="18" t="str">
        <f aca="false">IFERROR(__xludf.dummyfunction("REGEXEXTRACT(ADDRESS(ROW(), 62+$H270), ""[A-Z]+"")"),"BJ")</f>
        <v>BJ</v>
      </c>
      <c r="T270" s="18" t="str">
        <f aca="false">IFERROR(__xludf.dummyfunction("REGEXEXTRACT(ADDRESS(ROW(), 63+$H270), ""[A-Z]+"")"),"BK")</f>
        <v>BK</v>
      </c>
      <c r="U270" s="19" t="n">
        <f aca="false">IFERROR(__xludf.dummyfunction("IFERROR(QUERY(INDIRECT(""'""&amp;F270&amp;""'!C3:""&amp;T270&amp;""""), ""SELECT ""&amp;I270&amp;"", ""&amp;J270&amp;"", ""&amp;K270&amp;"", ""&amp;L270&amp;"", ""&amp;M270&amp;"", ""&amp;N270&amp;"", ""&amp;O270&amp;"", ""&amp;P270&amp;"", ""&amp;Q270&amp;"", ""&amp;R270&amp;"", ""&amp;S270&amp;"" WHERE '""&amp;B270&amp;""' = D"", 0), """")"),9.5)</f>
        <v>9.5</v>
      </c>
      <c r="V270" s="22" t="n">
        <f aca="false">IFERROR(__xludf.dummyfunction("""COMPUTED_VALUE"""),8.6)</f>
        <v>8.6</v>
      </c>
      <c r="W270" s="22" t="n">
        <f aca="false">IFERROR(__xludf.dummyfunction("""COMPUTED_VALUE"""),7)</f>
        <v>7</v>
      </c>
      <c r="X270" s="22" t="n">
        <f aca="false">IFERROR(__xludf.dummyfunction("""COMPUTED_VALUE"""),8)</f>
        <v>8</v>
      </c>
      <c r="Y270" s="22" t="n">
        <f aca="false">IFERROR(__xludf.dummyfunction("""COMPUTED_VALUE"""),0)</f>
        <v>0</v>
      </c>
      <c r="Z270" s="22" t="n">
        <f aca="false">IFERROR(__xludf.dummyfunction("""COMPUTED_VALUE"""),0)</f>
        <v>0</v>
      </c>
      <c r="AA270" s="22"/>
      <c r="AB270" s="22" t="n">
        <f aca="false">IFERROR(__xludf.dummyfunction("""COMPUTED_VALUE"""),10)</f>
        <v>10</v>
      </c>
      <c r="AC270" s="22" t="n">
        <f aca="false">IFERROR(__xludf.dummyfunction("""COMPUTED_VALUE"""),18)</f>
        <v>18</v>
      </c>
      <c r="AD270" s="23"/>
      <c r="AE270" s="24" t="n">
        <f aca="false">IFERROR(__xludf.dummyfunction("""COMPUTED_VALUE"""),61.1)</f>
        <v>61.1</v>
      </c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</row>
    <row r="271" customFormat="false" ht="18.65" hidden="false" customHeight="false" outlineLevel="0" collapsed="false">
      <c r="A271" s="13" t="n">
        <v>270</v>
      </c>
      <c r="B271" s="14" t="s">
        <v>574</v>
      </c>
      <c r="C271" s="15" t="s">
        <v>575</v>
      </c>
      <c r="D271" s="16" t="s">
        <v>213</v>
      </c>
      <c r="E271" s="16" t="s">
        <v>213</v>
      </c>
      <c r="F271" s="16" t="str">
        <f aca="false">REPLACE(E271, 1, 3, "")</f>
        <v>16</v>
      </c>
      <c r="G271" s="17" t="str">
        <f aca="true">IFERROR(VLOOKUP(B271,INDIRECT("'"&amp;F271&amp;"'!D3:D"),1,FALSE()), "Not found")</f>
        <v>Not found</v>
      </c>
      <c r="H271" s="18" t="n">
        <f aca="true">INDIRECT("'"&amp;F271&amp;"'!D1")</f>
        <v>0</v>
      </c>
      <c r="I271" s="18" t="str">
        <f aca="false">IFERROR(__xludf.dummyfunction("REGEXEXTRACT(ADDRESS(ROW(), 24+$H271), ""[A-Z]+"")"),"X")</f>
        <v>X</v>
      </c>
      <c r="J271" s="18" t="str">
        <f aca="false">IFERROR(__xludf.dummyfunction("REGEXEXTRACT(ADDRESS(ROW(), 30+$H271), ""[A-Z]+"")"),"AD")</f>
        <v>AD</v>
      </c>
      <c r="K271" s="18" t="str">
        <f aca="false">IFERROR(__xludf.dummyfunction("REGEXEXTRACT(ADDRESS(ROW(), 36+$H271), ""[A-Z]+"")"),"AJ")</f>
        <v>AJ</v>
      </c>
      <c r="L271" s="18" t="str">
        <f aca="false">IFERROR(__xludf.dummyfunction("REGEXEXTRACT(ADDRESS(ROW(), 42+$H271), ""[A-Z]+"")"),"AP")</f>
        <v>AP</v>
      </c>
      <c r="M271" s="18" t="str">
        <f aca="false">IFERROR(__xludf.dummyfunction("REGEXEXTRACT(ADDRESS(ROW(), 48+$H271), ""[A-Z]+"")"),"AV")</f>
        <v>AV</v>
      </c>
      <c r="N271" s="18" t="str">
        <f aca="false">IFERROR(__xludf.dummyfunction("REGEXEXTRACT(ADDRESS(ROW(), 50+$H271), ""[A-Z]+"")"),"AX")</f>
        <v>AX</v>
      </c>
      <c r="O271" s="18" t="str">
        <f aca="false">IFERROR(__xludf.dummyfunction("REGEXEXTRACT(ADDRESS(ROW(), 51+$H271), ""[A-Z]+"")"),"AY")</f>
        <v>AY</v>
      </c>
      <c r="P271" s="18" t="str">
        <f aca="false">IFERROR(__xludf.dummyfunction("REGEXEXTRACT(ADDRESS(ROW(), 54+$H271), ""[A-Z]+"")"),"BB")</f>
        <v>BB</v>
      </c>
      <c r="Q271" s="18" t="str">
        <f aca="false">IFERROR(__xludf.dummyfunction("REGEXEXTRACT(ADDRESS(ROW(), 59+$H271), ""[A-Z]+"")"),"BG")</f>
        <v>BG</v>
      </c>
      <c r="R271" s="18" t="str">
        <f aca="false">IFERROR(__xludf.dummyfunction("REGEXEXTRACT(ADDRESS(ROW(), 60+$H271), ""[A-Z]+"")"),"BH")</f>
        <v>BH</v>
      </c>
      <c r="S271" s="18" t="str">
        <f aca="false">IFERROR(__xludf.dummyfunction("REGEXEXTRACT(ADDRESS(ROW(), 62+$H271), ""[A-Z]+"")"),"BJ")</f>
        <v>BJ</v>
      </c>
      <c r="T271" s="18" t="str">
        <f aca="false">IFERROR(__xludf.dummyfunction("REGEXEXTRACT(ADDRESS(ROW(), 63+$H271), ""[A-Z]+"")"),"BK")</f>
        <v>BK</v>
      </c>
      <c r="U271" s="19" t="n">
        <f aca="false">IFERROR(__xludf.dummyfunction("IFERROR(QUERY(INDIRECT(""'""&amp;F271&amp;""'!C3:""&amp;T271&amp;""""), ""SELECT ""&amp;I271&amp;"", ""&amp;J271&amp;"", ""&amp;K271&amp;"", ""&amp;L271&amp;"", ""&amp;M271&amp;"", ""&amp;N271&amp;"", ""&amp;O271&amp;"", ""&amp;P271&amp;"", ""&amp;Q271&amp;"", ""&amp;R271&amp;"", ""&amp;S271&amp;"" WHERE '""&amp;B271&amp;""' = D"", 0), """")"),9)</f>
        <v>9</v>
      </c>
      <c r="V271" s="22" t="n">
        <f aca="false">IFERROR(__xludf.dummyfunction("""COMPUTED_VALUE"""),10)</f>
        <v>10</v>
      </c>
      <c r="W271" s="22" t="n">
        <f aca="false">IFERROR(__xludf.dummyfunction("""COMPUTED_VALUE"""),10)</f>
        <v>10</v>
      </c>
      <c r="X271" s="22" t="n">
        <f aca="false">IFERROR(__xludf.dummyfunction("""COMPUTED_VALUE"""),8)</f>
        <v>8</v>
      </c>
      <c r="Y271" s="22" t="n">
        <f aca="false">IFERROR(__xludf.dummyfunction("""COMPUTED_VALUE"""),0)</f>
        <v>0</v>
      </c>
      <c r="Z271" s="22"/>
      <c r="AA271" s="22"/>
      <c r="AB271" s="22" t="n">
        <f aca="false">IFERROR(__xludf.dummyfunction("""COMPUTED_VALUE"""),6)</f>
        <v>6</v>
      </c>
      <c r="AC271" s="22" t="n">
        <f aca="false">IFERROR(__xludf.dummyfunction("""COMPUTED_VALUE"""),29)</f>
        <v>29</v>
      </c>
      <c r="AD271" s="23" t="n">
        <f aca="false">IFERROR(__xludf.dummyfunction("""COMPUTED_VALUE"""),3)</f>
        <v>3</v>
      </c>
      <c r="AE271" s="24" t="n">
        <f aca="false">IFERROR(__xludf.dummyfunction("""COMPUTED_VALUE"""),75)</f>
        <v>75</v>
      </c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</row>
    <row r="272" customFormat="false" ht="18.65" hidden="false" customHeight="false" outlineLevel="0" collapsed="false">
      <c r="A272" s="13" t="n">
        <v>271</v>
      </c>
      <c r="B272" s="14" t="s">
        <v>576</v>
      </c>
      <c r="C272" s="15" t="s">
        <v>577</v>
      </c>
      <c r="D272" s="16" t="s">
        <v>174</v>
      </c>
      <c r="E272" s="16" t="s">
        <v>174</v>
      </c>
      <c r="F272" s="16" t="str">
        <f aca="false">REPLACE(E272, 1, 3, "")</f>
        <v>08</v>
      </c>
      <c r="G272" s="17" t="str">
        <f aca="true">IFERROR(VLOOKUP(B272,INDIRECT("'"&amp;F272&amp;"'!D3:D"),1,FALSE()), "Not found")</f>
        <v>Not found</v>
      </c>
      <c r="H272" s="18" t="n">
        <f aca="true">INDIRECT("'"&amp;F272&amp;"'!D1")</f>
        <v>0</v>
      </c>
      <c r="I272" s="18" t="str">
        <f aca="false">IFERROR(__xludf.dummyfunction("REGEXEXTRACT(ADDRESS(ROW(), 24+$H272), ""[A-Z]+"")"),"X")</f>
        <v>X</v>
      </c>
      <c r="J272" s="18" t="str">
        <f aca="false">IFERROR(__xludf.dummyfunction("REGEXEXTRACT(ADDRESS(ROW(), 30+$H272), ""[A-Z]+"")"),"AD")</f>
        <v>AD</v>
      </c>
      <c r="K272" s="18" t="str">
        <f aca="false">IFERROR(__xludf.dummyfunction("REGEXEXTRACT(ADDRESS(ROW(), 36+$H272), ""[A-Z]+"")"),"AJ")</f>
        <v>AJ</v>
      </c>
      <c r="L272" s="18" t="str">
        <f aca="false">IFERROR(__xludf.dummyfunction("REGEXEXTRACT(ADDRESS(ROW(), 42+$H272), ""[A-Z]+"")"),"AP")</f>
        <v>AP</v>
      </c>
      <c r="M272" s="18" t="str">
        <f aca="false">IFERROR(__xludf.dummyfunction("REGEXEXTRACT(ADDRESS(ROW(), 48+$H272), ""[A-Z]+"")"),"AV")</f>
        <v>AV</v>
      </c>
      <c r="N272" s="18" t="str">
        <f aca="false">IFERROR(__xludf.dummyfunction("REGEXEXTRACT(ADDRESS(ROW(), 50+$H272), ""[A-Z]+"")"),"AX")</f>
        <v>AX</v>
      </c>
      <c r="O272" s="18" t="str">
        <f aca="false">IFERROR(__xludf.dummyfunction("REGEXEXTRACT(ADDRESS(ROW(), 51+$H272), ""[A-Z]+"")"),"AY")</f>
        <v>AY</v>
      </c>
      <c r="P272" s="18" t="str">
        <f aca="false">IFERROR(__xludf.dummyfunction("REGEXEXTRACT(ADDRESS(ROW(), 54+$H272), ""[A-Z]+"")"),"BB")</f>
        <v>BB</v>
      </c>
      <c r="Q272" s="18" t="str">
        <f aca="false">IFERROR(__xludf.dummyfunction("REGEXEXTRACT(ADDRESS(ROW(), 59+$H272), ""[A-Z]+"")"),"BG")</f>
        <v>BG</v>
      </c>
      <c r="R272" s="18" t="str">
        <f aca="false">IFERROR(__xludf.dummyfunction("REGEXEXTRACT(ADDRESS(ROW(), 60+$H272), ""[A-Z]+"")"),"BH")</f>
        <v>BH</v>
      </c>
      <c r="S272" s="18" t="str">
        <f aca="false">IFERROR(__xludf.dummyfunction("REGEXEXTRACT(ADDRESS(ROW(), 62+$H272), ""[A-Z]+"")"),"BJ")</f>
        <v>BJ</v>
      </c>
      <c r="T272" s="18" t="str">
        <f aca="false">IFERROR(__xludf.dummyfunction("REGEXEXTRACT(ADDRESS(ROW(), 63+$H272), ""[A-Z]+"")"),"BK")</f>
        <v>BK</v>
      </c>
      <c r="U272" s="19" t="n">
        <f aca="false">IFERROR(__xludf.dummyfunction("IFERROR(QUERY(INDIRECT(""'""&amp;F272&amp;""'!C3:""&amp;T272&amp;""""), ""SELECT ""&amp;I272&amp;"", ""&amp;J272&amp;"", ""&amp;K272&amp;"", ""&amp;L272&amp;"", ""&amp;M272&amp;"", ""&amp;N272&amp;"", ""&amp;O272&amp;"", ""&amp;P272&amp;"", ""&amp;Q272&amp;"", ""&amp;R272&amp;"", ""&amp;S272&amp;"" WHERE '""&amp;B272&amp;""' = D"", 0), """")"),8.5)</f>
        <v>8.5</v>
      </c>
      <c r="V272" s="22" t="n">
        <f aca="false">IFERROR(__xludf.dummyfunction("""COMPUTED_VALUE"""),8.5)</f>
        <v>8.5</v>
      </c>
      <c r="W272" s="22" t="n">
        <f aca="false">IFERROR(__xludf.dummyfunction("""COMPUTED_VALUE"""),7)</f>
        <v>7</v>
      </c>
      <c r="X272" s="22"/>
      <c r="Y272" s="22" t="n">
        <f aca="false">IFERROR(__xludf.dummyfunction("""COMPUTED_VALUE"""),0)</f>
        <v>0</v>
      </c>
      <c r="Z272" s="22"/>
      <c r="AA272" s="22"/>
      <c r="AB272" s="22" t="n">
        <f aca="false">IFERROR(__xludf.dummyfunction("""COMPUTED_VALUE"""),6)</f>
        <v>6</v>
      </c>
      <c r="AC272" s="22"/>
      <c r="AD272" s="23"/>
      <c r="AE272" s="24" t="n">
        <f aca="false">IFERROR(__xludf.dummyfunction("""COMPUTED_VALUE"""),30)</f>
        <v>30</v>
      </c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</row>
    <row r="273" customFormat="false" ht="18.65" hidden="false" customHeight="false" outlineLevel="0" collapsed="false">
      <c r="A273" s="13" t="n">
        <v>272</v>
      </c>
      <c r="B273" s="14" t="s">
        <v>578</v>
      </c>
      <c r="C273" s="15" t="s">
        <v>579</v>
      </c>
      <c r="D273" s="16" t="s">
        <v>218</v>
      </c>
      <c r="E273" s="16" t="s">
        <v>218</v>
      </c>
      <c r="F273" s="16" t="str">
        <f aca="false">REPLACE(E273, 1, 3, "")</f>
        <v>15</v>
      </c>
      <c r="G273" s="17" t="str">
        <f aca="true">IFERROR(VLOOKUP(B273,INDIRECT("'"&amp;F273&amp;"'!D3:D"),1,FALSE()), "Not found")</f>
        <v>Not found</v>
      </c>
      <c r="H273" s="18" t="n">
        <f aca="true">INDIRECT("'"&amp;F273&amp;"'!D1")</f>
        <v>0</v>
      </c>
      <c r="I273" s="18" t="str">
        <f aca="false">IFERROR(__xludf.dummyfunction("REGEXEXTRACT(ADDRESS(ROW(), 24+$H273), ""[A-Z]+"")"),"X")</f>
        <v>X</v>
      </c>
      <c r="J273" s="18" t="str">
        <f aca="false">IFERROR(__xludf.dummyfunction("REGEXEXTRACT(ADDRESS(ROW(), 30+$H273), ""[A-Z]+"")"),"AD")</f>
        <v>AD</v>
      </c>
      <c r="K273" s="18" t="str">
        <f aca="false">IFERROR(__xludf.dummyfunction("REGEXEXTRACT(ADDRESS(ROW(), 36+$H273), ""[A-Z]+"")"),"AJ")</f>
        <v>AJ</v>
      </c>
      <c r="L273" s="18" t="str">
        <f aca="false">IFERROR(__xludf.dummyfunction("REGEXEXTRACT(ADDRESS(ROW(), 42+$H273), ""[A-Z]+"")"),"AP")</f>
        <v>AP</v>
      </c>
      <c r="M273" s="18" t="str">
        <f aca="false">IFERROR(__xludf.dummyfunction("REGEXEXTRACT(ADDRESS(ROW(), 48+$H273), ""[A-Z]+"")"),"AV")</f>
        <v>AV</v>
      </c>
      <c r="N273" s="18" t="str">
        <f aca="false">IFERROR(__xludf.dummyfunction("REGEXEXTRACT(ADDRESS(ROW(), 50+$H273), ""[A-Z]+"")"),"AX")</f>
        <v>AX</v>
      </c>
      <c r="O273" s="18" t="str">
        <f aca="false">IFERROR(__xludf.dummyfunction("REGEXEXTRACT(ADDRESS(ROW(), 51+$H273), ""[A-Z]+"")"),"AY")</f>
        <v>AY</v>
      </c>
      <c r="P273" s="18" t="str">
        <f aca="false">IFERROR(__xludf.dummyfunction("REGEXEXTRACT(ADDRESS(ROW(), 54+$H273), ""[A-Z]+"")"),"BB")</f>
        <v>BB</v>
      </c>
      <c r="Q273" s="18" t="str">
        <f aca="false">IFERROR(__xludf.dummyfunction("REGEXEXTRACT(ADDRESS(ROW(), 59+$H273), ""[A-Z]+"")"),"BG")</f>
        <v>BG</v>
      </c>
      <c r="R273" s="18" t="str">
        <f aca="false">IFERROR(__xludf.dummyfunction("REGEXEXTRACT(ADDRESS(ROW(), 60+$H273), ""[A-Z]+"")"),"BH")</f>
        <v>BH</v>
      </c>
      <c r="S273" s="18" t="str">
        <f aca="false">IFERROR(__xludf.dummyfunction("REGEXEXTRACT(ADDRESS(ROW(), 62+$H273), ""[A-Z]+"")"),"BJ")</f>
        <v>BJ</v>
      </c>
      <c r="T273" s="18" t="str">
        <f aca="false">IFERROR(__xludf.dummyfunction("REGEXEXTRACT(ADDRESS(ROW(), 63+$H273), ""[A-Z]+"")"),"BK")</f>
        <v>BK</v>
      </c>
      <c r="U273" s="19" t="n">
        <f aca="false">IFERROR(__xludf.dummyfunction("IFERROR(QUERY(INDIRECT(""'""&amp;F273&amp;""'!C3:""&amp;T273&amp;""""), ""SELECT ""&amp;I273&amp;"", ""&amp;J273&amp;"", ""&amp;K273&amp;"", ""&amp;L273&amp;"", ""&amp;M273&amp;"", ""&amp;N273&amp;"", ""&amp;O273&amp;"", ""&amp;P273&amp;"", ""&amp;Q273&amp;"", ""&amp;R273&amp;"", ""&amp;S273&amp;"" WHERE '""&amp;B273&amp;""' = D"", 0), """")"),7.6)</f>
        <v>7.6</v>
      </c>
      <c r="V273" s="22" t="n">
        <f aca="false">IFERROR(__xludf.dummyfunction("""COMPUTED_VALUE"""),9)</f>
        <v>9</v>
      </c>
      <c r="W273" s="22" t="n">
        <f aca="false">IFERROR(__xludf.dummyfunction("""COMPUTED_VALUE"""),6)</f>
        <v>6</v>
      </c>
      <c r="X273" s="22" t="n">
        <f aca="false">IFERROR(__xludf.dummyfunction("""COMPUTED_VALUE"""),8)</f>
        <v>8</v>
      </c>
      <c r="Y273" s="22" t="n">
        <f aca="false">IFERROR(__xludf.dummyfunction("""COMPUTED_VALUE"""),0)</f>
        <v>0</v>
      </c>
      <c r="Z273" s="22"/>
      <c r="AA273" s="22" t="n">
        <f aca="false">IFERROR(__xludf.dummyfunction("""COMPUTED_VALUE"""),0)</f>
        <v>0</v>
      </c>
      <c r="AB273" s="22" t="n">
        <f aca="false">IFERROR(__xludf.dummyfunction("""COMPUTED_VALUE"""),10)</f>
        <v>10</v>
      </c>
      <c r="AC273" s="22" t="n">
        <f aca="false">IFERROR(__xludf.dummyfunction("""COMPUTED_VALUE"""),0)</f>
        <v>0</v>
      </c>
      <c r="AD273" s="23"/>
      <c r="AE273" s="24" t="n">
        <f aca="false">IFERROR(__xludf.dummyfunction("""COMPUTED_VALUE"""),40.6)</f>
        <v>40.6</v>
      </c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</row>
    <row r="274" customFormat="false" ht="18.65" hidden="false" customHeight="false" outlineLevel="0" collapsed="false">
      <c r="A274" s="13" t="n">
        <v>273</v>
      </c>
      <c r="B274" s="14" t="s">
        <v>580</v>
      </c>
      <c r="C274" s="15" t="s">
        <v>581</v>
      </c>
      <c r="D274" s="16" t="s">
        <v>223</v>
      </c>
      <c r="E274" s="16" t="s">
        <v>223</v>
      </c>
      <c r="F274" s="16" t="str">
        <f aca="false">REPLACE(E274, 1, 3, "")</f>
        <v>17</v>
      </c>
      <c r="G274" s="17" t="str">
        <f aca="true">IFERROR(VLOOKUP(B274,INDIRECT("'"&amp;F274&amp;"'!D3:D"),1,FALSE()), "Not found")</f>
        <v>Not found</v>
      </c>
      <c r="H274" s="18" t="n">
        <f aca="true">INDIRECT("'"&amp;F274&amp;"'!D1")</f>
        <v>0</v>
      </c>
      <c r="I274" s="18" t="str">
        <f aca="false">IFERROR(__xludf.dummyfunction("REGEXEXTRACT(ADDRESS(ROW(), 24+$H274), ""[A-Z]+"")"),"X")</f>
        <v>X</v>
      </c>
      <c r="J274" s="18" t="str">
        <f aca="false">IFERROR(__xludf.dummyfunction("REGEXEXTRACT(ADDRESS(ROW(), 30+$H274), ""[A-Z]+"")"),"AD")</f>
        <v>AD</v>
      </c>
      <c r="K274" s="18" t="str">
        <f aca="false">IFERROR(__xludf.dummyfunction("REGEXEXTRACT(ADDRESS(ROW(), 36+$H274), ""[A-Z]+"")"),"AJ")</f>
        <v>AJ</v>
      </c>
      <c r="L274" s="18" t="str">
        <f aca="false">IFERROR(__xludf.dummyfunction("REGEXEXTRACT(ADDRESS(ROW(), 42+$H274), ""[A-Z]+"")"),"AP")</f>
        <v>AP</v>
      </c>
      <c r="M274" s="18" t="str">
        <f aca="false">IFERROR(__xludf.dummyfunction("REGEXEXTRACT(ADDRESS(ROW(), 48+$H274), ""[A-Z]+"")"),"AV")</f>
        <v>AV</v>
      </c>
      <c r="N274" s="18" t="str">
        <f aca="false">IFERROR(__xludf.dummyfunction("REGEXEXTRACT(ADDRESS(ROW(), 50+$H274), ""[A-Z]+"")"),"AX")</f>
        <v>AX</v>
      </c>
      <c r="O274" s="18" t="str">
        <f aca="false">IFERROR(__xludf.dummyfunction("REGEXEXTRACT(ADDRESS(ROW(), 51+$H274), ""[A-Z]+"")"),"AY")</f>
        <v>AY</v>
      </c>
      <c r="P274" s="18" t="str">
        <f aca="false">IFERROR(__xludf.dummyfunction("REGEXEXTRACT(ADDRESS(ROW(), 54+$H274), ""[A-Z]+"")"),"BB")</f>
        <v>BB</v>
      </c>
      <c r="Q274" s="18" t="str">
        <f aca="false">IFERROR(__xludf.dummyfunction("REGEXEXTRACT(ADDRESS(ROW(), 59+$H274), ""[A-Z]+"")"),"BG")</f>
        <v>BG</v>
      </c>
      <c r="R274" s="18" t="str">
        <f aca="false">IFERROR(__xludf.dummyfunction("REGEXEXTRACT(ADDRESS(ROW(), 60+$H274), ""[A-Z]+"")"),"BH")</f>
        <v>BH</v>
      </c>
      <c r="S274" s="18" t="str">
        <f aca="false">IFERROR(__xludf.dummyfunction("REGEXEXTRACT(ADDRESS(ROW(), 62+$H274), ""[A-Z]+"")"),"BJ")</f>
        <v>BJ</v>
      </c>
      <c r="T274" s="18" t="str">
        <f aca="false">IFERROR(__xludf.dummyfunction("REGEXEXTRACT(ADDRESS(ROW(), 63+$H274), ""[A-Z]+"")"),"BK")</f>
        <v>BK</v>
      </c>
      <c r="U274" s="19" t="n">
        <f aca="false">IFERROR(__xludf.dummyfunction("IFERROR(QUERY(INDIRECT(""'""&amp;F274&amp;""'!C3:""&amp;T274&amp;""""), ""SELECT ""&amp;I274&amp;"", ""&amp;J274&amp;"", ""&amp;K274&amp;"", ""&amp;L274&amp;"", ""&amp;M274&amp;"", ""&amp;N274&amp;"", ""&amp;O274&amp;"", ""&amp;P274&amp;"", ""&amp;Q274&amp;"", ""&amp;R274&amp;"", ""&amp;S274&amp;"" WHERE '""&amp;B274&amp;""' = D"", 0), """")"),8.6)</f>
        <v>8.6</v>
      </c>
      <c r="V274" s="22" t="n">
        <f aca="false">IFERROR(__xludf.dummyfunction("""COMPUTED_VALUE"""),8.9)</f>
        <v>8.9</v>
      </c>
      <c r="W274" s="22" t="n">
        <f aca="false">IFERROR(__xludf.dummyfunction("""COMPUTED_VALUE"""),8)</f>
        <v>8</v>
      </c>
      <c r="X274" s="22" t="n">
        <f aca="false">IFERROR(__xludf.dummyfunction("""COMPUTED_VALUE"""),7)</f>
        <v>7</v>
      </c>
      <c r="Y274" s="22" t="n">
        <f aca="false">IFERROR(__xludf.dummyfunction("""COMPUTED_VALUE"""),0)</f>
        <v>0</v>
      </c>
      <c r="Z274" s="22" t="n">
        <f aca="false">IFERROR(__xludf.dummyfunction("""COMPUTED_VALUE"""),0)</f>
        <v>0</v>
      </c>
      <c r="AA274" s="22"/>
      <c r="AB274" s="22" t="n">
        <f aca="false">IFERROR(__xludf.dummyfunction("""COMPUTED_VALUE"""),10)</f>
        <v>10</v>
      </c>
      <c r="AC274" s="22" t="n">
        <f aca="false">IFERROR(__xludf.dummyfunction("""COMPUTED_VALUE"""),29)</f>
        <v>29</v>
      </c>
      <c r="AD274" s="23" t="n">
        <f aca="false">IFERROR(__xludf.dummyfunction("""COMPUTED_VALUE"""),3)</f>
        <v>3</v>
      </c>
      <c r="AE274" s="24" t="n">
        <f aca="false">IFERROR(__xludf.dummyfunction("""COMPUTED_VALUE"""),74.5)</f>
        <v>74.5</v>
      </c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</row>
    <row r="275" customFormat="false" ht="18.65" hidden="false" customHeight="false" outlineLevel="0" collapsed="false">
      <c r="A275" s="13" t="n">
        <v>274</v>
      </c>
      <c r="B275" s="14" t="s">
        <v>582</v>
      </c>
      <c r="C275" s="15" t="s">
        <v>583</v>
      </c>
      <c r="D275" s="16" t="s">
        <v>235</v>
      </c>
      <c r="E275" s="16" t="s">
        <v>235</v>
      </c>
      <c r="F275" s="16" t="str">
        <f aca="false">REPLACE(E275, 1, 3, "")</f>
        <v>18</v>
      </c>
      <c r="G275" s="17" t="str">
        <f aca="true">IFERROR(VLOOKUP(B275,INDIRECT("'"&amp;F275&amp;"'!D3:D"),1,FALSE()), "Not found")</f>
        <v>Not found</v>
      </c>
      <c r="H275" s="18" t="n">
        <f aca="true">INDIRECT("'"&amp;F275&amp;"'!D1")</f>
        <v>0</v>
      </c>
      <c r="I275" s="18" t="str">
        <f aca="false">IFERROR(__xludf.dummyfunction("REGEXEXTRACT(ADDRESS(ROW(), 24+$H275), ""[A-Z]+"")"),"X")</f>
        <v>X</v>
      </c>
      <c r="J275" s="18" t="str">
        <f aca="false">IFERROR(__xludf.dummyfunction("REGEXEXTRACT(ADDRESS(ROW(), 30+$H275), ""[A-Z]+"")"),"AD")</f>
        <v>AD</v>
      </c>
      <c r="K275" s="18" t="str">
        <f aca="false">IFERROR(__xludf.dummyfunction("REGEXEXTRACT(ADDRESS(ROW(), 36+$H275), ""[A-Z]+"")"),"AJ")</f>
        <v>AJ</v>
      </c>
      <c r="L275" s="18" t="str">
        <f aca="false">IFERROR(__xludf.dummyfunction("REGEXEXTRACT(ADDRESS(ROW(), 42+$H275), ""[A-Z]+"")"),"AP")</f>
        <v>AP</v>
      </c>
      <c r="M275" s="18" t="str">
        <f aca="false">IFERROR(__xludf.dummyfunction("REGEXEXTRACT(ADDRESS(ROW(), 48+$H275), ""[A-Z]+"")"),"AV")</f>
        <v>AV</v>
      </c>
      <c r="N275" s="18" t="str">
        <f aca="false">IFERROR(__xludf.dummyfunction("REGEXEXTRACT(ADDRESS(ROW(), 50+$H275), ""[A-Z]+"")"),"AX")</f>
        <v>AX</v>
      </c>
      <c r="O275" s="18" t="str">
        <f aca="false">IFERROR(__xludf.dummyfunction("REGEXEXTRACT(ADDRESS(ROW(), 51+$H275), ""[A-Z]+"")"),"AY")</f>
        <v>AY</v>
      </c>
      <c r="P275" s="18" t="str">
        <f aca="false">IFERROR(__xludf.dummyfunction("REGEXEXTRACT(ADDRESS(ROW(), 54+$H275), ""[A-Z]+"")"),"BB")</f>
        <v>BB</v>
      </c>
      <c r="Q275" s="18" t="str">
        <f aca="false">IFERROR(__xludf.dummyfunction("REGEXEXTRACT(ADDRESS(ROW(), 59+$H275), ""[A-Z]+"")"),"BG")</f>
        <v>BG</v>
      </c>
      <c r="R275" s="18" t="str">
        <f aca="false">IFERROR(__xludf.dummyfunction("REGEXEXTRACT(ADDRESS(ROW(), 60+$H275), ""[A-Z]+"")"),"BH")</f>
        <v>BH</v>
      </c>
      <c r="S275" s="18" t="str">
        <f aca="false">IFERROR(__xludf.dummyfunction("REGEXEXTRACT(ADDRESS(ROW(), 62+$H275), ""[A-Z]+"")"),"BJ")</f>
        <v>BJ</v>
      </c>
      <c r="T275" s="18" t="str">
        <f aca="false">IFERROR(__xludf.dummyfunction("REGEXEXTRACT(ADDRESS(ROW(), 63+$H275), ""[A-Z]+"")"),"BK")</f>
        <v>BK</v>
      </c>
      <c r="U275" s="19" t="n">
        <f aca="false">IFERROR(__xludf.dummyfunction("IFERROR(QUERY(INDIRECT(""'""&amp;F275&amp;""'!C3:""&amp;T275&amp;""""), ""SELECT ""&amp;I275&amp;"", ""&amp;J275&amp;"", ""&amp;K275&amp;"", ""&amp;L275&amp;"", ""&amp;M275&amp;"", ""&amp;N275&amp;"", ""&amp;O275&amp;"", ""&amp;P275&amp;"", ""&amp;Q275&amp;"", ""&amp;R275&amp;"", ""&amp;S275&amp;"" WHERE '""&amp;B275&amp;""' = D"", 0), """")"),7)</f>
        <v>7</v>
      </c>
      <c r="V275" s="22" t="n">
        <f aca="false">IFERROR(__xludf.dummyfunction("""COMPUTED_VALUE"""),8)</f>
        <v>8</v>
      </c>
      <c r="W275" s="22"/>
      <c r="X275" s="22"/>
      <c r="Y275" s="22" t="n">
        <f aca="false">IFERROR(__xludf.dummyfunction("""COMPUTED_VALUE"""),0)</f>
        <v>0</v>
      </c>
      <c r="Z275" s="22"/>
      <c r="AA275" s="22"/>
      <c r="AB275" s="22" t="n">
        <f aca="false">IFERROR(__xludf.dummyfunction("""COMPUTED_VALUE"""),7)</f>
        <v>7</v>
      </c>
      <c r="AC275" s="22"/>
      <c r="AD275" s="23"/>
      <c r="AE275" s="24" t="n">
        <f aca="false">IFERROR(__xludf.dummyfunction("""COMPUTED_VALUE"""),22)</f>
        <v>22</v>
      </c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</row>
    <row r="276" customFormat="false" ht="18.65" hidden="false" customHeight="false" outlineLevel="0" collapsed="false">
      <c r="A276" s="13" t="n">
        <v>275</v>
      </c>
      <c r="B276" s="14" t="s">
        <v>584</v>
      </c>
      <c r="C276" s="15" t="s">
        <v>585</v>
      </c>
      <c r="D276" s="16" t="s">
        <v>177</v>
      </c>
      <c r="E276" s="16" t="s">
        <v>177</v>
      </c>
      <c r="F276" s="16" t="str">
        <f aca="false">REPLACE(E276, 1, 3, "")</f>
        <v>19</v>
      </c>
      <c r="G276" s="17" t="str">
        <f aca="true">IFERROR(VLOOKUP(B276,INDIRECT("'"&amp;F276&amp;"'!D3:D"),1,FALSE()), "Not found")</f>
        <v>Not found</v>
      </c>
      <c r="H276" s="18" t="n">
        <f aca="true">INDIRECT("'"&amp;F276&amp;"'!D1")</f>
        <v>0</v>
      </c>
      <c r="I276" s="18" t="str">
        <f aca="false">IFERROR(__xludf.dummyfunction("REGEXEXTRACT(ADDRESS(ROW(), 24+$H276), ""[A-Z]+"")"),"X")</f>
        <v>X</v>
      </c>
      <c r="J276" s="18" t="str">
        <f aca="false">IFERROR(__xludf.dummyfunction("REGEXEXTRACT(ADDRESS(ROW(), 30+$H276), ""[A-Z]+"")"),"AD")</f>
        <v>AD</v>
      </c>
      <c r="K276" s="18" t="str">
        <f aca="false">IFERROR(__xludf.dummyfunction("REGEXEXTRACT(ADDRESS(ROW(), 36+$H276), ""[A-Z]+"")"),"AJ")</f>
        <v>AJ</v>
      </c>
      <c r="L276" s="18" t="str">
        <f aca="false">IFERROR(__xludf.dummyfunction("REGEXEXTRACT(ADDRESS(ROW(), 42+$H276), ""[A-Z]+"")"),"AP")</f>
        <v>AP</v>
      </c>
      <c r="M276" s="18" t="str">
        <f aca="false">IFERROR(__xludf.dummyfunction("REGEXEXTRACT(ADDRESS(ROW(), 48+$H276), ""[A-Z]+"")"),"AV")</f>
        <v>AV</v>
      </c>
      <c r="N276" s="18" t="str">
        <f aca="false">IFERROR(__xludf.dummyfunction("REGEXEXTRACT(ADDRESS(ROW(), 50+$H276), ""[A-Z]+"")"),"AX")</f>
        <v>AX</v>
      </c>
      <c r="O276" s="18" t="str">
        <f aca="false">IFERROR(__xludf.dummyfunction("REGEXEXTRACT(ADDRESS(ROW(), 51+$H276), ""[A-Z]+"")"),"AY")</f>
        <v>AY</v>
      </c>
      <c r="P276" s="18" t="str">
        <f aca="false">IFERROR(__xludf.dummyfunction("REGEXEXTRACT(ADDRESS(ROW(), 54+$H276), ""[A-Z]+"")"),"BB")</f>
        <v>BB</v>
      </c>
      <c r="Q276" s="18" t="str">
        <f aca="false">IFERROR(__xludf.dummyfunction("REGEXEXTRACT(ADDRESS(ROW(), 59+$H276), ""[A-Z]+"")"),"BG")</f>
        <v>BG</v>
      </c>
      <c r="R276" s="18" t="str">
        <f aca="false">IFERROR(__xludf.dummyfunction("REGEXEXTRACT(ADDRESS(ROW(), 60+$H276), ""[A-Z]+"")"),"BH")</f>
        <v>BH</v>
      </c>
      <c r="S276" s="18" t="str">
        <f aca="false">IFERROR(__xludf.dummyfunction("REGEXEXTRACT(ADDRESS(ROW(), 62+$H276), ""[A-Z]+"")"),"BJ")</f>
        <v>BJ</v>
      </c>
      <c r="T276" s="18" t="str">
        <f aca="false">IFERROR(__xludf.dummyfunction("REGEXEXTRACT(ADDRESS(ROW(), 63+$H276), ""[A-Z]+"")"),"BK")</f>
        <v>BK</v>
      </c>
      <c r="U276" s="19" t="n">
        <f aca="false">IFERROR(__xludf.dummyfunction("IFERROR(QUERY(INDIRECT(""'""&amp;F276&amp;""'!C3:""&amp;T276&amp;""""), ""SELECT ""&amp;I276&amp;"", ""&amp;J276&amp;"", ""&amp;K276&amp;"", ""&amp;L276&amp;"", ""&amp;M276&amp;"", ""&amp;N276&amp;"", ""&amp;O276&amp;"", ""&amp;P276&amp;"", ""&amp;Q276&amp;"", ""&amp;R276&amp;"", ""&amp;S276&amp;"" WHERE '""&amp;B276&amp;""' = D"", 0), """")"),10)</f>
        <v>10</v>
      </c>
      <c r="V276" s="22" t="n">
        <f aca="false">IFERROR(__xludf.dummyfunction("""COMPUTED_VALUE"""),10)</f>
        <v>10</v>
      </c>
      <c r="W276" s="22" t="n">
        <f aca="false">IFERROR(__xludf.dummyfunction("""COMPUTED_VALUE"""),10)</f>
        <v>10</v>
      </c>
      <c r="X276" s="22" t="n">
        <f aca="false">IFERROR(__xludf.dummyfunction("""COMPUTED_VALUE"""),10)</f>
        <v>10</v>
      </c>
      <c r="Y276" s="22" t="n">
        <f aca="false">IFERROR(__xludf.dummyfunction("""COMPUTED_VALUE"""),10)</f>
        <v>10</v>
      </c>
      <c r="Z276" s="22" t="n">
        <f aca="false">IFERROR(__xludf.dummyfunction("""COMPUTED_VALUE"""),1)</f>
        <v>1</v>
      </c>
      <c r="AA276" s="22" t="n">
        <f aca="false">IFERROR(__xludf.dummyfunction("""COMPUTED_VALUE"""),1)</f>
        <v>1</v>
      </c>
      <c r="AB276" s="22" t="n">
        <f aca="false">IFERROR(__xludf.dummyfunction("""COMPUTED_VALUE"""),6)</f>
        <v>6</v>
      </c>
      <c r="AC276" s="22" t="n">
        <f aca="false">IFERROR(__xludf.dummyfunction("""COMPUTED_VALUE"""),25)</f>
        <v>25</v>
      </c>
      <c r="AD276" s="23" t="n">
        <f aca="false">IFERROR(__xludf.dummyfunction("""COMPUTED_VALUE"""),1)</f>
        <v>1</v>
      </c>
      <c r="AE276" s="24" t="n">
        <f aca="false">IFERROR(__xludf.dummyfunction("""COMPUTED_VALUE"""),84)</f>
        <v>84</v>
      </c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</row>
    <row r="277" customFormat="false" ht="18.65" hidden="false" customHeight="false" outlineLevel="0" collapsed="false">
      <c r="A277" s="13" t="n">
        <v>276</v>
      </c>
      <c r="B277" s="14" t="s">
        <v>586</v>
      </c>
      <c r="C277" s="15" t="s">
        <v>587</v>
      </c>
      <c r="D277" s="16" t="s">
        <v>186</v>
      </c>
      <c r="E277" s="16" t="s">
        <v>186</v>
      </c>
      <c r="F277" s="16" t="str">
        <f aca="false">REPLACE(E277, 1, 3, "")</f>
        <v>06</v>
      </c>
      <c r="G277" s="17" t="str">
        <f aca="true">IFERROR(VLOOKUP(B277,INDIRECT("'"&amp;F277&amp;"'!D3:D"),1,FALSE()), "Not found")</f>
        <v>Not found</v>
      </c>
      <c r="H277" s="18" t="n">
        <f aca="true">INDIRECT("'"&amp;F277&amp;"'!D1")</f>
        <v>0</v>
      </c>
      <c r="I277" s="18" t="str">
        <f aca="false">IFERROR(__xludf.dummyfunction("REGEXEXTRACT(ADDRESS(ROW(), 24+$H277), ""[A-Z]+"")"),"X")</f>
        <v>X</v>
      </c>
      <c r="J277" s="18" t="str">
        <f aca="false">IFERROR(__xludf.dummyfunction("REGEXEXTRACT(ADDRESS(ROW(), 30+$H277), ""[A-Z]+"")"),"AD")</f>
        <v>AD</v>
      </c>
      <c r="K277" s="18" t="str">
        <f aca="false">IFERROR(__xludf.dummyfunction("REGEXEXTRACT(ADDRESS(ROW(), 36+$H277), ""[A-Z]+"")"),"AJ")</f>
        <v>AJ</v>
      </c>
      <c r="L277" s="18" t="str">
        <f aca="false">IFERROR(__xludf.dummyfunction("REGEXEXTRACT(ADDRESS(ROW(), 42+$H277), ""[A-Z]+"")"),"AP")</f>
        <v>AP</v>
      </c>
      <c r="M277" s="18" t="str">
        <f aca="false">IFERROR(__xludf.dummyfunction("REGEXEXTRACT(ADDRESS(ROW(), 48+$H277), ""[A-Z]+"")"),"AV")</f>
        <v>AV</v>
      </c>
      <c r="N277" s="18" t="str">
        <f aca="false">IFERROR(__xludf.dummyfunction("REGEXEXTRACT(ADDRESS(ROW(), 50+$H277), ""[A-Z]+"")"),"AX")</f>
        <v>AX</v>
      </c>
      <c r="O277" s="18" t="str">
        <f aca="false">IFERROR(__xludf.dummyfunction("REGEXEXTRACT(ADDRESS(ROW(), 51+$H277), ""[A-Z]+"")"),"AY")</f>
        <v>AY</v>
      </c>
      <c r="P277" s="18" t="str">
        <f aca="false">IFERROR(__xludf.dummyfunction("REGEXEXTRACT(ADDRESS(ROW(), 54+$H277), ""[A-Z]+"")"),"BB")</f>
        <v>BB</v>
      </c>
      <c r="Q277" s="18" t="str">
        <f aca="false">IFERROR(__xludf.dummyfunction("REGEXEXTRACT(ADDRESS(ROW(), 59+$H277), ""[A-Z]+"")"),"BG")</f>
        <v>BG</v>
      </c>
      <c r="R277" s="18" t="str">
        <f aca="false">IFERROR(__xludf.dummyfunction("REGEXEXTRACT(ADDRESS(ROW(), 60+$H277), ""[A-Z]+"")"),"BH")</f>
        <v>BH</v>
      </c>
      <c r="S277" s="18" t="str">
        <f aca="false">IFERROR(__xludf.dummyfunction("REGEXEXTRACT(ADDRESS(ROW(), 62+$H277), ""[A-Z]+"")"),"BJ")</f>
        <v>BJ</v>
      </c>
      <c r="T277" s="18" t="str">
        <f aca="false">IFERROR(__xludf.dummyfunction("REGEXEXTRACT(ADDRESS(ROW(), 63+$H277), ""[A-Z]+"")"),"BK")</f>
        <v>BK</v>
      </c>
      <c r="U277" s="19" t="n">
        <f aca="false">IFERROR(__xludf.dummyfunction("IFERROR(QUERY(INDIRECT(""'""&amp;F277&amp;""'!C3:""&amp;T277&amp;""""), ""SELECT ""&amp;I277&amp;"", ""&amp;J277&amp;"", ""&amp;K277&amp;"", ""&amp;L277&amp;"", ""&amp;M277&amp;"", ""&amp;N277&amp;"", ""&amp;O277&amp;"", ""&amp;P277&amp;"", ""&amp;Q277&amp;"", ""&amp;R277&amp;"", ""&amp;S277&amp;"" WHERE '""&amp;B277&amp;""' = D"", 0), """")"),8.5)</f>
        <v>8.5</v>
      </c>
      <c r="V277" s="22" t="n">
        <f aca="false">IFERROR(__xludf.dummyfunction("""COMPUTED_VALUE"""),9.5)</f>
        <v>9.5</v>
      </c>
      <c r="W277" s="22" t="n">
        <f aca="false">IFERROR(__xludf.dummyfunction("""COMPUTED_VALUE"""),9)</f>
        <v>9</v>
      </c>
      <c r="X277" s="22" t="n">
        <f aca="false">IFERROR(__xludf.dummyfunction("""COMPUTED_VALUE"""),10)</f>
        <v>10</v>
      </c>
      <c r="Y277" s="22" t="n">
        <f aca="false">IFERROR(__xludf.dummyfunction("""COMPUTED_VALUE"""),10)</f>
        <v>10</v>
      </c>
      <c r="Z277" s="22" t="n">
        <f aca="false">IFERROR(__xludf.dummyfunction("""COMPUTED_VALUE"""),2)</f>
        <v>2</v>
      </c>
      <c r="AA277" s="22" t="n">
        <f aca="false">IFERROR(__xludf.dummyfunction("""COMPUTED_VALUE"""),2)</f>
        <v>2</v>
      </c>
      <c r="AB277" s="22" t="n">
        <f aca="false">IFERROR(__xludf.dummyfunction("""COMPUTED_VALUE"""),10)</f>
        <v>10</v>
      </c>
      <c r="AC277" s="22" t="n">
        <f aca="false">IFERROR(__xludf.dummyfunction("""COMPUTED_VALUE"""),27.1)</f>
        <v>27.1</v>
      </c>
      <c r="AD277" s="23" t="n">
        <f aca="false">IFERROR(__xludf.dummyfunction("""COMPUTED_VALUE"""),2)</f>
        <v>2</v>
      </c>
      <c r="AE277" s="24" t="n">
        <f aca="false">IFERROR(__xludf.dummyfunction("""COMPUTED_VALUE"""),90.1)</f>
        <v>90.1</v>
      </c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</row>
    <row r="278" customFormat="false" ht="18.65" hidden="false" customHeight="false" outlineLevel="0" collapsed="false">
      <c r="A278" s="13" t="n">
        <v>277</v>
      </c>
      <c r="B278" s="14" t="s">
        <v>588</v>
      </c>
      <c r="C278" s="15" t="s">
        <v>589</v>
      </c>
      <c r="D278" s="16" t="s">
        <v>279</v>
      </c>
      <c r="E278" s="16" t="s">
        <v>279</v>
      </c>
      <c r="F278" s="16" t="str">
        <f aca="false">REPLACE(E278, 1, 3, "")</f>
        <v>07</v>
      </c>
      <c r="G278" s="17" t="str">
        <f aca="true">IFERROR(VLOOKUP(B278,INDIRECT("'"&amp;F278&amp;"'!D3:D"),1,FALSE()), "Not found")</f>
        <v>Not found</v>
      </c>
      <c r="H278" s="18" t="n">
        <f aca="true">INDIRECT("'"&amp;F278&amp;"'!D1")</f>
        <v>0</v>
      </c>
      <c r="I278" s="18" t="str">
        <f aca="false">IFERROR(__xludf.dummyfunction("REGEXEXTRACT(ADDRESS(ROW(), 24+$H278), ""[A-Z]+"")"),"X")</f>
        <v>X</v>
      </c>
      <c r="J278" s="18" t="str">
        <f aca="false">IFERROR(__xludf.dummyfunction("REGEXEXTRACT(ADDRESS(ROW(), 30+$H278), ""[A-Z]+"")"),"AD")</f>
        <v>AD</v>
      </c>
      <c r="K278" s="18" t="str">
        <f aca="false">IFERROR(__xludf.dummyfunction("REGEXEXTRACT(ADDRESS(ROW(), 36+$H278), ""[A-Z]+"")"),"AJ")</f>
        <v>AJ</v>
      </c>
      <c r="L278" s="18" t="str">
        <f aca="false">IFERROR(__xludf.dummyfunction("REGEXEXTRACT(ADDRESS(ROW(), 42+$H278), ""[A-Z]+"")"),"AP")</f>
        <v>AP</v>
      </c>
      <c r="M278" s="18" t="str">
        <f aca="false">IFERROR(__xludf.dummyfunction("REGEXEXTRACT(ADDRESS(ROW(), 48+$H278), ""[A-Z]+"")"),"AV")</f>
        <v>AV</v>
      </c>
      <c r="N278" s="18" t="str">
        <f aca="false">IFERROR(__xludf.dummyfunction("REGEXEXTRACT(ADDRESS(ROW(), 50+$H278), ""[A-Z]+"")"),"AX")</f>
        <v>AX</v>
      </c>
      <c r="O278" s="18" t="str">
        <f aca="false">IFERROR(__xludf.dummyfunction("REGEXEXTRACT(ADDRESS(ROW(), 51+$H278), ""[A-Z]+"")"),"AY")</f>
        <v>AY</v>
      </c>
      <c r="P278" s="18" t="str">
        <f aca="false">IFERROR(__xludf.dummyfunction("REGEXEXTRACT(ADDRESS(ROW(), 54+$H278), ""[A-Z]+"")"),"BB")</f>
        <v>BB</v>
      </c>
      <c r="Q278" s="18" t="str">
        <f aca="false">IFERROR(__xludf.dummyfunction("REGEXEXTRACT(ADDRESS(ROW(), 59+$H278), ""[A-Z]+"")"),"BG")</f>
        <v>BG</v>
      </c>
      <c r="R278" s="18" t="str">
        <f aca="false">IFERROR(__xludf.dummyfunction("REGEXEXTRACT(ADDRESS(ROW(), 60+$H278), ""[A-Z]+"")"),"BH")</f>
        <v>BH</v>
      </c>
      <c r="S278" s="18" t="str">
        <f aca="false">IFERROR(__xludf.dummyfunction("REGEXEXTRACT(ADDRESS(ROW(), 62+$H278), ""[A-Z]+"")"),"BJ")</f>
        <v>BJ</v>
      </c>
      <c r="T278" s="18" t="str">
        <f aca="false">IFERROR(__xludf.dummyfunction("REGEXEXTRACT(ADDRESS(ROW(), 63+$H278), ""[A-Z]+"")"),"BK")</f>
        <v>BK</v>
      </c>
      <c r="U278" s="19" t="n">
        <f aca="false">IFERROR(__xludf.dummyfunction("IFERROR(QUERY(INDIRECT(""'""&amp;F278&amp;""'!C3:""&amp;T278&amp;""""), ""SELECT ""&amp;I278&amp;"", ""&amp;J278&amp;"", ""&amp;K278&amp;"", ""&amp;L278&amp;"", ""&amp;M278&amp;"", ""&amp;N278&amp;"", ""&amp;O278&amp;"", ""&amp;P278&amp;"", ""&amp;Q278&amp;"", ""&amp;R278&amp;"", ""&amp;S278&amp;"" WHERE '""&amp;B278&amp;""' = D"", 0), """")"),8.5)</f>
        <v>8.5</v>
      </c>
      <c r="V278" s="22" t="n">
        <f aca="false">IFERROR(__xludf.dummyfunction("""COMPUTED_VALUE"""),9)</f>
        <v>9</v>
      </c>
      <c r="W278" s="22" t="n">
        <f aca="false">IFERROR(__xludf.dummyfunction("""COMPUTED_VALUE"""),8.5)</f>
        <v>8.5</v>
      </c>
      <c r="X278" s="22" t="n">
        <f aca="false">IFERROR(__xludf.dummyfunction("""COMPUTED_VALUE"""),6)</f>
        <v>6</v>
      </c>
      <c r="Y278" s="22"/>
      <c r="Z278" s="22"/>
      <c r="AA278" s="22" t="n">
        <f aca="false">IFERROR(__xludf.dummyfunction("""COMPUTED_VALUE"""),1)</f>
        <v>1</v>
      </c>
      <c r="AB278" s="22" t="n">
        <f aca="false">IFERROR(__xludf.dummyfunction("""COMPUTED_VALUE"""),6)</f>
        <v>6</v>
      </c>
      <c r="AC278" s="22" t="n">
        <f aca="false">IFERROR(__xludf.dummyfunction("""COMPUTED_VALUE"""),29)</f>
        <v>29</v>
      </c>
      <c r="AD278" s="23"/>
      <c r="AE278" s="24" t="n">
        <f aca="false">IFERROR(__xludf.dummyfunction("""COMPUTED_VALUE"""),68)</f>
        <v>68</v>
      </c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</row>
    <row r="279" customFormat="false" ht="18.65" hidden="false" customHeight="false" outlineLevel="0" collapsed="false">
      <c r="A279" s="13" t="n">
        <v>278</v>
      </c>
      <c r="B279" s="14" t="s">
        <v>590</v>
      </c>
      <c r="C279" s="15" t="s">
        <v>591</v>
      </c>
      <c r="D279" s="16" t="s">
        <v>174</v>
      </c>
      <c r="E279" s="16" t="s">
        <v>174</v>
      </c>
      <c r="F279" s="16" t="str">
        <f aca="false">REPLACE(E279, 1, 3, "")</f>
        <v>08</v>
      </c>
      <c r="G279" s="17" t="str">
        <f aca="true">IFERROR(VLOOKUP(B279,INDIRECT("'"&amp;F279&amp;"'!D3:D"),1,FALSE()), "Not found")</f>
        <v>Not found</v>
      </c>
      <c r="H279" s="18" t="n">
        <f aca="true">INDIRECT("'"&amp;F279&amp;"'!D1")</f>
        <v>0</v>
      </c>
      <c r="I279" s="18" t="str">
        <f aca="false">IFERROR(__xludf.dummyfunction("REGEXEXTRACT(ADDRESS(ROW(), 24+$H279), ""[A-Z]+"")"),"X")</f>
        <v>X</v>
      </c>
      <c r="J279" s="18" t="str">
        <f aca="false">IFERROR(__xludf.dummyfunction("REGEXEXTRACT(ADDRESS(ROW(), 30+$H279), ""[A-Z]+"")"),"AD")</f>
        <v>AD</v>
      </c>
      <c r="K279" s="18" t="str">
        <f aca="false">IFERROR(__xludf.dummyfunction("REGEXEXTRACT(ADDRESS(ROW(), 36+$H279), ""[A-Z]+"")"),"AJ")</f>
        <v>AJ</v>
      </c>
      <c r="L279" s="18" t="str">
        <f aca="false">IFERROR(__xludf.dummyfunction("REGEXEXTRACT(ADDRESS(ROW(), 42+$H279), ""[A-Z]+"")"),"AP")</f>
        <v>AP</v>
      </c>
      <c r="M279" s="18" t="str">
        <f aca="false">IFERROR(__xludf.dummyfunction("REGEXEXTRACT(ADDRESS(ROW(), 48+$H279), ""[A-Z]+"")"),"AV")</f>
        <v>AV</v>
      </c>
      <c r="N279" s="18" t="str">
        <f aca="false">IFERROR(__xludf.dummyfunction("REGEXEXTRACT(ADDRESS(ROW(), 50+$H279), ""[A-Z]+"")"),"AX")</f>
        <v>AX</v>
      </c>
      <c r="O279" s="18" t="str">
        <f aca="false">IFERROR(__xludf.dummyfunction("REGEXEXTRACT(ADDRESS(ROW(), 51+$H279), ""[A-Z]+"")"),"AY")</f>
        <v>AY</v>
      </c>
      <c r="P279" s="18" t="str">
        <f aca="false">IFERROR(__xludf.dummyfunction("REGEXEXTRACT(ADDRESS(ROW(), 54+$H279), ""[A-Z]+"")"),"BB")</f>
        <v>BB</v>
      </c>
      <c r="Q279" s="18" t="str">
        <f aca="false">IFERROR(__xludf.dummyfunction("REGEXEXTRACT(ADDRESS(ROW(), 59+$H279), ""[A-Z]+"")"),"BG")</f>
        <v>BG</v>
      </c>
      <c r="R279" s="18" t="str">
        <f aca="false">IFERROR(__xludf.dummyfunction("REGEXEXTRACT(ADDRESS(ROW(), 60+$H279), ""[A-Z]+"")"),"BH")</f>
        <v>BH</v>
      </c>
      <c r="S279" s="18" t="str">
        <f aca="false">IFERROR(__xludf.dummyfunction("REGEXEXTRACT(ADDRESS(ROW(), 62+$H279), ""[A-Z]+"")"),"BJ")</f>
        <v>BJ</v>
      </c>
      <c r="T279" s="18" t="str">
        <f aca="false">IFERROR(__xludf.dummyfunction("REGEXEXTRACT(ADDRESS(ROW(), 63+$H279), ""[A-Z]+"")"),"BK")</f>
        <v>BK</v>
      </c>
      <c r="U279" s="19" t="n">
        <f aca="false">IFERROR(__xludf.dummyfunction("IFERROR(QUERY(INDIRECT(""'""&amp;F279&amp;""'!C3:""&amp;T279&amp;""""), ""SELECT ""&amp;I279&amp;"", ""&amp;J279&amp;"", ""&amp;K279&amp;"", ""&amp;L279&amp;"", ""&amp;M279&amp;"", ""&amp;N279&amp;"", ""&amp;O279&amp;"", ""&amp;P279&amp;"", ""&amp;Q279&amp;"", ""&amp;R279&amp;"", ""&amp;S279&amp;"" WHERE '""&amp;B279&amp;""' = D"", 0), """")"),8.5)</f>
        <v>8.5</v>
      </c>
      <c r="V279" s="22" t="n">
        <f aca="false">IFERROR(__xludf.dummyfunction("""COMPUTED_VALUE"""),9)</f>
        <v>9</v>
      </c>
      <c r="W279" s="22" t="n">
        <f aca="false">IFERROR(__xludf.dummyfunction("""COMPUTED_VALUE"""),9)</f>
        <v>9</v>
      </c>
      <c r="X279" s="22" t="n">
        <f aca="false">IFERROR(__xludf.dummyfunction("""COMPUTED_VALUE"""),8)</f>
        <v>8</v>
      </c>
      <c r="Y279" s="22" t="n">
        <f aca="false">IFERROR(__xludf.dummyfunction("""COMPUTED_VALUE"""),0)</f>
        <v>0</v>
      </c>
      <c r="Z279" s="22" t="n">
        <f aca="false">IFERROR(__xludf.dummyfunction("""COMPUTED_VALUE"""),0)</f>
        <v>0</v>
      </c>
      <c r="AA279" s="22" t="n">
        <f aca="false">IFERROR(__xludf.dummyfunction("""COMPUTED_VALUE"""),1.5)</f>
        <v>1.5</v>
      </c>
      <c r="AB279" s="22" t="n">
        <f aca="false">IFERROR(__xludf.dummyfunction("""COMPUTED_VALUE"""),6)</f>
        <v>6</v>
      </c>
      <c r="AC279" s="22" t="n">
        <f aca="false">IFERROR(__xludf.dummyfunction("""COMPUTED_VALUE"""),18)</f>
        <v>18</v>
      </c>
      <c r="AD279" s="23"/>
      <c r="AE279" s="24" t="n">
        <f aca="false">IFERROR(__xludf.dummyfunction("""COMPUTED_VALUE"""),60)</f>
        <v>60</v>
      </c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</row>
    <row r="280" customFormat="false" ht="18.65" hidden="false" customHeight="false" outlineLevel="0" collapsed="false">
      <c r="A280" s="13" t="n">
        <v>279</v>
      </c>
      <c r="B280" s="14" t="s">
        <v>592</v>
      </c>
      <c r="C280" s="15" t="s">
        <v>593</v>
      </c>
      <c r="D280" s="16" t="s">
        <v>232</v>
      </c>
      <c r="E280" s="16" t="s">
        <v>232</v>
      </c>
      <c r="F280" s="16" t="str">
        <f aca="false">REPLACE(E280, 1, 3, "")</f>
        <v>09</v>
      </c>
      <c r="G280" s="17" t="str">
        <f aca="true">IFERROR(VLOOKUP(B280,INDIRECT("'"&amp;F280&amp;"'!D3:D"),1,FALSE()), "Not found")</f>
        <v>Not found</v>
      </c>
      <c r="H280" s="18" t="n">
        <f aca="true">INDIRECT("'"&amp;F280&amp;"'!D1")</f>
        <v>0</v>
      </c>
      <c r="I280" s="18" t="str">
        <f aca="false">IFERROR(__xludf.dummyfunction("REGEXEXTRACT(ADDRESS(ROW(), 24+$H280), ""[A-Z]+"")"),"X")</f>
        <v>X</v>
      </c>
      <c r="J280" s="18" t="str">
        <f aca="false">IFERROR(__xludf.dummyfunction("REGEXEXTRACT(ADDRESS(ROW(), 30+$H280), ""[A-Z]+"")"),"AD")</f>
        <v>AD</v>
      </c>
      <c r="K280" s="18" t="str">
        <f aca="false">IFERROR(__xludf.dummyfunction("REGEXEXTRACT(ADDRESS(ROW(), 36+$H280), ""[A-Z]+"")"),"AJ")</f>
        <v>AJ</v>
      </c>
      <c r="L280" s="18" t="str">
        <f aca="false">IFERROR(__xludf.dummyfunction("REGEXEXTRACT(ADDRESS(ROW(), 42+$H280), ""[A-Z]+"")"),"AP")</f>
        <v>AP</v>
      </c>
      <c r="M280" s="18" t="str">
        <f aca="false">IFERROR(__xludf.dummyfunction("REGEXEXTRACT(ADDRESS(ROW(), 48+$H280), ""[A-Z]+"")"),"AV")</f>
        <v>AV</v>
      </c>
      <c r="N280" s="18" t="str">
        <f aca="false">IFERROR(__xludf.dummyfunction("REGEXEXTRACT(ADDRESS(ROW(), 50+$H280), ""[A-Z]+"")"),"AX")</f>
        <v>AX</v>
      </c>
      <c r="O280" s="18" t="str">
        <f aca="false">IFERROR(__xludf.dummyfunction("REGEXEXTRACT(ADDRESS(ROW(), 51+$H280), ""[A-Z]+"")"),"AY")</f>
        <v>AY</v>
      </c>
      <c r="P280" s="18" t="str">
        <f aca="false">IFERROR(__xludf.dummyfunction("REGEXEXTRACT(ADDRESS(ROW(), 54+$H280), ""[A-Z]+"")"),"BB")</f>
        <v>BB</v>
      </c>
      <c r="Q280" s="18" t="str">
        <f aca="false">IFERROR(__xludf.dummyfunction("REGEXEXTRACT(ADDRESS(ROW(), 59+$H280), ""[A-Z]+"")"),"BG")</f>
        <v>BG</v>
      </c>
      <c r="R280" s="18" t="str">
        <f aca="false">IFERROR(__xludf.dummyfunction("REGEXEXTRACT(ADDRESS(ROW(), 60+$H280), ""[A-Z]+"")"),"BH")</f>
        <v>BH</v>
      </c>
      <c r="S280" s="18" t="str">
        <f aca="false">IFERROR(__xludf.dummyfunction("REGEXEXTRACT(ADDRESS(ROW(), 62+$H280), ""[A-Z]+"")"),"BJ")</f>
        <v>BJ</v>
      </c>
      <c r="T280" s="18" t="str">
        <f aca="false">IFERROR(__xludf.dummyfunction("REGEXEXTRACT(ADDRESS(ROW(), 63+$H280), ""[A-Z]+"")"),"BK")</f>
        <v>BK</v>
      </c>
      <c r="U280" s="19" t="n">
        <f aca="false">IFERROR(__xludf.dummyfunction("IFERROR(QUERY(INDIRECT(""'""&amp;F280&amp;""'!C3:""&amp;T280&amp;""""), ""SELECT ""&amp;I280&amp;"", ""&amp;J280&amp;"", ""&amp;K280&amp;"", ""&amp;L280&amp;"", ""&amp;M280&amp;"", ""&amp;N280&amp;"", ""&amp;O280&amp;"", ""&amp;P280&amp;"", ""&amp;Q280&amp;"", ""&amp;R280&amp;"", ""&amp;S280&amp;"" WHERE '""&amp;B280&amp;""' = D"", 0), """")"),8)</f>
        <v>8</v>
      </c>
      <c r="V280" s="22" t="n">
        <f aca="false">IFERROR(__xludf.dummyfunction("""COMPUTED_VALUE"""),9.5)</f>
        <v>9.5</v>
      </c>
      <c r="W280" s="22" t="n">
        <f aca="false">IFERROR(__xludf.dummyfunction("""COMPUTED_VALUE"""),8.5)</f>
        <v>8.5</v>
      </c>
      <c r="X280" s="22" t="n">
        <f aca="false">IFERROR(__xludf.dummyfunction("""COMPUTED_VALUE"""),9.5)</f>
        <v>9.5</v>
      </c>
      <c r="Y280" s="22" t="n">
        <f aca="false">IFERROR(__xludf.dummyfunction("""COMPUTED_VALUE"""),9)</f>
        <v>9</v>
      </c>
      <c r="Z280" s="22" t="n">
        <f aca="false">IFERROR(__xludf.dummyfunction("""COMPUTED_VALUE"""),2)</f>
        <v>2</v>
      </c>
      <c r="AA280" s="22" t="n">
        <f aca="false">IFERROR(__xludf.dummyfunction("""COMPUTED_VALUE"""),1)</f>
        <v>1</v>
      </c>
      <c r="AB280" s="22" t="n">
        <f aca="false">IFERROR(__xludf.dummyfunction("""COMPUTED_VALUE"""),8)</f>
        <v>8</v>
      </c>
      <c r="AC280" s="22" t="n">
        <f aca="false">IFERROR(__xludf.dummyfunction("""COMPUTED_VALUE"""),20)</f>
        <v>20</v>
      </c>
      <c r="AD280" s="23"/>
      <c r="AE280" s="24" t="n">
        <f aca="false">IFERROR(__xludf.dummyfunction("""COMPUTED_VALUE"""),75.5)</f>
        <v>75.5</v>
      </c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</row>
    <row r="281" customFormat="false" ht="18.65" hidden="false" customHeight="false" outlineLevel="0" collapsed="false">
      <c r="A281" s="13" t="n">
        <v>280</v>
      </c>
      <c r="B281" s="14" t="s">
        <v>594</v>
      </c>
      <c r="C281" s="15" t="s">
        <v>595</v>
      </c>
      <c r="D281" s="16" t="s">
        <v>180</v>
      </c>
      <c r="E281" s="16" t="s">
        <v>180</v>
      </c>
      <c r="F281" s="16" t="str">
        <f aca="false">REPLACE(E281, 1, 3, "")</f>
        <v>11</v>
      </c>
      <c r="G281" s="17" t="str">
        <f aca="true">IFERROR(VLOOKUP(B281,INDIRECT("'"&amp;F281&amp;"'!D3:D"),1,FALSE()), "Not found")</f>
        <v>Not found</v>
      </c>
      <c r="H281" s="18" t="n">
        <f aca="true">INDIRECT("'"&amp;F281&amp;"'!D1")</f>
        <v>0</v>
      </c>
      <c r="I281" s="18" t="str">
        <f aca="false">IFERROR(__xludf.dummyfunction("REGEXEXTRACT(ADDRESS(ROW(), 24+$H281), ""[A-Z]+"")"),"X")</f>
        <v>X</v>
      </c>
      <c r="J281" s="18" t="str">
        <f aca="false">IFERROR(__xludf.dummyfunction("REGEXEXTRACT(ADDRESS(ROW(), 30+$H281), ""[A-Z]+"")"),"AD")</f>
        <v>AD</v>
      </c>
      <c r="K281" s="18" t="str">
        <f aca="false">IFERROR(__xludf.dummyfunction("REGEXEXTRACT(ADDRESS(ROW(), 36+$H281), ""[A-Z]+"")"),"AJ")</f>
        <v>AJ</v>
      </c>
      <c r="L281" s="18" t="str">
        <f aca="false">IFERROR(__xludf.dummyfunction("REGEXEXTRACT(ADDRESS(ROW(), 42+$H281), ""[A-Z]+"")"),"AP")</f>
        <v>AP</v>
      </c>
      <c r="M281" s="18" t="str">
        <f aca="false">IFERROR(__xludf.dummyfunction("REGEXEXTRACT(ADDRESS(ROW(), 48+$H281), ""[A-Z]+"")"),"AV")</f>
        <v>AV</v>
      </c>
      <c r="N281" s="18" t="str">
        <f aca="false">IFERROR(__xludf.dummyfunction("REGEXEXTRACT(ADDRESS(ROW(), 50+$H281), ""[A-Z]+"")"),"AX")</f>
        <v>AX</v>
      </c>
      <c r="O281" s="18" t="str">
        <f aca="false">IFERROR(__xludf.dummyfunction("REGEXEXTRACT(ADDRESS(ROW(), 51+$H281), ""[A-Z]+"")"),"AY")</f>
        <v>AY</v>
      </c>
      <c r="P281" s="18" t="str">
        <f aca="false">IFERROR(__xludf.dummyfunction("REGEXEXTRACT(ADDRESS(ROW(), 54+$H281), ""[A-Z]+"")"),"BB")</f>
        <v>BB</v>
      </c>
      <c r="Q281" s="18" t="str">
        <f aca="false">IFERROR(__xludf.dummyfunction("REGEXEXTRACT(ADDRESS(ROW(), 59+$H281), ""[A-Z]+"")"),"BG")</f>
        <v>BG</v>
      </c>
      <c r="R281" s="18" t="str">
        <f aca="false">IFERROR(__xludf.dummyfunction("REGEXEXTRACT(ADDRESS(ROW(), 60+$H281), ""[A-Z]+"")"),"BH")</f>
        <v>BH</v>
      </c>
      <c r="S281" s="18" t="str">
        <f aca="false">IFERROR(__xludf.dummyfunction("REGEXEXTRACT(ADDRESS(ROW(), 62+$H281), ""[A-Z]+"")"),"BJ")</f>
        <v>BJ</v>
      </c>
      <c r="T281" s="18" t="str">
        <f aca="false">IFERROR(__xludf.dummyfunction("REGEXEXTRACT(ADDRESS(ROW(), 63+$H281), ""[A-Z]+"")"),"BK")</f>
        <v>BK</v>
      </c>
      <c r="U281" s="19" t="n">
        <f aca="false">IFERROR(__xludf.dummyfunction("IFERROR(QUERY(INDIRECT(""'""&amp;F281&amp;""'!C3:""&amp;T281&amp;""""), ""SELECT ""&amp;I281&amp;"", ""&amp;J281&amp;"", ""&amp;K281&amp;"", ""&amp;L281&amp;"", ""&amp;M281&amp;"", ""&amp;N281&amp;"", ""&amp;O281&amp;"", ""&amp;P281&amp;"", ""&amp;Q281&amp;"", ""&amp;R281&amp;"", ""&amp;S281&amp;"" WHERE '""&amp;B281&amp;""' = D"", 0), """")"),10)</f>
        <v>10</v>
      </c>
      <c r="V281" s="22" t="n">
        <f aca="false">IFERROR(__xludf.dummyfunction("""COMPUTED_VALUE"""),10)</f>
        <v>10</v>
      </c>
      <c r="W281" s="22" t="n">
        <f aca="false">IFERROR(__xludf.dummyfunction("""COMPUTED_VALUE"""),10)</f>
        <v>10</v>
      </c>
      <c r="X281" s="22" t="n">
        <f aca="false">IFERROR(__xludf.dummyfunction("""COMPUTED_VALUE"""),10)</f>
        <v>10</v>
      </c>
      <c r="Y281" s="22" t="n">
        <f aca="false">IFERROR(__xludf.dummyfunction("""COMPUTED_VALUE"""),10)</f>
        <v>10</v>
      </c>
      <c r="Z281" s="22" t="n">
        <f aca="false">IFERROR(__xludf.dummyfunction("""COMPUTED_VALUE"""),0)</f>
        <v>0</v>
      </c>
      <c r="AA281" s="22" t="n">
        <f aca="false">IFERROR(__xludf.dummyfunction("""COMPUTED_VALUE"""),0)</f>
        <v>0</v>
      </c>
      <c r="AB281" s="22" t="n">
        <f aca="false">IFERROR(__xludf.dummyfunction("""COMPUTED_VALUE"""),6)</f>
        <v>6</v>
      </c>
      <c r="AC281" s="22" t="n">
        <f aca="false">IFERROR(__xludf.dummyfunction("""COMPUTED_VALUE"""),24)</f>
        <v>24</v>
      </c>
      <c r="AD281" s="23"/>
      <c r="AE281" s="24" t="n">
        <f aca="false">IFERROR(__xludf.dummyfunction("""COMPUTED_VALUE"""),80)</f>
        <v>80</v>
      </c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</row>
    <row r="282" customFormat="false" ht="18.65" hidden="false" customHeight="false" outlineLevel="0" collapsed="false">
      <c r="A282" s="13" t="n">
        <v>281</v>
      </c>
      <c r="B282" s="14" t="s">
        <v>596</v>
      </c>
      <c r="C282" s="15" t="s">
        <v>597</v>
      </c>
      <c r="D282" s="16" t="s">
        <v>191</v>
      </c>
      <c r="E282" s="16" t="s">
        <v>191</v>
      </c>
      <c r="F282" s="16" t="str">
        <f aca="false">REPLACE(E282, 1, 3, "")</f>
        <v>12</v>
      </c>
      <c r="G282" s="17" t="str">
        <f aca="true">IFERROR(VLOOKUP(B282,INDIRECT("'"&amp;F282&amp;"'!D3:D"),1,FALSE()), "Not found")</f>
        <v>Not found</v>
      </c>
      <c r="H282" s="18" t="n">
        <f aca="true">INDIRECT("'"&amp;F282&amp;"'!D1")</f>
        <v>0</v>
      </c>
      <c r="I282" s="18" t="str">
        <f aca="false">IFERROR(__xludf.dummyfunction("REGEXEXTRACT(ADDRESS(ROW(), 24+$H282), ""[A-Z]+"")"),"X")</f>
        <v>X</v>
      </c>
      <c r="J282" s="18" t="str">
        <f aca="false">IFERROR(__xludf.dummyfunction("REGEXEXTRACT(ADDRESS(ROW(), 30+$H282), ""[A-Z]+"")"),"AD")</f>
        <v>AD</v>
      </c>
      <c r="K282" s="18" t="str">
        <f aca="false">IFERROR(__xludf.dummyfunction("REGEXEXTRACT(ADDRESS(ROW(), 36+$H282), ""[A-Z]+"")"),"AJ")</f>
        <v>AJ</v>
      </c>
      <c r="L282" s="18" t="str">
        <f aca="false">IFERROR(__xludf.dummyfunction("REGEXEXTRACT(ADDRESS(ROW(), 42+$H282), ""[A-Z]+"")"),"AP")</f>
        <v>AP</v>
      </c>
      <c r="M282" s="18" t="str">
        <f aca="false">IFERROR(__xludf.dummyfunction("REGEXEXTRACT(ADDRESS(ROW(), 48+$H282), ""[A-Z]+"")"),"AV")</f>
        <v>AV</v>
      </c>
      <c r="N282" s="18" t="str">
        <f aca="false">IFERROR(__xludf.dummyfunction("REGEXEXTRACT(ADDRESS(ROW(), 50+$H282), ""[A-Z]+"")"),"AX")</f>
        <v>AX</v>
      </c>
      <c r="O282" s="18" t="str">
        <f aca="false">IFERROR(__xludf.dummyfunction("REGEXEXTRACT(ADDRESS(ROW(), 51+$H282), ""[A-Z]+"")"),"AY")</f>
        <v>AY</v>
      </c>
      <c r="P282" s="18" t="str">
        <f aca="false">IFERROR(__xludf.dummyfunction("REGEXEXTRACT(ADDRESS(ROW(), 54+$H282), ""[A-Z]+"")"),"BB")</f>
        <v>BB</v>
      </c>
      <c r="Q282" s="18" t="str">
        <f aca="false">IFERROR(__xludf.dummyfunction("REGEXEXTRACT(ADDRESS(ROW(), 59+$H282), ""[A-Z]+"")"),"BG")</f>
        <v>BG</v>
      </c>
      <c r="R282" s="18" t="str">
        <f aca="false">IFERROR(__xludf.dummyfunction("REGEXEXTRACT(ADDRESS(ROW(), 60+$H282), ""[A-Z]+"")"),"BH")</f>
        <v>BH</v>
      </c>
      <c r="S282" s="18" t="str">
        <f aca="false">IFERROR(__xludf.dummyfunction("REGEXEXTRACT(ADDRESS(ROW(), 62+$H282), ""[A-Z]+"")"),"BJ")</f>
        <v>BJ</v>
      </c>
      <c r="T282" s="18" t="str">
        <f aca="false">IFERROR(__xludf.dummyfunction("REGEXEXTRACT(ADDRESS(ROW(), 63+$H282), ""[A-Z]+"")"),"BK")</f>
        <v>BK</v>
      </c>
      <c r="U282" s="19" t="n">
        <f aca="false">IFERROR(__xludf.dummyfunction("IFERROR(QUERY(INDIRECT(""'""&amp;F282&amp;""'!C3:""&amp;T282&amp;""""), ""SELECT ""&amp;I282&amp;"", ""&amp;J282&amp;"", ""&amp;K282&amp;"", ""&amp;L282&amp;"", ""&amp;M282&amp;"", ""&amp;N282&amp;"", ""&amp;O282&amp;"", ""&amp;P282&amp;"", ""&amp;Q282&amp;"", ""&amp;R282&amp;"", ""&amp;S282&amp;"" WHERE '""&amp;B282&amp;""' = D"", 0), """")"),10)</f>
        <v>10</v>
      </c>
      <c r="V282" s="22" t="n">
        <f aca="false">IFERROR(__xludf.dummyfunction("""COMPUTED_VALUE"""),10)</f>
        <v>10</v>
      </c>
      <c r="W282" s="22" t="n">
        <f aca="false">IFERROR(__xludf.dummyfunction("""COMPUTED_VALUE"""),10)</f>
        <v>10</v>
      </c>
      <c r="X282" s="22" t="n">
        <f aca="false">IFERROR(__xludf.dummyfunction("""COMPUTED_VALUE"""),10)</f>
        <v>10</v>
      </c>
      <c r="Y282" s="22" t="n">
        <f aca="false">IFERROR(__xludf.dummyfunction("""COMPUTED_VALUE"""),10)</f>
        <v>10</v>
      </c>
      <c r="Z282" s="22" t="n">
        <f aca="false">IFERROR(__xludf.dummyfunction("""COMPUTED_VALUE"""),0)</f>
        <v>0</v>
      </c>
      <c r="AA282" s="22" t="n">
        <f aca="false">IFERROR(__xludf.dummyfunction("""COMPUTED_VALUE"""),2)</f>
        <v>2</v>
      </c>
      <c r="AB282" s="22" t="n">
        <f aca="false">IFERROR(__xludf.dummyfunction("""COMPUTED_VALUE"""),10)</f>
        <v>10</v>
      </c>
      <c r="AC282" s="22" t="n">
        <f aca="false">IFERROR(__xludf.dummyfunction("""COMPUTED_VALUE"""),24)</f>
        <v>24</v>
      </c>
      <c r="AD282" s="23"/>
      <c r="AE282" s="24" t="n">
        <f aca="false">IFERROR(__xludf.dummyfunction("""COMPUTED_VALUE"""),86)</f>
        <v>86</v>
      </c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</row>
    <row r="283" customFormat="false" ht="18.65" hidden="false" customHeight="false" outlineLevel="0" collapsed="false">
      <c r="A283" s="13" t="n">
        <v>282</v>
      </c>
      <c r="B283" s="14" t="s">
        <v>598</v>
      </c>
      <c r="C283" s="15" t="s">
        <v>599</v>
      </c>
      <c r="D283" s="16" t="s">
        <v>183</v>
      </c>
      <c r="E283" s="16" t="s">
        <v>183</v>
      </c>
      <c r="F283" s="16" t="str">
        <f aca="false">REPLACE(E283, 1, 3, "")</f>
        <v>14</v>
      </c>
      <c r="G283" s="17" t="str">
        <f aca="true">IFERROR(VLOOKUP(B283,INDIRECT("'"&amp;F283&amp;"'!D3:D"),1,FALSE()), "Not found")</f>
        <v>Not found</v>
      </c>
      <c r="H283" s="18" t="n">
        <f aca="true">INDIRECT("'"&amp;F283&amp;"'!D1")</f>
        <v>0</v>
      </c>
      <c r="I283" s="18" t="str">
        <f aca="false">IFERROR(__xludf.dummyfunction("REGEXEXTRACT(ADDRESS(ROW(), 24+$H283), ""[A-Z]+"")"),"X")</f>
        <v>X</v>
      </c>
      <c r="J283" s="18" t="str">
        <f aca="false">IFERROR(__xludf.dummyfunction("REGEXEXTRACT(ADDRESS(ROW(), 30+$H283), ""[A-Z]+"")"),"AD")</f>
        <v>AD</v>
      </c>
      <c r="K283" s="18" t="str">
        <f aca="false">IFERROR(__xludf.dummyfunction("REGEXEXTRACT(ADDRESS(ROW(), 36+$H283), ""[A-Z]+"")"),"AJ")</f>
        <v>AJ</v>
      </c>
      <c r="L283" s="18" t="str">
        <f aca="false">IFERROR(__xludf.dummyfunction("REGEXEXTRACT(ADDRESS(ROW(), 42+$H283), ""[A-Z]+"")"),"AP")</f>
        <v>AP</v>
      </c>
      <c r="M283" s="18" t="str">
        <f aca="false">IFERROR(__xludf.dummyfunction("REGEXEXTRACT(ADDRESS(ROW(), 48+$H283), ""[A-Z]+"")"),"AV")</f>
        <v>AV</v>
      </c>
      <c r="N283" s="18" t="str">
        <f aca="false">IFERROR(__xludf.dummyfunction("REGEXEXTRACT(ADDRESS(ROW(), 50+$H283), ""[A-Z]+"")"),"AX")</f>
        <v>AX</v>
      </c>
      <c r="O283" s="18" t="str">
        <f aca="false">IFERROR(__xludf.dummyfunction("REGEXEXTRACT(ADDRESS(ROW(), 51+$H283), ""[A-Z]+"")"),"AY")</f>
        <v>AY</v>
      </c>
      <c r="P283" s="18" t="str">
        <f aca="false">IFERROR(__xludf.dummyfunction("REGEXEXTRACT(ADDRESS(ROW(), 54+$H283), ""[A-Z]+"")"),"BB")</f>
        <v>BB</v>
      </c>
      <c r="Q283" s="18" t="str">
        <f aca="false">IFERROR(__xludf.dummyfunction("REGEXEXTRACT(ADDRESS(ROW(), 59+$H283), ""[A-Z]+"")"),"BG")</f>
        <v>BG</v>
      </c>
      <c r="R283" s="18" t="str">
        <f aca="false">IFERROR(__xludf.dummyfunction("REGEXEXTRACT(ADDRESS(ROW(), 60+$H283), ""[A-Z]+"")"),"BH")</f>
        <v>BH</v>
      </c>
      <c r="S283" s="18" t="str">
        <f aca="false">IFERROR(__xludf.dummyfunction("REGEXEXTRACT(ADDRESS(ROW(), 62+$H283), ""[A-Z]+"")"),"BJ")</f>
        <v>BJ</v>
      </c>
      <c r="T283" s="18" t="str">
        <f aca="false">IFERROR(__xludf.dummyfunction("REGEXEXTRACT(ADDRESS(ROW(), 63+$H283), ""[A-Z]+"")"),"BK")</f>
        <v>BK</v>
      </c>
      <c r="U283" s="19" t="str">
        <f aca="false">IFERROR(__xludf.dummyfunction("IFERROR(QUERY(INDIRECT(""'""&amp;F283&amp;""'!C3:""&amp;T283&amp;""""), ""SELECT ""&amp;I283&amp;"", ""&amp;J283&amp;"", ""&amp;K283&amp;"", ""&amp;L283&amp;"", ""&amp;M283&amp;"", ""&amp;N283&amp;"", ""&amp;O283&amp;"", ""&amp;P283&amp;"", ""&amp;Q283&amp;"", ""&amp;R283&amp;"", ""&amp;S283&amp;"" WHERE '""&amp;B283&amp;""' = D"", 0), """")"),"")</f>
        <v/>
      </c>
      <c r="V283" s="22"/>
      <c r="W283" s="22"/>
      <c r="X283" s="22"/>
      <c r="Y283" s="22" t="n">
        <f aca="false">IFERROR(__xludf.dummyfunction("""COMPUTED_VALUE"""),0)</f>
        <v>0</v>
      </c>
      <c r="Z283" s="22"/>
      <c r="AA283" s="22" t="n">
        <f aca="false">IFERROR(__xludf.dummyfunction("""COMPUTED_VALUE"""),0)</f>
        <v>0</v>
      </c>
      <c r="AB283" s="22" t="n">
        <f aca="false">IFERROR(__xludf.dummyfunction("""COMPUTED_VALUE"""),0)</f>
        <v>0</v>
      </c>
      <c r="AC283" s="22"/>
      <c r="AD283" s="23"/>
      <c r="AE283" s="24" t="n">
        <f aca="false">IFERROR(__xludf.dummyfunction("""COMPUTED_VALUE"""),0)</f>
        <v>0</v>
      </c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</row>
    <row r="284" customFormat="false" ht="18.65" hidden="false" customHeight="false" outlineLevel="0" collapsed="false">
      <c r="A284" s="13" t="n">
        <v>283</v>
      </c>
      <c r="B284" s="14" t="s">
        <v>600</v>
      </c>
      <c r="C284" s="15" t="s">
        <v>601</v>
      </c>
      <c r="D284" s="16" t="s">
        <v>218</v>
      </c>
      <c r="E284" s="16" t="s">
        <v>218</v>
      </c>
      <c r="F284" s="16" t="str">
        <f aca="false">REPLACE(E284, 1, 3, "")</f>
        <v>15</v>
      </c>
      <c r="G284" s="17" t="str">
        <f aca="true">IFERROR(VLOOKUP(B284,INDIRECT("'"&amp;F284&amp;"'!D3:D"),1,FALSE()), "Not found")</f>
        <v>Not found</v>
      </c>
      <c r="H284" s="18" t="n">
        <f aca="true">INDIRECT("'"&amp;F284&amp;"'!D1")</f>
        <v>0</v>
      </c>
      <c r="I284" s="18" t="str">
        <f aca="false">IFERROR(__xludf.dummyfunction("REGEXEXTRACT(ADDRESS(ROW(), 24+$H284), ""[A-Z]+"")"),"X")</f>
        <v>X</v>
      </c>
      <c r="J284" s="18" t="str">
        <f aca="false">IFERROR(__xludf.dummyfunction("REGEXEXTRACT(ADDRESS(ROW(), 30+$H284), ""[A-Z]+"")"),"AD")</f>
        <v>AD</v>
      </c>
      <c r="K284" s="18" t="str">
        <f aca="false">IFERROR(__xludf.dummyfunction("REGEXEXTRACT(ADDRESS(ROW(), 36+$H284), ""[A-Z]+"")"),"AJ")</f>
        <v>AJ</v>
      </c>
      <c r="L284" s="18" t="str">
        <f aca="false">IFERROR(__xludf.dummyfunction("REGEXEXTRACT(ADDRESS(ROW(), 42+$H284), ""[A-Z]+"")"),"AP")</f>
        <v>AP</v>
      </c>
      <c r="M284" s="18" t="str">
        <f aca="false">IFERROR(__xludf.dummyfunction("REGEXEXTRACT(ADDRESS(ROW(), 48+$H284), ""[A-Z]+"")"),"AV")</f>
        <v>AV</v>
      </c>
      <c r="N284" s="18" t="str">
        <f aca="false">IFERROR(__xludf.dummyfunction("REGEXEXTRACT(ADDRESS(ROW(), 50+$H284), ""[A-Z]+"")"),"AX")</f>
        <v>AX</v>
      </c>
      <c r="O284" s="18" t="str">
        <f aca="false">IFERROR(__xludf.dummyfunction("REGEXEXTRACT(ADDRESS(ROW(), 51+$H284), ""[A-Z]+"")"),"AY")</f>
        <v>AY</v>
      </c>
      <c r="P284" s="18" t="str">
        <f aca="false">IFERROR(__xludf.dummyfunction("REGEXEXTRACT(ADDRESS(ROW(), 54+$H284), ""[A-Z]+"")"),"BB")</f>
        <v>BB</v>
      </c>
      <c r="Q284" s="18" t="str">
        <f aca="false">IFERROR(__xludf.dummyfunction("REGEXEXTRACT(ADDRESS(ROW(), 59+$H284), ""[A-Z]+"")"),"BG")</f>
        <v>BG</v>
      </c>
      <c r="R284" s="18" t="str">
        <f aca="false">IFERROR(__xludf.dummyfunction("REGEXEXTRACT(ADDRESS(ROW(), 60+$H284), ""[A-Z]+"")"),"BH")</f>
        <v>BH</v>
      </c>
      <c r="S284" s="18" t="str">
        <f aca="false">IFERROR(__xludf.dummyfunction("REGEXEXTRACT(ADDRESS(ROW(), 62+$H284), ""[A-Z]+"")"),"BJ")</f>
        <v>BJ</v>
      </c>
      <c r="T284" s="18" t="str">
        <f aca="false">IFERROR(__xludf.dummyfunction("REGEXEXTRACT(ADDRESS(ROW(), 63+$H284), ""[A-Z]+"")"),"BK")</f>
        <v>BK</v>
      </c>
      <c r="U284" s="19" t="n">
        <f aca="false">IFERROR(__xludf.dummyfunction("IFERROR(QUERY(INDIRECT(""'""&amp;F284&amp;""'!C3:""&amp;T284&amp;""""), ""SELECT ""&amp;I284&amp;"", ""&amp;J284&amp;"", ""&amp;K284&amp;"", ""&amp;L284&amp;"", ""&amp;M284&amp;"", ""&amp;N284&amp;"", ""&amp;O284&amp;"", ""&amp;P284&amp;"", ""&amp;Q284&amp;"", ""&amp;R284&amp;"", ""&amp;S284&amp;"" WHERE '""&amp;B284&amp;""' = D"", 0), """")"),8.5)</f>
        <v>8.5</v>
      </c>
      <c r="V284" s="22" t="n">
        <f aca="false">IFERROR(__xludf.dummyfunction("""COMPUTED_VALUE"""),9)</f>
        <v>9</v>
      </c>
      <c r="W284" s="22" t="n">
        <f aca="false">IFERROR(__xludf.dummyfunction("""COMPUTED_VALUE"""),8.5)</f>
        <v>8.5</v>
      </c>
      <c r="X284" s="22" t="n">
        <f aca="false">IFERROR(__xludf.dummyfunction("""COMPUTED_VALUE"""),10)</f>
        <v>10</v>
      </c>
      <c r="Y284" s="22" t="n">
        <f aca="false">IFERROR(__xludf.dummyfunction("""COMPUTED_VALUE"""),9.9)</f>
        <v>9.9</v>
      </c>
      <c r="Z284" s="22" t="n">
        <f aca="false">IFERROR(__xludf.dummyfunction("""COMPUTED_VALUE"""),1)</f>
        <v>1</v>
      </c>
      <c r="AA284" s="22" t="n">
        <f aca="false">IFERROR(__xludf.dummyfunction("""COMPUTED_VALUE"""),2)</f>
        <v>2</v>
      </c>
      <c r="AB284" s="22" t="n">
        <f aca="false">IFERROR(__xludf.dummyfunction("""COMPUTED_VALUE"""),10)</f>
        <v>10</v>
      </c>
      <c r="AC284" s="22" t="n">
        <f aca="false">IFERROR(__xludf.dummyfunction("""COMPUTED_VALUE"""),27)</f>
        <v>27</v>
      </c>
      <c r="AD284" s="23"/>
      <c r="AE284" s="24" t="n">
        <f aca="false">IFERROR(__xludf.dummyfunction("""COMPUTED_VALUE"""),85.9)</f>
        <v>85.9</v>
      </c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</row>
    <row r="285" customFormat="false" ht="18.65" hidden="false" customHeight="false" outlineLevel="0" collapsed="false">
      <c r="A285" s="13" t="n">
        <v>284</v>
      </c>
      <c r="B285" s="14" t="s">
        <v>602</v>
      </c>
      <c r="C285" s="15" t="s">
        <v>603</v>
      </c>
      <c r="D285" s="16" t="s">
        <v>177</v>
      </c>
      <c r="E285" s="16" t="s">
        <v>177</v>
      </c>
      <c r="F285" s="16" t="str">
        <f aca="false">REPLACE(E285, 1, 3, "")</f>
        <v>19</v>
      </c>
      <c r="G285" s="17" t="str">
        <f aca="true">IFERROR(VLOOKUP(B285,INDIRECT("'"&amp;F285&amp;"'!D3:D"),1,FALSE()), "Not found")</f>
        <v>Not found</v>
      </c>
      <c r="H285" s="18" t="n">
        <f aca="true">INDIRECT("'"&amp;F285&amp;"'!D1")</f>
        <v>0</v>
      </c>
      <c r="I285" s="18" t="str">
        <f aca="false">IFERROR(__xludf.dummyfunction("REGEXEXTRACT(ADDRESS(ROW(), 24+$H285), ""[A-Z]+"")"),"X")</f>
        <v>X</v>
      </c>
      <c r="J285" s="18" t="str">
        <f aca="false">IFERROR(__xludf.dummyfunction("REGEXEXTRACT(ADDRESS(ROW(), 30+$H285), ""[A-Z]+"")"),"AD")</f>
        <v>AD</v>
      </c>
      <c r="K285" s="18" t="str">
        <f aca="false">IFERROR(__xludf.dummyfunction("REGEXEXTRACT(ADDRESS(ROW(), 36+$H285), ""[A-Z]+"")"),"AJ")</f>
        <v>AJ</v>
      </c>
      <c r="L285" s="18" t="str">
        <f aca="false">IFERROR(__xludf.dummyfunction("REGEXEXTRACT(ADDRESS(ROW(), 42+$H285), ""[A-Z]+"")"),"AP")</f>
        <v>AP</v>
      </c>
      <c r="M285" s="18" t="str">
        <f aca="false">IFERROR(__xludf.dummyfunction("REGEXEXTRACT(ADDRESS(ROW(), 48+$H285), ""[A-Z]+"")"),"AV")</f>
        <v>AV</v>
      </c>
      <c r="N285" s="18" t="str">
        <f aca="false">IFERROR(__xludf.dummyfunction("REGEXEXTRACT(ADDRESS(ROW(), 50+$H285), ""[A-Z]+"")"),"AX")</f>
        <v>AX</v>
      </c>
      <c r="O285" s="18" t="str">
        <f aca="false">IFERROR(__xludf.dummyfunction("REGEXEXTRACT(ADDRESS(ROW(), 51+$H285), ""[A-Z]+"")"),"AY")</f>
        <v>AY</v>
      </c>
      <c r="P285" s="18" t="str">
        <f aca="false">IFERROR(__xludf.dummyfunction("REGEXEXTRACT(ADDRESS(ROW(), 54+$H285), ""[A-Z]+"")"),"BB")</f>
        <v>BB</v>
      </c>
      <c r="Q285" s="18" t="str">
        <f aca="false">IFERROR(__xludf.dummyfunction("REGEXEXTRACT(ADDRESS(ROW(), 59+$H285), ""[A-Z]+"")"),"BG")</f>
        <v>BG</v>
      </c>
      <c r="R285" s="18" t="str">
        <f aca="false">IFERROR(__xludf.dummyfunction("REGEXEXTRACT(ADDRESS(ROW(), 60+$H285), ""[A-Z]+"")"),"BH")</f>
        <v>BH</v>
      </c>
      <c r="S285" s="18" t="str">
        <f aca="false">IFERROR(__xludf.dummyfunction("REGEXEXTRACT(ADDRESS(ROW(), 62+$H285), ""[A-Z]+"")"),"BJ")</f>
        <v>BJ</v>
      </c>
      <c r="T285" s="18" t="str">
        <f aca="false">IFERROR(__xludf.dummyfunction("REGEXEXTRACT(ADDRESS(ROW(), 63+$H285), ""[A-Z]+"")"),"BK")</f>
        <v>BK</v>
      </c>
      <c r="U285" s="19" t="n">
        <f aca="false">IFERROR(__xludf.dummyfunction("IFERROR(QUERY(INDIRECT(""'""&amp;F285&amp;""'!C3:""&amp;T285&amp;""""), ""SELECT ""&amp;I285&amp;"", ""&amp;J285&amp;"", ""&amp;K285&amp;"", ""&amp;L285&amp;"", ""&amp;M285&amp;"", ""&amp;N285&amp;"", ""&amp;O285&amp;"", ""&amp;P285&amp;"", ""&amp;Q285&amp;"", ""&amp;R285&amp;"", ""&amp;S285&amp;"" WHERE '""&amp;B285&amp;""' = D"", 0), """")"),10)</f>
        <v>10</v>
      </c>
      <c r="V285" s="22" t="n">
        <f aca="false">IFERROR(__xludf.dummyfunction("""COMPUTED_VALUE"""),10)</f>
        <v>10</v>
      </c>
      <c r="W285" s="22" t="n">
        <f aca="false">IFERROR(__xludf.dummyfunction("""COMPUTED_VALUE"""),10)</f>
        <v>10</v>
      </c>
      <c r="X285" s="22" t="n">
        <f aca="false">IFERROR(__xludf.dummyfunction("""COMPUTED_VALUE"""),10)</f>
        <v>10</v>
      </c>
      <c r="Y285" s="22" t="n">
        <f aca="false">IFERROR(__xludf.dummyfunction("""COMPUTED_VALUE"""),10)</f>
        <v>10</v>
      </c>
      <c r="Z285" s="22" t="n">
        <f aca="false">IFERROR(__xludf.dummyfunction("""COMPUTED_VALUE"""),0)</f>
        <v>0</v>
      </c>
      <c r="AA285" s="22" t="n">
        <f aca="false">IFERROR(__xludf.dummyfunction("""COMPUTED_VALUE"""),0)</f>
        <v>0</v>
      </c>
      <c r="AB285" s="22" t="n">
        <f aca="false">IFERROR(__xludf.dummyfunction("""COMPUTED_VALUE"""),6)</f>
        <v>6</v>
      </c>
      <c r="AC285" s="22" t="n">
        <f aca="false">IFERROR(__xludf.dummyfunction("""COMPUTED_VALUE"""),0)</f>
        <v>0</v>
      </c>
      <c r="AD285" s="23"/>
      <c r="AE285" s="24" t="n">
        <f aca="false">IFERROR(__xludf.dummyfunction("""COMPUTED_VALUE"""),56)</f>
        <v>56</v>
      </c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</row>
    <row r="286" customFormat="false" ht="18.65" hidden="false" customHeight="false" outlineLevel="0" collapsed="false">
      <c r="A286" s="13" t="n">
        <v>285</v>
      </c>
      <c r="B286" s="14" t="s">
        <v>604</v>
      </c>
      <c r="C286" s="15" t="s">
        <v>605</v>
      </c>
      <c r="D286" s="16" t="s">
        <v>235</v>
      </c>
      <c r="E286" s="16" t="s">
        <v>235</v>
      </c>
      <c r="F286" s="16" t="str">
        <f aca="false">REPLACE(E286, 1, 3, "")</f>
        <v>18</v>
      </c>
      <c r="G286" s="17" t="str">
        <f aca="true">IFERROR(VLOOKUP(B286,INDIRECT("'"&amp;F286&amp;"'!D3:D"),1,FALSE()), "Not found")</f>
        <v>Not found</v>
      </c>
      <c r="H286" s="18" t="n">
        <f aca="true">INDIRECT("'"&amp;F286&amp;"'!D1")</f>
        <v>0</v>
      </c>
      <c r="I286" s="18" t="str">
        <f aca="false">IFERROR(__xludf.dummyfunction("REGEXEXTRACT(ADDRESS(ROW(), 24+$H286), ""[A-Z]+"")"),"X")</f>
        <v>X</v>
      </c>
      <c r="J286" s="18" t="str">
        <f aca="false">IFERROR(__xludf.dummyfunction("REGEXEXTRACT(ADDRESS(ROW(), 30+$H286), ""[A-Z]+"")"),"AD")</f>
        <v>AD</v>
      </c>
      <c r="K286" s="18" t="str">
        <f aca="false">IFERROR(__xludf.dummyfunction("REGEXEXTRACT(ADDRESS(ROW(), 36+$H286), ""[A-Z]+"")"),"AJ")</f>
        <v>AJ</v>
      </c>
      <c r="L286" s="18" t="str">
        <f aca="false">IFERROR(__xludf.dummyfunction("REGEXEXTRACT(ADDRESS(ROW(), 42+$H286), ""[A-Z]+"")"),"AP")</f>
        <v>AP</v>
      </c>
      <c r="M286" s="18" t="str">
        <f aca="false">IFERROR(__xludf.dummyfunction("REGEXEXTRACT(ADDRESS(ROW(), 48+$H286), ""[A-Z]+"")"),"AV")</f>
        <v>AV</v>
      </c>
      <c r="N286" s="18" t="str">
        <f aca="false">IFERROR(__xludf.dummyfunction("REGEXEXTRACT(ADDRESS(ROW(), 50+$H286), ""[A-Z]+"")"),"AX")</f>
        <v>AX</v>
      </c>
      <c r="O286" s="18" t="str">
        <f aca="false">IFERROR(__xludf.dummyfunction("REGEXEXTRACT(ADDRESS(ROW(), 51+$H286), ""[A-Z]+"")"),"AY")</f>
        <v>AY</v>
      </c>
      <c r="P286" s="18" t="str">
        <f aca="false">IFERROR(__xludf.dummyfunction("REGEXEXTRACT(ADDRESS(ROW(), 54+$H286), ""[A-Z]+"")"),"BB")</f>
        <v>BB</v>
      </c>
      <c r="Q286" s="18" t="str">
        <f aca="false">IFERROR(__xludf.dummyfunction("REGEXEXTRACT(ADDRESS(ROW(), 59+$H286), ""[A-Z]+"")"),"BG")</f>
        <v>BG</v>
      </c>
      <c r="R286" s="18" t="str">
        <f aca="false">IFERROR(__xludf.dummyfunction("REGEXEXTRACT(ADDRESS(ROW(), 60+$H286), ""[A-Z]+"")"),"BH")</f>
        <v>BH</v>
      </c>
      <c r="S286" s="18" t="str">
        <f aca="false">IFERROR(__xludf.dummyfunction("REGEXEXTRACT(ADDRESS(ROW(), 62+$H286), ""[A-Z]+"")"),"BJ")</f>
        <v>BJ</v>
      </c>
      <c r="T286" s="18" t="str">
        <f aca="false">IFERROR(__xludf.dummyfunction("REGEXEXTRACT(ADDRESS(ROW(), 63+$H286), ""[A-Z]+"")"),"BK")</f>
        <v>BK</v>
      </c>
      <c r="U286" s="19" t="n">
        <f aca="false">IFERROR(__xludf.dummyfunction("IFERROR(QUERY(INDIRECT(""'""&amp;F286&amp;""'!C3:""&amp;T286&amp;""""), ""SELECT ""&amp;I286&amp;"", ""&amp;J286&amp;"", ""&amp;K286&amp;"", ""&amp;L286&amp;"", ""&amp;M286&amp;"", ""&amp;N286&amp;"", ""&amp;O286&amp;"", ""&amp;P286&amp;"", ""&amp;Q286&amp;"", ""&amp;R286&amp;"", ""&amp;S286&amp;"" WHERE '""&amp;B286&amp;""' = D"", 0), """")"),8.5)</f>
        <v>8.5</v>
      </c>
      <c r="V286" s="22"/>
      <c r="W286" s="22"/>
      <c r="X286" s="22"/>
      <c r="Y286" s="22" t="n">
        <f aca="false">IFERROR(__xludf.dummyfunction("""COMPUTED_VALUE"""),0)</f>
        <v>0</v>
      </c>
      <c r="Z286" s="22"/>
      <c r="AA286" s="22"/>
      <c r="AB286" s="22"/>
      <c r="AC286" s="22"/>
      <c r="AD286" s="23"/>
      <c r="AE286" s="24" t="n">
        <f aca="false">IFERROR(__xludf.dummyfunction("""COMPUTED_VALUE"""),8.5)</f>
        <v>8.5</v>
      </c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</row>
    <row r="287" customFormat="false" ht="18.65" hidden="false" customHeight="false" outlineLevel="0" collapsed="false">
      <c r="A287" s="13" t="n">
        <v>286</v>
      </c>
      <c r="B287" s="14" t="s">
        <v>606</v>
      </c>
      <c r="C287" s="15" t="s">
        <v>607</v>
      </c>
      <c r="D287" s="16" t="s">
        <v>232</v>
      </c>
      <c r="E287" s="16" t="s">
        <v>232</v>
      </c>
      <c r="F287" s="16" t="str">
        <f aca="false">REPLACE(E287, 1, 3, "")</f>
        <v>09</v>
      </c>
      <c r="G287" s="17" t="str">
        <f aca="true">IFERROR(VLOOKUP(B287,INDIRECT("'"&amp;F287&amp;"'!D3:D"),1,FALSE()), "Not found")</f>
        <v>Not found</v>
      </c>
      <c r="H287" s="18" t="n">
        <f aca="true">INDIRECT("'"&amp;F287&amp;"'!D1")</f>
        <v>0</v>
      </c>
      <c r="I287" s="18" t="str">
        <f aca="false">IFERROR(__xludf.dummyfunction("REGEXEXTRACT(ADDRESS(ROW(), 24+$H287), ""[A-Z]+"")"),"X")</f>
        <v>X</v>
      </c>
      <c r="J287" s="18" t="str">
        <f aca="false">IFERROR(__xludf.dummyfunction("REGEXEXTRACT(ADDRESS(ROW(), 30+$H287), ""[A-Z]+"")"),"AD")</f>
        <v>AD</v>
      </c>
      <c r="K287" s="18" t="str">
        <f aca="false">IFERROR(__xludf.dummyfunction("REGEXEXTRACT(ADDRESS(ROW(), 36+$H287), ""[A-Z]+"")"),"AJ")</f>
        <v>AJ</v>
      </c>
      <c r="L287" s="18" t="str">
        <f aca="false">IFERROR(__xludf.dummyfunction("REGEXEXTRACT(ADDRESS(ROW(), 42+$H287), ""[A-Z]+"")"),"AP")</f>
        <v>AP</v>
      </c>
      <c r="M287" s="18" t="str">
        <f aca="false">IFERROR(__xludf.dummyfunction("REGEXEXTRACT(ADDRESS(ROW(), 48+$H287), ""[A-Z]+"")"),"AV")</f>
        <v>AV</v>
      </c>
      <c r="N287" s="18" t="str">
        <f aca="false">IFERROR(__xludf.dummyfunction("REGEXEXTRACT(ADDRESS(ROW(), 50+$H287), ""[A-Z]+"")"),"AX")</f>
        <v>AX</v>
      </c>
      <c r="O287" s="18" t="str">
        <f aca="false">IFERROR(__xludf.dummyfunction("REGEXEXTRACT(ADDRESS(ROW(), 51+$H287), ""[A-Z]+"")"),"AY")</f>
        <v>AY</v>
      </c>
      <c r="P287" s="18" t="str">
        <f aca="false">IFERROR(__xludf.dummyfunction("REGEXEXTRACT(ADDRESS(ROW(), 54+$H287), ""[A-Z]+"")"),"BB")</f>
        <v>BB</v>
      </c>
      <c r="Q287" s="18" t="str">
        <f aca="false">IFERROR(__xludf.dummyfunction("REGEXEXTRACT(ADDRESS(ROW(), 59+$H287), ""[A-Z]+"")"),"BG")</f>
        <v>BG</v>
      </c>
      <c r="R287" s="18" t="str">
        <f aca="false">IFERROR(__xludf.dummyfunction("REGEXEXTRACT(ADDRESS(ROW(), 60+$H287), ""[A-Z]+"")"),"BH")</f>
        <v>BH</v>
      </c>
      <c r="S287" s="18" t="str">
        <f aca="false">IFERROR(__xludf.dummyfunction("REGEXEXTRACT(ADDRESS(ROW(), 62+$H287), ""[A-Z]+"")"),"BJ")</f>
        <v>BJ</v>
      </c>
      <c r="T287" s="18" t="str">
        <f aca="false">IFERROR(__xludf.dummyfunction("REGEXEXTRACT(ADDRESS(ROW(), 63+$H287), ""[A-Z]+"")"),"BK")</f>
        <v>BK</v>
      </c>
      <c r="U287" s="19" t="n">
        <f aca="false">IFERROR(__xludf.dummyfunction("IFERROR(QUERY(INDIRECT(""'""&amp;F287&amp;""'!C3:""&amp;T287&amp;""""), ""SELECT ""&amp;I287&amp;"", ""&amp;J287&amp;"", ""&amp;K287&amp;"", ""&amp;L287&amp;"", ""&amp;M287&amp;"", ""&amp;N287&amp;"", ""&amp;O287&amp;"", ""&amp;P287&amp;"", ""&amp;Q287&amp;"", ""&amp;R287&amp;"", ""&amp;S287&amp;"" WHERE '""&amp;B287&amp;""' = D"", 0), """")"),9)</f>
        <v>9</v>
      </c>
      <c r="V287" s="22" t="n">
        <f aca="false">IFERROR(__xludf.dummyfunction("""COMPUTED_VALUE"""),9)</f>
        <v>9</v>
      </c>
      <c r="W287" s="22" t="n">
        <f aca="false">IFERROR(__xludf.dummyfunction("""COMPUTED_VALUE"""),9)</f>
        <v>9</v>
      </c>
      <c r="X287" s="22" t="n">
        <f aca="false">IFERROR(__xludf.dummyfunction("""COMPUTED_VALUE"""),9.5)</f>
        <v>9.5</v>
      </c>
      <c r="Y287" s="22" t="n">
        <f aca="false">IFERROR(__xludf.dummyfunction("""COMPUTED_VALUE"""),9)</f>
        <v>9</v>
      </c>
      <c r="Z287" s="22" t="n">
        <f aca="false">IFERROR(__xludf.dummyfunction("""COMPUTED_VALUE"""),2)</f>
        <v>2</v>
      </c>
      <c r="AA287" s="22" t="n">
        <f aca="false">IFERROR(__xludf.dummyfunction("""COMPUTED_VALUE"""),1)</f>
        <v>1</v>
      </c>
      <c r="AB287" s="22" t="n">
        <f aca="false">IFERROR(__xludf.dummyfunction("""COMPUTED_VALUE"""),8)</f>
        <v>8</v>
      </c>
      <c r="AC287" s="22" t="n">
        <f aca="false">IFERROR(__xludf.dummyfunction("""COMPUTED_VALUE"""),29)</f>
        <v>29</v>
      </c>
      <c r="AD287" s="23"/>
      <c r="AE287" s="24" t="n">
        <f aca="false">IFERROR(__xludf.dummyfunction("""COMPUTED_VALUE"""),85.5)</f>
        <v>85.5</v>
      </c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</row>
    <row r="288" customFormat="false" ht="19.5" hidden="false" customHeight="true" outlineLevel="0" collapsed="false">
      <c r="A288" s="13" t="n">
        <v>287</v>
      </c>
      <c r="B288" s="14" t="s">
        <v>608</v>
      </c>
      <c r="C288" s="15" t="s">
        <v>609</v>
      </c>
      <c r="D288" s="16" t="s">
        <v>186</v>
      </c>
      <c r="E288" s="16" t="s">
        <v>186</v>
      </c>
      <c r="F288" s="16" t="str">
        <f aca="false">REPLACE(E288, 1, 3, "")</f>
        <v>06</v>
      </c>
      <c r="G288" s="17" t="str">
        <f aca="true">IFERROR(VLOOKUP(B288,INDIRECT("'"&amp;F288&amp;"'!D3:D"),1,FALSE()), "Not found")</f>
        <v>Not found</v>
      </c>
      <c r="H288" s="18" t="n">
        <f aca="true">INDIRECT("'"&amp;F288&amp;"'!D1")</f>
        <v>0</v>
      </c>
      <c r="I288" s="18" t="str">
        <f aca="false">IFERROR(__xludf.dummyfunction("REGEXEXTRACT(ADDRESS(ROW(), 24+$H288), ""[A-Z]+"")"),"X")</f>
        <v>X</v>
      </c>
      <c r="J288" s="18" t="str">
        <f aca="false">IFERROR(__xludf.dummyfunction("REGEXEXTRACT(ADDRESS(ROW(), 30+$H288), ""[A-Z]+"")"),"AD")</f>
        <v>AD</v>
      </c>
      <c r="K288" s="18" t="str">
        <f aca="false">IFERROR(__xludf.dummyfunction("REGEXEXTRACT(ADDRESS(ROW(), 36+$H288), ""[A-Z]+"")"),"AJ")</f>
        <v>AJ</v>
      </c>
      <c r="L288" s="18" t="str">
        <f aca="false">IFERROR(__xludf.dummyfunction("REGEXEXTRACT(ADDRESS(ROW(), 42+$H288), ""[A-Z]+"")"),"AP")</f>
        <v>AP</v>
      </c>
      <c r="M288" s="18" t="str">
        <f aca="false">IFERROR(__xludf.dummyfunction("REGEXEXTRACT(ADDRESS(ROW(), 48+$H288), ""[A-Z]+"")"),"AV")</f>
        <v>AV</v>
      </c>
      <c r="N288" s="18" t="str">
        <f aca="false">IFERROR(__xludf.dummyfunction("REGEXEXTRACT(ADDRESS(ROW(), 50+$H288), ""[A-Z]+"")"),"AX")</f>
        <v>AX</v>
      </c>
      <c r="O288" s="18" t="str">
        <f aca="false">IFERROR(__xludf.dummyfunction("REGEXEXTRACT(ADDRESS(ROW(), 51+$H288), ""[A-Z]+"")"),"AY")</f>
        <v>AY</v>
      </c>
      <c r="P288" s="18" t="str">
        <f aca="false">IFERROR(__xludf.dummyfunction("REGEXEXTRACT(ADDRESS(ROW(), 54+$H288), ""[A-Z]+"")"),"BB")</f>
        <v>BB</v>
      </c>
      <c r="Q288" s="18" t="str">
        <f aca="false">IFERROR(__xludf.dummyfunction("REGEXEXTRACT(ADDRESS(ROW(), 59+$H288), ""[A-Z]+"")"),"BG")</f>
        <v>BG</v>
      </c>
      <c r="R288" s="18" t="str">
        <f aca="false">IFERROR(__xludf.dummyfunction("REGEXEXTRACT(ADDRESS(ROW(), 60+$H288), ""[A-Z]+"")"),"BH")</f>
        <v>BH</v>
      </c>
      <c r="S288" s="18" t="str">
        <f aca="false">IFERROR(__xludf.dummyfunction("REGEXEXTRACT(ADDRESS(ROW(), 62+$H288), ""[A-Z]+"")"),"BJ")</f>
        <v>BJ</v>
      </c>
      <c r="T288" s="18" t="str">
        <f aca="false">IFERROR(__xludf.dummyfunction("REGEXEXTRACT(ADDRESS(ROW(), 63+$H288), ""[A-Z]+"")"),"BK")</f>
        <v>BK</v>
      </c>
      <c r="U288" s="19" t="n">
        <f aca="false">IFERROR(__xludf.dummyfunction("IFERROR(QUERY(INDIRECT(""'""&amp;F288&amp;""'!C3:""&amp;T288&amp;""""), ""SELECT ""&amp;I288&amp;"", ""&amp;J288&amp;"", ""&amp;K288&amp;"", ""&amp;L288&amp;"", ""&amp;M288&amp;"", ""&amp;N288&amp;"", ""&amp;O288&amp;"", ""&amp;P288&amp;"", ""&amp;Q288&amp;"", ""&amp;R288&amp;"", ""&amp;S288&amp;"" WHERE '""&amp;B288&amp;""' = D"", 0), """")"),9)</f>
        <v>9</v>
      </c>
      <c r="V288" s="22" t="n">
        <f aca="false">IFERROR(__xludf.dummyfunction("""COMPUTED_VALUE"""),8.5)</f>
        <v>8.5</v>
      </c>
      <c r="W288" s="22" t="n">
        <f aca="false">IFERROR(__xludf.dummyfunction("""COMPUTED_VALUE"""),8)</f>
        <v>8</v>
      </c>
      <c r="X288" s="22" t="n">
        <f aca="false">IFERROR(__xludf.dummyfunction("""COMPUTED_VALUE"""),9)</f>
        <v>9</v>
      </c>
      <c r="Y288" s="22" t="n">
        <f aca="false">IFERROR(__xludf.dummyfunction("""COMPUTED_VALUE"""),9)</f>
        <v>9</v>
      </c>
      <c r="Z288" s="22" t="n">
        <f aca="false">IFERROR(__xludf.dummyfunction("""COMPUTED_VALUE"""),0)</f>
        <v>0</v>
      </c>
      <c r="AA288" s="22"/>
      <c r="AB288" s="22" t="n">
        <f aca="false">IFERROR(__xludf.dummyfunction("""COMPUTED_VALUE"""),9)</f>
        <v>9</v>
      </c>
      <c r="AC288" s="22" t="n">
        <f aca="false">IFERROR(__xludf.dummyfunction("""COMPUTED_VALUE"""),30)</f>
        <v>30</v>
      </c>
      <c r="AD288" s="23" t="n">
        <f aca="false">IFERROR(__xludf.dummyfunction("""COMPUTED_VALUE"""),3)</f>
        <v>3</v>
      </c>
      <c r="AE288" s="24" t="n">
        <f aca="false">IFERROR(__xludf.dummyfunction("""COMPUTED_VALUE"""),85.5)</f>
        <v>85.5</v>
      </c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</row>
    <row r="289" customFormat="false" ht="18.65" hidden="false" customHeight="false" outlineLevel="0" collapsed="false">
      <c r="A289" s="13" t="n">
        <v>288</v>
      </c>
      <c r="B289" s="14" t="s">
        <v>610</v>
      </c>
      <c r="C289" s="15" t="s">
        <v>611</v>
      </c>
      <c r="D289" s="16" t="s">
        <v>177</v>
      </c>
      <c r="E289" s="16" t="s">
        <v>177</v>
      </c>
      <c r="F289" s="16" t="str">
        <f aca="false">REPLACE(E289, 1, 3, "")</f>
        <v>19</v>
      </c>
      <c r="G289" s="17" t="str">
        <f aca="true">IFERROR(VLOOKUP(B289,INDIRECT("'"&amp;F289&amp;"'!D3:D"),1,FALSE()), "Not found")</f>
        <v>Not found</v>
      </c>
      <c r="H289" s="18" t="n">
        <f aca="true">INDIRECT("'"&amp;F289&amp;"'!D1")</f>
        <v>0</v>
      </c>
      <c r="I289" s="18" t="str">
        <f aca="false">IFERROR(__xludf.dummyfunction("REGEXEXTRACT(ADDRESS(ROW(), 24+$H289), ""[A-Z]+"")"),"X")</f>
        <v>X</v>
      </c>
      <c r="J289" s="18" t="str">
        <f aca="false">IFERROR(__xludf.dummyfunction("REGEXEXTRACT(ADDRESS(ROW(), 30+$H289), ""[A-Z]+"")"),"AD")</f>
        <v>AD</v>
      </c>
      <c r="K289" s="18" t="str">
        <f aca="false">IFERROR(__xludf.dummyfunction("REGEXEXTRACT(ADDRESS(ROW(), 36+$H289), ""[A-Z]+"")"),"AJ")</f>
        <v>AJ</v>
      </c>
      <c r="L289" s="18" t="str">
        <f aca="false">IFERROR(__xludf.dummyfunction("REGEXEXTRACT(ADDRESS(ROW(), 42+$H289), ""[A-Z]+"")"),"AP")</f>
        <v>AP</v>
      </c>
      <c r="M289" s="18" t="str">
        <f aca="false">IFERROR(__xludf.dummyfunction("REGEXEXTRACT(ADDRESS(ROW(), 48+$H289), ""[A-Z]+"")"),"AV")</f>
        <v>AV</v>
      </c>
      <c r="N289" s="18" t="str">
        <f aca="false">IFERROR(__xludf.dummyfunction("REGEXEXTRACT(ADDRESS(ROW(), 50+$H289), ""[A-Z]+"")"),"AX")</f>
        <v>AX</v>
      </c>
      <c r="O289" s="18" t="str">
        <f aca="false">IFERROR(__xludf.dummyfunction("REGEXEXTRACT(ADDRESS(ROW(), 51+$H289), ""[A-Z]+"")"),"AY")</f>
        <v>AY</v>
      </c>
      <c r="P289" s="18" t="str">
        <f aca="false">IFERROR(__xludf.dummyfunction("REGEXEXTRACT(ADDRESS(ROW(), 54+$H289), ""[A-Z]+"")"),"BB")</f>
        <v>BB</v>
      </c>
      <c r="Q289" s="18" t="str">
        <f aca="false">IFERROR(__xludf.dummyfunction("REGEXEXTRACT(ADDRESS(ROW(), 59+$H289), ""[A-Z]+"")"),"BG")</f>
        <v>BG</v>
      </c>
      <c r="R289" s="18" t="str">
        <f aca="false">IFERROR(__xludf.dummyfunction("REGEXEXTRACT(ADDRESS(ROW(), 60+$H289), ""[A-Z]+"")"),"BH")</f>
        <v>BH</v>
      </c>
      <c r="S289" s="18" t="str">
        <f aca="false">IFERROR(__xludf.dummyfunction("REGEXEXTRACT(ADDRESS(ROW(), 62+$H289), ""[A-Z]+"")"),"BJ")</f>
        <v>BJ</v>
      </c>
      <c r="T289" s="18" t="str">
        <f aca="false">IFERROR(__xludf.dummyfunction("REGEXEXTRACT(ADDRESS(ROW(), 63+$H289), ""[A-Z]+"")"),"BK")</f>
        <v>BK</v>
      </c>
      <c r="U289" s="19" t="n">
        <f aca="false">IFERROR(__xludf.dummyfunction("IFERROR(QUERY(INDIRECT(""'""&amp;F289&amp;""'!C3:""&amp;T289&amp;""""), ""SELECT ""&amp;I289&amp;"", ""&amp;J289&amp;"", ""&amp;K289&amp;"", ""&amp;L289&amp;"", ""&amp;M289&amp;"", ""&amp;N289&amp;"", ""&amp;O289&amp;"", ""&amp;P289&amp;"", ""&amp;Q289&amp;"", ""&amp;R289&amp;"", ""&amp;S289&amp;"" WHERE '""&amp;B289&amp;""' = D"", 0), """")"),10)</f>
        <v>10</v>
      </c>
      <c r="V289" s="22" t="n">
        <f aca="false">IFERROR(__xludf.dummyfunction("""COMPUTED_VALUE"""),9)</f>
        <v>9</v>
      </c>
      <c r="W289" s="22" t="n">
        <f aca="false">IFERROR(__xludf.dummyfunction("""COMPUTED_VALUE"""),9)</f>
        <v>9</v>
      </c>
      <c r="X289" s="22" t="n">
        <f aca="false">IFERROR(__xludf.dummyfunction("""COMPUTED_VALUE"""),10)</f>
        <v>10</v>
      </c>
      <c r="Y289" s="22" t="n">
        <f aca="false">IFERROR(__xludf.dummyfunction("""COMPUTED_VALUE"""),0)</f>
        <v>0</v>
      </c>
      <c r="Z289" s="22"/>
      <c r="AA289" s="22"/>
      <c r="AB289" s="22" t="n">
        <f aca="false">IFERROR(__xludf.dummyfunction("""COMPUTED_VALUE"""),6)</f>
        <v>6</v>
      </c>
      <c r="AC289" s="22" t="n">
        <f aca="false">IFERROR(__xludf.dummyfunction("""COMPUTED_VALUE"""),22)</f>
        <v>22</v>
      </c>
      <c r="AD289" s="23" t="n">
        <f aca="false">IFERROR(__xludf.dummyfunction("""COMPUTED_VALUE"""),2)</f>
        <v>2</v>
      </c>
      <c r="AE289" s="24" t="n">
        <f aca="false">IFERROR(__xludf.dummyfunction("""COMPUTED_VALUE"""),68)</f>
        <v>68</v>
      </c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</row>
    <row r="290" customFormat="false" ht="18.65" hidden="false" customHeight="false" outlineLevel="0" collapsed="false">
      <c r="A290" s="13" t="n">
        <v>289</v>
      </c>
      <c r="B290" s="14" t="s">
        <v>612</v>
      </c>
      <c r="C290" s="15" t="s">
        <v>613</v>
      </c>
      <c r="D290" s="16" t="s">
        <v>174</v>
      </c>
      <c r="E290" s="16" t="s">
        <v>174</v>
      </c>
      <c r="F290" s="16" t="str">
        <f aca="false">REPLACE(E290, 1, 3, "")</f>
        <v>08</v>
      </c>
      <c r="G290" s="17" t="str">
        <f aca="true">IFERROR(VLOOKUP(B290,INDIRECT("'"&amp;F290&amp;"'!D3:D"),1,FALSE()), "Not found")</f>
        <v>Not found</v>
      </c>
      <c r="H290" s="18" t="n">
        <f aca="true">INDIRECT("'"&amp;F290&amp;"'!D1")</f>
        <v>0</v>
      </c>
      <c r="I290" s="18" t="str">
        <f aca="false">IFERROR(__xludf.dummyfunction("REGEXEXTRACT(ADDRESS(ROW(), 24+$H290), ""[A-Z]+"")"),"X")</f>
        <v>X</v>
      </c>
      <c r="J290" s="18" t="str">
        <f aca="false">IFERROR(__xludf.dummyfunction("REGEXEXTRACT(ADDRESS(ROW(), 30+$H290), ""[A-Z]+"")"),"AD")</f>
        <v>AD</v>
      </c>
      <c r="K290" s="18" t="str">
        <f aca="false">IFERROR(__xludf.dummyfunction("REGEXEXTRACT(ADDRESS(ROW(), 36+$H290), ""[A-Z]+"")"),"AJ")</f>
        <v>AJ</v>
      </c>
      <c r="L290" s="18" t="str">
        <f aca="false">IFERROR(__xludf.dummyfunction("REGEXEXTRACT(ADDRESS(ROW(), 42+$H290), ""[A-Z]+"")"),"AP")</f>
        <v>AP</v>
      </c>
      <c r="M290" s="18" t="str">
        <f aca="false">IFERROR(__xludf.dummyfunction("REGEXEXTRACT(ADDRESS(ROW(), 48+$H290), ""[A-Z]+"")"),"AV")</f>
        <v>AV</v>
      </c>
      <c r="N290" s="18" t="str">
        <f aca="false">IFERROR(__xludf.dummyfunction("REGEXEXTRACT(ADDRESS(ROW(), 50+$H290), ""[A-Z]+"")"),"AX")</f>
        <v>AX</v>
      </c>
      <c r="O290" s="18" t="str">
        <f aca="false">IFERROR(__xludf.dummyfunction("REGEXEXTRACT(ADDRESS(ROW(), 51+$H290), ""[A-Z]+"")"),"AY")</f>
        <v>AY</v>
      </c>
      <c r="P290" s="18" t="str">
        <f aca="false">IFERROR(__xludf.dummyfunction("REGEXEXTRACT(ADDRESS(ROW(), 54+$H290), ""[A-Z]+"")"),"BB")</f>
        <v>BB</v>
      </c>
      <c r="Q290" s="18" t="str">
        <f aca="false">IFERROR(__xludf.dummyfunction("REGEXEXTRACT(ADDRESS(ROW(), 59+$H290), ""[A-Z]+"")"),"BG")</f>
        <v>BG</v>
      </c>
      <c r="R290" s="18" t="str">
        <f aca="false">IFERROR(__xludf.dummyfunction("REGEXEXTRACT(ADDRESS(ROW(), 60+$H290), ""[A-Z]+"")"),"BH")</f>
        <v>BH</v>
      </c>
      <c r="S290" s="18" t="str">
        <f aca="false">IFERROR(__xludf.dummyfunction("REGEXEXTRACT(ADDRESS(ROW(), 62+$H290), ""[A-Z]+"")"),"BJ")</f>
        <v>BJ</v>
      </c>
      <c r="T290" s="18" t="str">
        <f aca="false">IFERROR(__xludf.dummyfunction("REGEXEXTRACT(ADDRESS(ROW(), 63+$H290), ""[A-Z]+"")"),"BK")</f>
        <v>BK</v>
      </c>
      <c r="U290" s="19" t="n">
        <f aca="false">IFERROR(__xludf.dummyfunction("IFERROR(QUERY(INDIRECT(""'""&amp;F290&amp;""'!C3:""&amp;T290&amp;""""), ""SELECT ""&amp;I290&amp;"", ""&amp;J290&amp;"", ""&amp;K290&amp;"", ""&amp;L290&amp;"", ""&amp;M290&amp;"", ""&amp;N290&amp;"", ""&amp;O290&amp;"", ""&amp;P290&amp;"", ""&amp;Q290&amp;"", ""&amp;R290&amp;"", ""&amp;S290&amp;"" WHERE '""&amp;B290&amp;""' = D"", 0), """")"),10)</f>
        <v>10</v>
      </c>
      <c r="V290" s="22" t="n">
        <f aca="false">IFERROR(__xludf.dummyfunction("""COMPUTED_VALUE"""),10)</f>
        <v>10</v>
      </c>
      <c r="W290" s="22" t="n">
        <f aca="false">IFERROR(__xludf.dummyfunction("""COMPUTED_VALUE"""),10)</f>
        <v>10</v>
      </c>
      <c r="X290" s="22" t="n">
        <f aca="false">IFERROR(__xludf.dummyfunction("""COMPUTED_VALUE"""),9)</f>
        <v>9</v>
      </c>
      <c r="Y290" s="22" t="n">
        <f aca="false">IFERROR(__xludf.dummyfunction("""COMPUTED_VALUE"""),0)</f>
        <v>0</v>
      </c>
      <c r="Z290" s="22"/>
      <c r="AA290" s="22"/>
      <c r="AB290" s="22" t="n">
        <f aca="false">IFERROR(__xludf.dummyfunction("""COMPUTED_VALUE"""),10)</f>
        <v>10</v>
      </c>
      <c r="AC290" s="22" t="n">
        <f aca="false">IFERROR(__xludf.dummyfunction("""COMPUTED_VALUE"""),18)</f>
        <v>18</v>
      </c>
      <c r="AD290" s="23"/>
      <c r="AE290" s="24" t="n">
        <f aca="false">IFERROR(__xludf.dummyfunction("""COMPUTED_VALUE"""),67)</f>
        <v>67</v>
      </c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</row>
    <row r="291" customFormat="false" ht="18.65" hidden="false" customHeight="false" outlineLevel="0" collapsed="false">
      <c r="A291" s="13" t="n">
        <v>290</v>
      </c>
      <c r="B291" s="14" t="s">
        <v>614</v>
      </c>
      <c r="C291" s="15" t="s">
        <v>615</v>
      </c>
      <c r="D291" s="16" t="s">
        <v>194</v>
      </c>
      <c r="E291" s="16" t="s">
        <v>194</v>
      </c>
      <c r="F291" s="16" t="str">
        <f aca="false">REPLACE(E291, 1, 3, "")</f>
        <v>10</v>
      </c>
      <c r="G291" s="17" t="str">
        <f aca="true">IFERROR(VLOOKUP(B291,INDIRECT("'"&amp;F291&amp;"'!D3:D"),1,FALSE()), "Not found")</f>
        <v>Not found</v>
      </c>
      <c r="H291" s="18" t="n">
        <f aca="true">INDIRECT("'"&amp;F291&amp;"'!D1")</f>
        <v>0</v>
      </c>
      <c r="I291" s="18" t="str">
        <f aca="false">IFERROR(__xludf.dummyfunction("REGEXEXTRACT(ADDRESS(ROW(), 24+$H291), ""[A-Z]+"")"),"X")</f>
        <v>X</v>
      </c>
      <c r="J291" s="18" t="str">
        <f aca="false">IFERROR(__xludf.dummyfunction("REGEXEXTRACT(ADDRESS(ROW(), 30+$H291), ""[A-Z]+"")"),"AD")</f>
        <v>AD</v>
      </c>
      <c r="K291" s="18" t="str">
        <f aca="false">IFERROR(__xludf.dummyfunction("REGEXEXTRACT(ADDRESS(ROW(), 36+$H291), ""[A-Z]+"")"),"AJ")</f>
        <v>AJ</v>
      </c>
      <c r="L291" s="18" t="str">
        <f aca="false">IFERROR(__xludf.dummyfunction("REGEXEXTRACT(ADDRESS(ROW(), 42+$H291), ""[A-Z]+"")"),"AP")</f>
        <v>AP</v>
      </c>
      <c r="M291" s="18" t="str">
        <f aca="false">IFERROR(__xludf.dummyfunction("REGEXEXTRACT(ADDRESS(ROW(), 48+$H291), ""[A-Z]+"")"),"AV")</f>
        <v>AV</v>
      </c>
      <c r="N291" s="18" t="str">
        <f aca="false">IFERROR(__xludf.dummyfunction("REGEXEXTRACT(ADDRESS(ROW(), 50+$H291), ""[A-Z]+"")"),"AX")</f>
        <v>AX</v>
      </c>
      <c r="O291" s="18" t="str">
        <f aca="false">IFERROR(__xludf.dummyfunction("REGEXEXTRACT(ADDRESS(ROW(), 51+$H291), ""[A-Z]+"")"),"AY")</f>
        <v>AY</v>
      </c>
      <c r="P291" s="18" t="str">
        <f aca="false">IFERROR(__xludf.dummyfunction("REGEXEXTRACT(ADDRESS(ROW(), 54+$H291), ""[A-Z]+"")"),"BB")</f>
        <v>BB</v>
      </c>
      <c r="Q291" s="18" t="str">
        <f aca="false">IFERROR(__xludf.dummyfunction("REGEXEXTRACT(ADDRESS(ROW(), 59+$H291), ""[A-Z]+"")"),"BG")</f>
        <v>BG</v>
      </c>
      <c r="R291" s="18" t="str">
        <f aca="false">IFERROR(__xludf.dummyfunction("REGEXEXTRACT(ADDRESS(ROW(), 60+$H291), ""[A-Z]+"")"),"BH")</f>
        <v>BH</v>
      </c>
      <c r="S291" s="18" t="str">
        <f aca="false">IFERROR(__xludf.dummyfunction("REGEXEXTRACT(ADDRESS(ROW(), 62+$H291), ""[A-Z]+"")"),"BJ")</f>
        <v>BJ</v>
      </c>
      <c r="T291" s="18" t="str">
        <f aca="false">IFERROR(__xludf.dummyfunction("REGEXEXTRACT(ADDRESS(ROW(), 63+$H291), ""[A-Z]+"")"),"BK")</f>
        <v>BK</v>
      </c>
      <c r="U291" s="19" t="n">
        <f aca="false">IFERROR(__xludf.dummyfunction("IFERROR(QUERY(INDIRECT(""'""&amp;F291&amp;""'!C3:""&amp;T291&amp;""""), ""SELECT ""&amp;I291&amp;"", ""&amp;J291&amp;"", ""&amp;K291&amp;"", ""&amp;L291&amp;"", ""&amp;M291&amp;"", ""&amp;N291&amp;"", ""&amp;O291&amp;"", ""&amp;P291&amp;"", ""&amp;Q291&amp;"", ""&amp;R291&amp;"", ""&amp;S291&amp;"" WHERE '""&amp;B291&amp;""' = D"", 0), """")"),8)</f>
        <v>8</v>
      </c>
      <c r="V291" s="22" t="n">
        <f aca="false">IFERROR(__xludf.dummyfunction("""COMPUTED_VALUE"""),9)</f>
        <v>9</v>
      </c>
      <c r="W291" s="22" t="n">
        <f aca="false">IFERROR(__xludf.dummyfunction("""COMPUTED_VALUE"""),7)</f>
        <v>7</v>
      </c>
      <c r="X291" s="22" t="n">
        <f aca="false">IFERROR(__xludf.dummyfunction("""COMPUTED_VALUE"""),8)</f>
        <v>8</v>
      </c>
      <c r="Y291" s="22" t="n">
        <f aca="false">IFERROR(__xludf.dummyfunction("""COMPUTED_VALUE"""),0)</f>
        <v>0</v>
      </c>
      <c r="Z291" s="22" t="n">
        <f aca="false">IFERROR(__xludf.dummyfunction("""COMPUTED_VALUE"""),0)</f>
        <v>0</v>
      </c>
      <c r="AA291" s="22"/>
      <c r="AB291" s="22" t="n">
        <f aca="false">IFERROR(__xludf.dummyfunction("""COMPUTED_VALUE"""),9)</f>
        <v>9</v>
      </c>
      <c r="AC291" s="22" t="n">
        <f aca="false">IFERROR(__xludf.dummyfunction("""COMPUTED_VALUE"""),26)</f>
        <v>26</v>
      </c>
      <c r="AD291" s="23" t="n">
        <f aca="false">IFERROR(__xludf.dummyfunction("""COMPUTED_VALUE"""),1)</f>
        <v>1</v>
      </c>
      <c r="AE291" s="24" t="n">
        <f aca="false">IFERROR(__xludf.dummyfunction("""COMPUTED_VALUE"""),68)</f>
        <v>68</v>
      </c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</row>
    <row r="292" customFormat="false" ht="18.65" hidden="false" customHeight="false" outlineLevel="0" collapsed="false">
      <c r="A292" s="13" t="n">
        <v>291</v>
      </c>
      <c r="B292" s="14" t="s">
        <v>616</v>
      </c>
      <c r="C292" s="15" t="s">
        <v>617</v>
      </c>
      <c r="D292" s="16" t="s">
        <v>186</v>
      </c>
      <c r="E292" s="16" t="s">
        <v>186</v>
      </c>
      <c r="F292" s="16" t="str">
        <f aca="false">REPLACE(E292, 1, 3, "")</f>
        <v>06</v>
      </c>
      <c r="G292" s="17" t="str">
        <f aca="true">IFERROR(VLOOKUP(B292,INDIRECT("'"&amp;F292&amp;"'!D3:D"),1,FALSE()), "Not found")</f>
        <v>Not found</v>
      </c>
      <c r="H292" s="18" t="n">
        <f aca="true">INDIRECT("'"&amp;F292&amp;"'!D1")</f>
        <v>0</v>
      </c>
      <c r="I292" s="18" t="str">
        <f aca="false">IFERROR(__xludf.dummyfunction("REGEXEXTRACT(ADDRESS(ROW(), 24+$H292), ""[A-Z]+"")"),"X")</f>
        <v>X</v>
      </c>
      <c r="J292" s="18" t="str">
        <f aca="false">IFERROR(__xludf.dummyfunction("REGEXEXTRACT(ADDRESS(ROW(), 30+$H292), ""[A-Z]+"")"),"AD")</f>
        <v>AD</v>
      </c>
      <c r="K292" s="18" t="str">
        <f aca="false">IFERROR(__xludf.dummyfunction("REGEXEXTRACT(ADDRESS(ROW(), 36+$H292), ""[A-Z]+"")"),"AJ")</f>
        <v>AJ</v>
      </c>
      <c r="L292" s="18" t="str">
        <f aca="false">IFERROR(__xludf.dummyfunction("REGEXEXTRACT(ADDRESS(ROW(), 42+$H292), ""[A-Z]+"")"),"AP")</f>
        <v>AP</v>
      </c>
      <c r="M292" s="18" t="str">
        <f aca="false">IFERROR(__xludf.dummyfunction("REGEXEXTRACT(ADDRESS(ROW(), 48+$H292), ""[A-Z]+"")"),"AV")</f>
        <v>AV</v>
      </c>
      <c r="N292" s="18" t="str">
        <f aca="false">IFERROR(__xludf.dummyfunction("REGEXEXTRACT(ADDRESS(ROW(), 50+$H292), ""[A-Z]+"")"),"AX")</f>
        <v>AX</v>
      </c>
      <c r="O292" s="18" t="str">
        <f aca="false">IFERROR(__xludf.dummyfunction("REGEXEXTRACT(ADDRESS(ROW(), 51+$H292), ""[A-Z]+"")"),"AY")</f>
        <v>AY</v>
      </c>
      <c r="P292" s="18" t="str">
        <f aca="false">IFERROR(__xludf.dummyfunction("REGEXEXTRACT(ADDRESS(ROW(), 54+$H292), ""[A-Z]+"")"),"BB")</f>
        <v>BB</v>
      </c>
      <c r="Q292" s="18" t="str">
        <f aca="false">IFERROR(__xludf.dummyfunction("REGEXEXTRACT(ADDRESS(ROW(), 59+$H292), ""[A-Z]+"")"),"BG")</f>
        <v>BG</v>
      </c>
      <c r="R292" s="18" t="str">
        <f aca="false">IFERROR(__xludf.dummyfunction("REGEXEXTRACT(ADDRESS(ROW(), 60+$H292), ""[A-Z]+"")"),"BH")</f>
        <v>BH</v>
      </c>
      <c r="S292" s="18" t="str">
        <f aca="false">IFERROR(__xludf.dummyfunction("REGEXEXTRACT(ADDRESS(ROW(), 62+$H292), ""[A-Z]+"")"),"BJ")</f>
        <v>BJ</v>
      </c>
      <c r="T292" s="18" t="str">
        <f aca="false">IFERROR(__xludf.dummyfunction("REGEXEXTRACT(ADDRESS(ROW(), 63+$H292), ""[A-Z]+"")"),"BK")</f>
        <v>BK</v>
      </c>
      <c r="U292" s="19" t="n">
        <f aca="false">IFERROR(__xludf.dummyfunction("IFERROR(QUERY(INDIRECT(""'""&amp;F292&amp;""'!C3:""&amp;T292&amp;""""), ""SELECT ""&amp;I292&amp;"", ""&amp;J292&amp;"", ""&amp;K292&amp;"", ""&amp;L292&amp;"", ""&amp;M292&amp;"", ""&amp;N292&amp;"", ""&amp;O292&amp;"", ""&amp;P292&amp;"", ""&amp;Q292&amp;"", ""&amp;R292&amp;"", ""&amp;S292&amp;"" WHERE '""&amp;B292&amp;""' = D"", 0), """")"),9)</f>
        <v>9</v>
      </c>
      <c r="V292" s="22" t="n">
        <f aca="false">IFERROR(__xludf.dummyfunction("""COMPUTED_VALUE"""),9)</f>
        <v>9</v>
      </c>
      <c r="W292" s="22" t="n">
        <f aca="false">IFERROR(__xludf.dummyfunction("""COMPUTED_VALUE"""),9)</f>
        <v>9</v>
      </c>
      <c r="X292" s="22" t="n">
        <f aca="false">IFERROR(__xludf.dummyfunction("""COMPUTED_VALUE"""),9)</f>
        <v>9</v>
      </c>
      <c r="Y292" s="22" t="n">
        <f aca="false">IFERROR(__xludf.dummyfunction("""COMPUTED_VALUE"""),9)</f>
        <v>9</v>
      </c>
      <c r="Z292" s="22" t="n">
        <f aca="false">IFERROR(__xludf.dummyfunction("""COMPUTED_VALUE"""),0)</f>
        <v>0</v>
      </c>
      <c r="AA292" s="22" t="n">
        <f aca="false">IFERROR(__xludf.dummyfunction("""COMPUTED_VALUE"""),1)</f>
        <v>1</v>
      </c>
      <c r="AB292" s="22" t="n">
        <f aca="false">IFERROR(__xludf.dummyfunction("""COMPUTED_VALUE"""),7)</f>
        <v>7</v>
      </c>
      <c r="AC292" s="22" t="n">
        <f aca="false">IFERROR(__xludf.dummyfunction("""COMPUTED_VALUE"""),29)</f>
        <v>29</v>
      </c>
      <c r="AD292" s="23" t="n">
        <f aca="false">IFERROR(__xludf.dummyfunction("""COMPUTED_VALUE"""),2)</f>
        <v>2</v>
      </c>
      <c r="AE292" s="24" t="n">
        <f aca="false">IFERROR(__xludf.dummyfunction("""COMPUTED_VALUE"""),84)</f>
        <v>84</v>
      </c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</row>
    <row r="293" customFormat="false" ht="18.65" hidden="false" customHeight="false" outlineLevel="0" collapsed="false">
      <c r="A293" s="13" t="n">
        <v>292</v>
      </c>
      <c r="B293" s="14" t="s">
        <v>618</v>
      </c>
      <c r="C293" s="15" t="s">
        <v>619</v>
      </c>
      <c r="D293" s="16" t="s">
        <v>279</v>
      </c>
      <c r="E293" s="16" t="s">
        <v>279</v>
      </c>
      <c r="F293" s="16" t="str">
        <f aca="false">REPLACE(E293, 1, 3, "")</f>
        <v>07</v>
      </c>
      <c r="G293" s="17" t="str">
        <f aca="true">IFERROR(VLOOKUP(B293,INDIRECT("'"&amp;F293&amp;"'!D3:D"),1,FALSE()), "Not found")</f>
        <v>Not found</v>
      </c>
      <c r="H293" s="18" t="n">
        <f aca="true">INDIRECT("'"&amp;F293&amp;"'!D1")</f>
        <v>0</v>
      </c>
      <c r="I293" s="18" t="str">
        <f aca="false">IFERROR(__xludf.dummyfunction("REGEXEXTRACT(ADDRESS(ROW(), 24+$H293), ""[A-Z]+"")"),"X")</f>
        <v>X</v>
      </c>
      <c r="J293" s="18" t="str">
        <f aca="false">IFERROR(__xludf.dummyfunction("REGEXEXTRACT(ADDRESS(ROW(), 30+$H293), ""[A-Z]+"")"),"AD")</f>
        <v>AD</v>
      </c>
      <c r="K293" s="18" t="str">
        <f aca="false">IFERROR(__xludf.dummyfunction("REGEXEXTRACT(ADDRESS(ROW(), 36+$H293), ""[A-Z]+"")"),"AJ")</f>
        <v>AJ</v>
      </c>
      <c r="L293" s="18" t="str">
        <f aca="false">IFERROR(__xludf.dummyfunction("REGEXEXTRACT(ADDRESS(ROW(), 42+$H293), ""[A-Z]+"")"),"AP")</f>
        <v>AP</v>
      </c>
      <c r="M293" s="18" t="str">
        <f aca="false">IFERROR(__xludf.dummyfunction("REGEXEXTRACT(ADDRESS(ROW(), 48+$H293), ""[A-Z]+"")"),"AV")</f>
        <v>AV</v>
      </c>
      <c r="N293" s="18" t="str">
        <f aca="false">IFERROR(__xludf.dummyfunction("REGEXEXTRACT(ADDRESS(ROW(), 50+$H293), ""[A-Z]+"")"),"AX")</f>
        <v>AX</v>
      </c>
      <c r="O293" s="18" t="str">
        <f aca="false">IFERROR(__xludf.dummyfunction("REGEXEXTRACT(ADDRESS(ROW(), 51+$H293), ""[A-Z]+"")"),"AY")</f>
        <v>AY</v>
      </c>
      <c r="P293" s="18" t="str">
        <f aca="false">IFERROR(__xludf.dummyfunction("REGEXEXTRACT(ADDRESS(ROW(), 54+$H293), ""[A-Z]+"")"),"BB")</f>
        <v>BB</v>
      </c>
      <c r="Q293" s="18" t="str">
        <f aca="false">IFERROR(__xludf.dummyfunction("REGEXEXTRACT(ADDRESS(ROW(), 59+$H293), ""[A-Z]+"")"),"BG")</f>
        <v>BG</v>
      </c>
      <c r="R293" s="18" t="str">
        <f aca="false">IFERROR(__xludf.dummyfunction("REGEXEXTRACT(ADDRESS(ROW(), 60+$H293), ""[A-Z]+"")"),"BH")</f>
        <v>BH</v>
      </c>
      <c r="S293" s="18" t="str">
        <f aca="false">IFERROR(__xludf.dummyfunction("REGEXEXTRACT(ADDRESS(ROW(), 62+$H293), ""[A-Z]+"")"),"BJ")</f>
        <v>BJ</v>
      </c>
      <c r="T293" s="18" t="str">
        <f aca="false">IFERROR(__xludf.dummyfunction("REGEXEXTRACT(ADDRESS(ROW(), 63+$H293), ""[A-Z]+"")"),"BK")</f>
        <v>BK</v>
      </c>
      <c r="U293" s="19" t="n">
        <f aca="false">IFERROR(__xludf.dummyfunction("IFERROR(QUERY(INDIRECT(""'""&amp;F293&amp;""'!C3:""&amp;T293&amp;""""), ""SELECT ""&amp;I293&amp;"", ""&amp;J293&amp;"", ""&amp;K293&amp;"", ""&amp;L293&amp;"", ""&amp;M293&amp;"", ""&amp;N293&amp;"", ""&amp;O293&amp;"", ""&amp;P293&amp;"", ""&amp;Q293&amp;"", ""&amp;R293&amp;"", ""&amp;S293&amp;"" WHERE '""&amp;B293&amp;""' = D"", 0), """")"),10)</f>
        <v>10</v>
      </c>
      <c r="V293" s="22" t="n">
        <f aca="false">IFERROR(__xludf.dummyfunction("""COMPUTED_VALUE"""),10)</f>
        <v>10</v>
      </c>
      <c r="W293" s="22" t="n">
        <f aca="false">IFERROR(__xludf.dummyfunction("""COMPUTED_VALUE"""),8)</f>
        <v>8</v>
      </c>
      <c r="X293" s="22" t="n">
        <f aca="false">IFERROR(__xludf.dummyfunction("""COMPUTED_VALUE"""),6)</f>
        <v>6</v>
      </c>
      <c r="Y293" s="22"/>
      <c r="Z293" s="22" t="n">
        <f aca="false">IFERROR(__xludf.dummyfunction("""COMPUTED_VALUE"""),2)</f>
        <v>2</v>
      </c>
      <c r="AA293" s="22"/>
      <c r="AB293" s="22" t="n">
        <f aca="false">IFERROR(__xludf.dummyfunction("""COMPUTED_VALUE"""),10)</f>
        <v>10</v>
      </c>
      <c r="AC293" s="22" t="n">
        <f aca="false">IFERROR(__xludf.dummyfunction("""COMPUTED_VALUE"""),25.1)</f>
        <v>25.1</v>
      </c>
      <c r="AD293" s="23" t="n">
        <f aca="false">IFERROR(__xludf.dummyfunction("""COMPUTED_VALUE"""),3)</f>
        <v>3</v>
      </c>
      <c r="AE293" s="24" t="n">
        <f aca="false">IFERROR(__xludf.dummyfunction("""COMPUTED_VALUE"""),74.1)</f>
        <v>74.1</v>
      </c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</row>
    <row r="294" customFormat="false" ht="18.65" hidden="false" customHeight="false" outlineLevel="0" collapsed="false">
      <c r="A294" s="13" t="n">
        <v>293</v>
      </c>
      <c r="B294" s="14" t="s">
        <v>620</v>
      </c>
      <c r="C294" s="15" t="s">
        <v>621</v>
      </c>
      <c r="D294" s="16" t="s">
        <v>218</v>
      </c>
      <c r="E294" s="16" t="s">
        <v>218</v>
      </c>
      <c r="F294" s="16" t="str">
        <f aca="false">REPLACE(E294, 1, 3, "")</f>
        <v>15</v>
      </c>
      <c r="G294" s="17" t="str">
        <f aca="true">IFERROR(VLOOKUP(B294,INDIRECT("'"&amp;F294&amp;"'!D3:D"),1,FALSE()), "Not found")</f>
        <v>Not found</v>
      </c>
      <c r="H294" s="18" t="n">
        <f aca="true">INDIRECT("'"&amp;F294&amp;"'!D1")</f>
        <v>0</v>
      </c>
      <c r="I294" s="18" t="str">
        <f aca="false">IFERROR(__xludf.dummyfunction("REGEXEXTRACT(ADDRESS(ROW(), 24+$H294), ""[A-Z]+"")"),"X")</f>
        <v>X</v>
      </c>
      <c r="J294" s="18" t="str">
        <f aca="false">IFERROR(__xludf.dummyfunction("REGEXEXTRACT(ADDRESS(ROW(), 30+$H294), ""[A-Z]+"")"),"AD")</f>
        <v>AD</v>
      </c>
      <c r="K294" s="18" t="str">
        <f aca="false">IFERROR(__xludf.dummyfunction("REGEXEXTRACT(ADDRESS(ROW(), 36+$H294), ""[A-Z]+"")"),"AJ")</f>
        <v>AJ</v>
      </c>
      <c r="L294" s="18" t="str">
        <f aca="false">IFERROR(__xludf.dummyfunction("REGEXEXTRACT(ADDRESS(ROW(), 42+$H294), ""[A-Z]+"")"),"AP")</f>
        <v>AP</v>
      </c>
      <c r="M294" s="18" t="str">
        <f aca="false">IFERROR(__xludf.dummyfunction("REGEXEXTRACT(ADDRESS(ROW(), 48+$H294), ""[A-Z]+"")"),"AV")</f>
        <v>AV</v>
      </c>
      <c r="N294" s="18" t="str">
        <f aca="false">IFERROR(__xludf.dummyfunction("REGEXEXTRACT(ADDRESS(ROW(), 50+$H294), ""[A-Z]+"")"),"AX")</f>
        <v>AX</v>
      </c>
      <c r="O294" s="18" t="str">
        <f aca="false">IFERROR(__xludf.dummyfunction("REGEXEXTRACT(ADDRESS(ROW(), 51+$H294), ""[A-Z]+"")"),"AY")</f>
        <v>AY</v>
      </c>
      <c r="P294" s="18" t="str">
        <f aca="false">IFERROR(__xludf.dummyfunction("REGEXEXTRACT(ADDRESS(ROW(), 54+$H294), ""[A-Z]+"")"),"BB")</f>
        <v>BB</v>
      </c>
      <c r="Q294" s="18" t="str">
        <f aca="false">IFERROR(__xludf.dummyfunction("REGEXEXTRACT(ADDRESS(ROW(), 59+$H294), ""[A-Z]+"")"),"BG")</f>
        <v>BG</v>
      </c>
      <c r="R294" s="18" t="str">
        <f aca="false">IFERROR(__xludf.dummyfunction("REGEXEXTRACT(ADDRESS(ROW(), 60+$H294), ""[A-Z]+"")"),"BH")</f>
        <v>BH</v>
      </c>
      <c r="S294" s="18" t="str">
        <f aca="false">IFERROR(__xludf.dummyfunction("REGEXEXTRACT(ADDRESS(ROW(), 62+$H294), ""[A-Z]+"")"),"BJ")</f>
        <v>BJ</v>
      </c>
      <c r="T294" s="18" t="str">
        <f aca="false">IFERROR(__xludf.dummyfunction("REGEXEXTRACT(ADDRESS(ROW(), 63+$H294), ""[A-Z]+"")"),"BK")</f>
        <v>BK</v>
      </c>
      <c r="U294" s="19" t="n">
        <f aca="false">IFERROR(__xludf.dummyfunction("IFERROR(QUERY(INDIRECT(""'""&amp;F294&amp;""'!C3:""&amp;T294&amp;""""), ""SELECT ""&amp;I294&amp;"", ""&amp;J294&amp;"", ""&amp;K294&amp;"", ""&amp;L294&amp;"", ""&amp;M294&amp;"", ""&amp;N294&amp;"", ""&amp;O294&amp;"", ""&amp;P294&amp;"", ""&amp;Q294&amp;"", ""&amp;R294&amp;"", ""&amp;S294&amp;"" WHERE '""&amp;B294&amp;""' = D"", 0), """")"),8.5)</f>
        <v>8.5</v>
      </c>
      <c r="V294" s="22" t="n">
        <f aca="false">IFERROR(__xludf.dummyfunction("""COMPUTED_VALUE"""),9)</f>
        <v>9</v>
      </c>
      <c r="W294" s="22" t="n">
        <f aca="false">IFERROR(__xludf.dummyfunction("""COMPUTED_VALUE"""),8)</f>
        <v>8</v>
      </c>
      <c r="X294" s="22" t="n">
        <f aca="false">IFERROR(__xludf.dummyfunction("""COMPUTED_VALUE"""),9)</f>
        <v>9</v>
      </c>
      <c r="Y294" s="22" t="n">
        <f aca="false">IFERROR(__xludf.dummyfunction("""COMPUTED_VALUE"""),8)</f>
        <v>8</v>
      </c>
      <c r="Z294" s="22" t="n">
        <f aca="false">IFERROR(__xludf.dummyfunction("""COMPUTED_VALUE"""),0)</f>
        <v>0</v>
      </c>
      <c r="AA294" s="22" t="n">
        <f aca="false">IFERROR(__xludf.dummyfunction("""COMPUTED_VALUE"""),1)</f>
        <v>1</v>
      </c>
      <c r="AB294" s="22" t="n">
        <f aca="false">IFERROR(__xludf.dummyfunction("""COMPUTED_VALUE"""),8)</f>
        <v>8</v>
      </c>
      <c r="AC294" s="22" t="n">
        <f aca="false">IFERROR(__xludf.dummyfunction("""COMPUTED_VALUE"""),18)</f>
        <v>18</v>
      </c>
      <c r="AD294" s="23"/>
      <c r="AE294" s="24" t="n">
        <f aca="false">IFERROR(__xludf.dummyfunction("""COMPUTED_VALUE"""),69.5)</f>
        <v>69.5</v>
      </c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</row>
    <row r="295" customFormat="false" ht="18.65" hidden="false" customHeight="false" outlineLevel="0" collapsed="false">
      <c r="A295" s="13" t="n">
        <v>294</v>
      </c>
      <c r="B295" s="14" t="s">
        <v>622</v>
      </c>
      <c r="C295" s="15" t="s">
        <v>623</v>
      </c>
      <c r="D295" s="16" t="s">
        <v>235</v>
      </c>
      <c r="E295" s="16" t="s">
        <v>235</v>
      </c>
      <c r="F295" s="16" t="str">
        <f aca="false">REPLACE(E295, 1, 3, "")</f>
        <v>18</v>
      </c>
      <c r="G295" s="17" t="str">
        <f aca="true">IFERROR(VLOOKUP(B295,INDIRECT("'"&amp;F295&amp;"'!D3:D"),1,FALSE()), "Not found")</f>
        <v>Not found</v>
      </c>
      <c r="H295" s="18" t="n">
        <f aca="true">INDIRECT("'"&amp;F295&amp;"'!D1")</f>
        <v>0</v>
      </c>
      <c r="I295" s="18" t="str">
        <f aca="false">IFERROR(__xludf.dummyfunction("REGEXEXTRACT(ADDRESS(ROW(), 24+$H295), ""[A-Z]+"")"),"X")</f>
        <v>X</v>
      </c>
      <c r="J295" s="18" t="str">
        <f aca="false">IFERROR(__xludf.dummyfunction("REGEXEXTRACT(ADDRESS(ROW(), 30+$H295), ""[A-Z]+"")"),"AD")</f>
        <v>AD</v>
      </c>
      <c r="K295" s="18" t="str">
        <f aca="false">IFERROR(__xludf.dummyfunction("REGEXEXTRACT(ADDRESS(ROW(), 36+$H295), ""[A-Z]+"")"),"AJ")</f>
        <v>AJ</v>
      </c>
      <c r="L295" s="18" t="str">
        <f aca="false">IFERROR(__xludf.dummyfunction("REGEXEXTRACT(ADDRESS(ROW(), 42+$H295), ""[A-Z]+"")"),"AP")</f>
        <v>AP</v>
      </c>
      <c r="M295" s="18" t="str">
        <f aca="false">IFERROR(__xludf.dummyfunction("REGEXEXTRACT(ADDRESS(ROW(), 48+$H295), ""[A-Z]+"")"),"AV")</f>
        <v>AV</v>
      </c>
      <c r="N295" s="18" t="str">
        <f aca="false">IFERROR(__xludf.dummyfunction("REGEXEXTRACT(ADDRESS(ROW(), 50+$H295), ""[A-Z]+"")"),"AX")</f>
        <v>AX</v>
      </c>
      <c r="O295" s="18" t="str">
        <f aca="false">IFERROR(__xludf.dummyfunction("REGEXEXTRACT(ADDRESS(ROW(), 51+$H295), ""[A-Z]+"")"),"AY")</f>
        <v>AY</v>
      </c>
      <c r="P295" s="18" t="str">
        <f aca="false">IFERROR(__xludf.dummyfunction("REGEXEXTRACT(ADDRESS(ROW(), 54+$H295), ""[A-Z]+"")"),"BB")</f>
        <v>BB</v>
      </c>
      <c r="Q295" s="18" t="str">
        <f aca="false">IFERROR(__xludf.dummyfunction("REGEXEXTRACT(ADDRESS(ROW(), 59+$H295), ""[A-Z]+"")"),"BG")</f>
        <v>BG</v>
      </c>
      <c r="R295" s="18" t="str">
        <f aca="false">IFERROR(__xludf.dummyfunction("REGEXEXTRACT(ADDRESS(ROW(), 60+$H295), ""[A-Z]+"")"),"BH")</f>
        <v>BH</v>
      </c>
      <c r="S295" s="18" t="str">
        <f aca="false">IFERROR(__xludf.dummyfunction("REGEXEXTRACT(ADDRESS(ROW(), 62+$H295), ""[A-Z]+"")"),"BJ")</f>
        <v>BJ</v>
      </c>
      <c r="T295" s="18" t="str">
        <f aca="false">IFERROR(__xludf.dummyfunction("REGEXEXTRACT(ADDRESS(ROW(), 63+$H295), ""[A-Z]+"")"),"BK")</f>
        <v>BK</v>
      </c>
      <c r="U295" s="19" t="n">
        <f aca="false">IFERROR(__xludf.dummyfunction("IFERROR(QUERY(INDIRECT(""'""&amp;F295&amp;""'!C3:""&amp;T295&amp;""""), ""SELECT ""&amp;I295&amp;"", ""&amp;J295&amp;"", ""&amp;K295&amp;"", ""&amp;L295&amp;"", ""&amp;M295&amp;"", ""&amp;N295&amp;"", ""&amp;O295&amp;"", ""&amp;P295&amp;"", ""&amp;Q295&amp;"", ""&amp;R295&amp;"", ""&amp;S295&amp;"" WHERE '""&amp;B295&amp;""' = D"", 0), """")"),8)</f>
        <v>8</v>
      </c>
      <c r="V295" s="22" t="n">
        <f aca="false">IFERROR(__xludf.dummyfunction("""COMPUTED_VALUE"""),9)</f>
        <v>9</v>
      </c>
      <c r="W295" s="22" t="n">
        <f aca="false">IFERROR(__xludf.dummyfunction("""COMPUTED_VALUE"""),7)</f>
        <v>7</v>
      </c>
      <c r="X295" s="22"/>
      <c r="Y295" s="22" t="n">
        <f aca="false">IFERROR(__xludf.dummyfunction("""COMPUTED_VALUE"""),0)</f>
        <v>0</v>
      </c>
      <c r="Z295" s="22"/>
      <c r="AA295" s="22"/>
      <c r="AB295" s="22" t="n">
        <f aca="false">IFERROR(__xludf.dummyfunction("""COMPUTED_VALUE"""),6)</f>
        <v>6</v>
      </c>
      <c r="AC295" s="22"/>
      <c r="AD295" s="23"/>
      <c r="AE295" s="24" t="n">
        <f aca="false">IFERROR(__xludf.dummyfunction("""COMPUTED_VALUE"""),30)</f>
        <v>30</v>
      </c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</row>
    <row r="296" customFormat="false" ht="18.65" hidden="false" customHeight="false" outlineLevel="0" collapsed="false">
      <c r="A296" s="13" t="n">
        <v>295</v>
      </c>
      <c r="B296" s="14" t="s">
        <v>624</v>
      </c>
      <c r="C296" s="15" t="s">
        <v>625</v>
      </c>
      <c r="D296" s="16" t="s">
        <v>177</v>
      </c>
      <c r="E296" s="16" t="s">
        <v>177</v>
      </c>
      <c r="F296" s="16" t="str">
        <f aca="false">REPLACE(E296, 1, 3, "")</f>
        <v>19</v>
      </c>
      <c r="G296" s="17" t="str">
        <f aca="true">IFERROR(VLOOKUP(B296,INDIRECT("'"&amp;F296&amp;"'!D3:D"),1,FALSE()), "Not found")</f>
        <v>Not found</v>
      </c>
      <c r="H296" s="18" t="n">
        <f aca="true">INDIRECT("'"&amp;F296&amp;"'!D1")</f>
        <v>0</v>
      </c>
      <c r="I296" s="18" t="str">
        <f aca="false">IFERROR(__xludf.dummyfunction("REGEXEXTRACT(ADDRESS(ROW(), 24+$H296), ""[A-Z]+"")"),"X")</f>
        <v>X</v>
      </c>
      <c r="J296" s="18" t="str">
        <f aca="false">IFERROR(__xludf.dummyfunction("REGEXEXTRACT(ADDRESS(ROW(), 30+$H296), ""[A-Z]+"")"),"AD")</f>
        <v>AD</v>
      </c>
      <c r="K296" s="18" t="str">
        <f aca="false">IFERROR(__xludf.dummyfunction("REGEXEXTRACT(ADDRESS(ROW(), 36+$H296), ""[A-Z]+"")"),"AJ")</f>
        <v>AJ</v>
      </c>
      <c r="L296" s="18" t="str">
        <f aca="false">IFERROR(__xludf.dummyfunction("REGEXEXTRACT(ADDRESS(ROW(), 42+$H296), ""[A-Z]+"")"),"AP")</f>
        <v>AP</v>
      </c>
      <c r="M296" s="18" t="str">
        <f aca="false">IFERROR(__xludf.dummyfunction("REGEXEXTRACT(ADDRESS(ROW(), 48+$H296), ""[A-Z]+"")"),"AV")</f>
        <v>AV</v>
      </c>
      <c r="N296" s="18" t="str">
        <f aca="false">IFERROR(__xludf.dummyfunction("REGEXEXTRACT(ADDRESS(ROW(), 50+$H296), ""[A-Z]+"")"),"AX")</f>
        <v>AX</v>
      </c>
      <c r="O296" s="18" t="str">
        <f aca="false">IFERROR(__xludf.dummyfunction("REGEXEXTRACT(ADDRESS(ROW(), 51+$H296), ""[A-Z]+"")"),"AY")</f>
        <v>AY</v>
      </c>
      <c r="P296" s="18" t="str">
        <f aca="false">IFERROR(__xludf.dummyfunction("REGEXEXTRACT(ADDRESS(ROW(), 54+$H296), ""[A-Z]+"")"),"BB")</f>
        <v>BB</v>
      </c>
      <c r="Q296" s="18" t="str">
        <f aca="false">IFERROR(__xludf.dummyfunction("REGEXEXTRACT(ADDRESS(ROW(), 59+$H296), ""[A-Z]+"")"),"BG")</f>
        <v>BG</v>
      </c>
      <c r="R296" s="18" t="str">
        <f aca="false">IFERROR(__xludf.dummyfunction("REGEXEXTRACT(ADDRESS(ROW(), 60+$H296), ""[A-Z]+"")"),"BH")</f>
        <v>BH</v>
      </c>
      <c r="S296" s="18" t="str">
        <f aca="false">IFERROR(__xludf.dummyfunction("REGEXEXTRACT(ADDRESS(ROW(), 62+$H296), ""[A-Z]+"")"),"BJ")</f>
        <v>BJ</v>
      </c>
      <c r="T296" s="18" t="str">
        <f aca="false">IFERROR(__xludf.dummyfunction("REGEXEXTRACT(ADDRESS(ROW(), 63+$H296), ""[A-Z]+"")"),"BK")</f>
        <v>BK</v>
      </c>
      <c r="U296" s="19" t="n">
        <f aca="false">IFERROR(__xludf.dummyfunction("IFERROR(QUERY(INDIRECT(""'""&amp;F296&amp;""'!C3:""&amp;T296&amp;""""), ""SELECT ""&amp;I296&amp;"", ""&amp;J296&amp;"", ""&amp;K296&amp;"", ""&amp;L296&amp;"", ""&amp;M296&amp;"", ""&amp;N296&amp;"", ""&amp;O296&amp;"", ""&amp;P296&amp;"", ""&amp;Q296&amp;"", ""&amp;R296&amp;"", ""&amp;S296&amp;"" WHERE '""&amp;B296&amp;""' = D"", 0), """")"),10)</f>
        <v>10</v>
      </c>
      <c r="V296" s="22" t="n">
        <f aca="false">IFERROR(__xludf.dummyfunction("""COMPUTED_VALUE"""),9)</f>
        <v>9</v>
      </c>
      <c r="W296" s="22" t="n">
        <f aca="false">IFERROR(__xludf.dummyfunction("""COMPUTED_VALUE"""),10)</f>
        <v>10</v>
      </c>
      <c r="X296" s="22" t="n">
        <f aca="false">IFERROR(__xludf.dummyfunction("""COMPUTED_VALUE"""),10)</f>
        <v>10</v>
      </c>
      <c r="Y296" s="22" t="n">
        <f aca="false">IFERROR(__xludf.dummyfunction("""COMPUTED_VALUE"""),10)</f>
        <v>10</v>
      </c>
      <c r="Z296" s="22"/>
      <c r="AA296" s="22"/>
      <c r="AB296" s="22" t="n">
        <f aca="false">IFERROR(__xludf.dummyfunction("""COMPUTED_VALUE"""),7)</f>
        <v>7</v>
      </c>
      <c r="AC296" s="22" t="n">
        <f aca="false">IFERROR(__xludf.dummyfunction("""COMPUTED_VALUE"""),26)</f>
        <v>26</v>
      </c>
      <c r="AD296" s="23" t="n">
        <f aca="false">IFERROR(__xludf.dummyfunction("""COMPUTED_VALUE"""),2)</f>
        <v>2</v>
      </c>
      <c r="AE296" s="24" t="n">
        <f aca="false">IFERROR(__xludf.dummyfunction("""COMPUTED_VALUE"""),84)</f>
        <v>84</v>
      </c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</row>
    <row r="297" customFormat="false" ht="18.65" hidden="false" customHeight="false" outlineLevel="0" collapsed="false">
      <c r="A297" s="13" t="n">
        <v>296</v>
      </c>
      <c r="B297" s="14" t="s">
        <v>626</v>
      </c>
      <c r="C297" s="15" t="s">
        <v>627</v>
      </c>
      <c r="D297" s="16" t="s">
        <v>235</v>
      </c>
      <c r="E297" s="16" t="s">
        <v>235</v>
      </c>
      <c r="F297" s="16" t="str">
        <f aca="false">REPLACE(E297, 1, 3, "")</f>
        <v>18</v>
      </c>
      <c r="G297" s="17" t="str">
        <f aca="true">IFERROR(VLOOKUP(B297,INDIRECT("'"&amp;F297&amp;"'!D3:D"),1,FALSE()), "Not found")</f>
        <v>Not found</v>
      </c>
      <c r="H297" s="18" t="n">
        <f aca="true">INDIRECT("'"&amp;F297&amp;"'!D1")</f>
        <v>0</v>
      </c>
      <c r="I297" s="18" t="str">
        <f aca="false">IFERROR(__xludf.dummyfunction("REGEXEXTRACT(ADDRESS(ROW(), 24+$H297), ""[A-Z]+"")"),"X")</f>
        <v>X</v>
      </c>
      <c r="J297" s="18" t="str">
        <f aca="false">IFERROR(__xludf.dummyfunction("REGEXEXTRACT(ADDRESS(ROW(), 30+$H297), ""[A-Z]+"")"),"AD")</f>
        <v>AD</v>
      </c>
      <c r="K297" s="18" t="str">
        <f aca="false">IFERROR(__xludf.dummyfunction("REGEXEXTRACT(ADDRESS(ROW(), 36+$H297), ""[A-Z]+"")"),"AJ")</f>
        <v>AJ</v>
      </c>
      <c r="L297" s="18" t="str">
        <f aca="false">IFERROR(__xludf.dummyfunction("REGEXEXTRACT(ADDRESS(ROW(), 42+$H297), ""[A-Z]+"")"),"AP")</f>
        <v>AP</v>
      </c>
      <c r="M297" s="18" t="str">
        <f aca="false">IFERROR(__xludf.dummyfunction("REGEXEXTRACT(ADDRESS(ROW(), 48+$H297), ""[A-Z]+"")"),"AV")</f>
        <v>AV</v>
      </c>
      <c r="N297" s="18" t="str">
        <f aca="false">IFERROR(__xludf.dummyfunction("REGEXEXTRACT(ADDRESS(ROW(), 50+$H297), ""[A-Z]+"")"),"AX")</f>
        <v>AX</v>
      </c>
      <c r="O297" s="18" t="str">
        <f aca="false">IFERROR(__xludf.dummyfunction("REGEXEXTRACT(ADDRESS(ROW(), 51+$H297), ""[A-Z]+"")"),"AY")</f>
        <v>AY</v>
      </c>
      <c r="P297" s="18" t="str">
        <f aca="false">IFERROR(__xludf.dummyfunction("REGEXEXTRACT(ADDRESS(ROW(), 54+$H297), ""[A-Z]+"")"),"BB")</f>
        <v>BB</v>
      </c>
      <c r="Q297" s="18" t="str">
        <f aca="false">IFERROR(__xludf.dummyfunction("REGEXEXTRACT(ADDRESS(ROW(), 59+$H297), ""[A-Z]+"")"),"BG")</f>
        <v>BG</v>
      </c>
      <c r="R297" s="18" t="str">
        <f aca="false">IFERROR(__xludf.dummyfunction("REGEXEXTRACT(ADDRESS(ROW(), 60+$H297), ""[A-Z]+"")"),"BH")</f>
        <v>BH</v>
      </c>
      <c r="S297" s="18" t="str">
        <f aca="false">IFERROR(__xludf.dummyfunction("REGEXEXTRACT(ADDRESS(ROW(), 62+$H297), ""[A-Z]+"")"),"BJ")</f>
        <v>BJ</v>
      </c>
      <c r="T297" s="18" t="str">
        <f aca="false">IFERROR(__xludf.dummyfunction("REGEXEXTRACT(ADDRESS(ROW(), 63+$H297), ""[A-Z]+"")"),"BK")</f>
        <v>BK</v>
      </c>
      <c r="U297" s="19" t="str">
        <f aca="false">IFERROR(__xludf.dummyfunction("IFERROR(QUERY(INDIRECT(""'""&amp;F297&amp;""'!C3:""&amp;T297&amp;""""), ""SELECT ""&amp;I297&amp;"", ""&amp;J297&amp;"", ""&amp;K297&amp;"", ""&amp;L297&amp;"", ""&amp;M297&amp;"", ""&amp;N297&amp;"", ""&amp;O297&amp;"", ""&amp;P297&amp;"", ""&amp;Q297&amp;"", ""&amp;R297&amp;"", ""&amp;S297&amp;"" WHERE '""&amp;B297&amp;""' = D"", 0), """")"),"")</f>
        <v/>
      </c>
      <c r="V297" s="22"/>
      <c r="W297" s="22"/>
      <c r="X297" s="22"/>
      <c r="Y297" s="22" t="n">
        <f aca="false">IFERROR(__xludf.dummyfunction("""COMPUTED_VALUE"""),0)</f>
        <v>0</v>
      </c>
      <c r="Z297" s="22"/>
      <c r="AA297" s="22"/>
      <c r="AB297" s="22"/>
      <c r="AC297" s="22"/>
      <c r="AD297" s="23"/>
      <c r="AE297" s="24" t="n">
        <f aca="false">IFERROR(__xludf.dummyfunction("""COMPUTED_VALUE"""),0)</f>
        <v>0</v>
      </c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</row>
    <row r="298" customFormat="false" ht="18.65" hidden="false" customHeight="false" outlineLevel="0" collapsed="false">
      <c r="A298" s="13" t="n">
        <v>297</v>
      </c>
      <c r="B298" s="14" t="s">
        <v>628</v>
      </c>
      <c r="C298" s="15" t="s">
        <v>629</v>
      </c>
      <c r="D298" s="16" t="s">
        <v>223</v>
      </c>
      <c r="E298" s="16" t="s">
        <v>223</v>
      </c>
      <c r="F298" s="16" t="str">
        <f aca="false">REPLACE(E298, 1, 3, "")</f>
        <v>17</v>
      </c>
      <c r="G298" s="17" t="str">
        <f aca="true">IFERROR(VLOOKUP(B298,INDIRECT("'"&amp;F298&amp;"'!D3:D"),1,FALSE()), "Not found")</f>
        <v>Not found</v>
      </c>
      <c r="H298" s="18" t="n">
        <f aca="true">INDIRECT("'"&amp;F298&amp;"'!D1")</f>
        <v>0</v>
      </c>
      <c r="I298" s="18" t="str">
        <f aca="false">IFERROR(__xludf.dummyfunction("REGEXEXTRACT(ADDRESS(ROW(), 24+$H298), ""[A-Z]+"")"),"X")</f>
        <v>X</v>
      </c>
      <c r="J298" s="18" t="str">
        <f aca="false">IFERROR(__xludf.dummyfunction("REGEXEXTRACT(ADDRESS(ROW(), 30+$H298), ""[A-Z]+"")"),"AD")</f>
        <v>AD</v>
      </c>
      <c r="K298" s="18" t="str">
        <f aca="false">IFERROR(__xludf.dummyfunction("REGEXEXTRACT(ADDRESS(ROW(), 36+$H298), ""[A-Z]+"")"),"AJ")</f>
        <v>AJ</v>
      </c>
      <c r="L298" s="18" t="str">
        <f aca="false">IFERROR(__xludf.dummyfunction("REGEXEXTRACT(ADDRESS(ROW(), 42+$H298), ""[A-Z]+"")"),"AP")</f>
        <v>AP</v>
      </c>
      <c r="M298" s="18" t="str">
        <f aca="false">IFERROR(__xludf.dummyfunction("REGEXEXTRACT(ADDRESS(ROW(), 48+$H298), ""[A-Z]+"")"),"AV")</f>
        <v>AV</v>
      </c>
      <c r="N298" s="18" t="str">
        <f aca="false">IFERROR(__xludf.dummyfunction("REGEXEXTRACT(ADDRESS(ROW(), 50+$H298), ""[A-Z]+"")"),"AX")</f>
        <v>AX</v>
      </c>
      <c r="O298" s="18" t="str">
        <f aca="false">IFERROR(__xludf.dummyfunction("REGEXEXTRACT(ADDRESS(ROW(), 51+$H298), ""[A-Z]+"")"),"AY")</f>
        <v>AY</v>
      </c>
      <c r="P298" s="18" t="str">
        <f aca="false">IFERROR(__xludf.dummyfunction("REGEXEXTRACT(ADDRESS(ROW(), 54+$H298), ""[A-Z]+"")"),"BB")</f>
        <v>BB</v>
      </c>
      <c r="Q298" s="18" t="str">
        <f aca="false">IFERROR(__xludf.dummyfunction("REGEXEXTRACT(ADDRESS(ROW(), 59+$H298), ""[A-Z]+"")"),"BG")</f>
        <v>BG</v>
      </c>
      <c r="R298" s="18" t="str">
        <f aca="false">IFERROR(__xludf.dummyfunction("REGEXEXTRACT(ADDRESS(ROW(), 60+$H298), ""[A-Z]+"")"),"BH")</f>
        <v>BH</v>
      </c>
      <c r="S298" s="18" t="str">
        <f aca="false">IFERROR(__xludf.dummyfunction("REGEXEXTRACT(ADDRESS(ROW(), 62+$H298), ""[A-Z]+"")"),"BJ")</f>
        <v>BJ</v>
      </c>
      <c r="T298" s="18" t="str">
        <f aca="false">IFERROR(__xludf.dummyfunction("REGEXEXTRACT(ADDRESS(ROW(), 63+$H298), ""[A-Z]+"")"),"BK")</f>
        <v>BK</v>
      </c>
      <c r="U298" s="19" t="n">
        <f aca="false">IFERROR(__xludf.dummyfunction("IFERROR(QUERY(INDIRECT(""'""&amp;F298&amp;""'!C3:""&amp;T298&amp;""""), ""SELECT ""&amp;I298&amp;"", ""&amp;J298&amp;"", ""&amp;K298&amp;"", ""&amp;L298&amp;"", ""&amp;M298&amp;"", ""&amp;N298&amp;"", ""&amp;O298&amp;"", ""&amp;P298&amp;"", ""&amp;Q298&amp;"", ""&amp;R298&amp;"", ""&amp;S298&amp;"" WHERE '""&amp;B298&amp;""' = D"", 0), """")"),8.9)</f>
        <v>8.9</v>
      </c>
      <c r="V298" s="22" t="n">
        <f aca="false">IFERROR(__xludf.dummyfunction("""COMPUTED_VALUE"""),9)</f>
        <v>9</v>
      </c>
      <c r="W298" s="22" t="n">
        <f aca="false">IFERROR(__xludf.dummyfunction("""COMPUTED_VALUE"""),9)</f>
        <v>9</v>
      </c>
      <c r="X298" s="22" t="n">
        <f aca="false">IFERROR(__xludf.dummyfunction("""COMPUTED_VALUE"""),9.8)</f>
        <v>9.8</v>
      </c>
      <c r="Y298" s="22" t="n">
        <f aca="false">IFERROR(__xludf.dummyfunction("""COMPUTED_VALUE"""),10)</f>
        <v>10</v>
      </c>
      <c r="Z298" s="22" t="n">
        <f aca="false">IFERROR(__xludf.dummyfunction("""COMPUTED_VALUE"""),1)</f>
        <v>1</v>
      </c>
      <c r="AA298" s="22" t="n">
        <f aca="false">IFERROR(__xludf.dummyfunction("""COMPUTED_VALUE"""),2)</f>
        <v>2</v>
      </c>
      <c r="AB298" s="22" t="n">
        <f aca="false">IFERROR(__xludf.dummyfunction("""COMPUTED_VALUE"""),8)</f>
        <v>8</v>
      </c>
      <c r="AC298" s="22" t="n">
        <f aca="false">IFERROR(__xludf.dummyfunction("""COMPUTED_VALUE"""),26)</f>
        <v>26</v>
      </c>
      <c r="AD298" s="23"/>
      <c r="AE298" s="24" t="n">
        <f aca="false">IFERROR(__xludf.dummyfunction("""COMPUTED_VALUE"""),83.7)</f>
        <v>83.7</v>
      </c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</row>
    <row r="299" customFormat="false" ht="18.65" hidden="false" customHeight="false" outlineLevel="0" collapsed="false">
      <c r="A299" s="13" t="n">
        <v>298</v>
      </c>
      <c r="B299" s="14" t="s">
        <v>630</v>
      </c>
      <c r="C299" s="15" t="s">
        <v>631</v>
      </c>
      <c r="D299" s="16" t="s">
        <v>213</v>
      </c>
      <c r="E299" s="16" t="s">
        <v>213</v>
      </c>
      <c r="F299" s="16" t="str">
        <f aca="false">REPLACE(E299, 1, 3, "")</f>
        <v>16</v>
      </c>
      <c r="G299" s="17" t="str">
        <f aca="true">IFERROR(VLOOKUP(B299,INDIRECT("'"&amp;F299&amp;"'!D3:D"),1,FALSE()), "Not found")</f>
        <v>Not found</v>
      </c>
      <c r="H299" s="18" t="n">
        <f aca="true">INDIRECT("'"&amp;F299&amp;"'!D1")</f>
        <v>0</v>
      </c>
      <c r="I299" s="18" t="str">
        <f aca="false">IFERROR(__xludf.dummyfunction("REGEXEXTRACT(ADDRESS(ROW(), 24+$H299), ""[A-Z]+"")"),"X")</f>
        <v>X</v>
      </c>
      <c r="J299" s="18" t="str">
        <f aca="false">IFERROR(__xludf.dummyfunction("REGEXEXTRACT(ADDRESS(ROW(), 30+$H299), ""[A-Z]+"")"),"AD")</f>
        <v>AD</v>
      </c>
      <c r="K299" s="18" t="str">
        <f aca="false">IFERROR(__xludf.dummyfunction("REGEXEXTRACT(ADDRESS(ROW(), 36+$H299), ""[A-Z]+"")"),"AJ")</f>
        <v>AJ</v>
      </c>
      <c r="L299" s="18" t="str">
        <f aca="false">IFERROR(__xludf.dummyfunction("REGEXEXTRACT(ADDRESS(ROW(), 42+$H299), ""[A-Z]+"")"),"AP")</f>
        <v>AP</v>
      </c>
      <c r="M299" s="18" t="str">
        <f aca="false">IFERROR(__xludf.dummyfunction("REGEXEXTRACT(ADDRESS(ROW(), 48+$H299), ""[A-Z]+"")"),"AV")</f>
        <v>AV</v>
      </c>
      <c r="N299" s="18" t="str">
        <f aca="false">IFERROR(__xludf.dummyfunction("REGEXEXTRACT(ADDRESS(ROW(), 50+$H299), ""[A-Z]+"")"),"AX")</f>
        <v>AX</v>
      </c>
      <c r="O299" s="18" t="str">
        <f aca="false">IFERROR(__xludf.dummyfunction("REGEXEXTRACT(ADDRESS(ROW(), 51+$H299), ""[A-Z]+"")"),"AY")</f>
        <v>AY</v>
      </c>
      <c r="P299" s="18" t="str">
        <f aca="false">IFERROR(__xludf.dummyfunction("REGEXEXTRACT(ADDRESS(ROW(), 54+$H299), ""[A-Z]+"")"),"BB")</f>
        <v>BB</v>
      </c>
      <c r="Q299" s="18" t="str">
        <f aca="false">IFERROR(__xludf.dummyfunction("REGEXEXTRACT(ADDRESS(ROW(), 59+$H299), ""[A-Z]+"")"),"BG")</f>
        <v>BG</v>
      </c>
      <c r="R299" s="18" t="str">
        <f aca="false">IFERROR(__xludf.dummyfunction("REGEXEXTRACT(ADDRESS(ROW(), 60+$H299), ""[A-Z]+"")"),"BH")</f>
        <v>BH</v>
      </c>
      <c r="S299" s="18" t="str">
        <f aca="false">IFERROR(__xludf.dummyfunction("REGEXEXTRACT(ADDRESS(ROW(), 62+$H299), ""[A-Z]+"")"),"BJ")</f>
        <v>BJ</v>
      </c>
      <c r="T299" s="18" t="str">
        <f aca="false">IFERROR(__xludf.dummyfunction("REGEXEXTRACT(ADDRESS(ROW(), 63+$H299), ""[A-Z]+"")"),"BK")</f>
        <v>BK</v>
      </c>
      <c r="U299" s="19" t="n">
        <f aca="false">IFERROR(__xludf.dummyfunction("IFERROR(QUERY(INDIRECT(""'""&amp;F299&amp;""'!C3:""&amp;T299&amp;""""), ""SELECT ""&amp;I299&amp;"", ""&amp;J299&amp;"", ""&amp;K299&amp;"", ""&amp;L299&amp;"", ""&amp;M299&amp;"", ""&amp;N299&amp;"", ""&amp;O299&amp;"", ""&amp;P299&amp;"", ""&amp;Q299&amp;"", ""&amp;R299&amp;"", ""&amp;S299&amp;"" WHERE '""&amp;B299&amp;""' = D"", 0), """")"),8)</f>
        <v>8</v>
      </c>
      <c r="V299" s="22" t="n">
        <f aca="false">IFERROR(__xludf.dummyfunction("""COMPUTED_VALUE"""),9)</f>
        <v>9</v>
      </c>
      <c r="W299" s="22"/>
      <c r="X299" s="22"/>
      <c r="Y299" s="22" t="n">
        <f aca="false">IFERROR(__xludf.dummyfunction("""COMPUTED_VALUE"""),0)</f>
        <v>0</v>
      </c>
      <c r="Z299" s="22"/>
      <c r="AA299" s="22"/>
      <c r="AB299" s="22" t="n">
        <f aca="false">IFERROR(__xludf.dummyfunction("""COMPUTED_VALUE"""),8)</f>
        <v>8</v>
      </c>
      <c r="AC299" s="22"/>
      <c r="AD299" s="23"/>
      <c r="AE299" s="24" t="n">
        <f aca="false">IFERROR(__xludf.dummyfunction("""COMPUTED_VALUE"""),25)</f>
        <v>25</v>
      </c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</row>
    <row r="300" customFormat="false" ht="18.65" hidden="false" customHeight="false" outlineLevel="0" collapsed="false">
      <c r="A300" s="13" t="n">
        <v>299</v>
      </c>
      <c r="B300" s="14" t="s">
        <v>632</v>
      </c>
      <c r="C300" s="15" t="s">
        <v>633</v>
      </c>
      <c r="D300" s="16" t="s">
        <v>194</v>
      </c>
      <c r="E300" s="16" t="s">
        <v>194</v>
      </c>
      <c r="F300" s="16" t="str">
        <f aca="false">REPLACE(E300, 1, 3, "")</f>
        <v>10</v>
      </c>
      <c r="G300" s="17" t="str">
        <f aca="true">IFERROR(VLOOKUP(B300,INDIRECT("'"&amp;F300&amp;"'!D3:D"),1,FALSE()), "Not found")</f>
        <v>Not found</v>
      </c>
      <c r="H300" s="18" t="n">
        <f aca="true">INDIRECT("'"&amp;F300&amp;"'!D1")</f>
        <v>0</v>
      </c>
      <c r="I300" s="18" t="str">
        <f aca="false">IFERROR(__xludf.dummyfunction("REGEXEXTRACT(ADDRESS(ROW(), 24+$H300), ""[A-Z]+"")"),"X")</f>
        <v>X</v>
      </c>
      <c r="J300" s="18" t="str">
        <f aca="false">IFERROR(__xludf.dummyfunction("REGEXEXTRACT(ADDRESS(ROW(), 30+$H300), ""[A-Z]+"")"),"AD")</f>
        <v>AD</v>
      </c>
      <c r="K300" s="18" t="str">
        <f aca="false">IFERROR(__xludf.dummyfunction("REGEXEXTRACT(ADDRESS(ROW(), 36+$H300), ""[A-Z]+"")"),"AJ")</f>
        <v>AJ</v>
      </c>
      <c r="L300" s="18" t="str">
        <f aca="false">IFERROR(__xludf.dummyfunction("REGEXEXTRACT(ADDRESS(ROW(), 42+$H300), ""[A-Z]+"")"),"AP")</f>
        <v>AP</v>
      </c>
      <c r="M300" s="18" t="str">
        <f aca="false">IFERROR(__xludf.dummyfunction("REGEXEXTRACT(ADDRESS(ROW(), 48+$H300), ""[A-Z]+"")"),"AV")</f>
        <v>AV</v>
      </c>
      <c r="N300" s="18" t="str">
        <f aca="false">IFERROR(__xludf.dummyfunction("REGEXEXTRACT(ADDRESS(ROW(), 50+$H300), ""[A-Z]+"")"),"AX")</f>
        <v>AX</v>
      </c>
      <c r="O300" s="18" t="str">
        <f aca="false">IFERROR(__xludf.dummyfunction("REGEXEXTRACT(ADDRESS(ROW(), 51+$H300), ""[A-Z]+"")"),"AY")</f>
        <v>AY</v>
      </c>
      <c r="P300" s="18" t="str">
        <f aca="false">IFERROR(__xludf.dummyfunction("REGEXEXTRACT(ADDRESS(ROW(), 54+$H300), ""[A-Z]+"")"),"BB")</f>
        <v>BB</v>
      </c>
      <c r="Q300" s="18" t="str">
        <f aca="false">IFERROR(__xludf.dummyfunction("REGEXEXTRACT(ADDRESS(ROW(), 59+$H300), ""[A-Z]+"")"),"BG")</f>
        <v>BG</v>
      </c>
      <c r="R300" s="18" t="str">
        <f aca="false">IFERROR(__xludf.dummyfunction("REGEXEXTRACT(ADDRESS(ROW(), 60+$H300), ""[A-Z]+"")"),"BH")</f>
        <v>BH</v>
      </c>
      <c r="S300" s="18" t="str">
        <f aca="false">IFERROR(__xludf.dummyfunction("REGEXEXTRACT(ADDRESS(ROW(), 62+$H300), ""[A-Z]+"")"),"BJ")</f>
        <v>BJ</v>
      </c>
      <c r="T300" s="18" t="str">
        <f aca="false">IFERROR(__xludf.dummyfunction("REGEXEXTRACT(ADDRESS(ROW(), 63+$H300), ""[A-Z]+"")"),"BK")</f>
        <v>BK</v>
      </c>
      <c r="U300" s="19" t="n">
        <f aca="false">IFERROR(__xludf.dummyfunction("IFERROR(QUERY(INDIRECT(""'""&amp;F300&amp;""'!C3:""&amp;T300&amp;""""), ""SELECT ""&amp;I300&amp;"", ""&amp;J300&amp;"", ""&amp;K300&amp;"", ""&amp;L300&amp;"", ""&amp;M300&amp;"", ""&amp;N300&amp;"", ""&amp;O300&amp;"", ""&amp;P300&amp;"", ""&amp;Q300&amp;"", ""&amp;R300&amp;"", ""&amp;S300&amp;"" WHERE '""&amp;B300&amp;""' = D"", 0), """")"),7)</f>
        <v>7</v>
      </c>
      <c r="V300" s="22" t="n">
        <f aca="false">IFERROR(__xludf.dummyfunction("""COMPUTED_VALUE"""),7)</f>
        <v>7</v>
      </c>
      <c r="W300" s="22"/>
      <c r="X300" s="22"/>
      <c r="Y300" s="22" t="n">
        <f aca="false">IFERROR(__xludf.dummyfunction("""COMPUTED_VALUE"""),0)</f>
        <v>0</v>
      </c>
      <c r="Z300" s="22" t="n">
        <f aca="false">IFERROR(__xludf.dummyfunction("""COMPUTED_VALUE"""),1)</f>
        <v>1</v>
      </c>
      <c r="AA300" s="22"/>
      <c r="AB300" s="22" t="n">
        <f aca="false">IFERROR(__xludf.dummyfunction("""COMPUTED_VALUE"""),10)</f>
        <v>10</v>
      </c>
      <c r="AC300" s="22"/>
      <c r="AD300" s="23"/>
      <c r="AE300" s="24" t="n">
        <f aca="false">IFERROR(__xludf.dummyfunction("""COMPUTED_VALUE"""),25)</f>
        <v>25</v>
      </c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</row>
    <row r="301" customFormat="false" ht="18.65" hidden="false" customHeight="false" outlineLevel="0" collapsed="false">
      <c r="A301" s="13" t="n">
        <v>300</v>
      </c>
      <c r="B301" s="14" t="s">
        <v>634</v>
      </c>
      <c r="C301" s="15" t="s">
        <v>635</v>
      </c>
      <c r="D301" s="16" t="s">
        <v>218</v>
      </c>
      <c r="E301" s="16" t="s">
        <v>218</v>
      </c>
      <c r="F301" s="16" t="str">
        <f aca="false">REPLACE(E301, 1, 3, "")</f>
        <v>15</v>
      </c>
      <c r="G301" s="17" t="str">
        <f aca="true">IFERROR(VLOOKUP(B301,INDIRECT("'"&amp;F301&amp;"'!D3:D"),1,FALSE()), "Not found")</f>
        <v>Not found</v>
      </c>
      <c r="H301" s="18" t="n">
        <f aca="true">INDIRECT("'"&amp;F301&amp;"'!D1")</f>
        <v>0</v>
      </c>
      <c r="I301" s="18" t="str">
        <f aca="false">IFERROR(__xludf.dummyfunction("REGEXEXTRACT(ADDRESS(ROW(), 24+$H301), ""[A-Z]+"")"),"X")</f>
        <v>X</v>
      </c>
      <c r="J301" s="18" t="str">
        <f aca="false">IFERROR(__xludf.dummyfunction("REGEXEXTRACT(ADDRESS(ROW(), 30+$H301), ""[A-Z]+"")"),"AD")</f>
        <v>AD</v>
      </c>
      <c r="K301" s="18" t="str">
        <f aca="false">IFERROR(__xludf.dummyfunction("REGEXEXTRACT(ADDRESS(ROW(), 36+$H301), ""[A-Z]+"")"),"AJ")</f>
        <v>AJ</v>
      </c>
      <c r="L301" s="18" t="str">
        <f aca="false">IFERROR(__xludf.dummyfunction("REGEXEXTRACT(ADDRESS(ROW(), 42+$H301), ""[A-Z]+"")"),"AP")</f>
        <v>AP</v>
      </c>
      <c r="M301" s="18" t="str">
        <f aca="false">IFERROR(__xludf.dummyfunction("REGEXEXTRACT(ADDRESS(ROW(), 48+$H301), ""[A-Z]+"")"),"AV")</f>
        <v>AV</v>
      </c>
      <c r="N301" s="18" t="str">
        <f aca="false">IFERROR(__xludf.dummyfunction("REGEXEXTRACT(ADDRESS(ROW(), 50+$H301), ""[A-Z]+"")"),"AX")</f>
        <v>AX</v>
      </c>
      <c r="O301" s="18" t="str">
        <f aca="false">IFERROR(__xludf.dummyfunction("REGEXEXTRACT(ADDRESS(ROW(), 51+$H301), ""[A-Z]+"")"),"AY")</f>
        <v>AY</v>
      </c>
      <c r="P301" s="18" t="str">
        <f aca="false">IFERROR(__xludf.dummyfunction("REGEXEXTRACT(ADDRESS(ROW(), 54+$H301), ""[A-Z]+"")"),"BB")</f>
        <v>BB</v>
      </c>
      <c r="Q301" s="18" t="str">
        <f aca="false">IFERROR(__xludf.dummyfunction("REGEXEXTRACT(ADDRESS(ROW(), 59+$H301), ""[A-Z]+"")"),"BG")</f>
        <v>BG</v>
      </c>
      <c r="R301" s="18" t="str">
        <f aca="false">IFERROR(__xludf.dummyfunction("REGEXEXTRACT(ADDRESS(ROW(), 60+$H301), ""[A-Z]+"")"),"BH")</f>
        <v>BH</v>
      </c>
      <c r="S301" s="18" t="str">
        <f aca="false">IFERROR(__xludf.dummyfunction("REGEXEXTRACT(ADDRESS(ROW(), 62+$H301), ""[A-Z]+"")"),"BJ")</f>
        <v>BJ</v>
      </c>
      <c r="T301" s="18" t="str">
        <f aca="false">IFERROR(__xludf.dummyfunction("REGEXEXTRACT(ADDRESS(ROW(), 63+$H301), ""[A-Z]+"")"),"BK")</f>
        <v>BK</v>
      </c>
      <c r="U301" s="19" t="n">
        <f aca="false">IFERROR(__xludf.dummyfunction("IFERROR(QUERY(INDIRECT(""'""&amp;F301&amp;""'!C3:""&amp;T301&amp;""""), ""SELECT ""&amp;I301&amp;"", ""&amp;J301&amp;"", ""&amp;K301&amp;"", ""&amp;L301&amp;"", ""&amp;M301&amp;"", ""&amp;N301&amp;"", ""&amp;O301&amp;"", ""&amp;P301&amp;"", ""&amp;Q301&amp;"", ""&amp;R301&amp;"", ""&amp;S301&amp;"" WHERE '""&amp;B301&amp;""' = D"", 0), """")"),7.6)</f>
        <v>7.6</v>
      </c>
      <c r="V301" s="22" t="n">
        <f aca="false">IFERROR(__xludf.dummyfunction("""COMPUTED_VALUE"""),9)</f>
        <v>9</v>
      </c>
      <c r="W301" s="22" t="n">
        <f aca="false">IFERROR(__xludf.dummyfunction("""COMPUTED_VALUE"""),8)</f>
        <v>8</v>
      </c>
      <c r="X301" s="22" t="n">
        <f aca="false">IFERROR(__xludf.dummyfunction("""COMPUTED_VALUE"""),7.5)</f>
        <v>7.5</v>
      </c>
      <c r="Y301" s="22" t="n">
        <f aca="false">IFERROR(__xludf.dummyfunction("""COMPUTED_VALUE"""),0)</f>
        <v>0</v>
      </c>
      <c r="Z301" s="22"/>
      <c r="AA301" s="22"/>
      <c r="AB301" s="22" t="n">
        <f aca="false">IFERROR(__xludf.dummyfunction("""COMPUTED_VALUE"""),7)</f>
        <v>7</v>
      </c>
      <c r="AC301" s="22" t="n">
        <f aca="false">IFERROR(__xludf.dummyfunction("""COMPUTED_VALUE"""),29)</f>
        <v>29</v>
      </c>
      <c r="AD301" s="23"/>
      <c r="AE301" s="24" t="n">
        <f aca="false">IFERROR(__xludf.dummyfunction("""COMPUTED_VALUE"""),68.1)</f>
        <v>68.1</v>
      </c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</row>
    <row r="302" customFormat="false" ht="18.65" hidden="false" customHeight="false" outlineLevel="0" collapsed="false">
      <c r="A302" s="13" t="n">
        <v>301</v>
      </c>
      <c r="B302" s="14" t="s">
        <v>636</v>
      </c>
      <c r="C302" s="15" t="s">
        <v>637</v>
      </c>
      <c r="D302" s="16" t="s">
        <v>235</v>
      </c>
      <c r="E302" s="16" t="s">
        <v>235</v>
      </c>
      <c r="F302" s="16" t="str">
        <f aca="false">REPLACE(E302, 1, 3, "")</f>
        <v>18</v>
      </c>
      <c r="G302" s="17" t="str">
        <f aca="true">IFERROR(VLOOKUP(B302,INDIRECT("'"&amp;F302&amp;"'!D3:D"),1,FALSE()), "Not found")</f>
        <v>Not found</v>
      </c>
      <c r="H302" s="18" t="n">
        <f aca="true">INDIRECT("'"&amp;F302&amp;"'!D1")</f>
        <v>0</v>
      </c>
      <c r="I302" s="18" t="str">
        <f aca="false">IFERROR(__xludf.dummyfunction("REGEXEXTRACT(ADDRESS(ROW(), 24+$H302), ""[A-Z]+"")"),"X")</f>
        <v>X</v>
      </c>
      <c r="J302" s="18" t="str">
        <f aca="false">IFERROR(__xludf.dummyfunction("REGEXEXTRACT(ADDRESS(ROW(), 30+$H302), ""[A-Z]+"")"),"AD")</f>
        <v>AD</v>
      </c>
      <c r="K302" s="18" t="str">
        <f aca="false">IFERROR(__xludf.dummyfunction("REGEXEXTRACT(ADDRESS(ROW(), 36+$H302), ""[A-Z]+"")"),"AJ")</f>
        <v>AJ</v>
      </c>
      <c r="L302" s="18" t="str">
        <f aca="false">IFERROR(__xludf.dummyfunction("REGEXEXTRACT(ADDRESS(ROW(), 42+$H302), ""[A-Z]+"")"),"AP")</f>
        <v>AP</v>
      </c>
      <c r="M302" s="18" t="str">
        <f aca="false">IFERROR(__xludf.dummyfunction("REGEXEXTRACT(ADDRESS(ROW(), 48+$H302), ""[A-Z]+"")"),"AV")</f>
        <v>AV</v>
      </c>
      <c r="N302" s="18" t="str">
        <f aca="false">IFERROR(__xludf.dummyfunction("REGEXEXTRACT(ADDRESS(ROW(), 50+$H302), ""[A-Z]+"")"),"AX")</f>
        <v>AX</v>
      </c>
      <c r="O302" s="18" t="str">
        <f aca="false">IFERROR(__xludf.dummyfunction("REGEXEXTRACT(ADDRESS(ROW(), 51+$H302), ""[A-Z]+"")"),"AY")</f>
        <v>AY</v>
      </c>
      <c r="P302" s="18" t="str">
        <f aca="false">IFERROR(__xludf.dummyfunction("REGEXEXTRACT(ADDRESS(ROW(), 54+$H302), ""[A-Z]+"")"),"BB")</f>
        <v>BB</v>
      </c>
      <c r="Q302" s="18" t="str">
        <f aca="false">IFERROR(__xludf.dummyfunction("REGEXEXTRACT(ADDRESS(ROW(), 59+$H302), ""[A-Z]+"")"),"BG")</f>
        <v>BG</v>
      </c>
      <c r="R302" s="18" t="str">
        <f aca="false">IFERROR(__xludf.dummyfunction("REGEXEXTRACT(ADDRESS(ROW(), 60+$H302), ""[A-Z]+"")"),"BH")</f>
        <v>BH</v>
      </c>
      <c r="S302" s="18" t="str">
        <f aca="false">IFERROR(__xludf.dummyfunction("REGEXEXTRACT(ADDRESS(ROW(), 62+$H302), ""[A-Z]+"")"),"BJ")</f>
        <v>BJ</v>
      </c>
      <c r="T302" s="18" t="str">
        <f aca="false">IFERROR(__xludf.dummyfunction("REGEXEXTRACT(ADDRESS(ROW(), 63+$H302), ""[A-Z]+"")"),"BK")</f>
        <v>BK</v>
      </c>
      <c r="U302" s="19" t="n">
        <f aca="false">IFERROR(__xludf.dummyfunction("IFERROR(QUERY(INDIRECT(""'""&amp;F302&amp;""'!C3:""&amp;T302&amp;""""), ""SELECT ""&amp;I302&amp;"", ""&amp;J302&amp;"", ""&amp;K302&amp;"", ""&amp;L302&amp;"", ""&amp;M302&amp;"", ""&amp;N302&amp;"", ""&amp;O302&amp;"", ""&amp;P302&amp;"", ""&amp;Q302&amp;"", ""&amp;R302&amp;"", ""&amp;S302&amp;"" WHERE '""&amp;B302&amp;""' = D"", 0), """")"),9)</f>
        <v>9</v>
      </c>
      <c r="V302" s="22" t="n">
        <f aca="false">IFERROR(__xludf.dummyfunction("""COMPUTED_VALUE"""),8.5)</f>
        <v>8.5</v>
      </c>
      <c r="W302" s="22" t="n">
        <f aca="false">IFERROR(__xludf.dummyfunction("""COMPUTED_VALUE"""),9)</f>
        <v>9</v>
      </c>
      <c r="X302" s="22" t="n">
        <f aca="false">IFERROR(__xludf.dummyfunction("""COMPUTED_VALUE"""),9)</f>
        <v>9</v>
      </c>
      <c r="Y302" s="22" t="n">
        <f aca="false">IFERROR(__xludf.dummyfunction("""COMPUTED_VALUE"""),0)</f>
        <v>0</v>
      </c>
      <c r="Z302" s="22" t="n">
        <f aca="false">IFERROR(__xludf.dummyfunction("""COMPUTED_VALUE"""),1)</f>
        <v>1</v>
      </c>
      <c r="AA302" s="22" t="n">
        <f aca="false">IFERROR(__xludf.dummyfunction("""COMPUTED_VALUE"""),1)</f>
        <v>1</v>
      </c>
      <c r="AB302" s="22" t="n">
        <f aca="false">IFERROR(__xludf.dummyfunction("""COMPUTED_VALUE"""),6)</f>
        <v>6</v>
      </c>
      <c r="AC302" s="22" t="n">
        <f aca="false">IFERROR(__xludf.dummyfunction("""COMPUTED_VALUE"""),29)</f>
        <v>29</v>
      </c>
      <c r="AD302" s="23" t="n">
        <f aca="false">IFERROR(__xludf.dummyfunction("""COMPUTED_VALUE"""),2)</f>
        <v>2</v>
      </c>
      <c r="AE302" s="24" t="n">
        <f aca="false">IFERROR(__xludf.dummyfunction("""COMPUTED_VALUE"""),74.5)</f>
        <v>74.5</v>
      </c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</row>
    <row r="303" customFormat="false" ht="18.65" hidden="false" customHeight="false" outlineLevel="0" collapsed="false">
      <c r="A303" s="13" t="n">
        <v>302</v>
      </c>
      <c r="B303" s="14" t="s">
        <v>638</v>
      </c>
      <c r="C303" s="15" t="s">
        <v>639</v>
      </c>
      <c r="D303" s="16" t="s">
        <v>183</v>
      </c>
      <c r="E303" s="16" t="s">
        <v>183</v>
      </c>
      <c r="F303" s="16" t="str">
        <f aca="false">REPLACE(E303, 1, 3, "")</f>
        <v>14</v>
      </c>
      <c r="G303" s="17" t="str">
        <f aca="true">IFERROR(VLOOKUP(B303,INDIRECT("'"&amp;F303&amp;"'!D3:D"),1,FALSE()), "Not found")</f>
        <v>Not found</v>
      </c>
      <c r="H303" s="18" t="n">
        <f aca="true">INDIRECT("'"&amp;F303&amp;"'!D1")</f>
        <v>0</v>
      </c>
      <c r="I303" s="18" t="str">
        <f aca="false">IFERROR(__xludf.dummyfunction("REGEXEXTRACT(ADDRESS(ROW(), 24+$H303), ""[A-Z]+"")"),"X")</f>
        <v>X</v>
      </c>
      <c r="J303" s="18" t="str">
        <f aca="false">IFERROR(__xludf.dummyfunction("REGEXEXTRACT(ADDRESS(ROW(), 30+$H303), ""[A-Z]+"")"),"AD")</f>
        <v>AD</v>
      </c>
      <c r="K303" s="18" t="str">
        <f aca="false">IFERROR(__xludf.dummyfunction("REGEXEXTRACT(ADDRESS(ROW(), 36+$H303), ""[A-Z]+"")"),"AJ")</f>
        <v>AJ</v>
      </c>
      <c r="L303" s="18" t="str">
        <f aca="false">IFERROR(__xludf.dummyfunction("REGEXEXTRACT(ADDRESS(ROW(), 42+$H303), ""[A-Z]+"")"),"AP")</f>
        <v>AP</v>
      </c>
      <c r="M303" s="18" t="str">
        <f aca="false">IFERROR(__xludf.dummyfunction("REGEXEXTRACT(ADDRESS(ROW(), 48+$H303), ""[A-Z]+"")"),"AV")</f>
        <v>AV</v>
      </c>
      <c r="N303" s="18" t="str">
        <f aca="false">IFERROR(__xludf.dummyfunction("REGEXEXTRACT(ADDRESS(ROW(), 50+$H303), ""[A-Z]+"")"),"AX")</f>
        <v>AX</v>
      </c>
      <c r="O303" s="18" t="str">
        <f aca="false">IFERROR(__xludf.dummyfunction("REGEXEXTRACT(ADDRESS(ROW(), 51+$H303), ""[A-Z]+"")"),"AY")</f>
        <v>AY</v>
      </c>
      <c r="P303" s="18" t="str">
        <f aca="false">IFERROR(__xludf.dummyfunction("REGEXEXTRACT(ADDRESS(ROW(), 54+$H303), ""[A-Z]+"")"),"BB")</f>
        <v>BB</v>
      </c>
      <c r="Q303" s="18" t="str">
        <f aca="false">IFERROR(__xludf.dummyfunction("REGEXEXTRACT(ADDRESS(ROW(), 59+$H303), ""[A-Z]+"")"),"BG")</f>
        <v>BG</v>
      </c>
      <c r="R303" s="18" t="str">
        <f aca="false">IFERROR(__xludf.dummyfunction("REGEXEXTRACT(ADDRESS(ROW(), 60+$H303), ""[A-Z]+"")"),"BH")</f>
        <v>BH</v>
      </c>
      <c r="S303" s="18" t="str">
        <f aca="false">IFERROR(__xludf.dummyfunction("REGEXEXTRACT(ADDRESS(ROW(), 62+$H303), ""[A-Z]+"")"),"BJ")</f>
        <v>BJ</v>
      </c>
      <c r="T303" s="18" t="str">
        <f aca="false">IFERROR(__xludf.dummyfunction("REGEXEXTRACT(ADDRESS(ROW(), 63+$H303), ""[A-Z]+"")"),"BK")</f>
        <v>BK</v>
      </c>
      <c r="U303" s="19" t="n">
        <f aca="false">IFERROR(__xludf.dummyfunction("IFERROR(QUERY(INDIRECT(""'""&amp;F303&amp;""'!C3:""&amp;T303&amp;""""), ""SELECT ""&amp;I303&amp;"", ""&amp;J303&amp;"", ""&amp;K303&amp;"", ""&amp;L303&amp;"", ""&amp;M303&amp;"", ""&amp;N303&amp;"", ""&amp;O303&amp;"", ""&amp;P303&amp;"", ""&amp;Q303&amp;"", ""&amp;R303&amp;"", ""&amp;S303&amp;"" WHERE '""&amp;B303&amp;""' = D"", 0), """")"),8)</f>
        <v>8</v>
      </c>
      <c r="V303" s="22" t="n">
        <f aca="false">IFERROR(__xludf.dummyfunction("""COMPUTED_VALUE"""),8)</f>
        <v>8</v>
      </c>
      <c r="W303" s="22" t="n">
        <f aca="false">IFERROR(__xludf.dummyfunction("""COMPUTED_VALUE"""),6)</f>
        <v>6</v>
      </c>
      <c r="X303" s="22" t="n">
        <f aca="false">IFERROR(__xludf.dummyfunction("""COMPUTED_VALUE"""),6)</f>
        <v>6</v>
      </c>
      <c r="Y303" s="22" t="n">
        <f aca="false">IFERROR(__xludf.dummyfunction("""COMPUTED_VALUE"""),0)</f>
        <v>0</v>
      </c>
      <c r="Z303" s="22" t="n">
        <f aca="false">IFERROR(__xludf.dummyfunction("""COMPUTED_VALUE"""),0)</f>
        <v>0</v>
      </c>
      <c r="AA303" s="22"/>
      <c r="AB303" s="22" t="n">
        <f aca="false">IFERROR(__xludf.dummyfunction("""COMPUTED_VALUE"""),7)</f>
        <v>7</v>
      </c>
      <c r="AC303" s="22" t="n">
        <f aca="false">IFERROR(__xludf.dummyfunction("""COMPUTED_VALUE"""),25)</f>
        <v>25</v>
      </c>
      <c r="AD303" s="23"/>
      <c r="AE303" s="24" t="n">
        <f aca="false">IFERROR(__xludf.dummyfunction("""COMPUTED_VALUE"""),60)</f>
        <v>60</v>
      </c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</row>
    <row r="304" customFormat="false" ht="18.65" hidden="false" customHeight="false" outlineLevel="0" collapsed="false">
      <c r="A304" s="13" t="n">
        <v>303</v>
      </c>
      <c r="B304" s="14" t="s">
        <v>640</v>
      </c>
      <c r="C304" s="15" t="s">
        <v>641</v>
      </c>
      <c r="D304" s="16" t="s">
        <v>213</v>
      </c>
      <c r="E304" s="16" t="s">
        <v>213</v>
      </c>
      <c r="F304" s="16" t="str">
        <f aca="false">REPLACE(E304, 1, 3, "")</f>
        <v>16</v>
      </c>
      <c r="G304" s="17" t="str">
        <f aca="true">IFERROR(VLOOKUP(B304,INDIRECT("'"&amp;F304&amp;"'!D3:D"),1,FALSE()), "Not found")</f>
        <v>Not found</v>
      </c>
      <c r="H304" s="18" t="n">
        <f aca="true">INDIRECT("'"&amp;F304&amp;"'!D1")</f>
        <v>0</v>
      </c>
      <c r="I304" s="18" t="str">
        <f aca="false">IFERROR(__xludf.dummyfunction("REGEXEXTRACT(ADDRESS(ROW(), 24+$H304), ""[A-Z]+"")"),"X")</f>
        <v>X</v>
      </c>
      <c r="J304" s="18" t="str">
        <f aca="false">IFERROR(__xludf.dummyfunction("REGEXEXTRACT(ADDRESS(ROW(), 30+$H304), ""[A-Z]+"")"),"AD")</f>
        <v>AD</v>
      </c>
      <c r="K304" s="18" t="str">
        <f aca="false">IFERROR(__xludf.dummyfunction("REGEXEXTRACT(ADDRESS(ROW(), 36+$H304), ""[A-Z]+"")"),"AJ")</f>
        <v>AJ</v>
      </c>
      <c r="L304" s="18" t="str">
        <f aca="false">IFERROR(__xludf.dummyfunction("REGEXEXTRACT(ADDRESS(ROW(), 42+$H304), ""[A-Z]+"")"),"AP")</f>
        <v>AP</v>
      </c>
      <c r="M304" s="18" t="str">
        <f aca="false">IFERROR(__xludf.dummyfunction("REGEXEXTRACT(ADDRESS(ROW(), 48+$H304), ""[A-Z]+"")"),"AV")</f>
        <v>AV</v>
      </c>
      <c r="N304" s="18" t="str">
        <f aca="false">IFERROR(__xludf.dummyfunction("REGEXEXTRACT(ADDRESS(ROW(), 50+$H304), ""[A-Z]+"")"),"AX")</f>
        <v>AX</v>
      </c>
      <c r="O304" s="18" t="str">
        <f aca="false">IFERROR(__xludf.dummyfunction("REGEXEXTRACT(ADDRESS(ROW(), 51+$H304), ""[A-Z]+"")"),"AY")</f>
        <v>AY</v>
      </c>
      <c r="P304" s="18" t="str">
        <f aca="false">IFERROR(__xludf.dummyfunction("REGEXEXTRACT(ADDRESS(ROW(), 54+$H304), ""[A-Z]+"")"),"BB")</f>
        <v>BB</v>
      </c>
      <c r="Q304" s="18" t="str">
        <f aca="false">IFERROR(__xludf.dummyfunction("REGEXEXTRACT(ADDRESS(ROW(), 59+$H304), ""[A-Z]+"")"),"BG")</f>
        <v>BG</v>
      </c>
      <c r="R304" s="18" t="str">
        <f aca="false">IFERROR(__xludf.dummyfunction("REGEXEXTRACT(ADDRESS(ROW(), 60+$H304), ""[A-Z]+"")"),"BH")</f>
        <v>BH</v>
      </c>
      <c r="S304" s="18" t="str">
        <f aca="false">IFERROR(__xludf.dummyfunction("REGEXEXTRACT(ADDRESS(ROW(), 62+$H304), ""[A-Z]+"")"),"BJ")</f>
        <v>BJ</v>
      </c>
      <c r="T304" s="18" t="str">
        <f aca="false">IFERROR(__xludf.dummyfunction("REGEXEXTRACT(ADDRESS(ROW(), 63+$H304), ""[A-Z]+"")"),"BK")</f>
        <v>BK</v>
      </c>
      <c r="U304" s="19" t="n">
        <f aca="false">IFERROR(__xludf.dummyfunction("IFERROR(QUERY(INDIRECT(""'""&amp;F304&amp;""'!C3:""&amp;T304&amp;""""), ""SELECT ""&amp;I304&amp;"", ""&amp;J304&amp;"", ""&amp;K304&amp;"", ""&amp;L304&amp;"", ""&amp;M304&amp;"", ""&amp;N304&amp;"", ""&amp;O304&amp;"", ""&amp;P304&amp;"", ""&amp;Q304&amp;"", ""&amp;R304&amp;"", ""&amp;S304&amp;"" WHERE '""&amp;B304&amp;""' = D"", 0), """")"),8.5)</f>
        <v>8.5</v>
      </c>
      <c r="V304" s="22" t="n">
        <f aca="false">IFERROR(__xludf.dummyfunction("""COMPUTED_VALUE"""),8)</f>
        <v>8</v>
      </c>
      <c r="W304" s="22" t="n">
        <f aca="false">IFERROR(__xludf.dummyfunction("""COMPUTED_VALUE"""),8)</f>
        <v>8</v>
      </c>
      <c r="X304" s="22" t="n">
        <f aca="false">IFERROR(__xludf.dummyfunction("""COMPUTED_VALUE"""),8.5)</f>
        <v>8.5</v>
      </c>
      <c r="Y304" s="22" t="n">
        <f aca="false">IFERROR(__xludf.dummyfunction("""COMPUTED_VALUE"""),0)</f>
        <v>0</v>
      </c>
      <c r="Z304" s="22" t="n">
        <f aca="false">IFERROR(__xludf.dummyfunction("""COMPUTED_VALUE"""),0)</f>
        <v>0</v>
      </c>
      <c r="AA304" s="22"/>
      <c r="AB304" s="22" t="n">
        <f aca="false">IFERROR(__xludf.dummyfunction("""COMPUTED_VALUE"""),7)</f>
        <v>7</v>
      </c>
      <c r="AC304" s="22" t="n">
        <f aca="false">IFERROR(__xludf.dummyfunction("""COMPUTED_VALUE"""),0)</f>
        <v>0</v>
      </c>
      <c r="AD304" s="23"/>
      <c r="AE304" s="24" t="n">
        <f aca="false">IFERROR(__xludf.dummyfunction("""COMPUTED_VALUE"""),40)</f>
        <v>40</v>
      </c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</row>
    <row r="305" customFormat="false" ht="18.65" hidden="false" customHeight="false" outlineLevel="0" collapsed="false">
      <c r="A305" s="13" t="n">
        <v>304</v>
      </c>
      <c r="B305" s="14" t="s">
        <v>642</v>
      </c>
      <c r="C305" s="15" t="s">
        <v>643</v>
      </c>
      <c r="D305" s="16" t="s">
        <v>213</v>
      </c>
      <c r="E305" s="16" t="s">
        <v>213</v>
      </c>
      <c r="F305" s="16" t="str">
        <f aca="false">REPLACE(E305, 1, 3, "")</f>
        <v>16</v>
      </c>
      <c r="G305" s="17" t="str">
        <f aca="true">IFERROR(VLOOKUP(B305,INDIRECT("'"&amp;F305&amp;"'!D3:D"),1,FALSE()), "Not found")</f>
        <v>Not found</v>
      </c>
      <c r="H305" s="18" t="n">
        <f aca="true">INDIRECT("'"&amp;F305&amp;"'!D1")</f>
        <v>0</v>
      </c>
      <c r="I305" s="18" t="str">
        <f aca="false">IFERROR(__xludf.dummyfunction("REGEXEXTRACT(ADDRESS(ROW(), 24+$H305), ""[A-Z]+"")"),"X")</f>
        <v>X</v>
      </c>
      <c r="J305" s="18" t="str">
        <f aca="false">IFERROR(__xludf.dummyfunction("REGEXEXTRACT(ADDRESS(ROW(), 30+$H305), ""[A-Z]+"")"),"AD")</f>
        <v>AD</v>
      </c>
      <c r="K305" s="18" t="str">
        <f aca="false">IFERROR(__xludf.dummyfunction("REGEXEXTRACT(ADDRESS(ROW(), 36+$H305), ""[A-Z]+"")"),"AJ")</f>
        <v>AJ</v>
      </c>
      <c r="L305" s="18" t="str">
        <f aca="false">IFERROR(__xludf.dummyfunction("REGEXEXTRACT(ADDRESS(ROW(), 42+$H305), ""[A-Z]+"")"),"AP")</f>
        <v>AP</v>
      </c>
      <c r="M305" s="18" t="str">
        <f aca="false">IFERROR(__xludf.dummyfunction("REGEXEXTRACT(ADDRESS(ROW(), 48+$H305), ""[A-Z]+"")"),"AV")</f>
        <v>AV</v>
      </c>
      <c r="N305" s="18" t="str">
        <f aca="false">IFERROR(__xludf.dummyfunction("REGEXEXTRACT(ADDRESS(ROW(), 50+$H305), ""[A-Z]+"")"),"AX")</f>
        <v>AX</v>
      </c>
      <c r="O305" s="18" t="str">
        <f aca="false">IFERROR(__xludf.dummyfunction("REGEXEXTRACT(ADDRESS(ROW(), 51+$H305), ""[A-Z]+"")"),"AY")</f>
        <v>AY</v>
      </c>
      <c r="P305" s="18" t="str">
        <f aca="false">IFERROR(__xludf.dummyfunction("REGEXEXTRACT(ADDRESS(ROW(), 54+$H305), ""[A-Z]+"")"),"BB")</f>
        <v>BB</v>
      </c>
      <c r="Q305" s="18" t="str">
        <f aca="false">IFERROR(__xludf.dummyfunction("REGEXEXTRACT(ADDRESS(ROW(), 59+$H305), ""[A-Z]+"")"),"BG")</f>
        <v>BG</v>
      </c>
      <c r="R305" s="18" t="str">
        <f aca="false">IFERROR(__xludf.dummyfunction("REGEXEXTRACT(ADDRESS(ROW(), 60+$H305), ""[A-Z]+"")"),"BH")</f>
        <v>BH</v>
      </c>
      <c r="S305" s="18" t="str">
        <f aca="false">IFERROR(__xludf.dummyfunction("REGEXEXTRACT(ADDRESS(ROW(), 62+$H305), ""[A-Z]+"")"),"BJ")</f>
        <v>BJ</v>
      </c>
      <c r="T305" s="18" t="str">
        <f aca="false">IFERROR(__xludf.dummyfunction("REGEXEXTRACT(ADDRESS(ROW(), 63+$H305), ""[A-Z]+"")"),"BK")</f>
        <v>BK</v>
      </c>
      <c r="U305" s="19" t="n">
        <f aca="false">IFERROR(__xludf.dummyfunction("IFERROR(QUERY(INDIRECT(""'""&amp;F305&amp;""'!C3:""&amp;T305&amp;""""), ""SELECT ""&amp;I305&amp;"", ""&amp;J305&amp;"", ""&amp;K305&amp;"", ""&amp;L305&amp;"", ""&amp;M305&amp;"", ""&amp;N305&amp;"", ""&amp;O305&amp;"", ""&amp;P305&amp;"", ""&amp;Q305&amp;"", ""&amp;R305&amp;"", ""&amp;S305&amp;"" WHERE '""&amp;B305&amp;""' = D"", 0), """")"),9)</f>
        <v>9</v>
      </c>
      <c r="V305" s="22" t="n">
        <f aca="false">IFERROR(__xludf.dummyfunction("""COMPUTED_VALUE"""),10)</f>
        <v>10</v>
      </c>
      <c r="W305" s="22" t="n">
        <f aca="false">IFERROR(__xludf.dummyfunction("""COMPUTED_VALUE"""),8.5)</f>
        <v>8.5</v>
      </c>
      <c r="X305" s="22" t="n">
        <f aca="false">IFERROR(__xludf.dummyfunction("""COMPUTED_VALUE"""),8.5)</f>
        <v>8.5</v>
      </c>
      <c r="Y305" s="22" t="n">
        <f aca="false">IFERROR(__xludf.dummyfunction("""COMPUTED_VALUE"""),9)</f>
        <v>9</v>
      </c>
      <c r="Z305" s="22" t="n">
        <f aca="false">IFERROR(__xludf.dummyfunction("""COMPUTED_VALUE"""),0)</f>
        <v>0</v>
      </c>
      <c r="AA305" s="22"/>
      <c r="AB305" s="22" t="n">
        <f aca="false">IFERROR(__xludf.dummyfunction("""COMPUTED_VALUE"""),7)</f>
        <v>7</v>
      </c>
      <c r="AC305" s="22" t="n">
        <f aca="false">IFERROR(__xludf.dummyfunction("""COMPUTED_VALUE"""),29)</f>
        <v>29</v>
      </c>
      <c r="AD305" s="23" t="n">
        <f aca="false">IFERROR(__xludf.dummyfunction("""COMPUTED_VALUE"""),3)</f>
        <v>3</v>
      </c>
      <c r="AE305" s="24" t="n">
        <f aca="false">IFERROR(__xludf.dummyfunction("""COMPUTED_VALUE"""),84)</f>
        <v>84</v>
      </c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</row>
    <row r="306" customFormat="false" ht="18.65" hidden="false" customHeight="false" outlineLevel="0" collapsed="false">
      <c r="A306" s="13" t="n">
        <v>305</v>
      </c>
      <c r="B306" s="14" t="s">
        <v>644</v>
      </c>
      <c r="C306" s="15" t="s">
        <v>645</v>
      </c>
      <c r="D306" s="16" t="s">
        <v>186</v>
      </c>
      <c r="E306" s="16" t="s">
        <v>186</v>
      </c>
      <c r="F306" s="16" t="str">
        <f aca="false">REPLACE(E306, 1, 3, "")</f>
        <v>06</v>
      </c>
      <c r="G306" s="17" t="str">
        <f aca="true">IFERROR(VLOOKUP(B306,INDIRECT("'"&amp;F306&amp;"'!D3:D"),1,FALSE()), "Not found")</f>
        <v>Not found</v>
      </c>
      <c r="H306" s="18" t="n">
        <f aca="true">INDIRECT("'"&amp;F306&amp;"'!D1")</f>
        <v>0</v>
      </c>
      <c r="I306" s="18" t="str">
        <f aca="false">IFERROR(__xludf.dummyfunction("REGEXEXTRACT(ADDRESS(ROW(), 24+$H306), ""[A-Z]+"")"),"X")</f>
        <v>X</v>
      </c>
      <c r="J306" s="18" t="str">
        <f aca="false">IFERROR(__xludf.dummyfunction("REGEXEXTRACT(ADDRESS(ROW(), 30+$H306), ""[A-Z]+"")"),"AD")</f>
        <v>AD</v>
      </c>
      <c r="K306" s="18" t="str">
        <f aca="false">IFERROR(__xludf.dummyfunction("REGEXEXTRACT(ADDRESS(ROW(), 36+$H306), ""[A-Z]+"")"),"AJ")</f>
        <v>AJ</v>
      </c>
      <c r="L306" s="18" t="str">
        <f aca="false">IFERROR(__xludf.dummyfunction("REGEXEXTRACT(ADDRESS(ROW(), 42+$H306), ""[A-Z]+"")"),"AP")</f>
        <v>AP</v>
      </c>
      <c r="M306" s="18" t="str">
        <f aca="false">IFERROR(__xludf.dummyfunction("REGEXEXTRACT(ADDRESS(ROW(), 48+$H306), ""[A-Z]+"")"),"AV")</f>
        <v>AV</v>
      </c>
      <c r="N306" s="18" t="str">
        <f aca="false">IFERROR(__xludf.dummyfunction("REGEXEXTRACT(ADDRESS(ROW(), 50+$H306), ""[A-Z]+"")"),"AX")</f>
        <v>AX</v>
      </c>
      <c r="O306" s="18" t="str">
        <f aca="false">IFERROR(__xludf.dummyfunction("REGEXEXTRACT(ADDRESS(ROW(), 51+$H306), ""[A-Z]+"")"),"AY")</f>
        <v>AY</v>
      </c>
      <c r="P306" s="18" t="str">
        <f aca="false">IFERROR(__xludf.dummyfunction("REGEXEXTRACT(ADDRESS(ROW(), 54+$H306), ""[A-Z]+"")"),"BB")</f>
        <v>BB</v>
      </c>
      <c r="Q306" s="18" t="str">
        <f aca="false">IFERROR(__xludf.dummyfunction("REGEXEXTRACT(ADDRESS(ROW(), 59+$H306), ""[A-Z]+"")"),"BG")</f>
        <v>BG</v>
      </c>
      <c r="R306" s="18" t="str">
        <f aca="false">IFERROR(__xludf.dummyfunction("REGEXEXTRACT(ADDRESS(ROW(), 60+$H306), ""[A-Z]+"")"),"BH")</f>
        <v>BH</v>
      </c>
      <c r="S306" s="18" t="str">
        <f aca="false">IFERROR(__xludf.dummyfunction("REGEXEXTRACT(ADDRESS(ROW(), 62+$H306), ""[A-Z]+"")"),"BJ")</f>
        <v>BJ</v>
      </c>
      <c r="T306" s="18" t="str">
        <f aca="false">IFERROR(__xludf.dummyfunction("REGEXEXTRACT(ADDRESS(ROW(), 63+$H306), ""[A-Z]+"")"),"BK")</f>
        <v>BK</v>
      </c>
      <c r="U306" s="19" t="n">
        <f aca="false">IFERROR(__xludf.dummyfunction("IFERROR(QUERY(INDIRECT(""'""&amp;F306&amp;""'!C3:""&amp;T306&amp;""""), ""SELECT ""&amp;I306&amp;"", ""&amp;J306&amp;"", ""&amp;K306&amp;"", ""&amp;L306&amp;"", ""&amp;M306&amp;"", ""&amp;N306&amp;"", ""&amp;O306&amp;"", ""&amp;P306&amp;"", ""&amp;Q306&amp;"", ""&amp;R306&amp;"", ""&amp;S306&amp;"" WHERE '""&amp;B306&amp;""' = D"", 0), """")"),7)</f>
        <v>7</v>
      </c>
      <c r="V306" s="22" t="n">
        <f aca="false">IFERROR(__xludf.dummyfunction("""COMPUTED_VALUE"""),7.5)</f>
        <v>7.5</v>
      </c>
      <c r="W306" s="22" t="n">
        <f aca="false">IFERROR(__xludf.dummyfunction("""COMPUTED_VALUE"""),8)</f>
        <v>8</v>
      </c>
      <c r="X306" s="22" t="n">
        <f aca="false">IFERROR(__xludf.dummyfunction("""COMPUTED_VALUE"""),9)</f>
        <v>9</v>
      </c>
      <c r="Y306" s="22" t="n">
        <f aca="false">IFERROR(__xludf.dummyfunction("""COMPUTED_VALUE"""),0)</f>
        <v>0</v>
      </c>
      <c r="Z306" s="22" t="n">
        <f aca="false">IFERROR(__xludf.dummyfunction("""COMPUTED_VALUE"""),3)</f>
        <v>3</v>
      </c>
      <c r="AA306" s="22" t="n">
        <f aca="false">IFERROR(__xludf.dummyfunction("""COMPUTED_VALUE"""),2)</f>
        <v>2</v>
      </c>
      <c r="AB306" s="22" t="n">
        <f aca="false">IFERROR(__xludf.dummyfunction("""COMPUTED_VALUE"""),10)</f>
        <v>10</v>
      </c>
      <c r="AC306" s="22" t="n">
        <f aca="false">IFERROR(__xludf.dummyfunction("""COMPUTED_VALUE"""),25)</f>
        <v>25</v>
      </c>
      <c r="AD306" s="23" t="n">
        <f aca="false">IFERROR(__xludf.dummyfunction("""COMPUTED_VALUE"""),3)</f>
        <v>3</v>
      </c>
      <c r="AE306" s="24" t="n">
        <f aca="false">IFERROR(__xludf.dummyfunction("""COMPUTED_VALUE"""),74.5)</f>
        <v>74.5</v>
      </c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</row>
    <row r="307" customFormat="false" ht="18.65" hidden="false" customHeight="false" outlineLevel="0" collapsed="false">
      <c r="A307" s="13" t="n">
        <v>306</v>
      </c>
      <c r="B307" s="14" t="s">
        <v>646</v>
      </c>
      <c r="C307" s="15" t="s">
        <v>647</v>
      </c>
      <c r="D307" s="16" t="s">
        <v>279</v>
      </c>
      <c r="E307" s="16" t="s">
        <v>279</v>
      </c>
      <c r="F307" s="16" t="str">
        <f aca="false">REPLACE(E307, 1, 3, "")</f>
        <v>07</v>
      </c>
      <c r="G307" s="17" t="str">
        <f aca="true">IFERROR(VLOOKUP(B307,INDIRECT("'"&amp;F307&amp;"'!D3:D"),1,FALSE()), "Not found")</f>
        <v>Not found</v>
      </c>
      <c r="H307" s="18" t="n">
        <f aca="true">INDIRECT("'"&amp;F307&amp;"'!D1")</f>
        <v>0</v>
      </c>
      <c r="I307" s="18" t="str">
        <f aca="false">IFERROR(__xludf.dummyfunction("REGEXEXTRACT(ADDRESS(ROW(), 24+$H307), ""[A-Z]+"")"),"X")</f>
        <v>X</v>
      </c>
      <c r="J307" s="18" t="str">
        <f aca="false">IFERROR(__xludf.dummyfunction("REGEXEXTRACT(ADDRESS(ROW(), 30+$H307), ""[A-Z]+"")"),"AD")</f>
        <v>AD</v>
      </c>
      <c r="K307" s="18" t="str">
        <f aca="false">IFERROR(__xludf.dummyfunction("REGEXEXTRACT(ADDRESS(ROW(), 36+$H307), ""[A-Z]+"")"),"AJ")</f>
        <v>AJ</v>
      </c>
      <c r="L307" s="18" t="str">
        <f aca="false">IFERROR(__xludf.dummyfunction("REGEXEXTRACT(ADDRESS(ROW(), 42+$H307), ""[A-Z]+"")"),"AP")</f>
        <v>AP</v>
      </c>
      <c r="M307" s="18" t="str">
        <f aca="false">IFERROR(__xludf.dummyfunction("REGEXEXTRACT(ADDRESS(ROW(), 48+$H307), ""[A-Z]+"")"),"AV")</f>
        <v>AV</v>
      </c>
      <c r="N307" s="18" t="str">
        <f aca="false">IFERROR(__xludf.dummyfunction("REGEXEXTRACT(ADDRESS(ROW(), 50+$H307), ""[A-Z]+"")"),"AX")</f>
        <v>AX</v>
      </c>
      <c r="O307" s="18" t="str">
        <f aca="false">IFERROR(__xludf.dummyfunction("REGEXEXTRACT(ADDRESS(ROW(), 51+$H307), ""[A-Z]+"")"),"AY")</f>
        <v>AY</v>
      </c>
      <c r="P307" s="18" t="str">
        <f aca="false">IFERROR(__xludf.dummyfunction("REGEXEXTRACT(ADDRESS(ROW(), 54+$H307), ""[A-Z]+"")"),"BB")</f>
        <v>BB</v>
      </c>
      <c r="Q307" s="18" t="str">
        <f aca="false">IFERROR(__xludf.dummyfunction("REGEXEXTRACT(ADDRESS(ROW(), 59+$H307), ""[A-Z]+"")"),"BG")</f>
        <v>BG</v>
      </c>
      <c r="R307" s="18" t="str">
        <f aca="false">IFERROR(__xludf.dummyfunction("REGEXEXTRACT(ADDRESS(ROW(), 60+$H307), ""[A-Z]+"")"),"BH")</f>
        <v>BH</v>
      </c>
      <c r="S307" s="18" t="str">
        <f aca="false">IFERROR(__xludf.dummyfunction("REGEXEXTRACT(ADDRESS(ROW(), 62+$H307), ""[A-Z]+"")"),"BJ")</f>
        <v>BJ</v>
      </c>
      <c r="T307" s="18" t="str">
        <f aca="false">IFERROR(__xludf.dummyfunction("REGEXEXTRACT(ADDRESS(ROW(), 63+$H307), ""[A-Z]+"")"),"BK")</f>
        <v>BK</v>
      </c>
      <c r="U307" s="19" t="n">
        <f aca="false">IFERROR(__xludf.dummyfunction("IFERROR(QUERY(INDIRECT(""'""&amp;F307&amp;""'!C3:""&amp;T307&amp;""""), ""SELECT ""&amp;I307&amp;"", ""&amp;J307&amp;"", ""&amp;K307&amp;"", ""&amp;L307&amp;"", ""&amp;M307&amp;"", ""&amp;N307&amp;"", ""&amp;O307&amp;"", ""&amp;P307&amp;"", ""&amp;Q307&amp;"", ""&amp;R307&amp;"", ""&amp;S307&amp;"" WHERE '""&amp;B307&amp;""' = D"", 0), """")"),6)</f>
        <v>6</v>
      </c>
      <c r="V307" s="22" t="n">
        <f aca="false">IFERROR(__xludf.dummyfunction("""COMPUTED_VALUE"""),7.5)</f>
        <v>7.5</v>
      </c>
      <c r="W307" s="22" t="n">
        <f aca="false">IFERROR(__xludf.dummyfunction("""COMPUTED_VALUE"""),6)</f>
        <v>6</v>
      </c>
      <c r="X307" s="22" t="n">
        <f aca="false">IFERROR(__xludf.dummyfunction("""COMPUTED_VALUE"""),6)</f>
        <v>6</v>
      </c>
      <c r="Y307" s="22"/>
      <c r="Z307" s="22"/>
      <c r="AA307" s="22" t="n">
        <f aca="false">IFERROR(__xludf.dummyfunction("""COMPUTED_VALUE"""),0)</f>
        <v>0</v>
      </c>
      <c r="AB307" s="22" t="n">
        <f aca="false">IFERROR(__xludf.dummyfunction("""COMPUTED_VALUE"""),7)</f>
        <v>7</v>
      </c>
      <c r="AC307" s="22" t="n">
        <f aca="false">IFERROR(__xludf.dummyfunction("""COMPUTED_VALUE"""),0)</f>
        <v>0</v>
      </c>
      <c r="AD307" s="23"/>
      <c r="AE307" s="24" t="n">
        <f aca="false">IFERROR(__xludf.dummyfunction("""COMPUTED_VALUE"""),32.5)</f>
        <v>32.5</v>
      </c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</row>
    <row r="308" customFormat="false" ht="18.65" hidden="false" customHeight="false" outlineLevel="0" collapsed="false">
      <c r="A308" s="13" t="n">
        <v>307</v>
      </c>
      <c r="B308" s="14" t="s">
        <v>648</v>
      </c>
      <c r="C308" s="15" t="s">
        <v>649</v>
      </c>
      <c r="D308" s="16" t="s">
        <v>174</v>
      </c>
      <c r="E308" s="16" t="s">
        <v>174</v>
      </c>
      <c r="F308" s="16" t="str">
        <f aca="false">REPLACE(E308, 1, 3, "")</f>
        <v>08</v>
      </c>
      <c r="G308" s="17" t="str">
        <f aca="true">IFERROR(VLOOKUP(B308,INDIRECT("'"&amp;F308&amp;"'!D3:D"),1,FALSE()), "Not found")</f>
        <v>Not found</v>
      </c>
      <c r="H308" s="18" t="n">
        <f aca="true">INDIRECT("'"&amp;F308&amp;"'!D1")</f>
        <v>0</v>
      </c>
      <c r="I308" s="18" t="str">
        <f aca="false">IFERROR(__xludf.dummyfunction("REGEXEXTRACT(ADDRESS(ROW(), 24+$H308), ""[A-Z]+"")"),"X")</f>
        <v>X</v>
      </c>
      <c r="J308" s="18" t="str">
        <f aca="false">IFERROR(__xludf.dummyfunction("REGEXEXTRACT(ADDRESS(ROW(), 30+$H308), ""[A-Z]+"")"),"AD")</f>
        <v>AD</v>
      </c>
      <c r="K308" s="18" t="str">
        <f aca="false">IFERROR(__xludf.dummyfunction("REGEXEXTRACT(ADDRESS(ROW(), 36+$H308), ""[A-Z]+"")"),"AJ")</f>
        <v>AJ</v>
      </c>
      <c r="L308" s="18" t="str">
        <f aca="false">IFERROR(__xludf.dummyfunction("REGEXEXTRACT(ADDRESS(ROW(), 42+$H308), ""[A-Z]+"")"),"AP")</f>
        <v>AP</v>
      </c>
      <c r="M308" s="18" t="str">
        <f aca="false">IFERROR(__xludf.dummyfunction("REGEXEXTRACT(ADDRESS(ROW(), 48+$H308), ""[A-Z]+"")"),"AV")</f>
        <v>AV</v>
      </c>
      <c r="N308" s="18" t="str">
        <f aca="false">IFERROR(__xludf.dummyfunction("REGEXEXTRACT(ADDRESS(ROW(), 50+$H308), ""[A-Z]+"")"),"AX")</f>
        <v>AX</v>
      </c>
      <c r="O308" s="18" t="str">
        <f aca="false">IFERROR(__xludf.dummyfunction("REGEXEXTRACT(ADDRESS(ROW(), 51+$H308), ""[A-Z]+"")"),"AY")</f>
        <v>AY</v>
      </c>
      <c r="P308" s="18" t="str">
        <f aca="false">IFERROR(__xludf.dummyfunction("REGEXEXTRACT(ADDRESS(ROW(), 54+$H308), ""[A-Z]+"")"),"BB")</f>
        <v>BB</v>
      </c>
      <c r="Q308" s="18" t="str">
        <f aca="false">IFERROR(__xludf.dummyfunction("REGEXEXTRACT(ADDRESS(ROW(), 59+$H308), ""[A-Z]+"")"),"BG")</f>
        <v>BG</v>
      </c>
      <c r="R308" s="18" t="str">
        <f aca="false">IFERROR(__xludf.dummyfunction("REGEXEXTRACT(ADDRESS(ROW(), 60+$H308), ""[A-Z]+"")"),"BH")</f>
        <v>BH</v>
      </c>
      <c r="S308" s="18" t="str">
        <f aca="false">IFERROR(__xludf.dummyfunction("REGEXEXTRACT(ADDRESS(ROW(), 62+$H308), ""[A-Z]+"")"),"BJ")</f>
        <v>BJ</v>
      </c>
      <c r="T308" s="18" t="str">
        <f aca="false">IFERROR(__xludf.dummyfunction("REGEXEXTRACT(ADDRESS(ROW(), 63+$H308), ""[A-Z]+"")"),"BK")</f>
        <v>BK</v>
      </c>
      <c r="U308" s="19" t="n">
        <f aca="false">IFERROR(__xludf.dummyfunction("IFERROR(QUERY(INDIRECT(""'""&amp;F308&amp;""'!C3:""&amp;T308&amp;""""), ""SELECT ""&amp;I308&amp;"", ""&amp;J308&amp;"", ""&amp;K308&amp;"", ""&amp;L308&amp;"", ""&amp;M308&amp;"", ""&amp;N308&amp;"", ""&amp;O308&amp;"", ""&amp;P308&amp;"", ""&amp;Q308&amp;"", ""&amp;R308&amp;"", ""&amp;S308&amp;"" WHERE '""&amp;B308&amp;""' = D"", 0), """")"),10)</f>
        <v>10</v>
      </c>
      <c r="V308" s="22" t="n">
        <f aca="false">IFERROR(__xludf.dummyfunction("""COMPUTED_VALUE"""),10)</f>
        <v>10</v>
      </c>
      <c r="W308" s="22" t="n">
        <f aca="false">IFERROR(__xludf.dummyfunction("""COMPUTED_VALUE"""),10)</f>
        <v>10</v>
      </c>
      <c r="X308" s="22" t="n">
        <f aca="false">IFERROR(__xludf.dummyfunction("""COMPUTED_VALUE"""),10)</f>
        <v>10</v>
      </c>
      <c r="Y308" s="22" t="n">
        <f aca="false">IFERROR(__xludf.dummyfunction("""COMPUTED_VALUE"""),0)</f>
        <v>0</v>
      </c>
      <c r="Z308" s="22"/>
      <c r="AA308" s="22"/>
      <c r="AB308" s="22" t="n">
        <f aca="false">IFERROR(__xludf.dummyfunction("""COMPUTED_VALUE"""),10)</f>
        <v>10</v>
      </c>
      <c r="AC308" s="22" t="n">
        <f aca="false">IFERROR(__xludf.dummyfunction("""COMPUTED_VALUE"""),27)</f>
        <v>27</v>
      </c>
      <c r="AD308" s="23"/>
      <c r="AE308" s="24" t="n">
        <f aca="false">IFERROR(__xludf.dummyfunction("""COMPUTED_VALUE"""),77)</f>
        <v>77</v>
      </c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</row>
    <row r="309" customFormat="false" ht="18.65" hidden="false" customHeight="false" outlineLevel="0" collapsed="false">
      <c r="A309" s="13" t="n">
        <v>308</v>
      </c>
      <c r="B309" s="14" t="s">
        <v>650</v>
      </c>
      <c r="C309" s="15" t="s">
        <v>651</v>
      </c>
      <c r="D309" s="16" t="s">
        <v>232</v>
      </c>
      <c r="E309" s="16" t="s">
        <v>232</v>
      </c>
      <c r="F309" s="16" t="str">
        <f aca="false">REPLACE(E309, 1, 3, "")</f>
        <v>09</v>
      </c>
      <c r="G309" s="17" t="str">
        <f aca="true">IFERROR(VLOOKUP(B309,INDIRECT("'"&amp;F309&amp;"'!D3:D"),1,FALSE()), "Not found")</f>
        <v>Not found</v>
      </c>
      <c r="H309" s="18" t="n">
        <f aca="true">INDIRECT("'"&amp;F309&amp;"'!D1")</f>
        <v>0</v>
      </c>
      <c r="I309" s="18" t="str">
        <f aca="false">IFERROR(__xludf.dummyfunction("REGEXEXTRACT(ADDRESS(ROW(), 24+$H309), ""[A-Z]+"")"),"X")</f>
        <v>X</v>
      </c>
      <c r="J309" s="18" t="str">
        <f aca="false">IFERROR(__xludf.dummyfunction("REGEXEXTRACT(ADDRESS(ROW(), 30+$H309), ""[A-Z]+"")"),"AD")</f>
        <v>AD</v>
      </c>
      <c r="K309" s="18" t="str">
        <f aca="false">IFERROR(__xludf.dummyfunction("REGEXEXTRACT(ADDRESS(ROW(), 36+$H309), ""[A-Z]+"")"),"AJ")</f>
        <v>AJ</v>
      </c>
      <c r="L309" s="18" t="str">
        <f aca="false">IFERROR(__xludf.dummyfunction("REGEXEXTRACT(ADDRESS(ROW(), 42+$H309), ""[A-Z]+"")"),"AP")</f>
        <v>AP</v>
      </c>
      <c r="M309" s="18" t="str">
        <f aca="false">IFERROR(__xludf.dummyfunction("REGEXEXTRACT(ADDRESS(ROW(), 48+$H309), ""[A-Z]+"")"),"AV")</f>
        <v>AV</v>
      </c>
      <c r="N309" s="18" t="str">
        <f aca="false">IFERROR(__xludf.dummyfunction("REGEXEXTRACT(ADDRESS(ROW(), 50+$H309), ""[A-Z]+"")"),"AX")</f>
        <v>AX</v>
      </c>
      <c r="O309" s="18" t="str">
        <f aca="false">IFERROR(__xludf.dummyfunction("REGEXEXTRACT(ADDRESS(ROW(), 51+$H309), ""[A-Z]+"")"),"AY")</f>
        <v>AY</v>
      </c>
      <c r="P309" s="18" t="str">
        <f aca="false">IFERROR(__xludf.dummyfunction("REGEXEXTRACT(ADDRESS(ROW(), 54+$H309), ""[A-Z]+"")"),"BB")</f>
        <v>BB</v>
      </c>
      <c r="Q309" s="18" t="str">
        <f aca="false">IFERROR(__xludf.dummyfunction("REGEXEXTRACT(ADDRESS(ROW(), 59+$H309), ""[A-Z]+"")"),"BG")</f>
        <v>BG</v>
      </c>
      <c r="R309" s="18" t="str">
        <f aca="false">IFERROR(__xludf.dummyfunction("REGEXEXTRACT(ADDRESS(ROW(), 60+$H309), ""[A-Z]+"")"),"BH")</f>
        <v>BH</v>
      </c>
      <c r="S309" s="18" t="str">
        <f aca="false">IFERROR(__xludf.dummyfunction("REGEXEXTRACT(ADDRESS(ROW(), 62+$H309), ""[A-Z]+"")"),"BJ")</f>
        <v>BJ</v>
      </c>
      <c r="T309" s="18" t="str">
        <f aca="false">IFERROR(__xludf.dummyfunction("REGEXEXTRACT(ADDRESS(ROW(), 63+$H309), ""[A-Z]+"")"),"BK")</f>
        <v>BK</v>
      </c>
      <c r="U309" s="19" t="n">
        <f aca="false">IFERROR(__xludf.dummyfunction("IFERROR(QUERY(INDIRECT(""'""&amp;F309&amp;""'!C3:""&amp;T309&amp;""""), ""SELECT ""&amp;I309&amp;"", ""&amp;J309&amp;"", ""&amp;K309&amp;"", ""&amp;L309&amp;"", ""&amp;M309&amp;"", ""&amp;N309&amp;"", ""&amp;O309&amp;"", ""&amp;P309&amp;"", ""&amp;Q309&amp;"", ""&amp;R309&amp;"", ""&amp;S309&amp;"" WHERE '""&amp;B309&amp;""' = D"", 0), """")"),9)</f>
        <v>9</v>
      </c>
      <c r="V309" s="22" t="n">
        <f aca="false">IFERROR(__xludf.dummyfunction("""COMPUTED_VALUE"""),8)</f>
        <v>8</v>
      </c>
      <c r="W309" s="22" t="n">
        <f aca="false">IFERROR(__xludf.dummyfunction("""COMPUTED_VALUE"""),9)</f>
        <v>9</v>
      </c>
      <c r="X309" s="22" t="n">
        <f aca="false">IFERROR(__xludf.dummyfunction("""COMPUTED_VALUE"""),9)</f>
        <v>9</v>
      </c>
      <c r="Y309" s="22" t="n">
        <f aca="false">IFERROR(__xludf.dummyfunction("""COMPUTED_VALUE"""),10)</f>
        <v>10</v>
      </c>
      <c r="Z309" s="22" t="n">
        <f aca="false">IFERROR(__xludf.dummyfunction("""COMPUTED_VALUE"""),2)</f>
        <v>2</v>
      </c>
      <c r="AA309" s="22" t="n">
        <f aca="false">IFERROR(__xludf.dummyfunction("""COMPUTED_VALUE"""),1)</f>
        <v>1</v>
      </c>
      <c r="AB309" s="22" t="n">
        <f aca="false">IFERROR(__xludf.dummyfunction("""COMPUTED_VALUE"""),10)</f>
        <v>10</v>
      </c>
      <c r="AC309" s="22" t="n">
        <f aca="false">IFERROR(__xludf.dummyfunction("""COMPUTED_VALUE"""),25)</f>
        <v>25</v>
      </c>
      <c r="AD309" s="23" t="n">
        <f aca="false">IFERROR(__xludf.dummyfunction("""COMPUTED_VALUE"""),1)</f>
        <v>1</v>
      </c>
      <c r="AE309" s="24" t="n">
        <f aca="false">IFERROR(__xludf.dummyfunction("""COMPUTED_VALUE"""),84)</f>
        <v>84</v>
      </c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</row>
    <row r="310" customFormat="false" ht="18.65" hidden="false" customHeight="false" outlineLevel="0" collapsed="false">
      <c r="A310" s="13" t="n">
        <v>309</v>
      </c>
      <c r="B310" s="14" t="s">
        <v>652</v>
      </c>
      <c r="C310" s="15" t="s">
        <v>653</v>
      </c>
      <c r="D310" s="16" t="s">
        <v>194</v>
      </c>
      <c r="E310" s="16" t="s">
        <v>194</v>
      </c>
      <c r="F310" s="16" t="str">
        <f aca="false">REPLACE(E310, 1, 3, "")</f>
        <v>10</v>
      </c>
      <c r="G310" s="17" t="str">
        <f aca="true">IFERROR(VLOOKUP(B310,INDIRECT("'"&amp;F310&amp;"'!D3:D"),1,FALSE()), "Not found")</f>
        <v>Not found</v>
      </c>
      <c r="H310" s="18" t="n">
        <f aca="true">INDIRECT("'"&amp;F310&amp;"'!D1")</f>
        <v>0</v>
      </c>
      <c r="I310" s="18" t="str">
        <f aca="false">IFERROR(__xludf.dummyfunction("REGEXEXTRACT(ADDRESS(ROW(), 24+$H310), ""[A-Z]+"")"),"X")</f>
        <v>X</v>
      </c>
      <c r="J310" s="18" t="str">
        <f aca="false">IFERROR(__xludf.dummyfunction("REGEXEXTRACT(ADDRESS(ROW(), 30+$H310), ""[A-Z]+"")"),"AD")</f>
        <v>AD</v>
      </c>
      <c r="K310" s="18" t="str">
        <f aca="false">IFERROR(__xludf.dummyfunction("REGEXEXTRACT(ADDRESS(ROW(), 36+$H310), ""[A-Z]+"")"),"AJ")</f>
        <v>AJ</v>
      </c>
      <c r="L310" s="18" t="str">
        <f aca="false">IFERROR(__xludf.dummyfunction("REGEXEXTRACT(ADDRESS(ROW(), 42+$H310), ""[A-Z]+"")"),"AP")</f>
        <v>AP</v>
      </c>
      <c r="M310" s="18" t="str">
        <f aca="false">IFERROR(__xludf.dummyfunction("REGEXEXTRACT(ADDRESS(ROW(), 48+$H310), ""[A-Z]+"")"),"AV")</f>
        <v>AV</v>
      </c>
      <c r="N310" s="18" t="str">
        <f aca="false">IFERROR(__xludf.dummyfunction("REGEXEXTRACT(ADDRESS(ROW(), 50+$H310), ""[A-Z]+"")"),"AX")</f>
        <v>AX</v>
      </c>
      <c r="O310" s="18" t="str">
        <f aca="false">IFERROR(__xludf.dummyfunction("REGEXEXTRACT(ADDRESS(ROW(), 51+$H310), ""[A-Z]+"")"),"AY")</f>
        <v>AY</v>
      </c>
      <c r="P310" s="18" t="str">
        <f aca="false">IFERROR(__xludf.dummyfunction("REGEXEXTRACT(ADDRESS(ROW(), 54+$H310), ""[A-Z]+"")"),"BB")</f>
        <v>BB</v>
      </c>
      <c r="Q310" s="18" t="str">
        <f aca="false">IFERROR(__xludf.dummyfunction("REGEXEXTRACT(ADDRESS(ROW(), 59+$H310), ""[A-Z]+"")"),"BG")</f>
        <v>BG</v>
      </c>
      <c r="R310" s="18" t="str">
        <f aca="false">IFERROR(__xludf.dummyfunction("REGEXEXTRACT(ADDRESS(ROW(), 60+$H310), ""[A-Z]+"")"),"BH")</f>
        <v>BH</v>
      </c>
      <c r="S310" s="18" t="str">
        <f aca="false">IFERROR(__xludf.dummyfunction("REGEXEXTRACT(ADDRESS(ROW(), 62+$H310), ""[A-Z]+"")"),"BJ")</f>
        <v>BJ</v>
      </c>
      <c r="T310" s="18" t="str">
        <f aca="false">IFERROR(__xludf.dummyfunction("REGEXEXTRACT(ADDRESS(ROW(), 63+$H310), ""[A-Z]+"")"),"BK")</f>
        <v>BK</v>
      </c>
      <c r="U310" s="19" t="n">
        <f aca="false">IFERROR(__xludf.dummyfunction("IFERROR(QUERY(INDIRECT(""'""&amp;F310&amp;""'!C3:""&amp;T310&amp;""""), ""SELECT ""&amp;I310&amp;"", ""&amp;J310&amp;"", ""&amp;K310&amp;"", ""&amp;L310&amp;"", ""&amp;M310&amp;"", ""&amp;N310&amp;"", ""&amp;O310&amp;"", ""&amp;P310&amp;"", ""&amp;Q310&amp;"", ""&amp;R310&amp;"", ""&amp;S310&amp;"" WHERE '""&amp;B310&amp;""' = D"", 0), """")"),7)</f>
        <v>7</v>
      </c>
      <c r="V310" s="22" t="n">
        <f aca="false">IFERROR(__xludf.dummyfunction("""COMPUTED_VALUE"""),9.5)</f>
        <v>9.5</v>
      </c>
      <c r="W310" s="22" t="n">
        <f aca="false">IFERROR(__xludf.dummyfunction("""COMPUTED_VALUE"""),8)</f>
        <v>8</v>
      </c>
      <c r="X310" s="22" t="n">
        <f aca="false">IFERROR(__xludf.dummyfunction("""COMPUTED_VALUE"""),9)</f>
        <v>9</v>
      </c>
      <c r="Y310" s="22" t="n">
        <f aca="false">IFERROR(__xludf.dummyfunction("""COMPUTED_VALUE"""),0)</f>
        <v>0</v>
      </c>
      <c r="Z310" s="22" t="n">
        <f aca="false">IFERROR(__xludf.dummyfunction("""COMPUTED_VALUE"""),3)</f>
        <v>3</v>
      </c>
      <c r="AA310" s="22"/>
      <c r="AB310" s="22" t="n">
        <f aca="false">IFERROR(__xludf.dummyfunction("""COMPUTED_VALUE"""),10)</f>
        <v>10</v>
      </c>
      <c r="AC310" s="22" t="n">
        <f aca="false">IFERROR(__xludf.dummyfunction("""COMPUTED_VALUE"""),23)</f>
        <v>23</v>
      </c>
      <c r="AD310" s="23"/>
      <c r="AE310" s="24" t="n">
        <f aca="false">IFERROR(__xludf.dummyfunction("""COMPUTED_VALUE"""),69.5)</f>
        <v>69.5</v>
      </c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</row>
    <row r="311" customFormat="false" ht="18.65" hidden="false" customHeight="false" outlineLevel="0" collapsed="false">
      <c r="A311" s="13" t="n">
        <v>310</v>
      </c>
      <c r="B311" s="14" t="s">
        <v>654</v>
      </c>
      <c r="C311" s="15" t="s">
        <v>655</v>
      </c>
      <c r="D311" s="16" t="s">
        <v>180</v>
      </c>
      <c r="E311" s="16" t="s">
        <v>180</v>
      </c>
      <c r="F311" s="16" t="str">
        <f aca="false">REPLACE(E311, 1, 3, "")</f>
        <v>11</v>
      </c>
      <c r="G311" s="17" t="str">
        <f aca="true">IFERROR(VLOOKUP(B311,INDIRECT("'"&amp;F311&amp;"'!D3:D"),1,FALSE()), "Not found")</f>
        <v>Not found</v>
      </c>
      <c r="H311" s="18" t="n">
        <f aca="true">INDIRECT("'"&amp;F311&amp;"'!D1")</f>
        <v>0</v>
      </c>
      <c r="I311" s="18" t="str">
        <f aca="false">IFERROR(__xludf.dummyfunction("REGEXEXTRACT(ADDRESS(ROW(), 24+$H311), ""[A-Z]+"")"),"X")</f>
        <v>X</v>
      </c>
      <c r="J311" s="18" t="str">
        <f aca="false">IFERROR(__xludf.dummyfunction("REGEXEXTRACT(ADDRESS(ROW(), 30+$H311), ""[A-Z]+"")"),"AD")</f>
        <v>AD</v>
      </c>
      <c r="K311" s="18" t="str">
        <f aca="false">IFERROR(__xludf.dummyfunction("REGEXEXTRACT(ADDRESS(ROW(), 36+$H311), ""[A-Z]+"")"),"AJ")</f>
        <v>AJ</v>
      </c>
      <c r="L311" s="18" t="str">
        <f aca="false">IFERROR(__xludf.dummyfunction("REGEXEXTRACT(ADDRESS(ROW(), 42+$H311), ""[A-Z]+"")"),"AP")</f>
        <v>AP</v>
      </c>
      <c r="M311" s="18" t="str">
        <f aca="false">IFERROR(__xludf.dummyfunction("REGEXEXTRACT(ADDRESS(ROW(), 48+$H311), ""[A-Z]+"")"),"AV")</f>
        <v>AV</v>
      </c>
      <c r="N311" s="18" t="str">
        <f aca="false">IFERROR(__xludf.dummyfunction("REGEXEXTRACT(ADDRESS(ROW(), 50+$H311), ""[A-Z]+"")"),"AX")</f>
        <v>AX</v>
      </c>
      <c r="O311" s="18" t="str">
        <f aca="false">IFERROR(__xludf.dummyfunction("REGEXEXTRACT(ADDRESS(ROW(), 51+$H311), ""[A-Z]+"")"),"AY")</f>
        <v>AY</v>
      </c>
      <c r="P311" s="18" t="str">
        <f aca="false">IFERROR(__xludf.dummyfunction("REGEXEXTRACT(ADDRESS(ROW(), 54+$H311), ""[A-Z]+"")"),"BB")</f>
        <v>BB</v>
      </c>
      <c r="Q311" s="18" t="str">
        <f aca="false">IFERROR(__xludf.dummyfunction("REGEXEXTRACT(ADDRESS(ROW(), 59+$H311), ""[A-Z]+"")"),"BG")</f>
        <v>BG</v>
      </c>
      <c r="R311" s="18" t="str">
        <f aca="false">IFERROR(__xludf.dummyfunction("REGEXEXTRACT(ADDRESS(ROW(), 60+$H311), ""[A-Z]+"")"),"BH")</f>
        <v>BH</v>
      </c>
      <c r="S311" s="18" t="str">
        <f aca="false">IFERROR(__xludf.dummyfunction("REGEXEXTRACT(ADDRESS(ROW(), 62+$H311), ""[A-Z]+"")"),"BJ")</f>
        <v>BJ</v>
      </c>
      <c r="T311" s="18" t="str">
        <f aca="false">IFERROR(__xludf.dummyfunction("REGEXEXTRACT(ADDRESS(ROW(), 63+$H311), ""[A-Z]+"")"),"BK")</f>
        <v>BK</v>
      </c>
      <c r="U311" s="19" t="n">
        <f aca="false">IFERROR(__xludf.dummyfunction("IFERROR(QUERY(INDIRECT(""'""&amp;F311&amp;""'!C3:""&amp;T311&amp;""""), ""SELECT ""&amp;I311&amp;"", ""&amp;J311&amp;"", ""&amp;K311&amp;"", ""&amp;L311&amp;"", ""&amp;M311&amp;"", ""&amp;N311&amp;"", ""&amp;O311&amp;"", ""&amp;P311&amp;"", ""&amp;Q311&amp;"", ""&amp;R311&amp;"", ""&amp;S311&amp;"" WHERE '""&amp;B311&amp;""' = D"", 0), """")"),10)</f>
        <v>10</v>
      </c>
      <c r="V311" s="22" t="n">
        <f aca="false">IFERROR(__xludf.dummyfunction("""COMPUTED_VALUE"""),10)</f>
        <v>10</v>
      </c>
      <c r="W311" s="22"/>
      <c r="X311" s="22"/>
      <c r="Y311" s="22" t="n">
        <f aca="false">IFERROR(__xludf.dummyfunction("""COMPUTED_VALUE"""),0)</f>
        <v>0</v>
      </c>
      <c r="Z311" s="22"/>
      <c r="AA311" s="22"/>
      <c r="AB311" s="22" t="n">
        <f aca="false">IFERROR(__xludf.dummyfunction("""COMPUTED_VALUE"""),0)</f>
        <v>0</v>
      </c>
      <c r="AC311" s="22"/>
      <c r="AD311" s="23"/>
      <c r="AE311" s="24" t="n">
        <f aca="false">IFERROR(__xludf.dummyfunction("""COMPUTED_VALUE"""),20)</f>
        <v>20</v>
      </c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</row>
    <row r="312" customFormat="false" ht="18.65" hidden="false" customHeight="false" outlineLevel="0" collapsed="false">
      <c r="A312" s="13" t="n">
        <v>311</v>
      </c>
      <c r="B312" s="14" t="s">
        <v>656</v>
      </c>
      <c r="C312" s="15" t="s">
        <v>657</v>
      </c>
      <c r="D312" s="16" t="s">
        <v>191</v>
      </c>
      <c r="E312" s="16" t="s">
        <v>191</v>
      </c>
      <c r="F312" s="16" t="str">
        <f aca="false">REPLACE(E312, 1, 3, "")</f>
        <v>12</v>
      </c>
      <c r="G312" s="17" t="str">
        <f aca="true">IFERROR(VLOOKUP(B312,INDIRECT("'"&amp;F312&amp;"'!D3:D"),1,FALSE()), "Not found")</f>
        <v>Not found</v>
      </c>
      <c r="H312" s="18" t="n">
        <f aca="true">INDIRECT("'"&amp;F312&amp;"'!D1")</f>
        <v>0</v>
      </c>
      <c r="I312" s="18" t="str">
        <f aca="false">IFERROR(__xludf.dummyfunction("REGEXEXTRACT(ADDRESS(ROW(), 24+$H312), ""[A-Z]+"")"),"X")</f>
        <v>X</v>
      </c>
      <c r="J312" s="18" t="str">
        <f aca="false">IFERROR(__xludf.dummyfunction("REGEXEXTRACT(ADDRESS(ROW(), 30+$H312), ""[A-Z]+"")"),"AD")</f>
        <v>AD</v>
      </c>
      <c r="K312" s="18" t="str">
        <f aca="false">IFERROR(__xludf.dummyfunction("REGEXEXTRACT(ADDRESS(ROW(), 36+$H312), ""[A-Z]+"")"),"AJ")</f>
        <v>AJ</v>
      </c>
      <c r="L312" s="18" t="str">
        <f aca="false">IFERROR(__xludf.dummyfunction("REGEXEXTRACT(ADDRESS(ROW(), 42+$H312), ""[A-Z]+"")"),"AP")</f>
        <v>AP</v>
      </c>
      <c r="M312" s="18" t="str">
        <f aca="false">IFERROR(__xludf.dummyfunction("REGEXEXTRACT(ADDRESS(ROW(), 48+$H312), ""[A-Z]+"")"),"AV")</f>
        <v>AV</v>
      </c>
      <c r="N312" s="18" t="str">
        <f aca="false">IFERROR(__xludf.dummyfunction("REGEXEXTRACT(ADDRESS(ROW(), 50+$H312), ""[A-Z]+"")"),"AX")</f>
        <v>AX</v>
      </c>
      <c r="O312" s="18" t="str">
        <f aca="false">IFERROR(__xludf.dummyfunction("REGEXEXTRACT(ADDRESS(ROW(), 51+$H312), ""[A-Z]+"")"),"AY")</f>
        <v>AY</v>
      </c>
      <c r="P312" s="18" t="str">
        <f aca="false">IFERROR(__xludf.dummyfunction("REGEXEXTRACT(ADDRESS(ROW(), 54+$H312), ""[A-Z]+"")"),"BB")</f>
        <v>BB</v>
      </c>
      <c r="Q312" s="18" t="str">
        <f aca="false">IFERROR(__xludf.dummyfunction("REGEXEXTRACT(ADDRESS(ROW(), 59+$H312), ""[A-Z]+"")"),"BG")</f>
        <v>BG</v>
      </c>
      <c r="R312" s="18" t="str">
        <f aca="false">IFERROR(__xludf.dummyfunction("REGEXEXTRACT(ADDRESS(ROW(), 60+$H312), ""[A-Z]+"")"),"BH")</f>
        <v>BH</v>
      </c>
      <c r="S312" s="18" t="str">
        <f aca="false">IFERROR(__xludf.dummyfunction("REGEXEXTRACT(ADDRESS(ROW(), 62+$H312), ""[A-Z]+"")"),"BJ")</f>
        <v>BJ</v>
      </c>
      <c r="T312" s="18" t="str">
        <f aca="false">IFERROR(__xludf.dummyfunction("REGEXEXTRACT(ADDRESS(ROW(), 63+$H312), ""[A-Z]+"")"),"BK")</f>
        <v>BK</v>
      </c>
      <c r="U312" s="19" t="n">
        <f aca="false">IFERROR(__xludf.dummyfunction("IFERROR(QUERY(INDIRECT(""'""&amp;F312&amp;""'!C3:""&amp;T312&amp;""""), ""SELECT ""&amp;I312&amp;"", ""&amp;J312&amp;"", ""&amp;K312&amp;"", ""&amp;L312&amp;"", ""&amp;M312&amp;"", ""&amp;N312&amp;"", ""&amp;O312&amp;"", ""&amp;P312&amp;"", ""&amp;Q312&amp;"", ""&amp;R312&amp;"", ""&amp;S312&amp;"" WHERE '""&amp;B312&amp;""' = D"", 0), """")"),10)</f>
        <v>10</v>
      </c>
      <c r="V312" s="22" t="n">
        <f aca="false">IFERROR(__xludf.dummyfunction("""COMPUTED_VALUE"""),9.5)</f>
        <v>9.5</v>
      </c>
      <c r="W312" s="22" t="n">
        <f aca="false">IFERROR(__xludf.dummyfunction("""COMPUTED_VALUE"""),10)</f>
        <v>10</v>
      </c>
      <c r="X312" s="22" t="n">
        <f aca="false">IFERROR(__xludf.dummyfunction("""COMPUTED_VALUE"""),9.5)</f>
        <v>9.5</v>
      </c>
      <c r="Y312" s="22" t="n">
        <f aca="false">IFERROR(__xludf.dummyfunction("""COMPUTED_VALUE"""),0)</f>
        <v>0</v>
      </c>
      <c r="Z312" s="22"/>
      <c r="AA312" s="22"/>
      <c r="AB312" s="22" t="n">
        <f aca="false">IFERROR(__xludf.dummyfunction("""COMPUTED_VALUE"""),10)</f>
        <v>10</v>
      </c>
      <c r="AC312" s="22" t="n">
        <f aca="false">IFERROR(__xludf.dummyfunction("""COMPUTED_VALUE"""),18)</f>
        <v>18</v>
      </c>
      <c r="AD312" s="23"/>
      <c r="AE312" s="24" t="n">
        <f aca="false">IFERROR(__xludf.dummyfunction("""COMPUTED_VALUE"""),67)</f>
        <v>67</v>
      </c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</row>
    <row r="313" customFormat="false" ht="18.65" hidden="false" customHeight="false" outlineLevel="0" collapsed="false">
      <c r="A313" s="13" t="n">
        <v>312</v>
      </c>
      <c r="B313" s="14" t="s">
        <v>658</v>
      </c>
      <c r="C313" s="15" t="s">
        <v>659</v>
      </c>
      <c r="D313" s="16" t="s">
        <v>244</v>
      </c>
      <c r="E313" s="16" t="s">
        <v>244</v>
      </c>
      <c r="F313" s="16" t="str">
        <f aca="false">REPLACE(E313, 1, 3, "")</f>
        <v>13</v>
      </c>
      <c r="G313" s="17" t="str">
        <f aca="true">IFERROR(VLOOKUP(B313,INDIRECT("'"&amp;F313&amp;"'!D3:D"),1,FALSE()), "Not found")</f>
        <v>Not found</v>
      </c>
      <c r="H313" s="18" t="n">
        <f aca="true">INDIRECT("'"&amp;F313&amp;"'!D1")</f>
        <v>0</v>
      </c>
      <c r="I313" s="18" t="str">
        <f aca="false">IFERROR(__xludf.dummyfunction("REGEXEXTRACT(ADDRESS(ROW(), 24+$H313), ""[A-Z]+"")"),"X")</f>
        <v>X</v>
      </c>
      <c r="J313" s="18" t="str">
        <f aca="false">IFERROR(__xludf.dummyfunction("REGEXEXTRACT(ADDRESS(ROW(), 30+$H313), ""[A-Z]+"")"),"AD")</f>
        <v>AD</v>
      </c>
      <c r="K313" s="18" t="str">
        <f aca="false">IFERROR(__xludf.dummyfunction("REGEXEXTRACT(ADDRESS(ROW(), 36+$H313), ""[A-Z]+"")"),"AJ")</f>
        <v>AJ</v>
      </c>
      <c r="L313" s="18" t="str">
        <f aca="false">IFERROR(__xludf.dummyfunction("REGEXEXTRACT(ADDRESS(ROW(), 42+$H313), ""[A-Z]+"")"),"AP")</f>
        <v>AP</v>
      </c>
      <c r="M313" s="18" t="str">
        <f aca="false">IFERROR(__xludf.dummyfunction("REGEXEXTRACT(ADDRESS(ROW(), 48+$H313), ""[A-Z]+"")"),"AV")</f>
        <v>AV</v>
      </c>
      <c r="N313" s="18" t="str">
        <f aca="false">IFERROR(__xludf.dummyfunction("REGEXEXTRACT(ADDRESS(ROW(), 50+$H313), ""[A-Z]+"")"),"AX")</f>
        <v>AX</v>
      </c>
      <c r="O313" s="18" t="str">
        <f aca="false">IFERROR(__xludf.dummyfunction("REGEXEXTRACT(ADDRESS(ROW(), 51+$H313), ""[A-Z]+"")"),"AY")</f>
        <v>AY</v>
      </c>
      <c r="P313" s="18" t="str">
        <f aca="false">IFERROR(__xludf.dummyfunction("REGEXEXTRACT(ADDRESS(ROW(), 54+$H313), ""[A-Z]+"")"),"BB")</f>
        <v>BB</v>
      </c>
      <c r="Q313" s="18" t="str">
        <f aca="false">IFERROR(__xludf.dummyfunction("REGEXEXTRACT(ADDRESS(ROW(), 59+$H313), ""[A-Z]+"")"),"BG")</f>
        <v>BG</v>
      </c>
      <c r="R313" s="18" t="str">
        <f aca="false">IFERROR(__xludf.dummyfunction("REGEXEXTRACT(ADDRESS(ROW(), 60+$H313), ""[A-Z]+"")"),"BH")</f>
        <v>BH</v>
      </c>
      <c r="S313" s="18" t="str">
        <f aca="false">IFERROR(__xludf.dummyfunction("REGEXEXTRACT(ADDRESS(ROW(), 62+$H313), ""[A-Z]+"")"),"BJ")</f>
        <v>BJ</v>
      </c>
      <c r="T313" s="18" t="str">
        <f aca="false">IFERROR(__xludf.dummyfunction("REGEXEXTRACT(ADDRESS(ROW(), 63+$H313), ""[A-Z]+"")"),"BK")</f>
        <v>BK</v>
      </c>
      <c r="U313" s="19" t="n">
        <f aca="false">IFERROR(__xludf.dummyfunction("IFERROR(QUERY(INDIRECT(""'""&amp;F313&amp;""'!C3:""&amp;T313&amp;""""), ""SELECT ""&amp;I313&amp;"", ""&amp;J313&amp;"", ""&amp;K313&amp;"", ""&amp;L313&amp;"", ""&amp;M313&amp;"", ""&amp;N313&amp;"", ""&amp;O313&amp;"", ""&amp;P313&amp;"", ""&amp;Q313&amp;"", ""&amp;R313&amp;"", ""&amp;S313&amp;"" WHERE '""&amp;B313&amp;""' = D"", 0), """")"),8.5)</f>
        <v>8.5</v>
      </c>
      <c r="V313" s="22" t="n">
        <f aca="false">IFERROR(__xludf.dummyfunction("""COMPUTED_VALUE"""),8)</f>
        <v>8</v>
      </c>
      <c r="W313" s="22" t="n">
        <f aca="false">IFERROR(__xludf.dummyfunction("""COMPUTED_VALUE"""),8.3)</f>
        <v>8.3</v>
      </c>
      <c r="X313" s="22" t="n">
        <f aca="false">IFERROR(__xludf.dummyfunction("""COMPUTED_VALUE"""),8.8)</f>
        <v>8.8</v>
      </c>
      <c r="Y313" s="22" t="n">
        <f aca="false">IFERROR(__xludf.dummyfunction("""COMPUTED_VALUE"""),7)</f>
        <v>7</v>
      </c>
      <c r="Z313" s="22" t="n">
        <f aca="false">IFERROR(__xludf.dummyfunction("""COMPUTED_VALUE"""),3)</f>
        <v>3</v>
      </c>
      <c r="AA313" s="22" t="n">
        <f aca="false">IFERROR(__xludf.dummyfunction("""COMPUTED_VALUE"""),3)</f>
        <v>3</v>
      </c>
      <c r="AB313" s="22" t="n">
        <f aca="false">IFERROR(__xludf.dummyfunction("""COMPUTED_VALUE"""),9)</f>
        <v>9</v>
      </c>
      <c r="AC313" s="22" t="n">
        <f aca="false">IFERROR(__xludf.dummyfunction("""COMPUTED_VALUE"""),25)</f>
        <v>25</v>
      </c>
      <c r="AD313" s="23"/>
      <c r="AE313" s="24" t="n">
        <f aca="false">IFERROR(__xludf.dummyfunction("""COMPUTED_VALUE"""),80.6)</f>
        <v>80.6</v>
      </c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</row>
    <row r="314" customFormat="false" ht="18.65" hidden="false" customHeight="false" outlineLevel="0" collapsed="false">
      <c r="A314" s="13"/>
      <c r="B314" s="14"/>
      <c r="C314" s="15"/>
      <c r="D314" s="16"/>
      <c r="E314" s="16"/>
      <c r="F314" s="16" t="str">
        <f aca="false">REPLACE(E314, 1, 3, "")</f>
        <v/>
      </c>
      <c r="G314" s="17" t="str">
        <f aca="true">IFERROR(VLOOKUP(B314,INDIRECT("'"&amp;F314&amp;"'!D3:D"),1,FALSE()), "Not found")</f>
        <v>Not found</v>
      </c>
      <c r="H314" s="25" t="e">
        <f aca="true">INDIRECT("'"&amp;F314&amp;"'!D1")</f>
        <v>#REF!</v>
      </c>
      <c r="I314" s="18" t="str">
        <f aca="false">IFERROR(__xludf.dummyfunction("REGEXEXTRACT(ADDRESS(ROW(), 24+$H314), ""[A-Z]+"")"),"#VALUE!")</f>
        <v>#VALUE!</v>
      </c>
      <c r="J314" s="18" t="str">
        <f aca="false">IFERROR(__xludf.dummyfunction("REGEXEXTRACT(ADDRESS(ROW(), 30+$H314), ""[A-Z]+"")"),"#VALUE!")</f>
        <v>#VALUE!</v>
      </c>
      <c r="K314" s="18" t="str">
        <f aca="false">IFERROR(__xludf.dummyfunction("REGEXEXTRACT(ADDRESS(ROW(), 36+$H314), ""[A-Z]+"")"),"#VALUE!")</f>
        <v>#VALUE!</v>
      </c>
      <c r="L314" s="18" t="str">
        <f aca="false">IFERROR(__xludf.dummyfunction("REGEXEXTRACT(ADDRESS(ROW(), 42+$H314), ""[A-Z]+"")"),"#VALUE!")</f>
        <v>#VALUE!</v>
      </c>
      <c r="M314" s="18" t="str">
        <f aca="false">IFERROR(__xludf.dummyfunction("REGEXEXTRACT(ADDRESS(ROW(), 48+$H314), ""[A-Z]+"")"),"#VALUE!")</f>
        <v>#VALUE!</v>
      </c>
      <c r="N314" s="18" t="str">
        <f aca="false">IFERROR(__xludf.dummyfunction("REGEXEXTRACT(ADDRESS(ROW(), 50+$H314), ""[A-Z]+"")"),"#VALUE!")</f>
        <v>#VALUE!</v>
      </c>
      <c r="O314" s="18" t="str">
        <f aca="false">IFERROR(__xludf.dummyfunction("REGEXEXTRACT(ADDRESS(ROW(), 51+$H314), ""[A-Z]+"")"),"#VALUE!")</f>
        <v>#VALUE!</v>
      </c>
      <c r="P314" s="18" t="str">
        <f aca="false">IFERROR(__xludf.dummyfunction("REGEXEXTRACT(ADDRESS(ROW(), 54+$H314), ""[A-Z]+"")"),"#VALUE!")</f>
        <v>#VALUE!</v>
      </c>
      <c r="Q314" s="18" t="str">
        <f aca="false">IFERROR(__xludf.dummyfunction("REGEXEXTRACT(ADDRESS(ROW(), 59+$H314), ""[A-Z]+"")"),"#VALUE!")</f>
        <v>#VALUE!</v>
      </c>
      <c r="R314" s="18" t="str">
        <f aca="false">IFERROR(__xludf.dummyfunction("REGEXEXTRACT(ADDRESS(ROW(), 60+$H314), ""[A-Z]+"")"),"#VALUE!")</f>
        <v>#VALUE!</v>
      </c>
      <c r="S314" s="18" t="str">
        <f aca="false">IFERROR(__xludf.dummyfunction("REGEXEXTRACT(ADDRESS(ROW(), 62+$H314), ""[A-Z]+"")"),"#VALUE!")</f>
        <v>#VALUE!</v>
      </c>
      <c r="T314" s="18" t="str">
        <f aca="false">IFERROR(__xludf.dummyfunction("REGEXEXTRACT(ADDRESS(ROW(), 63+$H314), ""[A-Z]+"")"),"#VALUE!")</f>
        <v>#VALUE!</v>
      </c>
      <c r="U314" s="19" t="str">
        <f aca="false">IFERROR(__xludf.dummyfunction("IFERROR(QUERY(INDIRECT(""'""&amp;F314&amp;""'!C3:""&amp;T314&amp;""""), ""SELECT ""&amp;I314&amp;"", ""&amp;J314&amp;"", ""&amp;K314&amp;"", ""&amp;L314&amp;"", ""&amp;M314&amp;"", ""&amp;N314&amp;"", ""&amp;O314&amp;"", ""&amp;P314&amp;"", ""&amp;Q314&amp;"", ""&amp;R314&amp;"", ""&amp;S314&amp;"" WHERE '""&amp;B314&amp;""' = D"", 0), """")"),"")</f>
        <v/>
      </c>
      <c r="V314" s="22"/>
      <c r="W314" s="22"/>
      <c r="X314" s="22"/>
      <c r="Y314" s="22"/>
      <c r="Z314" s="22"/>
      <c r="AA314" s="22"/>
      <c r="AB314" s="22"/>
      <c r="AC314" s="22"/>
      <c r="AD314" s="23"/>
      <c r="AE314" s="24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</row>
    <row r="315" customFormat="false" ht="18.65" hidden="false" customHeight="false" outlineLevel="0" collapsed="false">
      <c r="A315" s="13"/>
      <c r="B315" s="14"/>
      <c r="C315" s="15"/>
      <c r="D315" s="16"/>
      <c r="E315" s="16"/>
      <c r="F315" s="16" t="str">
        <f aca="false">REPLACE(E315, 1, 3, "")</f>
        <v/>
      </c>
      <c r="G315" s="17" t="str">
        <f aca="true">IFERROR(VLOOKUP(B315,INDIRECT("'"&amp;F315&amp;"'!D3:D"),1,FALSE()), "Not found")</f>
        <v>Not found</v>
      </c>
      <c r="H315" s="25" t="e">
        <f aca="true">INDIRECT("'"&amp;F315&amp;"'!D1")</f>
        <v>#REF!</v>
      </c>
      <c r="I315" s="18" t="str">
        <f aca="false">IFERROR(__xludf.dummyfunction("REGEXEXTRACT(ADDRESS(ROW(), 24+$H315), ""[A-Z]+"")"),"#VALUE!")</f>
        <v>#VALUE!</v>
      </c>
      <c r="J315" s="18" t="str">
        <f aca="false">IFERROR(__xludf.dummyfunction("REGEXEXTRACT(ADDRESS(ROW(), 30+$H315), ""[A-Z]+"")"),"#VALUE!")</f>
        <v>#VALUE!</v>
      </c>
      <c r="K315" s="18" t="str">
        <f aca="false">IFERROR(__xludf.dummyfunction("REGEXEXTRACT(ADDRESS(ROW(), 36+$H315), ""[A-Z]+"")"),"#VALUE!")</f>
        <v>#VALUE!</v>
      </c>
      <c r="L315" s="18" t="str">
        <f aca="false">IFERROR(__xludf.dummyfunction("REGEXEXTRACT(ADDRESS(ROW(), 42+$H315), ""[A-Z]+"")"),"#VALUE!")</f>
        <v>#VALUE!</v>
      </c>
      <c r="M315" s="18" t="str">
        <f aca="false">IFERROR(__xludf.dummyfunction("REGEXEXTRACT(ADDRESS(ROW(), 48+$H315), ""[A-Z]+"")"),"#VALUE!")</f>
        <v>#VALUE!</v>
      </c>
      <c r="N315" s="18" t="str">
        <f aca="false">IFERROR(__xludf.dummyfunction("REGEXEXTRACT(ADDRESS(ROW(), 50+$H315), ""[A-Z]+"")"),"#VALUE!")</f>
        <v>#VALUE!</v>
      </c>
      <c r="O315" s="18" t="str">
        <f aca="false">IFERROR(__xludf.dummyfunction("REGEXEXTRACT(ADDRESS(ROW(), 51+$H315), ""[A-Z]+"")"),"#VALUE!")</f>
        <v>#VALUE!</v>
      </c>
      <c r="P315" s="18" t="str">
        <f aca="false">IFERROR(__xludf.dummyfunction("REGEXEXTRACT(ADDRESS(ROW(), 54+$H315), ""[A-Z]+"")"),"#VALUE!")</f>
        <v>#VALUE!</v>
      </c>
      <c r="Q315" s="18" t="str">
        <f aca="false">IFERROR(__xludf.dummyfunction("REGEXEXTRACT(ADDRESS(ROW(), 59+$H315), ""[A-Z]+"")"),"#VALUE!")</f>
        <v>#VALUE!</v>
      </c>
      <c r="R315" s="18" t="str">
        <f aca="false">IFERROR(__xludf.dummyfunction("REGEXEXTRACT(ADDRESS(ROW(), 60+$H315), ""[A-Z]+"")"),"#VALUE!")</f>
        <v>#VALUE!</v>
      </c>
      <c r="S315" s="18" t="str">
        <f aca="false">IFERROR(__xludf.dummyfunction("REGEXEXTRACT(ADDRESS(ROW(), 62+$H315), ""[A-Z]+"")"),"#VALUE!")</f>
        <v>#VALUE!</v>
      </c>
      <c r="T315" s="18" t="str">
        <f aca="false">IFERROR(__xludf.dummyfunction("REGEXEXTRACT(ADDRESS(ROW(), 63+$H315), ""[A-Z]+"")"),"#VALUE!")</f>
        <v>#VALUE!</v>
      </c>
      <c r="U315" s="19" t="str">
        <f aca="false">IFERROR(__xludf.dummyfunction("IFERROR(QUERY(INDIRECT(""'""&amp;F315&amp;""'!C3:""&amp;T315&amp;""""), ""SELECT ""&amp;I315&amp;"", ""&amp;J315&amp;"", ""&amp;K315&amp;"", ""&amp;L315&amp;"", ""&amp;M315&amp;"", ""&amp;N315&amp;"", ""&amp;O315&amp;"", ""&amp;P315&amp;"", ""&amp;Q315&amp;"", ""&amp;R315&amp;"", ""&amp;S315&amp;"" WHERE '""&amp;B315&amp;""' = D"", 0), """")"),"")</f>
        <v/>
      </c>
      <c r="V315" s="22"/>
      <c r="W315" s="22"/>
      <c r="X315" s="22"/>
      <c r="Y315" s="22"/>
      <c r="Z315" s="22"/>
      <c r="AA315" s="22"/>
      <c r="AB315" s="22"/>
      <c r="AC315" s="22"/>
      <c r="AD315" s="23"/>
      <c r="AE315" s="24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</row>
    <row r="316" customFormat="false" ht="18.65" hidden="false" customHeight="false" outlineLevel="0" collapsed="false">
      <c r="A316" s="13"/>
      <c r="B316" s="26"/>
      <c r="C316" s="15"/>
      <c r="D316" s="16"/>
      <c r="E316" s="16"/>
      <c r="F316" s="16" t="str">
        <f aca="false">REPLACE(E316, 1, 3, "")</f>
        <v/>
      </c>
      <c r="G316" s="17" t="str">
        <f aca="true">IFERROR(VLOOKUP(B316,INDIRECT("'"&amp;F316&amp;"'!D3:D"),1,FALSE()), "Not found")</f>
        <v>Not found</v>
      </c>
      <c r="H316" s="25" t="e">
        <f aca="true">INDIRECT("'"&amp;F316&amp;"'!D1")</f>
        <v>#REF!</v>
      </c>
      <c r="I316" s="18" t="str">
        <f aca="false">IFERROR(__xludf.dummyfunction("REGEXEXTRACT(ADDRESS(ROW(), 24+$H316), ""[A-Z]+"")"),"#VALUE!")</f>
        <v>#VALUE!</v>
      </c>
      <c r="J316" s="18" t="str">
        <f aca="false">IFERROR(__xludf.dummyfunction("REGEXEXTRACT(ADDRESS(ROW(), 30+$H316), ""[A-Z]+"")"),"#VALUE!")</f>
        <v>#VALUE!</v>
      </c>
      <c r="K316" s="18" t="str">
        <f aca="false">IFERROR(__xludf.dummyfunction("REGEXEXTRACT(ADDRESS(ROW(), 36+$H316), ""[A-Z]+"")"),"#VALUE!")</f>
        <v>#VALUE!</v>
      </c>
      <c r="L316" s="18" t="str">
        <f aca="false">IFERROR(__xludf.dummyfunction("REGEXEXTRACT(ADDRESS(ROW(), 42+$H316), ""[A-Z]+"")"),"#VALUE!")</f>
        <v>#VALUE!</v>
      </c>
      <c r="M316" s="18" t="str">
        <f aca="false">IFERROR(__xludf.dummyfunction("REGEXEXTRACT(ADDRESS(ROW(), 48+$H316), ""[A-Z]+"")"),"#VALUE!")</f>
        <v>#VALUE!</v>
      </c>
      <c r="N316" s="18" t="str">
        <f aca="false">IFERROR(__xludf.dummyfunction("REGEXEXTRACT(ADDRESS(ROW(), 50+$H316), ""[A-Z]+"")"),"#VALUE!")</f>
        <v>#VALUE!</v>
      </c>
      <c r="O316" s="18" t="str">
        <f aca="false">IFERROR(__xludf.dummyfunction("REGEXEXTRACT(ADDRESS(ROW(), 51+$H316), ""[A-Z]+"")"),"#VALUE!")</f>
        <v>#VALUE!</v>
      </c>
      <c r="P316" s="18" t="str">
        <f aca="false">IFERROR(__xludf.dummyfunction("REGEXEXTRACT(ADDRESS(ROW(), 54+$H316), ""[A-Z]+"")"),"#VALUE!")</f>
        <v>#VALUE!</v>
      </c>
      <c r="Q316" s="18" t="str">
        <f aca="false">IFERROR(__xludf.dummyfunction("REGEXEXTRACT(ADDRESS(ROW(), 59+$H316), ""[A-Z]+"")"),"#VALUE!")</f>
        <v>#VALUE!</v>
      </c>
      <c r="R316" s="18" t="str">
        <f aca="false">IFERROR(__xludf.dummyfunction("REGEXEXTRACT(ADDRESS(ROW(), 60+$H316), ""[A-Z]+"")"),"#VALUE!")</f>
        <v>#VALUE!</v>
      </c>
      <c r="S316" s="18" t="str">
        <f aca="false">IFERROR(__xludf.dummyfunction("REGEXEXTRACT(ADDRESS(ROW(), 62+$H316), ""[A-Z]+"")"),"#VALUE!")</f>
        <v>#VALUE!</v>
      </c>
      <c r="T316" s="18" t="str">
        <f aca="false">IFERROR(__xludf.dummyfunction("REGEXEXTRACT(ADDRESS(ROW(), 63+$H316), ""[A-Z]+"")"),"#VALUE!")</f>
        <v>#VALUE!</v>
      </c>
      <c r="U316" s="19" t="str">
        <f aca="false">IFERROR(__xludf.dummyfunction("IFERROR(QUERY(INDIRECT(""'""&amp;F316&amp;""'!C3:""&amp;T316&amp;""""), ""SELECT ""&amp;I316&amp;"", ""&amp;J316&amp;"", ""&amp;K316&amp;"", ""&amp;L316&amp;"", ""&amp;M316&amp;"", ""&amp;N316&amp;"", ""&amp;O316&amp;"", ""&amp;P316&amp;"", ""&amp;Q316&amp;"", ""&amp;R316&amp;"", ""&amp;S316&amp;"" WHERE '""&amp;B316&amp;""' = D"", 0), """")"),"")</f>
        <v/>
      </c>
      <c r="V316" s="22"/>
      <c r="W316" s="22"/>
      <c r="X316" s="22"/>
      <c r="Y316" s="22"/>
      <c r="Z316" s="22"/>
      <c r="AA316" s="22"/>
      <c r="AB316" s="22"/>
      <c r="AC316" s="22"/>
      <c r="AD316" s="23"/>
      <c r="AE316" s="24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</row>
    <row r="317" customFormat="false" ht="18.65" hidden="false" customHeight="false" outlineLevel="0" collapsed="false">
      <c r="A317" s="13"/>
      <c r="B317" s="26"/>
      <c r="C317" s="15"/>
      <c r="D317" s="16"/>
      <c r="E317" s="16"/>
      <c r="F317" s="16" t="str">
        <f aca="false">REPLACE(E317, 1, 3, "")</f>
        <v/>
      </c>
      <c r="G317" s="17" t="str">
        <f aca="true">IFERROR(VLOOKUP(B317,INDIRECT("'"&amp;F317&amp;"'!D3:D"),1,FALSE()), "Not found")</f>
        <v>Not found</v>
      </c>
      <c r="H317" s="25" t="e">
        <f aca="true">INDIRECT("'"&amp;F317&amp;"'!D1")</f>
        <v>#REF!</v>
      </c>
      <c r="I317" s="18" t="str">
        <f aca="false">IFERROR(__xludf.dummyfunction("REGEXEXTRACT(ADDRESS(ROW(), 24+$H317), ""[A-Z]+"")"),"#VALUE!")</f>
        <v>#VALUE!</v>
      </c>
      <c r="J317" s="18" t="str">
        <f aca="false">IFERROR(__xludf.dummyfunction("REGEXEXTRACT(ADDRESS(ROW(), 30+$H317), ""[A-Z]+"")"),"#VALUE!")</f>
        <v>#VALUE!</v>
      </c>
      <c r="K317" s="18" t="str">
        <f aca="false">IFERROR(__xludf.dummyfunction("REGEXEXTRACT(ADDRESS(ROW(), 36+$H317), ""[A-Z]+"")"),"#VALUE!")</f>
        <v>#VALUE!</v>
      </c>
      <c r="L317" s="18" t="str">
        <f aca="false">IFERROR(__xludf.dummyfunction("REGEXEXTRACT(ADDRESS(ROW(), 42+$H317), ""[A-Z]+"")"),"#VALUE!")</f>
        <v>#VALUE!</v>
      </c>
      <c r="M317" s="18" t="str">
        <f aca="false">IFERROR(__xludf.dummyfunction("REGEXEXTRACT(ADDRESS(ROW(), 48+$H317), ""[A-Z]+"")"),"#VALUE!")</f>
        <v>#VALUE!</v>
      </c>
      <c r="N317" s="18" t="str">
        <f aca="false">IFERROR(__xludf.dummyfunction("REGEXEXTRACT(ADDRESS(ROW(), 50+$H317), ""[A-Z]+"")"),"#VALUE!")</f>
        <v>#VALUE!</v>
      </c>
      <c r="O317" s="18" t="str">
        <f aca="false">IFERROR(__xludf.dummyfunction("REGEXEXTRACT(ADDRESS(ROW(), 51+$H317), ""[A-Z]+"")"),"#VALUE!")</f>
        <v>#VALUE!</v>
      </c>
      <c r="P317" s="18" t="str">
        <f aca="false">IFERROR(__xludf.dummyfunction("REGEXEXTRACT(ADDRESS(ROW(), 54+$H317), ""[A-Z]+"")"),"#VALUE!")</f>
        <v>#VALUE!</v>
      </c>
      <c r="Q317" s="18" t="str">
        <f aca="false">IFERROR(__xludf.dummyfunction("REGEXEXTRACT(ADDRESS(ROW(), 59+$H317), ""[A-Z]+"")"),"#VALUE!")</f>
        <v>#VALUE!</v>
      </c>
      <c r="R317" s="18" t="str">
        <f aca="false">IFERROR(__xludf.dummyfunction("REGEXEXTRACT(ADDRESS(ROW(), 60+$H317), ""[A-Z]+"")"),"#VALUE!")</f>
        <v>#VALUE!</v>
      </c>
      <c r="S317" s="18" t="str">
        <f aca="false">IFERROR(__xludf.dummyfunction("REGEXEXTRACT(ADDRESS(ROW(), 62+$H317), ""[A-Z]+"")"),"#VALUE!")</f>
        <v>#VALUE!</v>
      </c>
      <c r="T317" s="18" t="str">
        <f aca="false">IFERROR(__xludf.dummyfunction("REGEXEXTRACT(ADDRESS(ROW(), 63+$H317), ""[A-Z]+"")"),"#VALUE!")</f>
        <v>#VALUE!</v>
      </c>
      <c r="U317" s="19" t="str">
        <f aca="false">IFERROR(__xludf.dummyfunction("IFERROR(QUERY(INDIRECT(""'""&amp;F317&amp;""'!C3:""&amp;T317&amp;""""), ""SELECT ""&amp;I317&amp;"", ""&amp;J317&amp;"", ""&amp;K317&amp;"", ""&amp;L317&amp;"", ""&amp;M317&amp;"", ""&amp;N317&amp;"", ""&amp;O317&amp;"", ""&amp;P317&amp;"", ""&amp;Q317&amp;"", ""&amp;R317&amp;"", ""&amp;S317&amp;"" WHERE '""&amp;B317&amp;""' = D"", 0), """")"),"")</f>
        <v/>
      </c>
      <c r="V317" s="22"/>
      <c r="W317" s="22"/>
      <c r="X317" s="22"/>
      <c r="Y317" s="22"/>
      <c r="Z317" s="22"/>
      <c r="AA317" s="22"/>
      <c r="AB317" s="22"/>
      <c r="AC317" s="22"/>
      <c r="AD317" s="23"/>
      <c r="AE317" s="24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</row>
    <row r="318" customFormat="false" ht="18.65" hidden="false" customHeight="false" outlineLevel="0" collapsed="false">
      <c r="A318" s="13"/>
      <c r="B318" s="26"/>
      <c r="C318" s="15"/>
      <c r="D318" s="16"/>
      <c r="E318" s="16"/>
      <c r="F318" s="16" t="str">
        <f aca="false">REPLACE(E318, 1, 3, "")</f>
        <v/>
      </c>
      <c r="G318" s="17" t="str">
        <f aca="true">IFERROR(VLOOKUP(B318,INDIRECT("'"&amp;F318&amp;"'!D3:D"),1,FALSE()), "Not found")</f>
        <v>Not found</v>
      </c>
      <c r="H318" s="25" t="e">
        <f aca="true">INDIRECT("'"&amp;F318&amp;"'!D1")</f>
        <v>#REF!</v>
      </c>
      <c r="I318" s="18" t="str">
        <f aca="false">IFERROR(__xludf.dummyfunction("REGEXEXTRACT(ADDRESS(ROW(), 24+$H318), ""[A-Z]+"")"),"#VALUE!")</f>
        <v>#VALUE!</v>
      </c>
      <c r="J318" s="18" t="str">
        <f aca="false">IFERROR(__xludf.dummyfunction("REGEXEXTRACT(ADDRESS(ROW(), 30+$H318), ""[A-Z]+"")"),"#VALUE!")</f>
        <v>#VALUE!</v>
      </c>
      <c r="K318" s="18" t="str">
        <f aca="false">IFERROR(__xludf.dummyfunction("REGEXEXTRACT(ADDRESS(ROW(), 36+$H318), ""[A-Z]+"")"),"#VALUE!")</f>
        <v>#VALUE!</v>
      </c>
      <c r="L318" s="18" t="str">
        <f aca="false">IFERROR(__xludf.dummyfunction("REGEXEXTRACT(ADDRESS(ROW(), 42+$H318), ""[A-Z]+"")"),"#VALUE!")</f>
        <v>#VALUE!</v>
      </c>
      <c r="M318" s="18" t="str">
        <f aca="false">IFERROR(__xludf.dummyfunction("REGEXEXTRACT(ADDRESS(ROW(), 48+$H318), ""[A-Z]+"")"),"#VALUE!")</f>
        <v>#VALUE!</v>
      </c>
      <c r="N318" s="18" t="str">
        <f aca="false">IFERROR(__xludf.dummyfunction("REGEXEXTRACT(ADDRESS(ROW(), 50+$H318), ""[A-Z]+"")"),"#VALUE!")</f>
        <v>#VALUE!</v>
      </c>
      <c r="O318" s="18" t="str">
        <f aca="false">IFERROR(__xludf.dummyfunction("REGEXEXTRACT(ADDRESS(ROW(), 51+$H318), ""[A-Z]+"")"),"#VALUE!")</f>
        <v>#VALUE!</v>
      </c>
      <c r="P318" s="18" t="str">
        <f aca="false">IFERROR(__xludf.dummyfunction("REGEXEXTRACT(ADDRESS(ROW(), 54+$H318), ""[A-Z]+"")"),"#VALUE!")</f>
        <v>#VALUE!</v>
      </c>
      <c r="Q318" s="18" t="str">
        <f aca="false">IFERROR(__xludf.dummyfunction("REGEXEXTRACT(ADDRESS(ROW(), 59+$H318), ""[A-Z]+"")"),"#VALUE!")</f>
        <v>#VALUE!</v>
      </c>
      <c r="R318" s="18" t="str">
        <f aca="false">IFERROR(__xludf.dummyfunction("REGEXEXTRACT(ADDRESS(ROW(), 60+$H318), ""[A-Z]+"")"),"#VALUE!")</f>
        <v>#VALUE!</v>
      </c>
      <c r="S318" s="18" t="str">
        <f aca="false">IFERROR(__xludf.dummyfunction("REGEXEXTRACT(ADDRESS(ROW(), 62+$H318), ""[A-Z]+"")"),"#VALUE!")</f>
        <v>#VALUE!</v>
      </c>
      <c r="T318" s="18" t="str">
        <f aca="false">IFERROR(__xludf.dummyfunction("REGEXEXTRACT(ADDRESS(ROW(), 63+$H318), ""[A-Z]+"")"),"#VALUE!")</f>
        <v>#VALUE!</v>
      </c>
      <c r="U318" s="19" t="str">
        <f aca="false">IFERROR(__xludf.dummyfunction("IFERROR(QUERY(INDIRECT(""'""&amp;F318&amp;""'!C3:""&amp;T318&amp;""""), ""SELECT ""&amp;I318&amp;"", ""&amp;J318&amp;"", ""&amp;K318&amp;"", ""&amp;L318&amp;"", ""&amp;M318&amp;"", ""&amp;N318&amp;"", ""&amp;O318&amp;"", ""&amp;P318&amp;"", ""&amp;Q318&amp;"", ""&amp;R318&amp;"", ""&amp;S318&amp;"" WHERE '""&amp;B318&amp;""' = D"", 0), """")"),"")</f>
        <v/>
      </c>
      <c r="V318" s="22"/>
      <c r="W318" s="22"/>
      <c r="X318" s="22"/>
      <c r="Y318" s="22"/>
      <c r="Z318" s="22"/>
      <c r="AA318" s="22"/>
      <c r="AB318" s="22"/>
      <c r="AC318" s="22"/>
      <c r="AD318" s="23"/>
      <c r="AE318" s="24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</row>
    <row r="319" customFormat="false" ht="18.65" hidden="false" customHeight="false" outlineLevel="0" collapsed="false">
      <c r="A319" s="13"/>
      <c r="B319" s="26"/>
      <c r="C319" s="15"/>
      <c r="D319" s="16"/>
      <c r="E319" s="16"/>
      <c r="F319" s="16" t="str">
        <f aca="false">REPLACE(E319, 1, 3, "")</f>
        <v/>
      </c>
      <c r="G319" s="17" t="str">
        <f aca="true">IFERROR(VLOOKUP(B319,INDIRECT("'"&amp;F319&amp;"'!D3:D"),1,FALSE()), "Not found")</f>
        <v>Not found</v>
      </c>
      <c r="H319" s="25" t="e">
        <f aca="true">INDIRECT("'"&amp;F319&amp;"'!D1")</f>
        <v>#REF!</v>
      </c>
      <c r="I319" s="18" t="str">
        <f aca="false">IFERROR(__xludf.dummyfunction("REGEXEXTRACT(ADDRESS(ROW(), 24+$H319), ""[A-Z]+"")"),"#VALUE!")</f>
        <v>#VALUE!</v>
      </c>
      <c r="J319" s="18" t="str">
        <f aca="false">IFERROR(__xludf.dummyfunction("REGEXEXTRACT(ADDRESS(ROW(), 30+$H319), ""[A-Z]+"")"),"#VALUE!")</f>
        <v>#VALUE!</v>
      </c>
      <c r="K319" s="18" t="str">
        <f aca="false">IFERROR(__xludf.dummyfunction("REGEXEXTRACT(ADDRESS(ROW(), 36+$H319), ""[A-Z]+"")"),"#VALUE!")</f>
        <v>#VALUE!</v>
      </c>
      <c r="L319" s="18" t="str">
        <f aca="false">IFERROR(__xludf.dummyfunction("REGEXEXTRACT(ADDRESS(ROW(), 42+$H319), ""[A-Z]+"")"),"#VALUE!")</f>
        <v>#VALUE!</v>
      </c>
      <c r="M319" s="18" t="str">
        <f aca="false">IFERROR(__xludf.dummyfunction("REGEXEXTRACT(ADDRESS(ROW(), 48+$H319), ""[A-Z]+"")"),"#VALUE!")</f>
        <v>#VALUE!</v>
      </c>
      <c r="N319" s="18" t="str">
        <f aca="false">IFERROR(__xludf.dummyfunction("REGEXEXTRACT(ADDRESS(ROW(), 50+$H319), ""[A-Z]+"")"),"#VALUE!")</f>
        <v>#VALUE!</v>
      </c>
      <c r="O319" s="18" t="str">
        <f aca="false">IFERROR(__xludf.dummyfunction("REGEXEXTRACT(ADDRESS(ROW(), 51+$H319), ""[A-Z]+"")"),"#VALUE!")</f>
        <v>#VALUE!</v>
      </c>
      <c r="P319" s="18" t="str">
        <f aca="false">IFERROR(__xludf.dummyfunction("REGEXEXTRACT(ADDRESS(ROW(), 54+$H319), ""[A-Z]+"")"),"#VALUE!")</f>
        <v>#VALUE!</v>
      </c>
      <c r="Q319" s="18" t="str">
        <f aca="false">IFERROR(__xludf.dummyfunction("REGEXEXTRACT(ADDRESS(ROW(), 59+$H319), ""[A-Z]+"")"),"#VALUE!")</f>
        <v>#VALUE!</v>
      </c>
      <c r="R319" s="18" t="str">
        <f aca="false">IFERROR(__xludf.dummyfunction("REGEXEXTRACT(ADDRESS(ROW(), 60+$H319), ""[A-Z]+"")"),"#VALUE!")</f>
        <v>#VALUE!</v>
      </c>
      <c r="S319" s="18" t="str">
        <f aca="false">IFERROR(__xludf.dummyfunction("REGEXEXTRACT(ADDRESS(ROW(), 62+$H319), ""[A-Z]+"")"),"#VALUE!")</f>
        <v>#VALUE!</v>
      </c>
      <c r="T319" s="18" t="str">
        <f aca="false">IFERROR(__xludf.dummyfunction("REGEXEXTRACT(ADDRESS(ROW(), 63+$H319), ""[A-Z]+"")"),"#VALUE!")</f>
        <v>#VALUE!</v>
      </c>
      <c r="U319" s="19" t="str">
        <f aca="false">IFERROR(__xludf.dummyfunction("IFERROR(QUERY(INDIRECT(""'""&amp;F319&amp;""'!C3:""&amp;T319&amp;""""), ""SELECT ""&amp;I319&amp;"", ""&amp;J319&amp;"", ""&amp;K319&amp;"", ""&amp;L319&amp;"", ""&amp;M319&amp;"", ""&amp;N319&amp;"", ""&amp;O319&amp;"", ""&amp;P319&amp;"", ""&amp;Q319&amp;"", ""&amp;R319&amp;"", ""&amp;S319&amp;"" WHERE '""&amp;B319&amp;""' = D"", 0), """")"),"")</f>
        <v/>
      </c>
      <c r="V319" s="22"/>
      <c r="W319" s="22"/>
      <c r="X319" s="22"/>
      <c r="Y319" s="22"/>
      <c r="Z319" s="22"/>
      <c r="AA319" s="22"/>
      <c r="AB319" s="22"/>
      <c r="AC319" s="22"/>
      <c r="AD319" s="23"/>
      <c r="AE319" s="24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</row>
    <row r="320" customFormat="false" ht="18.65" hidden="false" customHeight="false" outlineLevel="0" collapsed="false">
      <c r="A320" s="13"/>
      <c r="B320" s="26"/>
      <c r="C320" s="15"/>
      <c r="D320" s="16"/>
      <c r="E320" s="16"/>
      <c r="F320" s="16" t="str">
        <f aca="false">REPLACE(E320, 1, 3, "")</f>
        <v/>
      </c>
      <c r="G320" s="17" t="str">
        <f aca="true">IFERROR(VLOOKUP(B320,INDIRECT("'"&amp;F320&amp;"'!D3:D"),1,FALSE()), "Not found")</f>
        <v>Not found</v>
      </c>
      <c r="H320" s="25" t="e">
        <f aca="true">INDIRECT("'"&amp;F320&amp;"'!D1")</f>
        <v>#REF!</v>
      </c>
      <c r="I320" s="18" t="str">
        <f aca="false">IFERROR(__xludf.dummyfunction("REGEXEXTRACT(ADDRESS(ROW(), 24+$H320), ""[A-Z]+"")"),"#VALUE!")</f>
        <v>#VALUE!</v>
      </c>
      <c r="J320" s="18" t="str">
        <f aca="false">IFERROR(__xludf.dummyfunction("REGEXEXTRACT(ADDRESS(ROW(), 30+$H320), ""[A-Z]+"")"),"#VALUE!")</f>
        <v>#VALUE!</v>
      </c>
      <c r="K320" s="18" t="str">
        <f aca="false">IFERROR(__xludf.dummyfunction("REGEXEXTRACT(ADDRESS(ROW(), 36+$H320), ""[A-Z]+"")"),"#VALUE!")</f>
        <v>#VALUE!</v>
      </c>
      <c r="L320" s="18" t="str">
        <f aca="false">IFERROR(__xludf.dummyfunction("REGEXEXTRACT(ADDRESS(ROW(), 42+$H320), ""[A-Z]+"")"),"#VALUE!")</f>
        <v>#VALUE!</v>
      </c>
      <c r="M320" s="18" t="str">
        <f aca="false">IFERROR(__xludf.dummyfunction("REGEXEXTRACT(ADDRESS(ROW(), 48+$H320), ""[A-Z]+"")"),"#VALUE!")</f>
        <v>#VALUE!</v>
      </c>
      <c r="N320" s="18" t="str">
        <f aca="false">IFERROR(__xludf.dummyfunction("REGEXEXTRACT(ADDRESS(ROW(), 50+$H320), ""[A-Z]+"")"),"#VALUE!")</f>
        <v>#VALUE!</v>
      </c>
      <c r="O320" s="18" t="str">
        <f aca="false">IFERROR(__xludf.dummyfunction("REGEXEXTRACT(ADDRESS(ROW(), 51+$H320), ""[A-Z]+"")"),"#VALUE!")</f>
        <v>#VALUE!</v>
      </c>
      <c r="P320" s="18" t="str">
        <f aca="false">IFERROR(__xludf.dummyfunction("REGEXEXTRACT(ADDRESS(ROW(), 54+$H320), ""[A-Z]+"")"),"#VALUE!")</f>
        <v>#VALUE!</v>
      </c>
      <c r="Q320" s="18" t="str">
        <f aca="false">IFERROR(__xludf.dummyfunction("REGEXEXTRACT(ADDRESS(ROW(), 59+$H320), ""[A-Z]+"")"),"#VALUE!")</f>
        <v>#VALUE!</v>
      </c>
      <c r="R320" s="18" t="str">
        <f aca="false">IFERROR(__xludf.dummyfunction("REGEXEXTRACT(ADDRESS(ROW(), 60+$H320), ""[A-Z]+"")"),"#VALUE!")</f>
        <v>#VALUE!</v>
      </c>
      <c r="S320" s="18" t="str">
        <f aca="false">IFERROR(__xludf.dummyfunction("REGEXEXTRACT(ADDRESS(ROW(), 62+$H320), ""[A-Z]+"")"),"#VALUE!")</f>
        <v>#VALUE!</v>
      </c>
      <c r="T320" s="18" t="str">
        <f aca="false">IFERROR(__xludf.dummyfunction("REGEXEXTRACT(ADDRESS(ROW(), 63+$H320), ""[A-Z]+"")"),"#VALUE!")</f>
        <v>#VALUE!</v>
      </c>
      <c r="U320" s="19" t="str">
        <f aca="false">IFERROR(__xludf.dummyfunction("IFERROR(QUERY(INDIRECT(""'""&amp;F320&amp;""'!C3:""&amp;T320&amp;""""), ""SELECT ""&amp;I320&amp;"", ""&amp;J320&amp;"", ""&amp;K320&amp;"", ""&amp;L320&amp;"", ""&amp;M320&amp;"", ""&amp;N320&amp;"", ""&amp;O320&amp;"", ""&amp;P320&amp;"", ""&amp;Q320&amp;"", ""&amp;R320&amp;"", ""&amp;S320&amp;"" WHERE '""&amp;B320&amp;""' = D"", 0), """")"),"")</f>
        <v/>
      </c>
      <c r="V320" s="22"/>
      <c r="W320" s="22"/>
      <c r="X320" s="22"/>
      <c r="Y320" s="22"/>
      <c r="Z320" s="22"/>
      <c r="AA320" s="22"/>
      <c r="AB320" s="22"/>
      <c r="AC320" s="22"/>
      <c r="AD320" s="23"/>
      <c r="AE320" s="24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</row>
    <row r="321" customFormat="false" ht="18.65" hidden="false" customHeight="false" outlineLevel="0" collapsed="false">
      <c r="A321" s="13"/>
      <c r="B321" s="26"/>
      <c r="C321" s="15"/>
      <c r="D321" s="16"/>
      <c r="E321" s="16"/>
      <c r="F321" s="16" t="str">
        <f aca="false">REPLACE(E321, 1, 3, "")</f>
        <v/>
      </c>
      <c r="G321" s="17" t="str">
        <f aca="true">IFERROR(VLOOKUP(B321,INDIRECT("'"&amp;F321&amp;"'!D3:D"),1,FALSE()), "Not found")</f>
        <v>Not found</v>
      </c>
      <c r="H321" s="25" t="e">
        <f aca="true">INDIRECT("'"&amp;F321&amp;"'!D1")</f>
        <v>#REF!</v>
      </c>
      <c r="I321" s="18" t="str">
        <f aca="false">IFERROR(__xludf.dummyfunction("REGEXEXTRACT(ADDRESS(ROW(), 24+$H321), ""[A-Z]+"")"),"#VALUE!")</f>
        <v>#VALUE!</v>
      </c>
      <c r="J321" s="18" t="str">
        <f aca="false">IFERROR(__xludf.dummyfunction("REGEXEXTRACT(ADDRESS(ROW(), 30+$H321), ""[A-Z]+"")"),"#VALUE!")</f>
        <v>#VALUE!</v>
      </c>
      <c r="K321" s="18" t="str">
        <f aca="false">IFERROR(__xludf.dummyfunction("REGEXEXTRACT(ADDRESS(ROW(), 36+$H321), ""[A-Z]+"")"),"#VALUE!")</f>
        <v>#VALUE!</v>
      </c>
      <c r="L321" s="18" t="str">
        <f aca="false">IFERROR(__xludf.dummyfunction("REGEXEXTRACT(ADDRESS(ROW(), 42+$H321), ""[A-Z]+"")"),"#VALUE!")</f>
        <v>#VALUE!</v>
      </c>
      <c r="M321" s="18" t="str">
        <f aca="false">IFERROR(__xludf.dummyfunction("REGEXEXTRACT(ADDRESS(ROW(), 48+$H321), ""[A-Z]+"")"),"#VALUE!")</f>
        <v>#VALUE!</v>
      </c>
      <c r="N321" s="18" t="str">
        <f aca="false">IFERROR(__xludf.dummyfunction("REGEXEXTRACT(ADDRESS(ROW(), 50+$H321), ""[A-Z]+"")"),"#VALUE!")</f>
        <v>#VALUE!</v>
      </c>
      <c r="O321" s="18" t="str">
        <f aca="false">IFERROR(__xludf.dummyfunction("REGEXEXTRACT(ADDRESS(ROW(), 51+$H321), ""[A-Z]+"")"),"#VALUE!")</f>
        <v>#VALUE!</v>
      </c>
      <c r="P321" s="18" t="str">
        <f aca="false">IFERROR(__xludf.dummyfunction("REGEXEXTRACT(ADDRESS(ROW(), 54+$H321), ""[A-Z]+"")"),"#VALUE!")</f>
        <v>#VALUE!</v>
      </c>
      <c r="Q321" s="18" t="str">
        <f aca="false">IFERROR(__xludf.dummyfunction("REGEXEXTRACT(ADDRESS(ROW(), 59+$H321), ""[A-Z]+"")"),"#VALUE!")</f>
        <v>#VALUE!</v>
      </c>
      <c r="R321" s="18" t="str">
        <f aca="false">IFERROR(__xludf.dummyfunction("REGEXEXTRACT(ADDRESS(ROW(), 60+$H321), ""[A-Z]+"")"),"#VALUE!")</f>
        <v>#VALUE!</v>
      </c>
      <c r="S321" s="18" t="str">
        <f aca="false">IFERROR(__xludf.dummyfunction("REGEXEXTRACT(ADDRESS(ROW(), 62+$H321), ""[A-Z]+"")"),"#VALUE!")</f>
        <v>#VALUE!</v>
      </c>
      <c r="T321" s="18" t="str">
        <f aca="false">IFERROR(__xludf.dummyfunction("REGEXEXTRACT(ADDRESS(ROW(), 63+$H321), ""[A-Z]+"")"),"#VALUE!")</f>
        <v>#VALUE!</v>
      </c>
      <c r="U321" s="19" t="str">
        <f aca="false">IFERROR(__xludf.dummyfunction("IFERROR(QUERY(INDIRECT(""'""&amp;F321&amp;""'!C3:""&amp;T321&amp;""""), ""SELECT ""&amp;I321&amp;"", ""&amp;J321&amp;"", ""&amp;K321&amp;"", ""&amp;L321&amp;"", ""&amp;M321&amp;"", ""&amp;N321&amp;"", ""&amp;O321&amp;"", ""&amp;P321&amp;"", ""&amp;Q321&amp;"", ""&amp;R321&amp;"", ""&amp;S321&amp;"" WHERE '""&amp;B321&amp;""' = D"", 0), """")"),"")</f>
        <v/>
      </c>
      <c r="V321" s="22"/>
      <c r="W321" s="22"/>
      <c r="X321" s="22"/>
      <c r="Y321" s="22"/>
      <c r="Z321" s="22"/>
      <c r="AA321" s="22"/>
      <c r="AB321" s="22"/>
      <c r="AC321" s="22"/>
      <c r="AD321" s="23"/>
      <c r="AE321" s="24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</row>
    <row r="322" customFormat="false" ht="18.65" hidden="false" customHeight="false" outlineLevel="0" collapsed="false">
      <c r="A322" s="13"/>
      <c r="B322" s="26"/>
      <c r="C322" s="15"/>
      <c r="D322" s="16"/>
      <c r="E322" s="16"/>
      <c r="F322" s="16" t="str">
        <f aca="false">REPLACE(E322, 1, 3, "")</f>
        <v/>
      </c>
      <c r="G322" s="17" t="str">
        <f aca="true">IFERROR(VLOOKUP(B322,INDIRECT("'"&amp;F322&amp;"'!D3:D"),1,FALSE()), "Not found")</f>
        <v>Not found</v>
      </c>
      <c r="H322" s="25" t="e">
        <f aca="true">INDIRECT("'"&amp;F322&amp;"'!D1")</f>
        <v>#REF!</v>
      </c>
      <c r="I322" s="18" t="str">
        <f aca="false">IFERROR(__xludf.dummyfunction("REGEXEXTRACT(ADDRESS(ROW(), 24+$H322), ""[A-Z]+"")"),"#VALUE!")</f>
        <v>#VALUE!</v>
      </c>
      <c r="J322" s="18" t="str">
        <f aca="false">IFERROR(__xludf.dummyfunction("REGEXEXTRACT(ADDRESS(ROW(), 30+$H322), ""[A-Z]+"")"),"#VALUE!")</f>
        <v>#VALUE!</v>
      </c>
      <c r="K322" s="18" t="str">
        <f aca="false">IFERROR(__xludf.dummyfunction("REGEXEXTRACT(ADDRESS(ROW(), 36+$H322), ""[A-Z]+"")"),"#VALUE!")</f>
        <v>#VALUE!</v>
      </c>
      <c r="L322" s="18" t="str">
        <f aca="false">IFERROR(__xludf.dummyfunction("REGEXEXTRACT(ADDRESS(ROW(), 42+$H322), ""[A-Z]+"")"),"#VALUE!")</f>
        <v>#VALUE!</v>
      </c>
      <c r="M322" s="18" t="str">
        <f aca="false">IFERROR(__xludf.dummyfunction("REGEXEXTRACT(ADDRESS(ROW(), 48+$H322), ""[A-Z]+"")"),"#VALUE!")</f>
        <v>#VALUE!</v>
      </c>
      <c r="N322" s="18" t="str">
        <f aca="false">IFERROR(__xludf.dummyfunction("REGEXEXTRACT(ADDRESS(ROW(), 50+$H322), ""[A-Z]+"")"),"#VALUE!")</f>
        <v>#VALUE!</v>
      </c>
      <c r="O322" s="18" t="str">
        <f aca="false">IFERROR(__xludf.dummyfunction("REGEXEXTRACT(ADDRESS(ROW(), 51+$H322), ""[A-Z]+"")"),"#VALUE!")</f>
        <v>#VALUE!</v>
      </c>
      <c r="P322" s="18" t="str">
        <f aca="false">IFERROR(__xludf.dummyfunction("REGEXEXTRACT(ADDRESS(ROW(), 54+$H322), ""[A-Z]+"")"),"#VALUE!")</f>
        <v>#VALUE!</v>
      </c>
      <c r="Q322" s="18" t="str">
        <f aca="false">IFERROR(__xludf.dummyfunction("REGEXEXTRACT(ADDRESS(ROW(), 59+$H322), ""[A-Z]+"")"),"#VALUE!")</f>
        <v>#VALUE!</v>
      </c>
      <c r="R322" s="18" t="str">
        <f aca="false">IFERROR(__xludf.dummyfunction("REGEXEXTRACT(ADDRESS(ROW(), 60+$H322), ""[A-Z]+"")"),"#VALUE!")</f>
        <v>#VALUE!</v>
      </c>
      <c r="S322" s="18" t="str">
        <f aca="false">IFERROR(__xludf.dummyfunction("REGEXEXTRACT(ADDRESS(ROW(), 62+$H322), ""[A-Z]+"")"),"#VALUE!")</f>
        <v>#VALUE!</v>
      </c>
      <c r="T322" s="18" t="str">
        <f aca="false">IFERROR(__xludf.dummyfunction("REGEXEXTRACT(ADDRESS(ROW(), 63+$H322), ""[A-Z]+"")"),"#VALUE!")</f>
        <v>#VALUE!</v>
      </c>
      <c r="U322" s="19" t="str">
        <f aca="false">IFERROR(__xludf.dummyfunction("IFERROR(QUERY(INDIRECT(""'""&amp;F322&amp;""'!C3:""&amp;T322&amp;""""), ""SELECT ""&amp;I322&amp;"", ""&amp;J322&amp;"", ""&amp;K322&amp;"", ""&amp;L322&amp;"", ""&amp;M322&amp;"", ""&amp;N322&amp;"", ""&amp;O322&amp;"", ""&amp;P322&amp;"", ""&amp;Q322&amp;"", ""&amp;R322&amp;"", ""&amp;S322&amp;"" WHERE '""&amp;B322&amp;""' = D"", 0), """")"),"")</f>
        <v/>
      </c>
      <c r="V322" s="22"/>
      <c r="W322" s="22"/>
      <c r="X322" s="22"/>
      <c r="Y322" s="22"/>
      <c r="Z322" s="22"/>
      <c r="AA322" s="22"/>
      <c r="AB322" s="22"/>
      <c r="AC322" s="22"/>
      <c r="AD322" s="23"/>
      <c r="AE322" s="24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</row>
    <row r="323" customFormat="false" ht="18.65" hidden="false" customHeight="false" outlineLevel="0" collapsed="false">
      <c r="A323" s="13"/>
      <c r="B323" s="26"/>
      <c r="C323" s="15"/>
      <c r="D323" s="16"/>
      <c r="E323" s="16"/>
      <c r="F323" s="16" t="str">
        <f aca="false">REPLACE(E323, 1, 3, "")</f>
        <v/>
      </c>
      <c r="G323" s="17" t="str">
        <f aca="true">IFERROR(VLOOKUP(B323,INDIRECT("'"&amp;F323&amp;"'!D3:D"),1,FALSE()), "Not found")</f>
        <v>Not found</v>
      </c>
      <c r="H323" s="25" t="e">
        <f aca="true">INDIRECT("'"&amp;F323&amp;"'!D1")</f>
        <v>#REF!</v>
      </c>
      <c r="I323" s="18" t="str">
        <f aca="false">IFERROR(__xludf.dummyfunction("REGEXEXTRACT(ADDRESS(ROW(), 24+$H323), ""[A-Z]+"")"),"#VALUE!")</f>
        <v>#VALUE!</v>
      </c>
      <c r="J323" s="18" t="str">
        <f aca="false">IFERROR(__xludf.dummyfunction("REGEXEXTRACT(ADDRESS(ROW(), 30+$H323), ""[A-Z]+"")"),"#VALUE!")</f>
        <v>#VALUE!</v>
      </c>
      <c r="K323" s="18" t="str">
        <f aca="false">IFERROR(__xludf.dummyfunction("REGEXEXTRACT(ADDRESS(ROW(), 36+$H323), ""[A-Z]+"")"),"#VALUE!")</f>
        <v>#VALUE!</v>
      </c>
      <c r="L323" s="18" t="str">
        <f aca="false">IFERROR(__xludf.dummyfunction("REGEXEXTRACT(ADDRESS(ROW(), 42+$H323), ""[A-Z]+"")"),"#VALUE!")</f>
        <v>#VALUE!</v>
      </c>
      <c r="M323" s="18" t="str">
        <f aca="false">IFERROR(__xludf.dummyfunction("REGEXEXTRACT(ADDRESS(ROW(), 48+$H323), ""[A-Z]+"")"),"#VALUE!")</f>
        <v>#VALUE!</v>
      </c>
      <c r="N323" s="18" t="str">
        <f aca="false">IFERROR(__xludf.dummyfunction("REGEXEXTRACT(ADDRESS(ROW(), 50+$H323), ""[A-Z]+"")"),"#VALUE!")</f>
        <v>#VALUE!</v>
      </c>
      <c r="O323" s="18" t="str">
        <f aca="false">IFERROR(__xludf.dummyfunction("REGEXEXTRACT(ADDRESS(ROW(), 51+$H323), ""[A-Z]+"")"),"#VALUE!")</f>
        <v>#VALUE!</v>
      </c>
      <c r="P323" s="18" t="str">
        <f aca="false">IFERROR(__xludf.dummyfunction("REGEXEXTRACT(ADDRESS(ROW(), 54+$H323), ""[A-Z]+"")"),"#VALUE!")</f>
        <v>#VALUE!</v>
      </c>
      <c r="Q323" s="18" t="str">
        <f aca="false">IFERROR(__xludf.dummyfunction("REGEXEXTRACT(ADDRESS(ROW(), 59+$H323), ""[A-Z]+"")"),"#VALUE!")</f>
        <v>#VALUE!</v>
      </c>
      <c r="R323" s="18" t="str">
        <f aca="false">IFERROR(__xludf.dummyfunction("REGEXEXTRACT(ADDRESS(ROW(), 60+$H323), ""[A-Z]+"")"),"#VALUE!")</f>
        <v>#VALUE!</v>
      </c>
      <c r="S323" s="18" t="str">
        <f aca="false">IFERROR(__xludf.dummyfunction("REGEXEXTRACT(ADDRESS(ROW(), 62+$H323), ""[A-Z]+"")"),"#VALUE!")</f>
        <v>#VALUE!</v>
      </c>
      <c r="T323" s="18" t="str">
        <f aca="false">IFERROR(__xludf.dummyfunction("REGEXEXTRACT(ADDRESS(ROW(), 63+$H323), ""[A-Z]+"")"),"#VALUE!")</f>
        <v>#VALUE!</v>
      </c>
      <c r="U323" s="19" t="str">
        <f aca="false">IFERROR(__xludf.dummyfunction("IFERROR(QUERY(INDIRECT(""'""&amp;F323&amp;""'!C3:""&amp;T323&amp;""""), ""SELECT ""&amp;I323&amp;"", ""&amp;J323&amp;"", ""&amp;K323&amp;"", ""&amp;L323&amp;"", ""&amp;M323&amp;"", ""&amp;N323&amp;"", ""&amp;O323&amp;"", ""&amp;P323&amp;"", ""&amp;Q323&amp;"", ""&amp;R323&amp;"", ""&amp;S323&amp;"" WHERE '""&amp;B323&amp;""' = D"", 0), """")"),"")</f>
        <v/>
      </c>
      <c r="V323" s="22"/>
      <c r="W323" s="22"/>
      <c r="X323" s="22"/>
      <c r="Y323" s="22"/>
      <c r="Z323" s="22"/>
      <c r="AA323" s="22"/>
      <c r="AB323" s="22"/>
      <c r="AC323" s="22"/>
      <c r="AD323" s="23"/>
      <c r="AE323" s="24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</row>
    <row r="324" customFormat="false" ht="18.65" hidden="false" customHeight="false" outlineLevel="0" collapsed="false">
      <c r="A324" s="13"/>
      <c r="B324" s="26"/>
      <c r="C324" s="15"/>
      <c r="D324" s="16"/>
      <c r="E324" s="16"/>
      <c r="F324" s="16" t="str">
        <f aca="false">REPLACE(E324, 1, 3, "")</f>
        <v/>
      </c>
      <c r="G324" s="17" t="str">
        <f aca="true">IFERROR(VLOOKUP(B324,INDIRECT("'"&amp;F324&amp;"'!D3:D"),1,FALSE()), "Not found")</f>
        <v>Not found</v>
      </c>
      <c r="H324" s="25" t="e">
        <f aca="true">INDIRECT("'"&amp;F324&amp;"'!D1")</f>
        <v>#REF!</v>
      </c>
      <c r="I324" s="18" t="str">
        <f aca="false">IFERROR(__xludf.dummyfunction("REGEXEXTRACT(ADDRESS(ROW(), 24+$H324), ""[A-Z]+"")"),"#VALUE!")</f>
        <v>#VALUE!</v>
      </c>
      <c r="J324" s="18" t="str">
        <f aca="false">IFERROR(__xludf.dummyfunction("REGEXEXTRACT(ADDRESS(ROW(), 30+$H324), ""[A-Z]+"")"),"#VALUE!")</f>
        <v>#VALUE!</v>
      </c>
      <c r="K324" s="18" t="str">
        <f aca="false">IFERROR(__xludf.dummyfunction("REGEXEXTRACT(ADDRESS(ROW(), 36+$H324), ""[A-Z]+"")"),"#VALUE!")</f>
        <v>#VALUE!</v>
      </c>
      <c r="L324" s="18" t="str">
        <f aca="false">IFERROR(__xludf.dummyfunction("REGEXEXTRACT(ADDRESS(ROW(), 42+$H324), ""[A-Z]+"")"),"#VALUE!")</f>
        <v>#VALUE!</v>
      </c>
      <c r="M324" s="18" t="str">
        <f aca="false">IFERROR(__xludf.dummyfunction("REGEXEXTRACT(ADDRESS(ROW(), 48+$H324), ""[A-Z]+"")"),"#VALUE!")</f>
        <v>#VALUE!</v>
      </c>
      <c r="N324" s="18" t="str">
        <f aca="false">IFERROR(__xludf.dummyfunction("REGEXEXTRACT(ADDRESS(ROW(), 50+$H324), ""[A-Z]+"")"),"#VALUE!")</f>
        <v>#VALUE!</v>
      </c>
      <c r="O324" s="18" t="str">
        <f aca="false">IFERROR(__xludf.dummyfunction("REGEXEXTRACT(ADDRESS(ROW(), 51+$H324), ""[A-Z]+"")"),"#VALUE!")</f>
        <v>#VALUE!</v>
      </c>
      <c r="P324" s="18" t="str">
        <f aca="false">IFERROR(__xludf.dummyfunction("REGEXEXTRACT(ADDRESS(ROW(), 54+$H324), ""[A-Z]+"")"),"#VALUE!")</f>
        <v>#VALUE!</v>
      </c>
      <c r="Q324" s="18" t="str">
        <f aca="false">IFERROR(__xludf.dummyfunction("REGEXEXTRACT(ADDRESS(ROW(), 59+$H324), ""[A-Z]+"")"),"#VALUE!")</f>
        <v>#VALUE!</v>
      </c>
      <c r="R324" s="18" t="str">
        <f aca="false">IFERROR(__xludf.dummyfunction("REGEXEXTRACT(ADDRESS(ROW(), 60+$H324), ""[A-Z]+"")"),"#VALUE!")</f>
        <v>#VALUE!</v>
      </c>
      <c r="S324" s="18" t="str">
        <f aca="false">IFERROR(__xludf.dummyfunction("REGEXEXTRACT(ADDRESS(ROW(), 62+$H324), ""[A-Z]+"")"),"#VALUE!")</f>
        <v>#VALUE!</v>
      </c>
      <c r="T324" s="18" t="str">
        <f aca="false">IFERROR(__xludf.dummyfunction("REGEXEXTRACT(ADDRESS(ROW(), 63+$H324), ""[A-Z]+"")"),"#VALUE!")</f>
        <v>#VALUE!</v>
      </c>
      <c r="U324" s="19" t="str">
        <f aca="false">IFERROR(__xludf.dummyfunction("IFERROR(QUERY(INDIRECT(""'""&amp;F324&amp;""'!C3:""&amp;T324&amp;""""), ""SELECT ""&amp;I324&amp;"", ""&amp;J324&amp;"", ""&amp;K324&amp;"", ""&amp;L324&amp;"", ""&amp;M324&amp;"", ""&amp;N324&amp;"", ""&amp;O324&amp;"", ""&amp;P324&amp;"", ""&amp;Q324&amp;"", ""&amp;R324&amp;"", ""&amp;S324&amp;"" WHERE '""&amp;B324&amp;""' = D"", 0), """")"),"")</f>
        <v/>
      </c>
      <c r="V324" s="22"/>
      <c r="W324" s="22"/>
      <c r="X324" s="22"/>
      <c r="Y324" s="22"/>
      <c r="Z324" s="22"/>
      <c r="AA324" s="22"/>
      <c r="AB324" s="22"/>
      <c r="AC324" s="22"/>
      <c r="AD324" s="23"/>
      <c r="AE324" s="24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</row>
    <row r="325" customFormat="false" ht="18.65" hidden="false" customHeight="false" outlineLevel="0" collapsed="false">
      <c r="A325" s="13"/>
      <c r="B325" s="26"/>
      <c r="C325" s="15"/>
      <c r="D325" s="16"/>
      <c r="E325" s="16"/>
      <c r="F325" s="16" t="str">
        <f aca="false">REPLACE(E325, 1, 3, "")</f>
        <v/>
      </c>
      <c r="G325" s="17" t="str">
        <f aca="true">IFERROR(VLOOKUP(B325,INDIRECT("'"&amp;F325&amp;"'!D3:D"),1,FALSE()), "Not found")</f>
        <v>Not found</v>
      </c>
      <c r="H325" s="25" t="e">
        <f aca="true">INDIRECT("'"&amp;F325&amp;"'!D1")</f>
        <v>#REF!</v>
      </c>
      <c r="I325" s="18" t="str">
        <f aca="false">IFERROR(__xludf.dummyfunction("REGEXEXTRACT(ADDRESS(ROW(), 24+$H325), ""[A-Z]+"")"),"#VALUE!")</f>
        <v>#VALUE!</v>
      </c>
      <c r="J325" s="18" t="str">
        <f aca="false">IFERROR(__xludf.dummyfunction("REGEXEXTRACT(ADDRESS(ROW(), 30+$H325), ""[A-Z]+"")"),"#VALUE!")</f>
        <v>#VALUE!</v>
      </c>
      <c r="K325" s="18" t="str">
        <f aca="false">IFERROR(__xludf.dummyfunction("REGEXEXTRACT(ADDRESS(ROW(), 36+$H325), ""[A-Z]+"")"),"#VALUE!")</f>
        <v>#VALUE!</v>
      </c>
      <c r="L325" s="18" t="str">
        <f aca="false">IFERROR(__xludf.dummyfunction("REGEXEXTRACT(ADDRESS(ROW(), 42+$H325), ""[A-Z]+"")"),"#VALUE!")</f>
        <v>#VALUE!</v>
      </c>
      <c r="M325" s="18" t="str">
        <f aca="false">IFERROR(__xludf.dummyfunction("REGEXEXTRACT(ADDRESS(ROW(), 48+$H325), ""[A-Z]+"")"),"#VALUE!")</f>
        <v>#VALUE!</v>
      </c>
      <c r="N325" s="18" t="str">
        <f aca="false">IFERROR(__xludf.dummyfunction("REGEXEXTRACT(ADDRESS(ROW(), 50+$H325), ""[A-Z]+"")"),"#VALUE!")</f>
        <v>#VALUE!</v>
      </c>
      <c r="O325" s="18" t="str">
        <f aca="false">IFERROR(__xludf.dummyfunction("REGEXEXTRACT(ADDRESS(ROW(), 51+$H325), ""[A-Z]+"")"),"#VALUE!")</f>
        <v>#VALUE!</v>
      </c>
      <c r="P325" s="18" t="str">
        <f aca="false">IFERROR(__xludf.dummyfunction("REGEXEXTRACT(ADDRESS(ROW(), 54+$H325), ""[A-Z]+"")"),"#VALUE!")</f>
        <v>#VALUE!</v>
      </c>
      <c r="Q325" s="18" t="str">
        <f aca="false">IFERROR(__xludf.dummyfunction("REGEXEXTRACT(ADDRESS(ROW(), 59+$H325), ""[A-Z]+"")"),"#VALUE!")</f>
        <v>#VALUE!</v>
      </c>
      <c r="R325" s="18" t="str">
        <f aca="false">IFERROR(__xludf.dummyfunction("REGEXEXTRACT(ADDRESS(ROW(), 60+$H325), ""[A-Z]+"")"),"#VALUE!")</f>
        <v>#VALUE!</v>
      </c>
      <c r="S325" s="18" t="str">
        <f aca="false">IFERROR(__xludf.dummyfunction("REGEXEXTRACT(ADDRESS(ROW(), 62+$H325), ""[A-Z]+"")"),"#VALUE!")</f>
        <v>#VALUE!</v>
      </c>
      <c r="T325" s="18" t="str">
        <f aca="false">IFERROR(__xludf.dummyfunction("REGEXEXTRACT(ADDRESS(ROW(), 63+$H325), ""[A-Z]+"")"),"#VALUE!")</f>
        <v>#VALUE!</v>
      </c>
      <c r="U325" s="19" t="str">
        <f aca="false">IFERROR(__xludf.dummyfunction("IFERROR(QUERY(INDIRECT(""'""&amp;F325&amp;""'!C3:""&amp;T325&amp;""""), ""SELECT ""&amp;I325&amp;"", ""&amp;J325&amp;"", ""&amp;K325&amp;"", ""&amp;L325&amp;"", ""&amp;M325&amp;"", ""&amp;N325&amp;"", ""&amp;O325&amp;"", ""&amp;P325&amp;"", ""&amp;Q325&amp;"", ""&amp;R325&amp;"", ""&amp;S325&amp;"" WHERE '""&amp;B325&amp;""' = D"", 0), """")"),"")</f>
        <v/>
      </c>
      <c r="V325" s="22"/>
      <c r="W325" s="22"/>
      <c r="X325" s="22"/>
      <c r="Y325" s="22"/>
      <c r="Z325" s="22"/>
      <c r="AA325" s="22"/>
      <c r="AB325" s="22"/>
      <c r="AC325" s="22"/>
      <c r="AD325" s="23"/>
      <c r="AE325" s="24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</row>
    <row r="326" customFormat="false" ht="18.65" hidden="false" customHeight="false" outlineLevel="0" collapsed="false">
      <c r="A326" s="13"/>
      <c r="B326" s="26"/>
      <c r="C326" s="15"/>
      <c r="D326" s="16"/>
      <c r="E326" s="16"/>
      <c r="F326" s="16" t="str">
        <f aca="false">REPLACE(E326, 1, 3, "")</f>
        <v/>
      </c>
      <c r="G326" s="17" t="str">
        <f aca="true">IFERROR(VLOOKUP(B326,INDIRECT("'"&amp;F326&amp;"'!D3:D"),1,FALSE()), "Not found")</f>
        <v>Not found</v>
      </c>
      <c r="H326" s="25" t="e">
        <f aca="true">INDIRECT("'"&amp;F326&amp;"'!D1")</f>
        <v>#REF!</v>
      </c>
      <c r="I326" s="18" t="str">
        <f aca="false">IFERROR(__xludf.dummyfunction("REGEXEXTRACT(ADDRESS(ROW(), 24+$H326), ""[A-Z]+"")"),"#VALUE!")</f>
        <v>#VALUE!</v>
      </c>
      <c r="J326" s="18" t="str">
        <f aca="false">IFERROR(__xludf.dummyfunction("REGEXEXTRACT(ADDRESS(ROW(), 30+$H326), ""[A-Z]+"")"),"#VALUE!")</f>
        <v>#VALUE!</v>
      </c>
      <c r="K326" s="18" t="str">
        <f aca="false">IFERROR(__xludf.dummyfunction("REGEXEXTRACT(ADDRESS(ROW(), 36+$H326), ""[A-Z]+"")"),"#VALUE!")</f>
        <v>#VALUE!</v>
      </c>
      <c r="L326" s="18" t="str">
        <f aca="false">IFERROR(__xludf.dummyfunction("REGEXEXTRACT(ADDRESS(ROW(), 42+$H326), ""[A-Z]+"")"),"#VALUE!")</f>
        <v>#VALUE!</v>
      </c>
      <c r="M326" s="18" t="str">
        <f aca="false">IFERROR(__xludf.dummyfunction("REGEXEXTRACT(ADDRESS(ROW(), 48+$H326), ""[A-Z]+"")"),"#VALUE!")</f>
        <v>#VALUE!</v>
      </c>
      <c r="N326" s="18" t="str">
        <f aca="false">IFERROR(__xludf.dummyfunction("REGEXEXTRACT(ADDRESS(ROW(), 50+$H326), ""[A-Z]+"")"),"#VALUE!")</f>
        <v>#VALUE!</v>
      </c>
      <c r="O326" s="18" t="str">
        <f aca="false">IFERROR(__xludf.dummyfunction("REGEXEXTRACT(ADDRESS(ROW(), 51+$H326), ""[A-Z]+"")"),"#VALUE!")</f>
        <v>#VALUE!</v>
      </c>
      <c r="P326" s="18" t="str">
        <f aca="false">IFERROR(__xludf.dummyfunction("REGEXEXTRACT(ADDRESS(ROW(), 54+$H326), ""[A-Z]+"")"),"#VALUE!")</f>
        <v>#VALUE!</v>
      </c>
      <c r="Q326" s="18" t="str">
        <f aca="false">IFERROR(__xludf.dummyfunction("REGEXEXTRACT(ADDRESS(ROW(), 59+$H326), ""[A-Z]+"")"),"#VALUE!")</f>
        <v>#VALUE!</v>
      </c>
      <c r="R326" s="18" t="str">
        <f aca="false">IFERROR(__xludf.dummyfunction("REGEXEXTRACT(ADDRESS(ROW(), 60+$H326), ""[A-Z]+"")"),"#VALUE!")</f>
        <v>#VALUE!</v>
      </c>
      <c r="S326" s="18" t="str">
        <f aca="false">IFERROR(__xludf.dummyfunction("REGEXEXTRACT(ADDRESS(ROW(), 62+$H326), ""[A-Z]+"")"),"#VALUE!")</f>
        <v>#VALUE!</v>
      </c>
      <c r="T326" s="18" t="str">
        <f aca="false">IFERROR(__xludf.dummyfunction("REGEXEXTRACT(ADDRESS(ROW(), 63+$H326), ""[A-Z]+"")"),"#VALUE!")</f>
        <v>#VALUE!</v>
      </c>
      <c r="U326" s="19" t="str">
        <f aca="false">IFERROR(__xludf.dummyfunction("IFERROR(QUERY(INDIRECT(""'""&amp;F326&amp;""'!C3:""&amp;T326&amp;""""), ""SELECT ""&amp;I326&amp;"", ""&amp;J326&amp;"", ""&amp;K326&amp;"", ""&amp;L326&amp;"", ""&amp;M326&amp;"", ""&amp;N326&amp;"", ""&amp;O326&amp;"", ""&amp;P326&amp;"", ""&amp;Q326&amp;"", ""&amp;R326&amp;"", ""&amp;S326&amp;"" WHERE '""&amp;B326&amp;""' = D"", 0), """")"),"")</f>
        <v/>
      </c>
      <c r="V326" s="22"/>
      <c r="W326" s="22"/>
      <c r="X326" s="22"/>
      <c r="Y326" s="22"/>
      <c r="Z326" s="22"/>
      <c r="AA326" s="22"/>
      <c r="AB326" s="22"/>
      <c r="AC326" s="22"/>
      <c r="AD326" s="23"/>
      <c r="AE326" s="24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</row>
    <row r="327" customFormat="false" ht="18.65" hidden="false" customHeight="false" outlineLevel="0" collapsed="false">
      <c r="A327" s="13"/>
      <c r="B327" s="26"/>
      <c r="C327" s="15"/>
      <c r="D327" s="16"/>
      <c r="E327" s="16"/>
      <c r="F327" s="16" t="str">
        <f aca="false">REPLACE(E327, 1, 3, "")</f>
        <v/>
      </c>
      <c r="G327" s="17" t="str">
        <f aca="true">IFERROR(VLOOKUP(B327,INDIRECT("'"&amp;F327&amp;"'!D3:D"),1,FALSE()), "Not found")</f>
        <v>Not found</v>
      </c>
      <c r="H327" s="25" t="e">
        <f aca="true">INDIRECT("'"&amp;F327&amp;"'!D1")</f>
        <v>#REF!</v>
      </c>
      <c r="I327" s="18" t="str">
        <f aca="false">IFERROR(__xludf.dummyfunction("REGEXEXTRACT(ADDRESS(ROW(), 24+$H327), ""[A-Z]+"")"),"#VALUE!")</f>
        <v>#VALUE!</v>
      </c>
      <c r="J327" s="18" t="str">
        <f aca="false">IFERROR(__xludf.dummyfunction("REGEXEXTRACT(ADDRESS(ROW(), 30+$H327), ""[A-Z]+"")"),"#VALUE!")</f>
        <v>#VALUE!</v>
      </c>
      <c r="K327" s="18" t="str">
        <f aca="false">IFERROR(__xludf.dummyfunction("REGEXEXTRACT(ADDRESS(ROW(), 36+$H327), ""[A-Z]+"")"),"#VALUE!")</f>
        <v>#VALUE!</v>
      </c>
      <c r="L327" s="18" t="str">
        <f aca="false">IFERROR(__xludf.dummyfunction("REGEXEXTRACT(ADDRESS(ROW(), 42+$H327), ""[A-Z]+"")"),"#VALUE!")</f>
        <v>#VALUE!</v>
      </c>
      <c r="M327" s="18" t="str">
        <f aca="false">IFERROR(__xludf.dummyfunction("REGEXEXTRACT(ADDRESS(ROW(), 48+$H327), ""[A-Z]+"")"),"#VALUE!")</f>
        <v>#VALUE!</v>
      </c>
      <c r="N327" s="18" t="str">
        <f aca="false">IFERROR(__xludf.dummyfunction("REGEXEXTRACT(ADDRESS(ROW(), 50+$H327), ""[A-Z]+"")"),"#VALUE!")</f>
        <v>#VALUE!</v>
      </c>
      <c r="O327" s="18" t="str">
        <f aca="false">IFERROR(__xludf.dummyfunction("REGEXEXTRACT(ADDRESS(ROW(), 51+$H327), ""[A-Z]+"")"),"#VALUE!")</f>
        <v>#VALUE!</v>
      </c>
      <c r="P327" s="18" t="str">
        <f aca="false">IFERROR(__xludf.dummyfunction("REGEXEXTRACT(ADDRESS(ROW(), 54+$H327), ""[A-Z]+"")"),"#VALUE!")</f>
        <v>#VALUE!</v>
      </c>
      <c r="Q327" s="18" t="str">
        <f aca="false">IFERROR(__xludf.dummyfunction("REGEXEXTRACT(ADDRESS(ROW(), 59+$H327), ""[A-Z]+"")"),"#VALUE!")</f>
        <v>#VALUE!</v>
      </c>
      <c r="R327" s="18" t="str">
        <f aca="false">IFERROR(__xludf.dummyfunction("REGEXEXTRACT(ADDRESS(ROW(), 60+$H327), ""[A-Z]+"")"),"#VALUE!")</f>
        <v>#VALUE!</v>
      </c>
      <c r="S327" s="18" t="str">
        <f aca="false">IFERROR(__xludf.dummyfunction("REGEXEXTRACT(ADDRESS(ROW(), 62+$H327), ""[A-Z]+"")"),"#VALUE!")</f>
        <v>#VALUE!</v>
      </c>
      <c r="T327" s="18" t="str">
        <f aca="false">IFERROR(__xludf.dummyfunction("REGEXEXTRACT(ADDRESS(ROW(), 63+$H327), ""[A-Z]+"")"),"#VALUE!")</f>
        <v>#VALUE!</v>
      </c>
      <c r="U327" s="19" t="str">
        <f aca="false">IFERROR(__xludf.dummyfunction("IFERROR(QUERY(INDIRECT(""'""&amp;F327&amp;""'!C3:""&amp;T327&amp;""""), ""SELECT ""&amp;I327&amp;"", ""&amp;J327&amp;"", ""&amp;K327&amp;"", ""&amp;L327&amp;"", ""&amp;M327&amp;"", ""&amp;N327&amp;"", ""&amp;O327&amp;"", ""&amp;P327&amp;"", ""&amp;Q327&amp;"", ""&amp;R327&amp;"", ""&amp;S327&amp;"" WHERE '""&amp;B327&amp;""' = D"", 0), """")"),"")</f>
        <v/>
      </c>
      <c r="V327" s="22"/>
      <c r="W327" s="22"/>
      <c r="X327" s="22"/>
      <c r="Y327" s="22"/>
      <c r="Z327" s="22"/>
      <c r="AA327" s="22"/>
      <c r="AB327" s="22"/>
      <c r="AC327" s="22"/>
      <c r="AD327" s="23"/>
      <c r="AE327" s="24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</row>
    <row r="328" customFormat="false" ht="18.65" hidden="false" customHeight="false" outlineLevel="0" collapsed="false">
      <c r="A328" s="13"/>
      <c r="B328" s="26"/>
      <c r="C328" s="15"/>
      <c r="D328" s="16"/>
      <c r="E328" s="16"/>
      <c r="F328" s="16" t="str">
        <f aca="false">REPLACE(E328, 1, 3, "")</f>
        <v/>
      </c>
      <c r="G328" s="17" t="str">
        <f aca="true">IFERROR(VLOOKUP(B328,INDIRECT("'"&amp;F328&amp;"'!D3:D"),1,FALSE()), "Not found")</f>
        <v>Not found</v>
      </c>
      <c r="H328" s="25" t="e">
        <f aca="true">INDIRECT("'"&amp;F328&amp;"'!D1")</f>
        <v>#REF!</v>
      </c>
      <c r="I328" s="18" t="str">
        <f aca="false">IFERROR(__xludf.dummyfunction("REGEXEXTRACT(ADDRESS(ROW(), 24+$H328), ""[A-Z]+"")"),"#VALUE!")</f>
        <v>#VALUE!</v>
      </c>
      <c r="J328" s="18" t="str">
        <f aca="false">IFERROR(__xludf.dummyfunction("REGEXEXTRACT(ADDRESS(ROW(), 30+$H328), ""[A-Z]+"")"),"#VALUE!")</f>
        <v>#VALUE!</v>
      </c>
      <c r="K328" s="18" t="str">
        <f aca="false">IFERROR(__xludf.dummyfunction("REGEXEXTRACT(ADDRESS(ROW(), 36+$H328), ""[A-Z]+"")"),"#VALUE!")</f>
        <v>#VALUE!</v>
      </c>
      <c r="L328" s="18" t="str">
        <f aca="false">IFERROR(__xludf.dummyfunction("REGEXEXTRACT(ADDRESS(ROW(), 42+$H328), ""[A-Z]+"")"),"#VALUE!")</f>
        <v>#VALUE!</v>
      </c>
      <c r="M328" s="18" t="str">
        <f aca="false">IFERROR(__xludf.dummyfunction("REGEXEXTRACT(ADDRESS(ROW(), 48+$H328), ""[A-Z]+"")"),"#VALUE!")</f>
        <v>#VALUE!</v>
      </c>
      <c r="N328" s="18" t="str">
        <f aca="false">IFERROR(__xludf.dummyfunction("REGEXEXTRACT(ADDRESS(ROW(), 50+$H328), ""[A-Z]+"")"),"#VALUE!")</f>
        <v>#VALUE!</v>
      </c>
      <c r="O328" s="18" t="str">
        <f aca="false">IFERROR(__xludf.dummyfunction("REGEXEXTRACT(ADDRESS(ROW(), 51+$H328), ""[A-Z]+"")"),"#VALUE!")</f>
        <v>#VALUE!</v>
      </c>
      <c r="P328" s="18" t="str">
        <f aca="false">IFERROR(__xludf.dummyfunction("REGEXEXTRACT(ADDRESS(ROW(), 54+$H328), ""[A-Z]+"")"),"#VALUE!")</f>
        <v>#VALUE!</v>
      </c>
      <c r="Q328" s="18" t="str">
        <f aca="false">IFERROR(__xludf.dummyfunction("REGEXEXTRACT(ADDRESS(ROW(), 59+$H328), ""[A-Z]+"")"),"#VALUE!")</f>
        <v>#VALUE!</v>
      </c>
      <c r="R328" s="18" t="str">
        <f aca="false">IFERROR(__xludf.dummyfunction("REGEXEXTRACT(ADDRESS(ROW(), 60+$H328), ""[A-Z]+"")"),"#VALUE!")</f>
        <v>#VALUE!</v>
      </c>
      <c r="S328" s="18" t="str">
        <f aca="false">IFERROR(__xludf.dummyfunction("REGEXEXTRACT(ADDRESS(ROW(), 62+$H328), ""[A-Z]+"")"),"#VALUE!")</f>
        <v>#VALUE!</v>
      </c>
      <c r="T328" s="18" t="str">
        <f aca="false">IFERROR(__xludf.dummyfunction("REGEXEXTRACT(ADDRESS(ROW(), 63+$H328), ""[A-Z]+"")"),"#VALUE!")</f>
        <v>#VALUE!</v>
      </c>
      <c r="U328" s="19" t="str">
        <f aca="false">IFERROR(__xludf.dummyfunction("IFERROR(QUERY(INDIRECT(""'""&amp;F328&amp;""'!C3:""&amp;T328&amp;""""), ""SELECT ""&amp;I328&amp;"", ""&amp;J328&amp;"", ""&amp;K328&amp;"", ""&amp;L328&amp;"", ""&amp;M328&amp;"", ""&amp;N328&amp;"", ""&amp;O328&amp;"", ""&amp;P328&amp;"", ""&amp;Q328&amp;"", ""&amp;R328&amp;"", ""&amp;S328&amp;"" WHERE '""&amp;B328&amp;""' = D"", 0), """")"),"")</f>
        <v/>
      </c>
      <c r="V328" s="22"/>
      <c r="W328" s="22"/>
      <c r="X328" s="22"/>
      <c r="Y328" s="22"/>
      <c r="Z328" s="22"/>
      <c r="AA328" s="22"/>
      <c r="AB328" s="22"/>
      <c r="AC328" s="22"/>
      <c r="AD328" s="23"/>
      <c r="AE328" s="24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</row>
    <row r="329" customFormat="false" ht="18.65" hidden="false" customHeight="false" outlineLevel="0" collapsed="false">
      <c r="A329" s="13"/>
      <c r="B329" s="26"/>
      <c r="C329" s="15"/>
      <c r="D329" s="16"/>
      <c r="E329" s="16"/>
      <c r="F329" s="16" t="str">
        <f aca="false">REPLACE(E329, 1, 3, "")</f>
        <v/>
      </c>
      <c r="G329" s="17" t="str">
        <f aca="true">IFERROR(VLOOKUP(B329,INDIRECT("'"&amp;F329&amp;"'!D3:D"),1,FALSE()), "Not found")</f>
        <v>Not found</v>
      </c>
      <c r="H329" s="25" t="e">
        <f aca="true">INDIRECT("'"&amp;F329&amp;"'!D1")</f>
        <v>#REF!</v>
      </c>
      <c r="I329" s="18" t="str">
        <f aca="false">IFERROR(__xludf.dummyfunction("REGEXEXTRACT(ADDRESS(ROW(), 24+$H329), ""[A-Z]+"")"),"#VALUE!")</f>
        <v>#VALUE!</v>
      </c>
      <c r="J329" s="18" t="str">
        <f aca="false">IFERROR(__xludf.dummyfunction("REGEXEXTRACT(ADDRESS(ROW(), 30+$H329), ""[A-Z]+"")"),"#VALUE!")</f>
        <v>#VALUE!</v>
      </c>
      <c r="K329" s="18" t="str">
        <f aca="false">IFERROR(__xludf.dummyfunction("REGEXEXTRACT(ADDRESS(ROW(), 36+$H329), ""[A-Z]+"")"),"#VALUE!")</f>
        <v>#VALUE!</v>
      </c>
      <c r="L329" s="18" t="str">
        <f aca="false">IFERROR(__xludf.dummyfunction("REGEXEXTRACT(ADDRESS(ROW(), 42+$H329), ""[A-Z]+"")"),"#VALUE!")</f>
        <v>#VALUE!</v>
      </c>
      <c r="M329" s="18" t="str">
        <f aca="false">IFERROR(__xludf.dummyfunction("REGEXEXTRACT(ADDRESS(ROW(), 48+$H329), ""[A-Z]+"")"),"#VALUE!")</f>
        <v>#VALUE!</v>
      </c>
      <c r="N329" s="18" t="str">
        <f aca="false">IFERROR(__xludf.dummyfunction("REGEXEXTRACT(ADDRESS(ROW(), 50+$H329), ""[A-Z]+"")"),"#VALUE!")</f>
        <v>#VALUE!</v>
      </c>
      <c r="O329" s="18" t="str">
        <f aca="false">IFERROR(__xludf.dummyfunction("REGEXEXTRACT(ADDRESS(ROW(), 51+$H329), ""[A-Z]+"")"),"#VALUE!")</f>
        <v>#VALUE!</v>
      </c>
      <c r="P329" s="18" t="str">
        <f aca="false">IFERROR(__xludf.dummyfunction("REGEXEXTRACT(ADDRESS(ROW(), 54+$H329), ""[A-Z]+"")"),"#VALUE!")</f>
        <v>#VALUE!</v>
      </c>
      <c r="Q329" s="18" t="str">
        <f aca="false">IFERROR(__xludf.dummyfunction("REGEXEXTRACT(ADDRESS(ROW(), 59+$H329), ""[A-Z]+"")"),"#VALUE!")</f>
        <v>#VALUE!</v>
      </c>
      <c r="R329" s="18" t="str">
        <f aca="false">IFERROR(__xludf.dummyfunction("REGEXEXTRACT(ADDRESS(ROW(), 60+$H329), ""[A-Z]+"")"),"#VALUE!")</f>
        <v>#VALUE!</v>
      </c>
      <c r="S329" s="18" t="str">
        <f aca="false">IFERROR(__xludf.dummyfunction("REGEXEXTRACT(ADDRESS(ROW(), 62+$H329), ""[A-Z]+"")"),"#VALUE!")</f>
        <v>#VALUE!</v>
      </c>
      <c r="T329" s="18" t="str">
        <f aca="false">IFERROR(__xludf.dummyfunction("REGEXEXTRACT(ADDRESS(ROW(), 63+$H329), ""[A-Z]+"")"),"#VALUE!")</f>
        <v>#VALUE!</v>
      </c>
      <c r="U329" s="19" t="str">
        <f aca="false">IFERROR(__xludf.dummyfunction("IFERROR(QUERY(INDIRECT(""'""&amp;F329&amp;""'!C3:""&amp;T329&amp;""""), ""SELECT ""&amp;I329&amp;"", ""&amp;J329&amp;"", ""&amp;K329&amp;"", ""&amp;L329&amp;"", ""&amp;M329&amp;"", ""&amp;N329&amp;"", ""&amp;O329&amp;"", ""&amp;P329&amp;"", ""&amp;Q329&amp;"", ""&amp;R329&amp;"", ""&amp;S329&amp;"" WHERE '""&amp;B329&amp;""' = D"", 0), """")"),"")</f>
        <v/>
      </c>
      <c r="V329" s="22"/>
      <c r="W329" s="22"/>
      <c r="X329" s="22"/>
      <c r="Y329" s="22"/>
      <c r="Z329" s="22"/>
      <c r="AA329" s="22"/>
      <c r="AB329" s="22"/>
      <c r="AC329" s="22"/>
      <c r="AD329" s="23"/>
      <c r="AE329" s="24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</row>
    <row r="330" customFormat="false" ht="18.65" hidden="false" customHeight="false" outlineLevel="0" collapsed="false">
      <c r="A330" s="13"/>
      <c r="B330" s="26"/>
      <c r="C330" s="15"/>
      <c r="D330" s="16"/>
      <c r="E330" s="16"/>
      <c r="F330" s="16" t="str">
        <f aca="false">REPLACE(E330, 1, 3, "")</f>
        <v/>
      </c>
      <c r="G330" s="17" t="str">
        <f aca="true">IFERROR(VLOOKUP(B330,INDIRECT("'"&amp;F330&amp;"'!D3:D"),1,FALSE()), "Not found")</f>
        <v>Not found</v>
      </c>
      <c r="H330" s="25" t="e">
        <f aca="true">INDIRECT("'"&amp;F330&amp;"'!D1")</f>
        <v>#REF!</v>
      </c>
      <c r="I330" s="18" t="str">
        <f aca="false">IFERROR(__xludf.dummyfunction("REGEXEXTRACT(ADDRESS(ROW(), 24+$H330), ""[A-Z]+"")"),"#VALUE!")</f>
        <v>#VALUE!</v>
      </c>
      <c r="J330" s="18" t="str">
        <f aca="false">IFERROR(__xludf.dummyfunction("REGEXEXTRACT(ADDRESS(ROW(), 30+$H330), ""[A-Z]+"")"),"#VALUE!")</f>
        <v>#VALUE!</v>
      </c>
      <c r="K330" s="18" t="str">
        <f aca="false">IFERROR(__xludf.dummyfunction("REGEXEXTRACT(ADDRESS(ROW(), 36+$H330), ""[A-Z]+"")"),"#VALUE!")</f>
        <v>#VALUE!</v>
      </c>
      <c r="L330" s="18" t="str">
        <f aca="false">IFERROR(__xludf.dummyfunction("REGEXEXTRACT(ADDRESS(ROW(), 42+$H330), ""[A-Z]+"")"),"#VALUE!")</f>
        <v>#VALUE!</v>
      </c>
      <c r="M330" s="18" t="str">
        <f aca="false">IFERROR(__xludf.dummyfunction("REGEXEXTRACT(ADDRESS(ROW(), 48+$H330), ""[A-Z]+"")"),"#VALUE!")</f>
        <v>#VALUE!</v>
      </c>
      <c r="N330" s="18" t="str">
        <f aca="false">IFERROR(__xludf.dummyfunction("REGEXEXTRACT(ADDRESS(ROW(), 50+$H330), ""[A-Z]+"")"),"#VALUE!")</f>
        <v>#VALUE!</v>
      </c>
      <c r="O330" s="18" t="str">
        <f aca="false">IFERROR(__xludf.dummyfunction("REGEXEXTRACT(ADDRESS(ROW(), 51+$H330), ""[A-Z]+"")"),"#VALUE!")</f>
        <v>#VALUE!</v>
      </c>
      <c r="P330" s="18" t="str">
        <f aca="false">IFERROR(__xludf.dummyfunction("REGEXEXTRACT(ADDRESS(ROW(), 54+$H330), ""[A-Z]+"")"),"#VALUE!")</f>
        <v>#VALUE!</v>
      </c>
      <c r="Q330" s="18" t="str">
        <f aca="false">IFERROR(__xludf.dummyfunction("REGEXEXTRACT(ADDRESS(ROW(), 59+$H330), ""[A-Z]+"")"),"#VALUE!")</f>
        <v>#VALUE!</v>
      </c>
      <c r="R330" s="18" t="str">
        <f aca="false">IFERROR(__xludf.dummyfunction("REGEXEXTRACT(ADDRESS(ROW(), 60+$H330), ""[A-Z]+"")"),"#VALUE!")</f>
        <v>#VALUE!</v>
      </c>
      <c r="S330" s="18" t="str">
        <f aca="false">IFERROR(__xludf.dummyfunction("REGEXEXTRACT(ADDRESS(ROW(), 62+$H330), ""[A-Z]+"")"),"#VALUE!")</f>
        <v>#VALUE!</v>
      </c>
      <c r="T330" s="18" t="str">
        <f aca="false">IFERROR(__xludf.dummyfunction("REGEXEXTRACT(ADDRESS(ROW(), 63+$H330), ""[A-Z]+"")"),"#VALUE!")</f>
        <v>#VALUE!</v>
      </c>
      <c r="U330" s="19" t="str">
        <f aca="false">IFERROR(__xludf.dummyfunction("IFERROR(QUERY(INDIRECT(""'""&amp;F330&amp;""'!C3:""&amp;T330&amp;""""), ""SELECT ""&amp;I330&amp;"", ""&amp;J330&amp;"", ""&amp;K330&amp;"", ""&amp;L330&amp;"", ""&amp;M330&amp;"", ""&amp;N330&amp;"", ""&amp;O330&amp;"", ""&amp;P330&amp;"", ""&amp;Q330&amp;"", ""&amp;R330&amp;"", ""&amp;S330&amp;"" WHERE '""&amp;B330&amp;""' = D"", 0), """")"),"")</f>
        <v/>
      </c>
      <c r="V330" s="22"/>
      <c r="W330" s="22"/>
      <c r="X330" s="22"/>
      <c r="Y330" s="22"/>
      <c r="Z330" s="22"/>
      <c r="AA330" s="22"/>
      <c r="AB330" s="22"/>
      <c r="AC330" s="22"/>
      <c r="AD330" s="23"/>
      <c r="AE330" s="24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</row>
    <row r="331" customFormat="false" ht="18.65" hidden="false" customHeight="false" outlineLevel="0" collapsed="false">
      <c r="A331" s="13"/>
      <c r="B331" s="26"/>
      <c r="C331" s="15"/>
      <c r="D331" s="16"/>
      <c r="E331" s="16"/>
      <c r="F331" s="16" t="str">
        <f aca="false">REPLACE(E331, 1, 3, "")</f>
        <v/>
      </c>
      <c r="G331" s="17" t="str">
        <f aca="true">IFERROR(VLOOKUP(B331,INDIRECT("'"&amp;F331&amp;"'!D3:D"),1,FALSE()), "Not found")</f>
        <v>Not found</v>
      </c>
      <c r="H331" s="25" t="e">
        <f aca="true">INDIRECT("'"&amp;F331&amp;"'!D1")</f>
        <v>#REF!</v>
      </c>
      <c r="I331" s="18" t="str">
        <f aca="false">IFERROR(__xludf.dummyfunction("REGEXEXTRACT(ADDRESS(ROW(), 24+$H331), ""[A-Z]+"")"),"#VALUE!")</f>
        <v>#VALUE!</v>
      </c>
      <c r="J331" s="18" t="str">
        <f aca="false">IFERROR(__xludf.dummyfunction("REGEXEXTRACT(ADDRESS(ROW(), 30+$H331), ""[A-Z]+"")"),"#VALUE!")</f>
        <v>#VALUE!</v>
      </c>
      <c r="K331" s="18" t="str">
        <f aca="false">IFERROR(__xludf.dummyfunction("REGEXEXTRACT(ADDRESS(ROW(), 36+$H331), ""[A-Z]+"")"),"#VALUE!")</f>
        <v>#VALUE!</v>
      </c>
      <c r="L331" s="18" t="str">
        <f aca="false">IFERROR(__xludf.dummyfunction("REGEXEXTRACT(ADDRESS(ROW(), 42+$H331), ""[A-Z]+"")"),"#VALUE!")</f>
        <v>#VALUE!</v>
      </c>
      <c r="M331" s="18" t="str">
        <f aca="false">IFERROR(__xludf.dummyfunction("REGEXEXTRACT(ADDRESS(ROW(), 48+$H331), ""[A-Z]+"")"),"#VALUE!")</f>
        <v>#VALUE!</v>
      </c>
      <c r="N331" s="18" t="str">
        <f aca="false">IFERROR(__xludf.dummyfunction("REGEXEXTRACT(ADDRESS(ROW(), 50+$H331), ""[A-Z]+"")"),"#VALUE!")</f>
        <v>#VALUE!</v>
      </c>
      <c r="O331" s="18" t="str">
        <f aca="false">IFERROR(__xludf.dummyfunction("REGEXEXTRACT(ADDRESS(ROW(), 51+$H331), ""[A-Z]+"")"),"#VALUE!")</f>
        <v>#VALUE!</v>
      </c>
      <c r="P331" s="18" t="str">
        <f aca="false">IFERROR(__xludf.dummyfunction("REGEXEXTRACT(ADDRESS(ROW(), 54+$H331), ""[A-Z]+"")"),"#VALUE!")</f>
        <v>#VALUE!</v>
      </c>
      <c r="Q331" s="18" t="str">
        <f aca="false">IFERROR(__xludf.dummyfunction("REGEXEXTRACT(ADDRESS(ROW(), 59+$H331), ""[A-Z]+"")"),"#VALUE!")</f>
        <v>#VALUE!</v>
      </c>
      <c r="R331" s="18" t="str">
        <f aca="false">IFERROR(__xludf.dummyfunction("REGEXEXTRACT(ADDRESS(ROW(), 60+$H331), ""[A-Z]+"")"),"#VALUE!")</f>
        <v>#VALUE!</v>
      </c>
      <c r="S331" s="18" t="str">
        <f aca="false">IFERROR(__xludf.dummyfunction("REGEXEXTRACT(ADDRESS(ROW(), 62+$H331), ""[A-Z]+"")"),"#VALUE!")</f>
        <v>#VALUE!</v>
      </c>
      <c r="T331" s="18" t="str">
        <f aca="false">IFERROR(__xludf.dummyfunction("REGEXEXTRACT(ADDRESS(ROW(), 63+$H331), ""[A-Z]+"")"),"#VALUE!")</f>
        <v>#VALUE!</v>
      </c>
      <c r="U331" s="19" t="str">
        <f aca="false">IFERROR(__xludf.dummyfunction("IFERROR(QUERY(INDIRECT(""'""&amp;F331&amp;""'!C3:""&amp;T331&amp;""""), ""SELECT ""&amp;I331&amp;"", ""&amp;J331&amp;"", ""&amp;K331&amp;"", ""&amp;L331&amp;"", ""&amp;M331&amp;"", ""&amp;N331&amp;"", ""&amp;O331&amp;"", ""&amp;P331&amp;"", ""&amp;Q331&amp;"", ""&amp;R331&amp;"", ""&amp;S331&amp;"" WHERE '""&amp;B331&amp;""' = D"", 0), """")"),"")</f>
        <v/>
      </c>
      <c r="V331" s="22"/>
      <c r="W331" s="22"/>
      <c r="X331" s="22"/>
      <c r="Y331" s="22"/>
      <c r="Z331" s="22"/>
      <c r="AA331" s="22"/>
      <c r="AB331" s="22"/>
      <c r="AC331" s="22"/>
      <c r="AD331" s="23"/>
      <c r="AE331" s="24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</row>
    <row r="332" customFormat="false" ht="18.65" hidden="false" customHeight="false" outlineLevel="0" collapsed="false">
      <c r="A332" s="13"/>
      <c r="B332" s="26"/>
      <c r="C332" s="15"/>
      <c r="D332" s="16"/>
      <c r="E332" s="16"/>
      <c r="F332" s="16" t="str">
        <f aca="false">REPLACE(E332, 1, 3, "")</f>
        <v/>
      </c>
      <c r="G332" s="17" t="str">
        <f aca="true">IFERROR(VLOOKUP(B332,INDIRECT("'"&amp;F332&amp;"'!D3:D"),1,FALSE()), "Not found")</f>
        <v>Not found</v>
      </c>
      <c r="H332" s="25" t="e">
        <f aca="true">INDIRECT("'"&amp;F332&amp;"'!D1")</f>
        <v>#REF!</v>
      </c>
      <c r="I332" s="18" t="str">
        <f aca="false">IFERROR(__xludf.dummyfunction("REGEXEXTRACT(ADDRESS(ROW(), 24+$H332), ""[A-Z]+"")"),"#VALUE!")</f>
        <v>#VALUE!</v>
      </c>
      <c r="J332" s="18" t="str">
        <f aca="false">IFERROR(__xludf.dummyfunction("REGEXEXTRACT(ADDRESS(ROW(), 30+$H332), ""[A-Z]+"")"),"#VALUE!")</f>
        <v>#VALUE!</v>
      </c>
      <c r="K332" s="18" t="str">
        <f aca="false">IFERROR(__xludf.dummyfunction("REGEXEXTRACT(ADDRESS(ROW(), 36+$H332), ""[A-Z]+"")"),"#VALUE!")</f>
        <v>#VALUE!</v>
      </c>
      <c r="L332" s="18" t="str">
        <f aca="false">IFERROR(__xludf.dummyfunction("REGEXEXTRACT(ADDRESS(ROW(), 42+$H332), ""[A-Z]+"")"),"#VALUE!")</f>
        <v>#VALUE!</v>
      </c>
      <c r="M332" s="18" t="str">
        <f aca="false">IFERROR(__xludf.dummyfunction("REGEXEXTRACT(ADDRESS(ROW(), 48+$H332), ""[A-Z]+"")"),"#VALUE!")</f>
        <v>#VALUE!</v>
      </c>
      <c r="N332" s="18" t="str">
        <f aca="false">IFERROR(__xludf.dummyfunction("REGEXEXTRACT(ADDRESS(ROW(), 50+$H332), ""[A-Z]+"")"),"#VALUE!")</f>
        <v>#VALUE!</v>
      </c>
      <c r="O332" s="18" t="str">
        <f aca="false">IFERROR(__xludf.dummyfunction("REGEXEXTRACT(ADDRESS(ROW(), 51+$H332), ""[A-Z]+"")"),"#VALUE!")</f>
        <v>#VALUE!</v>
      </c>
      <c r="P332" s="18" t="str">
        <f aca="false">IFERROR(__xludf.dummyfunction("REGEXEXTRACT(ADDRESS(ROW(), 54+$H332), ""[A-Z]+"")"),"#VALUE!")</f>
        <v>#VALUE!</v>
      </c>
      <c r="Q332" s="18" t="str">
        <f aca="false">IFERROR(__xludf.dummyfunction("REGEXEXTRACT(ADDRESS(ROW(), 59+$H332), ""[A-Z]+"")"),"#VALUE!")</f>
        <v>#VALUE!</v>
      </c>
      <c r="R332" s="18" t="str">
        <f aca="false">IFERROR(__xludf.dummyfunction("REGEXEXTRACT(ADDRESS(ROW(), 60+$H332), ""[A-Z]+"")"),"#VALUE!")</f>
        <v>#VALUE!</v>
      </c>
      <c r="S332" s="18" t="str">
        <f aca="false">IFERROR(__xludf.dummyfunction("REGEXEXTRACT(ADDRESS(ROW(), 62+$H332), ""[A-Z]+"")"),"#VALUE!")</f>
        <v>#VALUE!</v>
      </c>
      <c r="T332" s="18" t="str">
        <f aca="false">IFERROR(__xludf.dummyfunction("REGEXEXTRACT(ADDRESS(ROW(), 63+$H332), ""[A-Z]+"")"),"#VALUE!")</f>
        <v>#VALUE!</v>
      </c>
      <c r="U332" s="19" t="str">
        <f aca="false">IFERROR(__xludf.dummyfunction("IFERROR(QUERY(INDIRECT(""'""&amp;F332&amp;""'!C3:""&amp;T332&amp;""""), ""SELECT ""&amp;I332&amp;"", ""&amp;J332&amp;"", ""&amp;K332&amp;"", ""&amp;L332&amp;"", ""&amp;M332&amp;"", ""&amp;N332&amp;"", ""&amp;O332&amp;"", ""&amp;P332&amp;"", ""&amp;Q332&amp;"", ""&amp;R332&amp;"", ""&amp;S332&amp;"" WHERE '""&amp;B332&amp;""' = D"", 0), """")"),"")</f>
        <v/>
      </c>
      <c r="V332" s="22"/>
      <c r="W332" s="22"/>
      <c r="X332" s="22"/>
      <c r="Y332" s="22"/>
      <c r="Z332" s="22"/>
      <c r="AA332" s="22"/>
      <c r="AB332" s="22"/>
      <c r="AC332" s="22"/>
      <c r="AD332" s="23"/>
      <c r="AE332" s="24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</row>
    <row r="333" customFormat="false" ht="18.65" hidden="false" customHeight="false" outlineLevel="0" collapsed="false">
      <c r="A333" s="13"/>
      <c r="B333" s="26"/>
      <c r="C333" s="15"/>
      <c r="D333" s="16"/>
      <c r="E333" s="16"/>
      <c r="F333" s="16" t="str">
        <f aca="false">REPLACE(E333, 1, 3, "")</f>
        <v/>
      </c>
      <c r="G333" s="17" t="str">
        <f aca="true">IFERROR(VLOOKUP(B333,INDIRECT("'"&amp;F333&amp;"'!D3:D"),1,FALSE()), "Not found")</f>
        <v>Not found</v>
      </c>
      <c r="H333" s="25" t="e">
        <f aca="true">INDIRECT("'"&amp;F333&amp;"'!D1")</f>
        <v>#REF!</v>
      </c>
      <c r="I333" s="18" t="str">
        <f aca="false">IFERROR(__xludf.dummyfunction("REGEXEXTRACT(ADDRESS(ROW(), 24+$H333), ""[A-Z]+"")"),"#VALUE!")</f>
        <v>#VALUE!</v>
      </c>
      <c r="J333" s="18" t="str">
        <f aca="false">IFERROR(__xludf.dummyfunction("REGEXEXTRACT(ADDRESS(ROW(), 30+$H333), ""[A-Z]+"")"),"#VALUE!")</f>
        <v>#VALUE!</v>
      </c>
      <c r="K333" s="18" t="str">
        <f aca="false">IFERROR(__xludf.dummyfunction("REGEXEXTRACT(ADDRESS(ROW(), 36+$H333), ""[A-Z]+"")"),"#VALUE!")</f>
        <v>#VALUE!</v>
      </c>
      <c r="L333" s="18" t="str">
        <f aca="false">IFERROR(__xludf.dummyfunction("REGEXEXTRACT(ADDRESS(ROW(), 42+$H333), ""[A-Z]+"")"),"#VALUE!")</f>
        <v>#VALUE!</v>
      </c>
      <c r="M333" s="18" t="str">
        <f aca="false">IFERROR(__xludf.dummyfunction("REGEXEXTRACT(ADDRESS(ROW(), 48+$H333), ""[A-Z]+"")"),"#VALUE!")</f>
        <v>#VALUE!</v>
      </c>
      <c r="N333" s="18" t="str">
        <f aca="false">IFERROR(__xludf.dummyfunction("REGEXEXTRACT(ADDRESS(ROW(), 50+$H333), ""[A-Z]+"")"),"#VALUE!")</f>
        <v>#VALUE!</v>
      </c>
      <c r="O333" s="18" t="str">
        <f aca="false">IFERROR(__xludf.dummyfunction("REGEXEXTRACT(ADDRESS(ROW(), 51+$H333), ""[A-Z]+"")"),"#VALUE!")</f>
        <v>#VALUE!</v>
      </c>
      <c r="P333" s="18" t="str">
        <f aca="false">IFERROR(__xludf.dummyfunction("REGEXEXTRACT(ADDRESS(ROW(), 54+$H333), ""[A-Z]+"")"),"#VALUE!")</f>
        <v>#VALUE!</v>
      </c>
      <c r="Q333" s="18" t="str">
        <f aca="false">IFERROR(__xludf.dummyfunction("REGEXEXTRACT(ADDRESS(ROW(), 59+$H333), ""[A-Z]+"")"),"#VALUE!")</f>
        <v>#VALUE!</v>
      </c>
      <c r="R333" s="18" t="str">
        <f aca="false">IFERROR(__xludf.dummyfunction("REGEXEXTRACT(ADDRESS(ROW(), 60+$H333), ""[A-Z]+"")"),"#VALUE!")</f>
        <v>#VALUE!</v>
      </c>
      <c r="S333" s="18" t="str">
        <f aca="false">IFERROR(__xludf.dummyfunction("REGEXEXTRACT(ADDRESS(ROW(), 62+$H333), ""[A-Z]+"")"),"#VALUE!")</f>
        <v>#VALUE!</v>
      </c>
      <c r="T333" s="18" t="str">
        <f aca="false">IFERROR(__xludf.dummyfunction("REGEXEXTRACT(ADDRESS(ROW(), 63+$H333), ""[A-Z]+"")"),"#VALUE!")</f>
        <v>#VALUE!</v>
      </c>
      <c r="U333" s="19" t="str">
        <f aca="false">IFERROR(__xludf.dummyfunction("IFERROR(QUERY(INDIRECT(""'""&amp;F333&amp;""'!C3:""&amp;T333&amp;""""), ""SELECT ""&amp;I333&amp;"", ""&amp;J333&amp;"", ""&amp;K333&amp;"", ""&amp;L333&amp;"", ""&amp;M333&amp;"", ""&amp;N333&amp;"", ""&amp;O333&amp;"", ""&amp;P333&amp;"", ""&amp;Q333&amp;"", ""&amp;R333&amp;"", ""&amp;S333&amp;"" WHERE '""&amp;B333&amp;""' = D"", 0), """")"),"")</f>
        <v/>
      </c>
      <c r="V333" s="22"/>
      <c r="W333" s="22"/>
      <c r="X333" s="22"/>
      <c r="Y333" s="22"/>
      <c r="Z333" s="22"/>
      <c r="AA333" s="22"/>
      <c r="AB333" s="22"/>
      <c r="AC333" s="22"/>
      <c r="AD333" s="23"/>
      <c r="AE333" s="24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</row>
    <row r="334" customFormat="false" ht="18.65" hidden="false" customHeight="false" outlineLevel="0" collapsed="false">
      <c r="A334" s="13"/>
      <c r="B334" s="26"/>
      <c r="C334" s="15"/>
      <c r="D334" s="16"/>
      <c r="E334" s="16"/>
      <c r="F334" s="16" t="str">
        <f aca="false">REPLACE(E334, 1, 3, "")</f>
        <v/>
      </c>
      <c r="G334" s="17" t="str">
        <f aca="true">IFERROR(VLOOKUP(B334,INDIRECT("'"&amp;F334&amp;"'!D3:D"),1,FALSE()), "Not found")</f>
        <v>Not found</v>
      </c>
      <c r="H334" s="25" t="e">
        <f aca="true">INDIRECT("'"&amp;F334&amp;"'!D1")</f>
        <v>#REF!</v>
      </c>
      <c r="I334" s="18" t="str">
        <f aca="false">IFERROR(__xludf.dummyfunction("REGEXEXTRACT(ADDRESS(ROW(), 24+$H334), ""[A-Z]+"")"),"#VALUE!")</f>
        <v>#VALUE!</v>
      </c>
      <c r="J334" s="18" t="str">
        <f aca="false">IFERROR(__xludf.dummyfunction("REGEXEXTRACT(ADDRESS(ROW(), 30+$H334), ""[A-Z]+"")"),"#VALUE!")</f>
        <v>#VALUE!</v>
      </c>
      <c r="K334" s="18" t="str">
        <f aca="false">IFERROR(__xludf.dummyfunction("REGEXEXTRACT(ADDRESS(ROW(), 36+$H334), ""[A-Z]+"")"),"#VALUE!")</f>
        <v>#VALUE!</v>
      </c>
      <c r="L334" s="18" t="str">
        <f aca="false">IFERROR(__xludf.dummyfunction("REGEXEXTRACT(ADDRESS(ROW(), 42+$H334), ""[A-Z]+"")"),"#VALUE!")</f>
        <v>#VALUE!</v>
      </c>
      <c r="M334" s="18" t="str">
        <f aca="false">IFERROR(__xludf.dummyfunction("REGEXEXTRACT(ADDRESS(ROW(), 48+$H334), ""[A-Z]+"")"),"#VALUE!")</f>
        <v>#VALUE!</v>
      </c>
      <c r="N334" s="18" t="str">
        <f aca="false">IFERROR(__xludf.dummyfunction("REGEXEXTRACT(ADDRESS(ROW(), 50+$H334), ""[A-Z]+"")"),"#VALUE!")</f>
        <v>#VALUE!</v>
      </c>
      <c r="O334" s="18" t="str">
        <f aca="false">IFERROR(__xludf.dummyfunction("REGEXEXTRACT(ADDRESS(ROW(), 51+$H334), ""[A-Z]+"")"),"#VALUE!")</f>
        <v>#VALUE!</v>
      </c>
      <c r="P334" s="18" t="str">
        <f aca="false">IFERROR(__xludf.dummyfunction("REGEXEXTRACT(ADDRESS(ROW(), 54+$H334), ""[A-Z]+"")"),"#VALUE!")</f>
        <v>#VALUE!</v>
      </c>
      <c r="Q334" s="18" t="str">
        <f aca="false">IFERROR(__xludf.dummyfunction("REGEXEXTRACT(ADDRESS(ROW(), 59+$H334), ""[A-Z]+"")"),"#VALUE!")</f>
        <v>#VALUE!</v>
      </c>
      <c r="R334" s="18" t="str">
        <f aca="false">IFERROR(__xludf.dummyfunction("REGEXEXTRACT(ADDRESS(ROW(), 60+$H334), ""[A-Z]+"")"),"#VALUE!")</f>
        <v>#VALUE!</v>
      </c>
      <c r="S334" s="18" t="str">
        <f aca="false">IFERROR(__xludf.dummyfunction("REGEXEXTRACT(ADDRESS(ROW(), 62+$H334), ""[A-Z]+"")"),"#VALUE!")</f>
        <v>#VALUE!</v>
      </c>
      <c r="T334" s="18" t="str">
        <f aca="false">IFERROR(__xludf.dummyfunction("REGEXEXTRACT(ADDRESS(ROW(), 63+$H334), ""[A-Z]+"")"),"#VALUE!")</f>
        <v>#VALUE!</v>
      </c>
      <c r="U334" s="19" t="str">
        <f aca="false">IFERROR(__xludf.dummyfunction("IFERROR(QUERY(INDIRECT(""'""&amp;F334&amp;""'!C3:""&amp;T334&amp;""""), ""SELECT ""&amp;I334&amp;"", ""&amp;J334&amp;"", ""&amp;K334&amp;"", ""&amp;L334&amp;"", ""&amp;M334&amp;"", ""&amp;N334&amp;"", ""&amp;O334&amp;"", ""&amp;P334&amp;"", ""&amp;Q334&amp;"", ""&amp;R334&amp;"", ""&amp;S334&amp;"" WHERE '""&amp;B334&amp;""' = D"", 0), """")"),"")</f>
        <v/>
      </c>
      <c r="V334" s="22"/>
      <c r="W334" s="22"/>
      <c r="X334" s="22"/>
      <c r="Y334" s="22"/>
      <c r="Z334" s="22"/>
      <c r="AA334" s="22"/>
      <c r="AB334" s="22"/>
      <c r="AC334" s="22"/>
      <c r="AD334" s="23"/>
      <c r="AE334" s="24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</row>
    <row r="335" customFormat="false" ht="18.65" hidden="false" customHeight="false" outlineLevel="0" collapsed="false">
      <c r="A335" s="13"/>
      <c r="B335" s="26"/>
      <c r="C335" s="15"/>
      <c r="D335" s="16"/>
      <c r="E335" s="16"/>
      <c r="F335" s="16" t="str">
        <f aca="false">REPLACE(E335, 1, 3, "")</f>
        <v/>
      </c>
      <c r="G335" s="17" t="str">
        <f aca="true">IFERROR(VLOOKUP(B335,INDIRECT("'"&amp;F335&amp;"'!D3:D"),1,FALSE()), "Not found")</f>
        <v>Not found</v>
      </c>
      <c r="H335" s="25" t="e">
        <f aca="true">INDIRECT("'"&amp;F335&amp;"'!D1")</f>
        <v>#REF!</v>
      </c>
      <c r="I335" s="18" t="str">
        <f aca="false">IFERROR(__xludf.dummyfunction("REGEXEXTRACT(ADDRESS(ROW(), 24+$H335), ""[A-Z]+"")"),"#VALUE!")</f>
        <v>#VALUE!</v>
      </c>
      <c r="J335" s="18" t="str">
        <f aca="false">IFERROR(__xludf.dummyfunction("REGEXEXTRACT(ADDRESS(ROW(), 30+$H335), ""[A-Z]+"")"),"#VALUE!")</f>
        <v>#VALUE!</v>
      </c>
      <c r="K335" s="18" t="str">
        <f aca="false">IFERROR(__xludf.dummyfunction("REGEXEXTRACT(ADDRESS(ROW(), 36+$H335), ""[A-Z]+"")"),"#VALUE!")</f>
        <v>#VALUE!</v>
      </c>
      <c r="L335" s="18" t="str">
        <f aca="false">IFERROR(__xludf.dummyfunction("REGEXEXTRACT(ADDRESS(ROW(), 42+$H335), ""[A-Z]+"")"),"#VALUE!")</f>
        <v>#VALUE!</v>
      </c>
      <c r="M335" s="18" t="str">
        <f aca="false">IFERROR(__xludf.dummyfunction("REGEXEXTRACT(ADDRESS(ROW(), 48+$H335), ""[A-Z]+"")"),"#VALUE!")</f>
        <v>#VALUE!</v>
      </c>
      <c r="N335" s="18" t="str">
        <f aca="false">IFERROR(__xludf.dummyfunction("REGEXEXTRACT(ADDRESS(ROW(), 50+$H335), ""[A-Z]+"")"),"#VALUE!")</f>
        <v>#VALUE!</v>
      </c>
      <c r="O335" s="18" t="str">
        <f aca="false">IFERROR(__xludf.dummyfunction("REGEXEXTRACT(ADDRESS(ROW(), 51+$H335), ""[A-Z]+"")"),"#VALUE!")</f>
        <v>#VALUE!</v>
      </c>
      <c r="P335" s="18" t="str">
        <f aca="false">IFERROR(__xludf.dummyfunction("REGEXEXTRACT(ADDRESS(ROW(), 54+$H335), ""[A-Z]+"")"),"#VALUE!")</f>
        <v>#VALUE!</v>
      </c>
      <c r="Q335" s="18" t="str">
        <f aca="false">IFERROR(__xludf.dummyfunction("REGEXEXTRACT(ADDRESS(ROW(), 59+$H335), ""[A-Z]+"")"),"#VALUE!")</f>
        <v>#VALUE!</v>
      </c>
      <c r="R335" s="18" t="str">
        <f aca="false">IFERROR(__xludf.dummyfunction("REGEXEXTRACT(ADDRESS(ROW(), 60+$H335), ""[A-Z]+"")"),"#VALUE!")</f>
        <v>#VALUE!</v>
      </c>
      <c r="S335" s="18" t="str">
        <f aca="false">IFERROR(__xludf.dummyfunction("REGEXEXTRACT(ADDRESS(ROW(), 62+$H335), ""[A-Z]+"")"),"#VALUE!")</f>
        <v>#VALUE!</v>
      </c>
      <c r="T335" s="18" t="str">
        <f aca="false">IFERROR(__xludf.dummyfunction("REGEXEXTRACT(ADDRESS(ROW(), 63+$H335), ""[A-Z]+"")"),"#VALUE!")</f>
        <v>#VALUE!</v>
      </c>
      <c r="U335" s="19" t="str">
        <f aca="false">IFERROR(__xludf.dummyfunction("IFERROR(QUERY(INDIRECT(""'""&amp;F335&amp;""'!C3:""&amp;T335&amp;""""), ""SELECT ""&amp;I335&amp;"", ""&amp;J335&amp;"", ""&amp;K335&amp;"", ""&amp;L335&amp;"", ""&amp;M335&amp;"", ""&amp;N335&amp;"", ""&amp;O335&amp;"", ""&amp;P335&amp;"", ""&amp;Q335&amp;"", ""&amp;R335&amp;"", ""&amp;S335&amp;"" WHERE '""&amp;B335&amp;""' = D"", 0), """")"),"")</f>
        <v/>
      </c>
      <c r="V335" s="22"/>
      <c r="W335" s="22"/>
      <c r="X335" s="22"/>
      <c r="Y335" s="22"/>
      <c r="Z335" s="22"/>
      <c r="AA335" s="22"/>
      <c r="AB335" s="22"/>
      <c r="AC335" s="22"/>
      <c r="AD335" s="23"/>
      <c r="AE335" s="24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</row>
    <row r="336" customFormat="false" ht="18.65" hidden="false" customHeight="false" outlineLevel="0" collapsed="false">
      <c r="A336" s="13"/>
      <c r="B336" s="26"/>
      <c r="C336" s="15"/>
      <c r="D336" s="16"/>
      <c r="E336" s="16"/>
      <c r="F336" s="16" t="str">
        <f aca="false">REPLACE(E336, 1, 3, "")</f>
        <v/>
      </c>
      <c r="G336" s="17" t="str">
        <f aca="true">IFERROR(VLOOKUP(B336,INDIRECT("'"&amp;F336&amp;"'!D3:D"),1,FALSE()), "Not found")</f>
        <v>Not found</v>
      </c>
      <c r="H336" s="25" t="e">
        <f aca="true">INDIRECT("'"&amp;F336&amp;"'!D1")</f>
        <v>#REF!</v>
      </c>
      <c r="I336" s="18" t="str">
        <f aca="false">IFERROR(__xludf.dummyfunction("REGEXEXTRACT(ADDRESS(ROW(), 24+$H336), ""[A-Z]+"")"),"#VALUE!")</f>
        <v>#VALUE!</v>
      </c>
      <c r="J336" s="18" t="str">
        <f aca="false">IFERROR(__xludf.dummyfunction("REGEXEXTRACT(ADDRESS(ROW(), 30+$H336), ""[A-Z]+"")"),"#VALUE!")</f>
        <v>#VALUE!</v>
      </c>
      <c r="K336" s="18" t="str">
        <f aca="false">IFERROR(__xludf.dummyfunction("REGEXEXTRACT(ADDRESS(ROW(), 36+$H336), ""[A-Z]+"")"),"#VALUE!")</f>
        <v>#VALUE!</v>
      </c>
      <c r="L336" s="18" t="str">
        <f aca="false">IFERROR(__xludf.dummyfunction("REGEXEXTRACT(ADDRESS(ROW(), 42+$H336), ""[A-Z]+"")"),"#VALUE!")</f>
        <v>#VALUE!</v>
      </c>
      <c r="M336" s="18" t="str">
        <f aca="false">IFERROR(__xludf.dummyfunction("REGEXEXTRACT(ADDRESS(ROW(), 48+$H336), ""[A-Z]+"")"),"#VALUE!")</f>
        <v>#VALUE!</v>
      </c>
      <c r="N336" s="18" t="str">
        <f aca="false">IFERROR(__xludf.dummyfunction("REGEXEXTRACT(ADDRESS(ROW(), 50+$H336), ""[A-Z]+"")"),"#VALUE!")</f>
        <v>#VALUE!</v>
      </c>
      <c r="O336" s="18" t="str">
        <f aca="false">IFERROR(__xludf.dummyfunction("REGEXEXTRACT(ADDRESS(ROW(), 51+$H336), ""[A-Z]+"")"),"#VALUE!")</f>
        <v>#VALUE!</v>
      </c>
      <c r="P336" s="18" t="str">
        <f aca="false">IFERROR(__xludf.dummyfunction("REGEXEXTRACT(ADDRESS(ROW(), 54+$H336), ""[A-Z]+"")"),"#VALUE!")</f>
        <v>#VALUE!</v>
      </c>
      <c r="Q336" s="18" t="str">
        <f aca="false">IFERROR(__xludf.dummyfunction("REGEXEXTRACT(ADDRESS(ROW(), 59+$H336), ""[A-Z]+"")"),"#VALUE!")</f>
        <v>#VALUE!</v>
      </c>
      <c r="R336" s="18" t="str">
        <f aca="false">IFERROR(__xludf.dummyfunction("REGEXEXTRACT(ADDRESS(ROW(), 60+$H336), ""[A-Z]+"")"),"#VALUE!")</f>
        <v>#VALUE!</v>
      </c>
      <c r="S336" s="18" t="str">
        <f aca="false">IFERROR(__xludf.dummyfunction("REGEXEXTRACT(ADDRESS(ROW(), 62+$H336), ""[A-Z]+"")"),"#VALUE!")</f>
        <v>#VALUE!</v>
      </c>
      <c r="T336" s="18" t="str">
        <f aca="false">IFERROR(__xludf.dummyfunction("REGEXEXTRACT(ADDRESS(ROW(), 63+$H336), ""[A-Z]+"")"),"#VALUE!")</f>
        <v>#VALUE!</v>
      </c>
      <c r="U336" s="19" t="str">
        <f aca="false">IFERROR(__xludf.dummyfunction("IFERROR(QUERY(INDIRECT(""'""&amp;F336&amp;""'!C3:""&amp;T336&amp;""""), ""SELECT ""&amp;I336&amp;"", ""&amp;J336&amp;"", ""&amp;K336&amp;"", ""&amp;L336&amp;"", ""&amp;M336&amp;"", ""&amp;N336&amp;"", ""&amp;O336&amp;"", ""&amp;P336&amp;"", ""&amp;Q336&amp;"", ""&amp;R336&amp;"", ""&amp;S336&amp;"" WHERE '""&amp;B336&amp;""' = D"", 0), """")"),"")</f>
        <v/>
      </c>
      <c r="V336" s="22"/>
      <c r="W336" s="22"/>
      <c r="X336" s="22"/>
      <c r="Y336" s="22"/>
      <c r="Z336" s="22"/>
      <c r="AA336" s="22"/>
      <c r="AB336" s="22"/>
      <c r="AC336" s="22"/>
      <c r="AD336" s="23"/>
      <c r="AE336" s="24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</row>
    <row r="337" customFormat="false" ht="18.65" hidden="false" customHeight="false" outlineLevel="0" collapsed="false">
      <c r="A337" s="13"/>
      <c r="B337" s="27"/>
      <c r="C337" s="28"/>
      <c r="D337" s="29"/>
      <c r="E337" s="29"/>
      <c r="F337" s="16" t="str">
        <f aca="false">REPLACE(E337, 1, 3, "")</f>
        <v/>
      </c>
      <c r="G337" s="17" t="str">
        <f aca="true">IFERROR(VLOOKUP(B337,INDIRECT("'"&amp;F337&amp;"'!D3:D"),1,FALSE()), "Not found")</f>
        <v>Not found</v>
      </c>
      <c r="H337" s="25" t="e">
        <f aca="true">INDIRECT("'"&amp;F337&amp;"'!D1")</f>
        <v>#REF!</v>
      </c>
      <c r="I337" s="18" t="str">
        <f aca="false">IFERROR(__xludf.dummyfunction("REGEXEXTRACT(ADDRESS(ROW(), 24+$H337), ""[A-Z]+"")"),"#VALUE!")</f>
        <v>#VALUE!</v>
      </c>
      <c r="J337" s="18" t="str">
        <f aca="false">IFERROR(__xludf.dummyfunction("REGEXEXTRACT(ADDRESS(ROW(), 30+$H337), ""[A-Z]+"")"),"#VALUE!")</f>
        <v>#VALUE!</v>
      </c>
      <c r="K337" s="18" t="str">
        <f aca="false">IFERROR(__xludf.dummyfunction("REGEXEXTRACT(ADDRESS(ROW(), 36+$H337), ""[A-Z]+"")"),"#VALUE!")</f>
        <v>#VALUE!</v>
      </c>
      <c r="L337" s="18" t="str">
        <f aca="false">IFERROR(__xludf.dummyfunction("REGEXEXTRACT(ADDRESS(ROW(), 42+$H337), ""[A-Z]+"")"),"#VALUE!")</f>
        <v>#VALUE!</v>
      </c>
      <c r="M337" s="18" t="str">
        <f aca="false">IFERROR(__xludf.dummyfunction("REGEXEXTRACT(ADDRESS(ROW(), 48+$H337), ""[A-Z]+"")"),"#VALUE!")</f>
        <v>#VALUE!</v>
      </c>
      <c r="N337" s="18" t="str">
        <f aca="false">IFERROR(__xludf.dummyfunction("REGEXEXTRACT(ADDRESS(ROW(), 50+$H337), ""[A-Z]+"")"),"#VALUE!")</f>
        <v>#VALUE!</v>
      </c>
      <c r="O337" s="18" t="str">
        <f aca="false">IFERROR(__xludf.dummyfunction("REGEXEXTRACT(ADDRESS(ROW(), 51+$H337), ""[A-Z]+"")"),"#VALUE!")</f>
        <v>#VALUE!</v>
      </c>
      <c r="P337" s="18" t="str">
        <f aca="false">IFERROR(__xludf.dummyfunction("REGEXEXTRACT(ADDRESS(ROW(), 54+$H337), ""[A-Z]+"")"),"#VALUE!")</f>
        <v>#VALUE!</v>
      </c>
      <c r="Q337" s="18" t="str">
        <f aca="false">IFERROR(__xludf.dummyfunction("REGEXEXTRACT(ADDRESS(ROW(), 59+$H337), ""[A-Z]+"")"),"#VALUE!")</f>
        <v>#VALUE!</v>
      </c>
      <c r="R337" s="18" t="str">
        <f aca="false">IFERROR(__xludf.dummyfunction("REGEXEXTRACT(ADDRESS(ROW(), 60+$H337), ""[A-Z]+"")"),"#VALUE!")</f>
        <v>#VALUE!</v>
      </c>
      <c r="S337" s="18" t="str">
        <f aca="false">IFERROR(__xludf.dummyfunction("REGEXEXTRACT(ADDRESS(ROW(), 62+$H337), ""[A-Z]+"")"),"#VALUE!")</f>
        <v>#VALUE!</v>
      </c>
      <c r="T337" s="18" t="str">
        <f aca="false">IFERROR(__xludf.dummyfunction("REGEXEXTRACT(ADDRESS(ROW(), 63+$H337), ""[A-Z]+"")"),"#VALUE!")</f>
        <v>#VALUE!</v>
      </c>
      <c r="U337" s="19" t="str">
        <f aca="false">IFERROR(__xludf.dummyfunction("IFERROR(QUERY(INDIRECT(""'""&amp;F337&amp;""'!C3:""&amp;T337&amp;""""), ""SELECT ""&amp;I337&amp;"", ""&amp;J337&amp;"", ""&amp;K337&amp;"", ""&amp;L337&amp;"", ""&amp;M337&amp;"", ""&amp;N337&amp;"", ""&amp;O337&amp;"", ""&amp;P337&amp;"", ""&amp;Q337&amp;"", ""&amp;R337&amp;"", ""&amp;S337&amp;"" WHERE '""&amp;B337&amp;""' = D"", 0), """")"),"")</f>
        <v/>
      </c>
      <c r="V337" s="22"/>
      <c r="W337" s="22"/>
      <c r="X337" s="22"/>
      <c r="Y337" s="22"/>
      <c r="Z337" s="22"/>
      <c r="AA337" s="22"/>
      <c r="AB337" s="22"/>
      <c r="AC337" s="22"/>
      <c r="AD337" s="23"/>
      <c r="AE337" s="24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</row>
    <row r="338" customFormat="false" ht="18.65" hidden="false" customHeight="false" outlineLevel="0" collapsed="false">
      <c r="A338" s="13"/>
      <c r="B338" s="26"/>
      <c r="C338" s="15"/>
      <c r="D338" s="16"/>
      <c r="E338" s="16"/>
      <c r="F338" s="16" t="str">
        <f aca="false">REPLACE(E338, 1, 3, "")</f>
        <v/>
      </c>
      <c r="G338" s="17" t="str">
        <f aca="true">IFERROR(VLOOKUP(B338,INDIRECT("'"&amp;F338&amp;"'!D3:D"),1,FALSE()), "Not found")</f>
        <v>Not found</v>
      </c>
      <c r="H338" s="25" t="e">
        <f aca="true">INDIRECT("'"&amp;F338&amp;"'!D1")</f>
        <v>#REF!</v>
      </c>
      <c r="I338" s="18" t="str">
        <f aca="false">IFERROR(__xludf.dummyfunction("REGEXEXTRACT(ADDRESS(ROW(), 24+$H338), ""[A-Z]+"")"),"#VALUE!")</f>
        <v>#VALUE!</v>
      </c>
      <c r="J338" s="18" t="str">
        <f aca="false">IFERROR(__xludf.dummyfunction("REGEXEXTRACT(ADDRESS(ROW(), 30+$H338), ""[A-Z]+"")"),"#VALUE!")</f>
        <v>#VALUE!</v>
      </c>
      <c r="K338" s="18" t="str">
        <f aca="false">IFERROR(__xludf.dummyfunction("REGEXEXTRACT(ADDRESS(ROW(), 36+$H338), ""[A-Z]+"")"),"#VALUE!")</f>
        <v>#VALUE!</v>
      </c>
      <c r="L338" s="18" t="str">
        <f aca="false">IFERROR(__xludf.dummyfunction("REGEXEXTRACT(ADDRESS(ROW(), 42+$H338), ""[A-Z]+"")"),"#VALUE!")</f>
        <v>#VALUE!</v>
      </c>
      <c r="M338" s="18" t="str">
        <f aca="false">IFERROR(__xludf.dummyfunction("REGEXEXTRACT(ADDRESS(ROW(), 48+$H338), ""[A-Z]+"")"),"#VALUE!")</f>
        <v>#VALUE!</v>
      </c>
      <c r="N338" s="18" t="str">
        <f aca="false">IFERROR(__xludf.dummyfunction("REGEXEXTRACT(ADDRESS(ROW(), 50+$H338), ""[A-Z]+"")"),"#VALUE!")</f>
        <v>#VALUE!</v>
      </c>
      <c r="O338" s="18" t="str">
        <f aca="false">IFERROR(__xludf.dummyfunction("REGEXEXTRACT(ADDRESS(ROW(), 51+$H338), ""[A-Z]+"")"),"#VALUE!")</f>
        <v>#VALUE!</v>
      </c>
      <c r="P338" s="18" t="str">
        <f aca="false">IFERROR(__xludf.dummyfunction("REGEXEXTRACT(ADDRESS(ROW(), 54+$H338), ""[A-Z]+"")"),"#VALUE!")</f>
        <v>#VALUE!</v>
      </c>
      <c r="Q338" s="18" t="str">
        <f aca="false">IFERROR(__xludf.dummyfunction("REGEXEXTRACT(ADDRESS(ROW(), 59+$H338), ""[A-Z]+"")"),"#VALUE!")</f>
        <v>#VALUE!</v>
      </c>
      <c r="R338" s="18" t="str">
        <f aca="false">IFERROR(__xludf.dummyfunction("REGEXEXTRACT(ADDRESS(ROW(), 60+$H338), ""[A-Z]+"")"),"#VALUE!")</f>
        <v>#VALUE!</v>
      </c>
      <c r="S338" s="18" t="str">
        <f aca="false">IFERROR(__xludf.dummyfunction("REGEXEXTRACT(ADDRESS(ROW(), 62+$H338), ""[A-Z]+"")"),"#VALUE!")</f>
        <v>#VALUE!</v>
      </c>
      <c r="T338" s="18" t="str">
        <f aca="false">IFERROR(__xludf.dummyfunction("REGEXEXTRACT(ADDRESS(ROW(), 63+$H338), ""[A-Z]+"")"),"#VALUE!")</f>
        <v>#VALUE!</v>
      </c>
      <c r="U338" s="19" t="str">
        <f aca="false">IFERROR(__xludf.dummyfunction("IFERROR(QUERY(INDIRECT(""'""&amp;F338&amp;""'!C3:""&amp;T338&amp;""""), ""SELECT ""&amp;I338&amp;"", ""&amp;J338&amp;"", ""&amp;K338&amp;"", ""&amp;L338&amp;"", ""&amp;M338&amp;"", ""&amp;N338&amp;"", ""&amp;O338&amp;"", ""&amp;P338&amp;"", ""&amp;Q338&amp;"", ""&amp;R338&amp;"", ""&amp;S338&amp;"" WHERE '""&amp;B338&amp;""' = D"", 0), """")"),"")</f>
        <v/>
      </c>
      <c r="V338" s="22"/>
      <c r="W338" s="22"/>
      <c r="X338" s="22"/>
      <c r="Y338" s="22"/>
      <c r="Z338" s="22"/>
      <c r="AA338" s="22"/>
      <c r="AB338" s="22"/>
      <c r="AC338" s="22"/>
      <c r="AD338" s="23"/>
      <c r="AE338" s="24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</row>
    <row r="339" customFormat="false" ht="18.65" hidden="false" customHeight="false" outlineLevel="0" collapsed="false">
      <c r="A339" s="13"/>
      <c r="B339" s="26"/>
      <c r="C339" s="15"/>
      <c r="D339" s="16"/>
      <c r="E339" s="16"/>
      <c r="F339" s="16" t="str">
        <f aca="false">REPLACE(E339, 1, 3, "")</f>
        <v/>
      </c>
      <c r="G339" s="17" t="str">
        <f aca="true">IFERROR(VLOOKUP(B339,INDIRECT("'"&amp;F339&amp;"'!D3:D"),1,FALSE()), "Not found")</f>
        <v>Not found</v>
      </c>
      <c r="H339" s="25" t="e">
        <f aca="true">INDIRECT("'"&amp;F339&amp;"'!D1")</f>
        <v>#REF!</v>
      </c>
      <c r="I339" s="18" t="str">
        <f aca="false">IFERROR(__xludf.dummyfunction("REGEXEXTRACT(ADDRESS(ROW(), 24+$H339), ""[A-Z]+"")"),"#VALUE!")</f>
        <v>#VALUE!</v>
      </c>
      <c r="J339" s="18" t="str">
        <f aca="false">IFERROR(__xludf.dummyfunction("REGEXEXTRACT(ADDRESS(ROW(), 30+$H339), ""[A-Z]+"")"),"#VALUE!")</f>
        <v>#VALUE!</v>
      </c>
      <c r="K339" s="18" t="str">
        <f aca="false">IFERROR(__xludf.dummyfunction("REGEXEXTRACT(ADDRESS(ROW(), 36+$H339), ""[A-Z]+"")"),"#VALUE!")</f>
        <v>#VALUE!</v>
      </c>
      <c r="L339" s="18" t="str">
        <f aca="false">IFERROR(__xludf.dummyfunction("REGEXEXTRACT(ADDRESS(ROW(), 42+$H339), ""[A-Z]+"")"),"#VALUE!")</f>
        <v>#VALUE!</v>
      </c>
      <c r="M339" s="18" t="str">
        <f aca="false">IFERROR(__xludf.dummyfunction("REGEXEXTRACT(ADDRESS(ROW(), 48+$H339), ""[A-Z]+"")"),"#VALUE!")</f>
        <v>#VALUE!</v>
      </c>
      <c r="N339" s="18" t="str">
        <f aca="false">IFERROR(__xludf.dummyfunction("REGEXEXTRACT(ADDRESS(ROW(), 50+$H339), ""[A-Z]+"")"),"#VALUE!")</f>
        <v>#VALUE!</v>
      </c>
      <c r="O339" s="18" t="str">
        <f aca="false">IFERROR(__xludf.dummyfunction("REGEXEXTRACT(ADDRESS(ROW(), 51+$H339), ""[A-Z]+"")"),"#VALUE!")</f>
        <v>#VALUE!</v>
      </c>
      <c r="P339" s="18" t="str">
        <f aca="false">IFERROR(__xludf.dummyfunction("REGEXEXTRACT(ADDRESS(ROW(), 54+$H339), ""[A-Z]+"")"),"#VALUE!")</f>
        <v>#VALUE!</v>
      </c>
      <c r="Q339" s="18" t="str">
        <f aca="false">IFERROR(__xludf.dummyfunction("REGEXEXTRACT(ADDRESS(ROW(), 59+$H339), ""[A-Z]+"")"),"#VALUE!")</f>
        <v>#VALUE!</v>
      </c>
      <c r="R339" s="18" t="str">
        <f aca="false">IFERROR(__xludf.dummyfunction("REGEXEXTRACT(ADDRESS(ROW(), 60+$H339), ""[A-Z]+"")"),"#VALUE!")</f>
        <v>#VALUE!</v>
      </c>
      <c r="S339" s="18" t="str">
        <f aca="false">IFERROR(__xludf.dummyfunction("REGEXEXTRACT(ADDRESS(ROW(), 62+$H339), ""[A-Z]+"")"),"#VALUE!")</f>
        <v>#VALUE!</v>
      </c>
      <c r="T339" s="18" t="str">
        <f aca="false">IFERROR(__xludf.dummyfunction("REGEXEXTRACT(ADDRESS(ROW(), 63+$H339), ""[A-Z]+"")"),"#VALUE!")</f>
        <v>#VALUE!</v>
      </c>
      <c r="U339" s="19" t="str">
        <f aca="false">IFERROR(__xludf.dummyfunction("IFERROR(QUERY(INDIRECT(""'""&amp;F339&amp;""'!C3:""&amp;T339&amp;""""), ""SELECT ""&amp;I339&amp;"", ""&amp;J339&amp;"", ""&amp;K339&amp;"", ""&amp;L339&amp;"", ""&amp;M339&amp;"", ""&amp;N339&amp;"", ""&amp;O339&amp;"", ""&amp;P339&amp;"", ""&amp;Q339&amp;"", ""&amp;R339&amp;"", ""&amp;S339&amp;"" WHERE '""&amp;B339&amp;""' = D"", 0), """")"),"")</f>
        <v/>
      </c>
      <c r="V339" s="22"/>
      <c r="W339" s="22"/>
      <c r="X339" s="22"/>
      <c r="Y339" s="22"/>
      <c r="Z339" s="22"/>
      <c r="AA339" s="22"/>
      <c r="AB339" s="22"/>
      <c r="AC339" s="22"/>
      <c r="AD339" s="23"/>
      <c r="AE339" s="24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</row>
    <row r="340" customFormat="false" ht="18.65" hidden="false" customHeight="false" outlineLevel="0" collapsed="false">
      <c r="A340" s="13"/>
      <c r="B340" s="26"/>
      <c r="C340" s="15"/>
      <c r="D340" s="16"/>
      <c r="E340" s="16"/>
      <c r="F340" s="16" t="str">
        <f aca="false">REPLACE(E340, 1, 3, "")</f>
        <v/>
      </c>
      <c r="G340" s="17" t="str">
        <f aca="true">IFERROR(VLOOKUP(B340,INDIRECT("'"&amp;F340&amp;"'!D3:D"),1,FALSE()), "Not found")</f>
        <v>Not found</v>
      </c>
      <c r="H340" s="25" t="e">
        <f aca="true">INDIRECT("'"&amp;F340&amp;"'!D1")</f>
        <v>#REF!</v>
      </c>
      <c r="I340" s="18" t="str">
        <f aca="false">IFERROR(__xludf.dummyfunction("REGEXEXTRACT(ADDRESS(ROW(), 24+$H340), ""[A-Z]+"")"),"#VALUE!")</f>
        <v>#VALUE!</v>
      </c>
      <c r="J340" s="18" t="str">
        <f aca="false">IFERROR(__xludf.dummyfunction("REGEXEXTRACT(ADDRESS(ROW(), 30+$H340), ""[A-Z]+"")"),"#VALUE!")</f>
        <v>#VALUE!</v>
      </c>
      <c r="K340" s="18" t="str">
        <f aca="false">IFERROR(__xludf.dummyfunction("REGEXEXTRACT(ADDRESS(ROW(), 36+$H340), ""[A-Z]+"")"),"#VALUE!")</f>
        <v>#VALUE!</v>
      </c>
      <c r="L340" s="18" t="str">
        <f aca="false">IFERROR(__xludf.dummyfunction("REGEXEXTRACT(ADDRESS(ROW(), 42+$H340), ""[A-Z]+"")"),"#VALUE!")</f>
        <v>#VALUE!</v>
      </c>
      <c r="M340" s="18" t="str">
        <f aca="false">IFERROR(__xludf.dummyfunction("REGEXEXTRACT(ADDRESS(ROW(), 48+$H340), ""[A-Z]+"")"),"#VALUE!")</f>
        <v>#VALUE!</v>
      </c>
      <c r="N340" s="18" t="str">
        <f aca="false">IFERROR(__xludf.dummyfunction("REGEXEXTRACT(ADDRESS(ROW(), 50+$H340), ""[A-Z]+"")"),"#VALUE!")</f>
        <v>#VALUE!</v>
      </c>
      <c r="O340" s="18" t="str">
        <f aca="false">IFERROR(__xludf.dummyfunction("REGEXEXTRACT(ADDRESS(ROW(), 51+$H340), ""[A-Z]+"")"),"#VALUE!")</f>
        <v>#VALUE!</v>
      </c>
      <c r="P340" s="18" t="str">
        <f aca="false">IFERROR(__xludf.dummyfunction("REGEXEXTRACT(ADDRESS(ROW(), 54+$H340), ""[A-Z]+"")"),"#VALUE!")</f>
        <v>#VALUE!</v>
      </c>
      <c r="Q340" s="18" t="str">
        <f aca="false">IFERROR(__xludf.dummyfunction("REGEXEXTRACT(ADDRESS(ROW(), 59+$H340), ""[A-Z]+"")"),"#VALUE!")</f>
        <v>#VALUE!</v>
      </c>
      <c r="R340" s="18" t="str">
        <f aca="false">IFERROR(__xludf.dummyfunction("REGEXEXTRACT(ADDRESS(ROW(), 60+$H340), ""[A-Z]+"")"),"#VALUE!")</f>
        <v>#VALUE!</v>
      </c>
      <c r="S340" s="18" t="str">
        <f aca="false">IFERROR(__xludf.dummyfunction("REGEXEXTRACT(ADDRESS(ROW(), 62+$H340), ""[A-Z]+"")"),"#VALUE!")</f>
        <v>#VALUE!</v>
      </c>
      <c r="T340" s="18" t="str">
        <f aca="false">IFERROR(__xludf.dummyfunction("REGEXEXTRACT(ADDRESS(ROW(), 63+$H340), ""[A-Z]+"")"),"#VALUE!")</f>
        <v>#VALUE!</v>
      </c>
      <c r="U340" s="19" t="str">
        <f aca="false">IFERROR(__xludf.dummyfunction("IFERROR(QUERY(INDIRECT(""'""&amp;F340&amp;""'!C3:""&amp;T340&amp;""""), ""SELECT ""&amp;I340&amp;"", ""&amp;J340&amp;"", ""&amp;K340&amp;"", ""&amp;L340&amp;"", ""&amp;M340&amp;"", ""&amp;N340&amp;"", ""&amp;O340&amp;"", ""&amp;P340&amp;"", ""&amp;Q340&amp;"", ""&amp;R340&amp;"", ""&amp;S340&amp;"" WHERE '""&amp;B340&amp;""' = D"", 0), """")"),"")</f>
        <v/>
      </c>
      <c r="V340" s="22"/>
      <c r="W340" s="22"/>
      <c r="X340" s="22"/>
      <c r="Y340" s="22"/>
      <c r="Z340" s="22"/>
      <c r="AA340" s="22"/>
      <c r="AB340" s="22"/>
      <c r="AC340" s="22"/>
      <c r="AD340" s="23"/>
      <c r="AE340" s="24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</row>
    <row r="341" customFormat="false" ht="18.65" hidden="false" customHeight="false" outlineLevel="0" collapsed="false">
      <c r="A341" s="13"/>
      <c r="B341" s="26"/>
      <c r="C341" s="15"/>
      <c r="D341" s="16"/>
      <c r="E341" s="16"/>
      <c r="F341" s="16" t="str">
        <f aca="false">REPLACE(E341, 1, 3, "")</f>
        <v/>
      </c>
      <c r="G341" s="17" t="str">
        <f aca="true">IFERROR(VLOOKUP(B341,INDIRECT("'"&amp;F341&amp;"'!D3:D"),1,FALSE()), "Not found")</f>
        <v>Not found</v>
      </c>
      <c r="H341" s="25" t="e">
        <f aca="true">INDIRECT("'"&amp;F341&amp;"'!D1")</f>
        <v>#REF!</v>
      </c>
      <c r="I341" s="18" t="str">
        <f aca="false">IFERROR(__xludf.dummyfunction("REGEXEXTRACT(ADDRESS(ROW(), 24+$H341), ""[A-Z]+"")"),"#VALUE!")</f>
        <v>#VALUE!</v>
      </c>
      <c r="J341" s="18" t="str">
        <f aca="false">IFERROR(__xludf.dummyfunction("REGEXEXTRACT(ADDRESS(ROW(), 30+$H341), ""[A-Z]+"")"),"#VALUE!")</f>
        <v>#VALUE!</v>
      </c>
      <c r="K341" s="18" t="str">
        <f aca="false">IFERROR(__xludf.dummyfunction("REGEXEXTRACT(ADDRESS(ROW(), 36+$H341), ""[A-Z]+"")"),"#VALUE!")</f>
        <v>#VALUE!</v>
      </c>
      <c r="L341" s="18" t="str">
        <f aca="false">IFERROR(__xludf.dummyfunction("REGEXEXTRACT(ADDRESS(ROW(), 42+$H341), ""[A-Z]+"")"),"#VALUE!")</f>
        <v>#VALUE!</v>
      </c>
      <c r="M341" s="18" t="str">
        <f aca="false">IFERROR(__xludf.dummyfunction("REGEXEXTRACT(ADDRESS(ROW(), 48+$H341), ""[A-Z]+"")"),"#VALUE!")</f>
        <v>#VALUE!</v>
      </c>
      <c r="N341" s="18" t="str">
        <f aca="false">IFERROR(__xludf.dummyfunction("REGEXEXTRACT(ADDRESS(ROW(), 50+$H341), ""[A-Z]+"")"),"#VALUE!")</f>
        <v>#VALUE!</v>
      </c>
      <c r="O341" s="18" t="str">
        <f aca="false">IFERROR(__xludf.dummyfunction("REGEXEXTRACT(ADDRESS(ROW(), 51+$H341), ""[A-Z]+"")"),"#VALUE!")</f>
        <v>#VALUE!</v>
      </c>
      <c r="P341" s="18" t="str">
        <f aca="false">IFERROR(__xludf.dummyfunction("REGEXEXTRACT(ADDRESS(ROW(), 54+$H341), ""[A-Z]+"")"),"#VALUE!")</f>
        <v>#VALUE!</v>
      </c>
      <c r="Q341" s="18" t="str">
        <f aca="false">IFERROR(__xludf.dummyfunction("REGEXEXTRACT(ADDRESS(ROW(), 59+$H341), ""[A-Z]+"")"),"#VALUE!")</f>
        <v>#VALUE!</v>
      </c>
      <c r="R341" s="18" t="str">
        <f aca="false">IFERROR(__xludf.dummyfunction("REGEXEXTRACT(ADDRESS(ROW(), 60+$H341), ""[A-Z]+"")"),"#VALUE!")</f>
        <v>#VALUE!</v>
      </c>
      <c r="S341" s="18" t="str">
        <f aca="false">IFERROR(__xludf.dummyfunction("REGEXEXTRACT(ADDRESS(ROW(), 62+$H341), ""[A-Z]+"")"),"#VALUE!")</f>
        <v>#VALUE!</v>
      </c>
      <c r="T341" s="18" t="str">
        <f aca="false">IFERROR(__xludf.dummyfunction("REGEXEXTRACT(ADDRESS(ROW(), 63+$H341), ""[A-Z]+"")"),"#VALUE!")</f>
        <v>#VALUE!</v>
      </c>
      <c r="U341" s="19" t="str">
        <f aca="false">IFERROR(__xludf.dummyfunction("IFERROR(QUERY(INDIRECT(""'""&amp;F341&amp;""'!C3:""&amp;T341&amp;""""), ""SELECT ""&amp;I341&amp;"", ""&amp;J341&amp;"", ""&amp;K341&amp;"", ""&amp;L341&amp;"", ""&amp;M341&amp;"", ""&amp;N341&amp;"", ""&amp;O341&amp;"", ""&amp;P341&amp;"", ""&amp;Q341&amp;"", ""&amp;R341&amp;"", ""&amp;S341&amp;"" WHERE '""&amp;B341&amp;""' = D"", 0), """")"),"")</f>
        <v/>
      </c>
      <c r="V341" s="22"/>
      <c r="W341" s="22"/>
      <c r="X341" s="22"/>
      <c r="Y341" s="22"/>
      <c r="Z341" s="22"/>
      <c r="AA341" s="22"/>
      <c r="AB341" s="22"/>
      <c r="AC341" s="22"/>
      <c r="AD341" s="23"/>
      <c r="AE341" s="24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</row>
    <row r="342" customFormat="false" ht="18.65" hidden="false" customHeight="false" outlineLevel="0" collapsed="false">
      <c r="A342" s="13"/>
      <c r="B342" s="26"/>
      <c r="C342" s="15"/>
      <c r="D342" s="16"/>
      <c r="E342" s="16"/>
      <c r="F342" s="16" t="str">
        <f aca="false">REPLACE(E342, 1, 3, "")</f>
        <v/>
      </c>
      <c r="G342" s="17" t="str">
        <f aca="true">IFERROR(VLOOKUP(B342,INDIRECT("'"&amp;F342&amp;"'!D3:D"),1,FALSE()), "Not found")</f>
        <v>Not found</v>
      </c>
      <c r="H342" s="25" t="e">
        <f aca="true">INDIRECT("'"&amp;F342&amp;"'!D1")</f>
        <v>#REF!</v>
      </c>
      <c r="I342" s="18" t="str">
        <f aca="false">IFERROR(__xludf.dummyfunction("REGEXEXTRACT(ADDRESS(ROW(), 24+$H342), ""[A-Z]+"")"),"#VALUE!")</f>
        <v>#VALUE!</v>
      </c>
      <c r="J342" s="18" t="str">
        <f aca="false">IFERROR(__xludf.dummyfunction("REGEXEXTRACT(ADDRESS(ROW(), 30+$H342), ""[A-Z]+"")"),"#VALUE!")</f>
        <v>#VALUE!</v>
      </c>
      <c r="K342" s="18" t="str">
        <f aca="false">IFERROR(__xludf.dummyfunction("REGEXEXTRACT(ADDRESS(ROW(), 36+$H342), ""[A-Z]+"")"),"#VALUE!")</f>
        <v>#VALUE!</v>
      </c>
      <c r="L342" s="18" t="str">
        <f aca="false">IFERROR(__xludf.dummyfunction("REGEXEXTRACT(ADDRESS(ROW(), 42+$H342), ""[A-Z]+"")"),"#VALUE!")</f>
        <v>#VALUE!</v>
      </c>
      <c r="M342" s="18" t="str">
        <f aca="false">IFERROR(__xludf.dummyfunction("REGEXEXTRACT(ADDRESS(ROW(), 48+$H342), ""[A-Z]+"")"),"#VALUE!")</f>
        <v>#VALUE!</v>
      </c>
      <c r="N342" s="18" t="str">
        <f aca="false">IFERROR(__xludf.dummyfunction("REGEXEXTRACT(ADDRESS(ROW(), 50+$H342), ""[A-Z]+"")"),"#VALUE!")</f>
        <v>#VALUE!</v>
      </c>
      <c r="O342" s="18" t="str">
        <f aca="false">IFERROR(__xludf.dummyfunction("REGEXEXTRACT(ADDRESS(ROW(), 51+$H342), ""[A-Z]+"")"),"#VALUE!")</f>
        <v>#VALUE!</v>
      </c>
      <c r="P342" s="18" t="str">
        <f aca="false">IFERROR(__xludf.dummyfunction("REGEXEXTRACT(ADDRESS(ROW(), 54+$H342), ""[A-Z]+"")"),"#VALUE!")</f>
        <v>#VALUE!</v>
      </c>
      <c r="Q342" s="18" t="str">
        <f aca="false">IFERROR(__xludf.dummyfunction("REGEXEXTRACT(ADDRESS(ROW(), 59+$H342), ""[A-Z]+"")"),"#VALUE!")</f>
        <v>#VALUE!</v>
      </c>
      <c r="R342" s="18" t="str">
        <f aca="false">IFERROR(__xludf.dummyfunction("REGEXEXTRACT(ADDRESS(ROW(), 60+$H342), ""[A-Z]+"")"),"#VALUE!")</f>
        <v>#VALUE!</v>
      </c>
      <c r="S342" s="18" t="str">
        <f aca="false">IFERROR(__xludf.dummyfunction("REGEXEXTRACT(ADDRESS(ROW(), 62+$H342), ""[A-Z]+"")"),"#VALUE!")</f>
        <v>#VALUE!</v>
      </c>
      <c r="T342" s="18" t="str">
        <f aca="false">IFERROR(__xludf.dummyfunction("REGEXEXTRACT(ADDRESS(ROW(), 63+$H342), ""[A-Z]+"")"),"#VALUE!")</f>
        <v>#VALUE!</v>
      </c>
      <c r="U342" s="19" t="str">
        <f aca="false">IFERROR(__xludf.dummyfunction("IFERROR(QUERY(INDIRECT(""'""&amp;F342&amp;""'!C3:""&amp;T342&amp;""""), ""SELECT ""&amp;I342&amp;"", ""&amp;J342&amp;"", ""&amp;K342&amp;"", ""&amp;L342&amp;"", ""&amp;M342&amp;"", ""&amp;N342&amp;"", ""&amp;O342&amp;"", ""&amp;P342&amp;"", ""&amp;Q342&amp;"", ""&amp;R342&amp;"", ""&amp;S342&amp;"" WHERE '""&amp;B342&amp;""' = D"", 0), """")"),"")</f>
        <v/>
      </c>
      <c r="V342" s="22"/>
      <c r="W342" s="22"/>
      <c r="X342" s="22"/>
      <c r="Y342" s="22"/>
      <c r="Z342" s="22"/>
      <c r="AA342" s="22"/>
      <c r="AB342" s="22"/>
      <c r="AC342" s="22"/>
      <c r="AD342" s="23"/>
      <c r="AE342" s="24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</row>
    <row r="343" customFormat="false" ht="18.65" hidden="false" customHeight="false" outlineLevel="0" collapsed="false">
      <c r="A343" s="13"/>
      <c r="B343" s="26"/>
      <c r="C343" s="15"/>
      <c r="D343" s="16"/>
      <c r="E343" s="16"/>
      <c r="F343" s="16" t="str">
        <f aca="false">REPLACE(E343, 1, 3, "")</f>
        <v/>
      </c>
      <c r="G343" s="17" t="str">
        <f aca="true">IFERROR(VLOOKUP(B343,INDIRECT("'"&amp;F343&amp;"'!D3:D"),1,FALSE()), "Not found")</f>
        <v>Not found</v>
      </c>
      <c r="H343" s="25" t="e">
        <f aca="true">INDIRECT("'"&amp;F343&amp;"'!D1")</f>
        <v>#REF!</v>
      </c>
      <c r="I343" s="18" t="str">
        <f aca="false">IFERROR(__xludf.dummyfunction("REGEXEXTRACT(ADDRESS(ROW(), 24+$H343), ""[A-Z]+"")"),"#VALUE!")</f>
        <v>#VALUE!</v>
      </c>
      <c r="J343" s="18" t="str">
        <f aca="false">IFERROR(__xludf.dummyfunction("REGEXEXTRACT(ADDRESS(ROW(), 30+$H343), ""[A-Z]+"")"),"#VALUE!")</f>
        <v>#VALUE!</v>
      </c>
      <c r="K343" s="18" t="str">
        <f aca="false">IFERROR(__xludf.dummyfunction("REGEXEXTRACT(ADDRESS(ROW(), 36+$H343), ""[A-Z]+"")"),"#VALUE!")</f>
        <v>#VALUE!</v>
      </c>
      <c r="L343" s="18" t="str">
        <f aca="false">IFERROR(__xludf.dummyfunction("REGEXEXTRACT(ADDRESS(ROW(), 42+$H343), ""[A-Z]+"")"),"#VALUE!")</f>
        <v>#VALUE!</v>
      </c>
      <c r="M343" s="18" t="str">
        <f aca="false">IFERROR(__xludf.dummyfunction("REGEXEXTRACT(ADDRESS(ROW(), 48+$H343), ""[A-Z]+"")"),"#VALUE!")</f>
        <v>#VALUE!</v>
      </c>
      <c r="N343" s="18" t="str">
        <f aca="false">IFERROR(__xludf.dummyfunction("REGEXEXTRACT(ADDRESS(ROW(), 50+$H343), ""[A-Z]+"")"),"#VALUE!")</f>
        <v>#VALUE!</v>
      </c>
      <c r="O343" s="18" t="str">
        <f aca="false">IFERROR(__xludf.dummyfunction("REGEXEXTRACT(ADDRESS(ROW(), 51+$H343), ""[A-Z]+"")"),"#VALUE!")</f>
        <v>#VALUE!</v>
      </c>
      <c r="P343" s="18" t="str">
        <f aca="false">IFERROR(__xludf.dummyfunction("REGEXEXTRACT(ADDRESS(ROW(), 54+$H343), ""[A-Z]+"")"),"#VALUE!")</f>
        <v>#VALUE!</v>
      </c>
      <c r="Q343" s="18" t="str">
        <f aca="false">IFERROR(__xludf.dummyfunction("REGEXEXTRACT(ADDRESS(ROW(), 59+$H343), ""[A-Z]+"")"),"#VALUE!")</f>
        <v>#VALUE!</v>
      </c>
      <c r="R343" s="18" t="str">
        <f aca="false">IFERROR(__xludf.dummyfunction("REGEXEXTRACT(ADDRESS(ROW(), 60+$H343), ""[A-Z]+"")"),"#VALUE!")</f>
        <v>#VALUE!</v>
      </c>
      <c r="S343" s="18" t="str">
        <f aca="false">IFERROR(__xludf.dummyfunction("REGEXEXTRACT(ADDRESS(ROW(), 62+$H343), ""[A-Z]+"")"),"#VALUE!")</f>
        <v>#VALUE!</v>
      </c>
      <c r="T343" s="18" t="str">
        <f aca="false">IFERROR(__xludf.dummyfunction("REGEXEXTRACT(ADDRESS(ROW(), 63+$H343), ""[A-Z]+"")"),"#VALUE!")</f>
        <v>#VALUE!</v>
      </c>
      <c r="U343" s="19" t="str">
        <f aca="false">IFERROR(__xludf.dummyfunction("IFERROR(QUERY(INDIRECT(""'""&amp;F343&amp;""'!C3:""&amp;T343&amp;""""), ""SELECT ""&amp;I343&amp;"", ""&amp;J343&amp;"", ""&amp;K343&amp;"", ""&amp;L343&amp;"", ""&amp;M343&amp;"", ""&amp;N343&amp;"", ""&amp;O343&amp;"", ""&amp;P343&amp;"", ""&amp;Q343&amp;"", ""&amp;R343&amp;"", ""&amp;S343&amp;"" WHERE '""&amp;B343&amp;""' = D"", 0), """")"),"")</f>
        <v/>
      </c>
      <c r="V343" s="22"/>
      <c r="W343" s="22"/>
      <c r="X343" s="22"/>
      <c r="Y343" s="22"/>
      <c r="Z343" s="22"/>
      <c r="AA343" s="22"/>
      <c r="AB343" s="22"/>
      <c r="AC343" s="22"/>
      <c r="AD343" s="23"/>
      <c r="AE343" s="24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</row>
    <row r="344" customFormat="false" ht="18.65" hidden="false" customHeight="false" outlineLevel="0" collapsed="false">
      <c r="A344" s="13"/>
      <c r="B344" s="26"/>
      <c r="C344" s="15"/>
      <c r="D344" s="16"/>
      <c r="E344" s="16"/>
      <c r="F344" s="16" t="str">
        <f aca="false">REPLACE(E344, 1, 3, "")</f>
        <v/>
      </c>
      <c r="G344" s="17" t="str">
        <f aca="true">IFERROR(VLOOKUP(B344,INDIRECT("'"&amp;F344&amp;"'!D3:D"),1,FALSE()), "Not found")</f>
        <v>Not found</v>
      </c>
      <c r="H344" s="25" t="e">
        <f aca="true">INDIRECT("'"&amp;F344&amp;"'!D1")</f>
        <v>#REF!</v>
      </c>
      <c r="I344" s="18" t="str">
        <f aca="false">IFERROR(__xludf.dummyfunction("REGEXEXTRACT(ADDRESS(ROW(), 24+$H344), ""[A-Z]+"")"),"#VALUE!")</f>
        <v>#VALUE!</v>
      </c>
      <c r="J344" s="18" t="str">
        <f aca="false">IFERROR(__xludf.dummyfunction("REGEXEXTRACT(ADDRESS(ROW(), 30+$H344), ""[A-Z]+"")"),"#VALUE!")</f>
        <v>#VALUE!</v>
      </c>
      <c r="K344" s="18" t="str">
        <f aca="false">IFERROR(__xludf.dummyfunction("REGEXEXTRACT(ADDRESS(ROW(), 36+$H344), ""[A-Z]+"")"),"#VALUE!")</f>
        <v>#VALUE!</v>
      </c>
      <c r="L344" s="18" t="str">
        <f aca="false">IFERROR(__xludf.dummyfunction("REGEXEXTRACT(ADDRESS(ROW(), 42+$H344), ""[A-Z]+"")"),"#VALUE!")</f>
        <v>#VALUE!</v>
      </c>
      <c r="M344" s="18" t="str">
        <f aca="false">IFERROR(__xludf.dummyfunction("REGEXEXTRACT(ADDRESS(ROW(), 48+$H344), ""[A-Z]+"")"),"#VALUE!")</f>
        <v>#VALUE!</v>
      </c>
      <c r="N344" s="18" t="str">
        <f aca="false">IFERROR(__xludf.dummyfunction("REGEXEXTRACT(ADDRESS(ROW(), 50+$H344), ""[A-Z]+"")"),"#VALUE!")</f>
        <v>#VALUE!</v>
      </c>
      <c r="O344" s="18" t="str">
        <f aca="false">IFERROR(__xludf.dummyfunction("REGEXEXTRACT(ADDRESS(ROW(), 51+$H344), ""[A-Z]+"")"),"#VALUE!")</f>
        <v>#VALUE!</v>
      </c>
      <c r="P344" s="18" t="str">
        <f aca="false">IFERROR(__xludf.dummyfunction("REGEXEXTRACT(ADDRESS(ROW(), 54+$H344), ""[A-Z]+"")"),"#VALUE!")</f>
        <v>#VALUE!</v>
      </c>
      <c r="Q344" s="18" t="str">
        <f aca="false">IFERROR(__xludf.dummyfunction("REGEXEXTRACT(ADDRESS(ROW(), 59+$H344), ""[A-Z]+"")"),"#VALUE!")</f>
        <v>#VALUE!</v>
      </c>
      <c r="R344" s="18" t="str">
        <f aca="false">IFERROR(__xludf.dummyfunction("REGEXEXTRACT(ADDRESS(ROW(), 60+$H344), ""[A-Z]+"")"),"#VALUE!")</f>
        <v>#VALUE!</v>
      </c>
      <c r="S344" s="18" t="str">
        <f aca="false">IFERROR(__xludf.dummyfunction("REGEXEXTRACT(ADDRESS(ROW(), 62+$H344), ""[A-Z]+"")"),"#VALUE!")</f>
        <v>#VALUE!</v>
      </c>
      <c r="T344" s="18" t="str">
        <f aca="false">IFERROR(__xludf.dummyfunction("REGEXEXTRACT(ADDRESS(ROW(), 63+$H344), ""[A-Z]+"")"),"#VALUE!")</f>
        <v>#VALUE!</v>
      </c>
      <c r="U344" s="19" t="str">
        <f aca="false">IFERROR(__xludf.dummyfunction("IFERROR(QUERY(INDIRECT(""'""&amp;F344&amp;""'!C3:""&amp;T344&amp;""""), ""SELECT ""&amp;I344&amp;"", ""&amp;J344&amp;"", ""&amp;K344&amp;"", ""&amp;L344&amp;"", ""&amp;M344&amp;"", ""&amp;N344&amp;"", ""&amp;O344&amp;"", ""&amp;P344&amp;"", ""&amp;Q344&amp;"", ""&amp;R344&amp;"", ""&amp;S344&amp;"" WHERE '""&amp;B344&amp;""' = D"", 0), """")"),"")</f>
        <v/>
      </c>
      <c r="V344" s="22"/>
      <c r="W344" s="22"/>
      <c r="X344" s="22"/>
      <c r="Y344" s="22"/>
      <c r="Z344" s="22"/>
      <c r="AA344" s="22"/>
      <c r="AB344" s="22"/>
      <c r="AC344" s="22"/>
      <c r="AD344" s="23"/>
      <c r="AE344" s="24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</row>
    <row r="345" customFormat="false" ht="18.65" hidden="false" customHeight="false" outlineLevel="0" collapsed="false">
      <c r="A345" s="13"/>
      <c r="B345" s="26"/>
      <c r="C345" s="15"/>
      <c r="D345" s="16"/>
      <c r="E345" s="16"/>
      <c r="F345" s="16" t="str">
        <f aca="false">REPLACE(E345, 1, 3, "")</f>
        <v/>
      </c>
      <c r="G345" s="17" t="str">
        <f aca="true">IFERROR(VLOOKUP(B345,INDIRECT("'"&amp;F345&amp;"'!D3:D"),1,FALSE()), "Not found")</f>
        <v>Not found</v>
      </c>
      <c r="H345" s="25" t="e">
        <f aca="true">INDIRECT("'"&amp;F345&amp;"'!D1")</f>
        <v>#REF!</v>
      </c>
      <c r="I345" s="18" t="str">
        <f aca="false">IFERROR(__xludf.dummyfunction("REGEXEXTRACT(ADDRESS(ROW(), 24+$H345), ""[A-Z]+"")"),"#VALUE!")</f>
        <v>#VALUE!</v>
      </c>
      <c r="J345" s="18" t="str">
        <f aca="false">IFERROR(__xludf.dummyfunction("REGEXEXTRACT(ADDRESS(ROW(), 30+$H345), ""[A-Z]+"")"),"#VALUE!")</f>
        <v>#VALUE!</v>
      </c>
      <c r="K345" s="18" t="str">
        <f aca="false">IFERROR(__xludf.dummyfunction("REGEXEXTRACT(ADDRESS(ROW(), 36+$H345), ""[A-Z]+"")"),"#VALUE!")</f>
        <v>#VALUE!</v>
      </c>
      <c r="L345" s="18" t="str">
        <f aca="false">IFERROR(__xludf.dummyfunction("REGEXEXTRACT(ADDRESS(ROW(), 42+$H345), ""[A-Z]+"")"),"#VALUE!")</f>
        <v>#VALUE!</v>
      </c>
      <c r="M345" s="18" t="str">
        <f aca="false">IFERROR(__xludf.dummyfunction("REGEXEXTRACT(ADDRESS(ROW(), 48+$H345), ""[A-Z]+"")"),"#VALUE!")</f>
        <v>#VALUE!</v>
      </c>
      <c r="N345" s="18" t="str">
        <f aca="false">IFERROR(__xludf.dummyfunction("REGEXEXTRACT(ADDRESS(ROW(), 50+$H345), ""[A-Z]+"")"),"#VALUE!")</f>
        <v>#VALUE!</v>
      </c>
      <c r="O345" s="18" t="str">
        <f aca="false">IFERROR(__xludf.dummyfunction("REGEXEXTRACT(ADDRESS(ROW(), 51+$H345), ""[A-Z]+"")"),"#VALUE!")</f>
        <v>#VALUE!</v>
      </c>
      <c r="P345" s="18" t="str">
        <f aca="false">IFERROR(__xludf.dummyfunction("REGEXEXTRACT(ADDRESS(ROW(), 54+$H345), ""[A-Z]+"")"),"#VALUE!")</f>
        <v>#VALUE!</v>
      </c>
      <c r="Q345" s="18" t="str">
        <f aca="false">IFERROR(__xludf.dummyfunction("REGEXEXTRACT(ADDRESS(ROW(), 59+$H345), ""[A-Z]+"")"),"#VALUE!")</f>
        <v>#VALUE!</v>
      </c>
      <c r="R345" s="18" t="str">
        <f aca="false">IFERROR(__xludf.dummyfunction("REGEXEXTRACT(ADDRESS(ROW(), 60+$H345), ""[A-Z]+"")"),"#VALUE!")</f>
        <v>#VALUE!</v>
      </c>
      <c r="S345" s="18" t="str">
        <f aca="false">IFERROR(__xludf.dummyfunction("REGEXEXTRACT(ADDRESS(ROW(), 62+$H345), ""[A-Z]+"")"),"#VALUE!")</f>
        <v>#VALUE!</v>
      </c>
      <c r="T345" s="18" t="str">
        <f aca="false">IFERROR(__xludf.dummyfunction("REGEXEXTRACT(ADDRESS(ROW(), 63+$H345), ""[A-Z]+"")"),"#VALUE!")</f>
        <v>#VALUE!</v>
      </c>
      <c r="U345" s="19" t="str">
        <f aca="false">IFERROR(__xludf.dummyfunction("IFERROR(QUERY(INDIRECT(""'""&amp;F345&amp;""'!C3:""&amp;T345&amp;""""), ""SELECT ""&amp;I345&amp;"", ""&amp;J345&amp;"", ""&amp;K345&amp;"", ""&amp;L345&amp;"", ""&amp;M345&amp;"", ""&amp;N345&amp;"", ""&amp;O345&amp;"", ""&amp;P345&amp;"", ""&amp;Q345&amp;"", ""&amp;R345&amp;"", ""&amp;S345&amp;"" WHERE '""&amp;B345&amp;""' = D"", 0), """")"),"")</f>
        <v/>
      </c>
      <c r="V345" s="22"/>
      <c r="W345" s="22"/>
      <c r="X345" s="22"/>
      <c r="Y345" s="22"/>
      <c r="Z345" s="22"/>
      <c r="AA345" s="22"/>
      <c r="AB345" s="22"/>
      <c r="AC345" s="22"/>
      <c r="AD345" s="23"/>
      <c r="AE345" s="24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</row>
    <row r="346" customFormat="false" ht="18.65" hidden="false" customHeight="false" outlineLevel="0" collapsed="false">
      <c r="A346" s="13"/>
      <c r="B346" s="26"/>
      <c r="C346" s="15"/>
      <c r="D346" s="16"/>
      <c r="E346" s="16"/>
      <c r="F346" s="16" t="str">
        <f aca="false">REPLACE(E346, 1, 3, "")</f>
        <v/>
      </c>
      <c r="G346" s="17" t="str">
        <f aca="true">IFERROR(VLOOKUP(B346,INDIRECT("'"&amp;F346&amp;"'!D3:D"),1,FALSE()), "Not found")</f>
        <v>Not found</v>
      </c>
      <c r="H346" s="25" t="e">
        <f aca="true">INDIRECT("'"&amp;F346&amp;"'!D1")</f>
        <v>#REF!</v>
      </c>
      <c r="I346" s="18" t="str">
        <f aca="false">IFERROR(__xludf.dummyfunction("REGEXEXTRACT(ADDRESS(ROW(), 24+$H346), ""[A-Z]+"")"),"#VALUE!")</f>
        <v>#VALUE!</v>
      </c>
      <c r="J346" s="18" t="str">
        <f aca="false">IFERROR(__xludf.dummyfunction("REGEXEXTRACT(ADDRESS(ROW(), 30+$H346), ""[A-Z]+"")"),"#VALUE!")</f>
        <v>#VALUE!</v>
      </c>
      <c r="K346" s="18" t="str">
        <f aca="false">IFERROR(__xludf.dummyfunction("REGEXEXTRACT(ADDRESS(ROW(), 36+$H346), ""[A-Z]+"")"),"#VALUE!")</f>
        <v>#VALUE!</v>
      </c>
      <c r="L346" s="18" t="str">
        <f aca="false">IFERROR(__xludf.dummyfunction("REGEXEXTRACT(ADDRESS(ROW(), 42+$H346), ""[A-Z]+"")"),"#VALUE!")</f>
        <v>#VALUE!</v>
      </c>
      <c r="M346" s="18" t="str">
        <f aca="false">IFERROR(__xludf.dummyfunction("REGEXEXTRACT(ADDRESS(ROW(), 48+$H346), ""[A-Z]+"")"),"#VALUE!")</f>
        <v>#VALUE!</v>
      </c>
      <c r="N346" s="18" t="str">
        <f aca="false">IFERROR(__xludf.dummyfunction("REGEXEXTRACT(ADDRESS(ROW(), 50+$H346), ""[A-Z]+"")"),"#VALUE!")</f>
        <v>#VALUE!</v>
      </c>
      <c r="O346" s="18" t="str">
        <f aca="false">IFERROR(__xludf.dummyfunction("REGEXEXTRACT(ADDRESS(ROW(), 51+$H346), ""[A-Z]+"")"),"#VALUE!")</f>
        <v>#VALUE!</v>
      </c>
      <c r="P346" s="18" t="str">
        <f aca="false">IFERROR(__xludf.dummyfunction("REGEXEXTRACT(ADDRESS(ROW(), 54+$H346), ""[A-Z]+"")"),"#VALUE!")</f>
        <v>#VALUE!</v>
      </c>
      <c r="Q346" s="18" t="str">
        <f aca="false">IFERROR(__xludf.dummyfunction("REGEXEXTRACT(ADDRESS(ROW(), 59+$H346), ""[A-Z]+"")"),"#VALUE!")</f>
        <v>#VALUE!</v>
      </c>
      <c r="R346" s="18" t="str">
        <f aca="false">IFERROR(__xludf.dummyfunction("REGEXEXTRACT(ADDRESS(ROW(), 60+$H346), ""[A-Z]+"")"),"#VALUE!")</f>
        <v>#VALUE!</v>
      </c>
      <c r="S346" s="18" t="str">
        <f aca="false">IFERROR(__xludf.dummyfunction("REGEXEXTRACT(ADDRESS(ROW(), 62+$H346), ""[A-Z]+"")"),"#VALUE!")</f>
        <v>#VALUE!</v>
      </c>
      <c r="T346" s="18" t="str">
        <f aca="false">IFERROR(__xludf.dummyfunction("REGEXEXTRACT(ADDRESS(ROW(), 63+$H346), ""[A-Z]+"")"),"#VALUE!")</f>
        <v>#VALUE!</v>
      </c>
      <c r="U346" s="19" t="str">
        <f aca="false">IFERROR(__xludf.dummyfunction("IFERROR(QUERY(INDIRECT(""'""&amp;F346&amp;""'!C3:""&amp;T346&amp;""""), ""SELECT ""&amp;I346&amp;"", ""&amp;J346&amp;"", ""&amp;K346&amp;"", ""&amp;L346&amp;"", ""&amp;M346&amp;"", ""&amp;N346&amp;"", ""&amp;O346&amp;"", ""&amp;P346&amp;"", ""&amp;Q346&amp;"", ""&amp;R346&amp;"", ""&amp;S346&amp;"" WHERE '""&amp;B346&amp;""' = D"", 0), """")"),"")</f>
        <v/>
      </c>
      <c r="V346" s="22"/>
      <c r="W346" s="22"/>
      <c r="X346" s="22"/>
      <c r="Y346" s="22"/>
      <c r="Z346" s="22"/>
      <c r="AA346" s="22"/>
      <c r="AB346" s="22"/>
      <c r="AC346" s="22"/>
      <c r="AD346" s="23"/>
      <c r="AE346" s="24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</row>
    <row r="347" customFormat="false" ht="18.65" hidden="false" customHeight="false" outlineLevel="0" collapsed="false">
      <c r="A347" s="13"/>
      <c r="B347" s="26"/>
      <c r="C347" s="15"/>
      <c r="D347" s="16"/>
      <c r="E347" s="16"/>
      <c r="F347" s="16" t="str">
        <f aca="false">REPLACE(E347, 1, 3, "")</f>
        <v/>
      </c>
      <c r="G347" s="17" t="str">
        <f aca="true">IFERROR(VLOOKUP(B347,INDIRECT("'"&amp;F347&amp;"'!D3:D"),1,FALSE()), "Not found")</f>
        <v>Not found</v>
      </c>
      <c r="H347" s="25" t="e">
        <f aca="true">INDIRECT("'"&amp;F347&amp;"'!D1")</f>
        <v>#REF!</v>
      </c>
      <c r="I347" s="18" t="str">
        <f aca="false">IFERROR(__xludf.dummyfunction("REGEXEXTRACT(ADDRESS(ROW(), 24+$H347), ""[A-Z]+"")"),"#VALUE!")</f>
        <v>#VALUE!</v>
      </c>
      <c r="J347" s="18" t="str">
        <f aca="false">IFERROR(__xludf.dummyfunction("REGEXEXTRACT(ADDRESS(ROW(), 30+$H347), ""[A-Z]+"")"),"#VALUE!")</f>
        <v>#VALUE!</v>
      </c>
      <c r="K347" s="18" t="str">
        <f aca="false">IFERROR(__xludf.dummyfunction("REGEXEXTRACT(ADDRESS(ROW(), 36+$H347), ""[A-Z]+"")"),"#VALUE!")</f>
        <v>#VALUE!</v>
      </c>
      <c r="L347" s="18" t="str">
        <f aca="false">IFERROR(__xludf.dummyfunction("REGEXEXTRACT(ADDRESS(ROW(), 42+$H347), ""[A-Z]+"")"),"#VALUE!")</f>
        <v>#VALUE!</v>
      </c>
      <c r="M347" s="18" t="str">
        <f aca="false">IFERROR(__xludf.dummyfunction("REGEXEXTRACT(ADDRESS(ROW(), 48+$H347), ""[A-Z]+"")"),"#VALUE!")</f>
        <v>#VALUE!</v>
      </c>
      <c r="N347" s="18" t="str">
        <f aca="false">IFERROR(__xludf.dummyfunction("REGEXEXTRACT(ADDRESS(ROW(), 50+$H347), ""[A-Z]+"")"),"#VALUE!")</f>
        <v>#VALUE!</v>
      </c>
      <c r="O347" s="18" t="str">
        <f aca="false">IFERROR(__xludf.dummyfunction("REGEXEXTRACT(ADDRESS(ROW(), 51+$H347), ""[A-Z]+"")"),"#VALUE!")</f>
        <v>#VALUE!</v>
      </c>
      <c r="P347" s="18" t="str">
        <f aca="false">IFERROR(__xludf.dummyfunction("REGEXEXTRACT(ADDRESS(ROW(), 54+$H347), ""[A-Z]+"")"),"#VALUE!")</f>
        <v>#VALUE!</v>
      </c>
      <c r="Q347" s="18" t="str">
        <f aca="false">IFERROR(__xludf.dummyfunction("REGEXEXTRACT(ADDRESS(ROW(), 59+$H347), ""[A-Z]+"")"),"#VALUE!")</f>
        <v>#VALUE!</v>
      </c>
      <c r="R347" s="18" t="str">
        <f aca="false">IFERROR(__xludf.dummyfunction("REGEXEXTRACT(ADDRESS(ROW(), 60+$H347), ""[A-Z]+"")"),"#VALUE!")</f>
        <v>#VALUE!</v>
      </c>
      <c r="S347" s="18" t="str">
        <f aca="false">IFERROR(__xludf.dummyfunction("REGEXEXTRACT(ADDRESS(ROW(), 62+$H347), ""[A-Z]+"")"),"#VALUE!")</f>
        <v>#VALUE!</v>
      </c>
      <c r="T347" s="18" t="str">
        <f aca="false">IFERROR(__xludf.dummyfunction("REGEXEXTRACT(ADDRESS(ROW(), 63+$H347), ""[A-Z]+"")"),"#VALUE!")</f>
        <v>#VALUE!</v>
      </c>
      <c r="U347" s="19" t="str">
        <f aca="false">IFERROR(__xludf.dummyfunction("IFERROR(QUERY(INDIRECT(""'""&amp;F347&amp;""'!C3:""&amp;T347&amp;""""), ""SELECT ""&amp;I347&amp;"", ""&amp;J347&amp;"", ""&amp;K347&amp;"", ""&amp;L347&amp;"", ""&amp;M347&amp;"", ""&amp;N347&amp;"", ""&amp;O347&amp;"", ""&amp;P347&amp;"", ""&amp;Q347&amp;"", ""&amp;R347&amp;"", ""&amp;S347&amp;"" WHERE '""&amp;B347&amp;""' = D"", 0), """")"),"")</f>
        <v/>
      </c>
      <c r="V347" s="22"/>
      <c r="W347" s="22"/>
      <c r="X347" s="22"/>
      <c r="Y347" s="22"/>
      <c r="Z347" s="22"/>
      <c r="AA347" s="22"/>
      <c r="AB347" s="22"/>
      <c r="AC347" s="22"/>
      <c r="AD347" s="23"/>
      <c r="AE347" s="24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</row>
    <row r="348" customFormat="false" ht="18.65" hidden="false" customHeight="false" outlineLevel="0" collapsed="false">
      <c r="A348" s="13"/>
      <c r="B348" s="26"/>
      <c r="C348" s="15"/>
      <c r="D348" s="16"/>
      <c r="E348" s="16"/>
      <c r="F348" s="16" t="str">
        <f aca="false">REPLACE(E348, 1, 3, "")</f>
        <v/>
      </c>
      <c r="G348" s="17" t="str">
        <f aca="true">IFERROR(VLOOKUP(B348,INDIRECT("'"&amp;F348&amp;"'!D3:D"),1,FALSE()), "Not found")</f>
        <v>Not found</v>
      </c>
      <c r="H348" s="25" t="e">
        <f aca="true">INDIRECT("'"&amp;F348&amp;"'!D1")</f>
        <v>#REF!</v>
      </c>
      <c r="I348" s="18" t="str">
        <f aca="false">IFERROR(__xludf.dummyfunction("REGEXEXTRACT(ADDRESS(ROW(), 24+$H348), ""[A-Z]+"")"),"#VALUE!")</f>
        <v>#VALUE!</v>
      </c>
      <c r="J348" s="18" t="str">
        <f aca="false">IFERROR(__xludf.dummyfunction("REGEXEXTRACT(ADDRESS(ROW(), 30+$H348), ""[A-Z]+"")"),"#VALUE!")</f>
        <v>#VALUE!</v>
      </c>
      <c r="K348" s="18" t="str">
        <f aca="false">IFERROR(__xludf.dummyfunction("REGEXEXTRACT(ADDRESS(ROW(), 36+$H348), ""[A-Z]+"")"),"#VALUE!")</f>
        <v>#VALUE!</v>
      </c>
      <c r="L348" s="18" t="str">
        <f aca="false">IFERROR(__xludf.dummyfunction("REGEXEXTRACT(ADDRESS(ROW(), 42+$H348), ""[A-Z]+"")"),"#VALUE!")</f>
        <v>#VALUE!</v>
      </c>
      <c r="M348" s="18" t="str">
        <f aca="false">IFERROR(__xludf.dummyfunction("REGEXEXTRACT(ADDRESS(ROW(), 48+$H348), ""[A-Z]+"")"),"#VALUE!")</f>
        <v>#VALUE!</v>
      </c>
      <c r="N348" s="18" t="str">
        <f aca="false">IFERROR(__xludf.dummyfunction("REGEXEXTRACT(ADDRESS(ROW(), 50+$H348), ""[A-Z]+"")"),"#VALUE!")</f>
        <v>#VALUE!</v>
      </c>
      <c r="O348" s="18" t="str">
        <f aca="false">IFERROR(__xludf.dummyfunction("REGEXEXTRACT(ADDRESS(ROW(), 51+$H348), ""[A-Z]+"")"),"#VALUE!")</f>
        <v>#VALUE!</v>
      </c>
      <c r="P348" s="18" t="str">
        <f aca="false">IFERROR(__xludf.dummyfunction("REGEXEXTRACT(ADDRESS(ROW(), 54+$H348), ""[A-Z]+"")"),"#VALUE!")</f>
        <v>#VALUE!</v>
      </c>
      <c r="Q348" s="18" t="str">
        <f aca="false">IFERROR(__xludf.dummyfunction("REGEXEXTRACT(ADDRESS(ROW(), 59+$H348), ""[A-Z]+"")"),"#VALUE!")</f>
        <v>#VALUE!</v>
      </c>
      <c r="R348" s="18" t="str">
        <f aca="false">IFERROR(__xludf.dummyfunction("REGEXEXTRACT(ADDRESS(ROW(), 60+$H348), ""[A-Z]+"")"),"#VALUE!")</f>
        <v>#VALUE!</v>
      </c>
      <c r="S348" s="18" t="str">
        <f aca="false">IFERROR(__xludf.dummyfunction("REGEXEXTRACT(ADDRESS(ROW(), 62+$H348), ""[A-Z]+"")"),"#VALUE!")</f>
        <v>#VALUE!</v>
      </c>
      <c r="T348" s="18" t="str">
        <f aca="false">IFERROR(__xludf.dummyfunction("REGEXEXTRACT(ADDRESS(ROW(), 63+$H348), ""[A-Z]+"")"),"#VALUE!")</f>
        <v>#VALUE!</v>
      </c>
      <c r="U348" s="19" t="str">
        <f aca="false">IFERROR(__xludf.dummyfunction("IFERROR(QUERY(INDIRECT(""'""&amp;F348&amp;""'!C3:""&amp;T348&amp;""""), ""SELECT ""&amp;I348&amp;"", ""&amp;J348&amp;"", ""&amp;K348&amp;"", ""&amp;L348&amp;"", ""&amp;M348&amp;"", ""&amp;N348&amp;"", ""&amp;O348&amp;"", ""&amp;P348&amp;"", ""&amp;Q348&amp;"", ""&amp;R348&amp;"", ""&amp;S348&amp;"" WHERE '""&amp;B348&amp;""' = D"", 0), """")"),"")</f>
        <v/>
      </c>
      <c r="V348" s="22"/>
      <c r="W348" s="22"/>
      <c r="X348" s="22"/>
      <c r="Y348" s="22"/>
      <c r="Z348" s="22"/>
      <c r="AA348" s="22"/>
      <c r="AB348" s="22"/>
      <c r="AC348" s="22"/>
      <c r="AD348" s="23"/>
      <c r="AE348" s="24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</row>
    <row r="349" customFormat="false" ht="18.65" hidden="false" customHeight="false" outlineLevel="0" collapsed="false">
      <c r="A349" s="13"/>
      <c r="B349" s="26"/>
      <c r="C349" s="15"/>
      <c r="D349" s="16"/>
      <c r="E349" s="16"/>
      <c r="F349" s="16" t="str">
        <f aca="false">REPLACE(E349, 1, 3, "")</f>
        <v/>
      </c>
      <c r="G349" s="17" t="str">
        <f aca="true">IFERROR(VLOOKUP(B349,INDIRECT("'"&amp;F349&amp;"'!D3:D"),1,FALSE()), "Not found")</f>
        <v>Not found</v>
      </c>
      <c r="H349" s="25" t="e">
        <f aca="true">INDIRECT("'"&amp;F349&amp;"'!D1")</f>
        <v>#REF!</v>
      </c>
      <c r="I349" s="18" t="str">
        <f aca="false">IFERROR(__xludf.dummyfunction("REGEXEXTRACT(ADDRESS(ROW(), 24+$H349), ""[A-Z]+"")"),"#VALUE!")</f>
        <v>#VALUE!</v>
      </c>
      <c r="J349" s="18" t="str">
        <f aca="false">IFERROR(__xludf.dummyfunction("REGEXEXTRACT(ADDRESS(ROW(), 30+$H349), ""[A-Z]+"")"),"#VALUE!")</f>
        <v>#VALUE!</v>
      </c>
      <c r="K349" s="18" t="str">
        <f aca="false">IFERROR(__xludf.dummyfunction("REGEXEXTRACT(ADDRESS(ROW(), 36+$H349), ""[A-Z]+"")"),"#VALUE!")</f>
        <v>#VALUE!</v>
      </c>
      <c r="L349" s="18" t="str">
        <f aca="false">IFERROR(__xludf.dummyfunction("REGEXEXTRACT(ADDRESS(ROW(), 42+$H349), ""[A-Z]+"")"),"#VALUE!")</f>
        <v>#VALUE!</v>
      </c>
      <c r="M349" s="18" t="str">
        <f aca="false">IFERROR(__xludf.dummyfunction("REGEXEXTRACT(ADDRESS(ROW(), 48+$H349), ""[A-Z]+"")"),"#VALUE!")</f>
        <v>#VALUE!</v>
      </c>
      <c r="N349" s="18" t="str">
        <f aca="false">IFERROR(__xludf.dummyfunction("REGEXEXTRACT(ADDRESS(ROW(), 50+$H349), ""[A-Z]+"")"),"#VALUE!")</f>
        <v>#VALUE!</v>
      </c>
      <c r="O349" s="18" t="str">
        <f aca="false">IFERROR(__xludf.dummyfunction("REGEXEXTRACT(ADDRESS(ROW(), 51+$H349), ""[A-Z]+"")"),"#VALUE!")</f>
        <v>#VALUE!</v>
      </c>
      <c r="P349" s="18" t="str">
        <f aca="false">IFERROR(__xludf.dummyfunction("REGEXEXTRACT(ADDRESS(ROW(), 54+$H349), ""[A-Z]+"")"),"#VALUE!")</f>
        <v>#VALUE!</v>
      </c>
      <c r="Q349" s="18" t="str">
        <f aca="false">IFERROR(__xludf.dummyfunction("REGEXEXTRACT(ADDRESS(ROW(), 59+$H349), ""[A-Z]+"")"),"#VALUE!")</f>
        <v>#VALUE!</v>
      </c>
      <c r="R349" s="18" t="str">
        <f aca="false">IFERROR(__xludf.dummyfunction("REGEXEXTRACT(ADDRESS(ROW(), 60+$H349), ""[A-Z]+"")"),"#VALUE!")</f>
        <v>#VALUE!</v>
      </c>
      <c r="S349" s="18" t="str">
        <f aca="false">IFERROR(__xludf.dummyfunction("REGEXEXTRACT(ADDRESS(ROW(), 62+$H349), ""[A-Z]+"")"),"#VALUE!")</f>
        <v>#VALUE!</v>
      </c>
      <c r="T349" s="18" t="str">
        <f aca="false">IFERROR(__xludf.dummyfunction("REGEXEXTRACT(ADDRESS(ROW(), 63+$H349), ""[A-Z]+"")"),"#VALUE!")</f>
        <v>#VALUE!</v>
      </c>
      <c r="U349" s="19" t="str">
        <f aca="false">IFERROR(__xludf.dummyfunction("IFERROR(QUERY(INDIRECT(""'""&amp;F349&amp;""'!C3:""&amp;T349&amp;""""), ""SELECT ""&amp;I349&amp;"", ""&amp;J349&amp;"", ""&amp;K349&amp;"", ""&amp;L349&amp;"", ""&amp;M349&amp;"", ""&amp;N349&amp;"", ""&amp;O349&amp;"", ""&amp;P349&amp;"", ""&amp;Q349&amp;"", ""&amp;R349&amp;"", ""&amp;S349&amp;"" WHERE '""&amp;B349&amp;""' = D"", 0), """")"),"")</f>
        <v/>
      </c>
      <c r="V349" s="22"/>
      <c r="W349" s="22"/>
      <c r="X349" s="22"/>
      <c r="Y349" s="22"/>
      <c r="Z349" s="22"/>
      <c r="AA349" s="22"/>
      <c r="AB349" s="22"/>
      <c r="AC349" s="22"/>
      <c r="AD349" s="23"/>
      <c r="AE349" s="24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</row>
    <row r="350" customFormat="false" ht="18.65" hidden="false" customHeight="false" outlineLevel="0" collapsed="false">
      <c r="A350" s="13"/>
      <c r="B350" s="26"/>
      <c r="C350" s="15"/>
      <c r="D350" s="16"/>
      <c r="E350" s="16"/>
      <c r="F350" s="16" t="str">
        <f aca="false">REPLACE(E350, 1, 3, "")</f>
        <v/>
      </c>
      <c r="G350" s="17" t="str">
        <f aca="true">IFERROR(VLOOKUP(B350,INDIRECT("'"&amp;F350&amp;"'!D3:D"),1,FALSE()), "Not found")</f>
        <v>Not found</v>
      </c>
      <c r="H350" s="25" t="e">
        <f aca="true">INDIRECT("'"&amp;F350&amp;"'!D1")</f>
        <v>#REF!</v>
      </c>
      <c r="I350" s="18" t="str">
        <f aca="false">IFERROR(__xludf.dummyfunction("REGEXEXTRACT(ADDRESS(ROW(), 24+$H350), ""[A-Z]+"")"),"#VALUE!")</f>
        <v>#VALUE!</v>
      </c>
      <c r="J350" s="18" t="str">
        <f aca="false">IFERROR(__xludf.dummyfunction("REGEXEXTRACT(ADDRESS(ROW(), 30+$H350), ""[A-Z]+"")"),"#VALUE!")</f>
        <v>#VALUE!</v>
      </c>
      <c r="K350" s="18" t="str">
        <f aca="false">IFERROR(__xludf.dummyfunction("REGEXEXTRACT(ADDRESS(ROW(), 36+$H350), ""[A-Z]+"")"),"#VALUE!")</f>
        <v>#VALUE!</v>
      </c>
      <c r="L350" s="18" t="str">
        <f aca="false">IFERROR(__xludf.dummyfunction("REGEXEXTRACT(ADDRESS(ROW(), 42+$H350), ""[A-Z]+"")"),"#VALUE!")</f>
        <v>#VALUE!</v>
      </c>
      <c r="M350" s="18" t="str">
        <f aca="false">IFERROR(__xludf.dummyfunction("REGEXEXTRACT(ADDRESS(ROW(), 48+$H350), ""[A-Z]+"")"),"#VALUE!")</f>
        <v>#VALUE!</v>
      </c>
      <c r="N350" s="18" t="str">
        <f aca="false">IFERROR(__xludf.dummyfunction("REGEXEXTRACT(ADDRESS(ROW(), 50+$H350), ""[A-Z]+"")"),"#VALUE!")</f>
        <v>#VALUE!</v>
      </c>
      <c r="O350" s="18" t="str">
        <f aca="false">IFERROR(__xludf.dummyfunction("REGEXEXTRACT(ADDRESS(ROW(), 51+$H350), ""[A-Z]+"")"),"#VALUE!")</f>
        <v>#VALUE!</v>
      </c>
      <c r="P350" s="18" t="str">
        <f aca="false">IFERROR(__xludf.dummyfunction("REGEXEXTRACT(ADDRESS(ROW(), 54+$H350), ""[A-Z]+"")"),"#VALUE!")</f>
        <v>#VALUE!</v>
      </c>
      <c r="Q350" s="18" t="str">
        <f aca="false">IFERROR(__xludf.dummyfunction("REGEXEXTRACT(ADDRESS(ROW(), 59+$H350), ""[A-Z]+"")"),"#VALUE!")</f>
        <v>#VALUE!</v>
      </c>
      <c r="R350" s="18" t="str">
        <f aca="false">IFERROR(__xludf.dummyfunction("REGEXEXTRACT(ADDRESS(ROW(), 60+$H350), ""[A-Z]+"")"),"#VALUE!")</f>
        <v>#VALUE!</v>
      </c>
      <c r="S350" s="18" t="str">
        <f aca="false">IFERROR(__xludf.dummyfunction("REGEXEXTRACT(ADDRESS(ROW(), 62+$H350), ""[A-Z]+"")"),"#VALUE!")</f>
        <v>#VALUE!</v>
      </c>
      <c r="T350" s="18" t="str">
        <f aca="false">IFERROR(__xludf.dummyfunction("REGEXEXTRACT(ADDRESS(ROW(), 63+$H350), ""[A-Z]+"")"),"#VALUE!")</f>
        <v>#VALUE!</v>
      </c>
      <c r="U350" s="19" t="str">
        <f aca="false">IFERROR(__xludf.dummyfunction("IFERROR(QUERY(INDIRECT(""'""&amp;F350&amp;""'!C3:""&amp;T350&amp;""""), ""SELECT ""&amp;I350&amp;"", ""&amp;J350&amp;"", ""&amp;K350&amp;"", ""&amp;L350&amp;"", ""&amp;M350&amp;"", ""&amp;N350&amp;"", ""&amp;O350&amp;"", ""&amp;P350&amp;"", ""&amp;Q350&amp;"", ""&amp;R350&amp;"", ""&amp;S350&amp;"" WHERE '""&amp;B350&amp;""' = D"", 0), """")"),"")</f>
        <v/>
      </c>
      <c r="V350" s="22"/>
      <c r="W350" s="22"/>
      <c r="X350" s="22"/>
      <c r="Y350" s="22"/>
      <c r="Z350" s="22"/>
      <c r="AA350" s="22"/>
      <c r="AB350" s="22"/>
      <c r="AC350" s="22"/>
      <c r="AD350" s="23"/>
      <c r="AE350" s="24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</row>
    <row r="351" customFormat="false" ht="18.65" hidden="false" customHeight="false" outlineLevel="0" collapsed="false">
      <c r="A351" s="13"/>
      <c r="B351" s="26"/>
      <c r="C351" s="15"/>
      <c r="D351" s="16"/>
      <c r="E351" s="16"/>
      <c r="F351" s="16" t="str">
        <f aca="false">REPLACE(E351, 1, 3, "")</f>
        <v/>
      </c>
      <c r="G351" s="17" t="str">
        <f aca="true">IFERROR(VLOOKUP(B351,INDIRECT("'"&amp;F351&amp;"'!D3:D"),1,FALSE()), "Not found")</f>
        <v>Not found</v>
      </c>
      <c r="H351" s="25" t="e">
        <f aca="true">INDIRECT("'"&amp;F351&amp;"'!D1")</f>
        <v>#REF!</v>
      </c>
      <c r="I351" s="18" t="str">
        <f aca="false">IFERROR(__xludf.dummyfunction("REGEXEXTRACT(ADDRESS(ROW(), 24+$H351), ""[A-Z]+"")"),"#VALUE!")</f>
        <v>#VALUE!</v>
      </c>
      <c r="J351" s="18" t="str">
        <f aca="false">IFERROR(__xludf.dummyfunction("REGEXEXTRACT(ADDRESS(ROW(), 30+$H351), ""[A-Z]+"")"),"#VALUE!")</f>
        <v>#VALUE!</v>
      </c>
      <c r="K351" s="18" t="str">
        <f aca="false">IFERROR(__xludf.dummyfunction("REGEXEXTRACT(ADDRESS(ROW(), 36+$H351), ""[A-Z]+"")"),"#VALUE!")</f>
        <v>#VALUE!</v>
      </c>
      <c r="L351" s="18" t="str">
        <f aca="false">IFERROR(__xludf.dummyfunction("REGEXEXTRACT(ADDRESS(ROW(), 42+$H351), ""[A-Z]+"")"),"#VALUE!")</f>
        <v>#VALUE!</v>
      </c>
      <c r="M351" s="18" t="str">
        <f aca="false">IFERROR(__xludf.dummyfunction("REGEXEXTRACT(ADDRESS(ROW(), 48+$H351), ""[A-Z]+"")"),"#VALUE!")</f>
        <v>#VALUE!</v>
      </c>
      <c r="N351" s="18" t="str">
        <f aca="false">IFERROR(__xludf.dummyfunction("REGEXEXTRACT(ADDRESS(ROW(), 50+$H351), ""[A-Z]+"")"),"#VALUE!")</f>
        <v>#VALUE!</v>
      </c>
      <c r="O351" s="18" t="str">
        <f aca="false">IFERROR(__xludf.dummyfunction("REGEXEXTRACT(ADDRESS(ROW(), 51+$H351), ""[A-Z]+"")"),"#VALUE!")</f>
        <v>#VALUE!</v>
      </c>
      <c r="P351" s="18" t="str">
        <f aca="false">IFERROR(__xludf.dummyfunction("REGEXEXTRACT(ADDRESS(ROW(), 54+$H351), ""[A-Z]+"")"),"#VALUE!")</f>
        <v>#VALUE!</v>
      </c>
      <c r="Q351" s="18" t="str">
        <f aca="false">IFERROR(__xludf.dummyfunction("REGEXEXTRACT(ADDRESS(ROW(), 59+$H351), ""[A-Z]+"")"),"#VALUE!")</f>
        <v>#VALUE!</v>
      </c>
      <c r="R351" s="18" t="str">
        <f aca="false">IFERROR(__xludf.dummyfunction("REGEXEXTRACT(ADDRESS(ROW(), 60+$H351), ""[A-Z]+"")"),"#VALUE!")</f>
        <v>#VALUE!</v>
      </c>
      <c r="S351" s="18" t="str">
        <f aca="false">IFERROR(__xludf.dummyfunction("REGEXEXTRACT(ADDRESS(ROW(), 62+$H351), ""[A-Z]+"")"),"#VALUE!")</f>
        <v>#VALUE!</v>
      </c>
      <c r="T351" s="18" t="str">
        <f aca="false">IFERROR(__xludf.dummyfunction("REGEXEXTRACT(ADDRESS(ROW(), 63+$H351), ""[A-Z]+"")"),"#VALUE!")</f>
        <v>#VALUE!</v>
      </c>
      <c r="U351" s="19" t="str">
        <f aca="false">IFERROR(__xludf.dummyfunction("IFERROR(QUERY(INDIRECT(""'""&amp;F351&amp;""'!C3:""&amp;T351&amp;""""), ""SELECT ""&amp;I351&amp;"", ""&amp;J351&amp;"", ""&amp;K351&amp;"", ""&amp;L351&amp;"", ""&amp;M351&amp;"", ""&amp;N351&amp;"", ""&amp;O351&amp;"", ""&amp;P351&amp;"", ""&amp;Q351&amp;"", ""&amp;R351&amp;"", ""&amp;S351&amp;"" WHERE '""&amp;B351&amp;""' = D"", 0), """")"),"")</f>
        <v/>
      </c>
      <c r="V351" s="22"/>
      <c r="W351" s="22"/>
      <c r="X351" s="22"/>
      <c r="Y351" s="22"/>
      <c r="Z351" s="22"/>
      <c r="AA351" s="22"/>
      <c r="AB351" s="22"/>
      <c r="AC351" s="22"/>
      <c r="AD351" s="23"/>
      <c r="AE351" s="24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</row>
    <row r="352" customFormat="false" ht="18.65" hidden="false" customHeight="false" outlineLevel="0" collapsed="false">
      <c r="A352" s="13"/>
      <c r="B352" s="26"/>
      <c r="C352" s="15"/>
      <c r="D352" s="16"/>
      <c r="E352" s="16"/>
      <c r="F352" s="16" t="str">
        <f aca="false">REPLACE(E352, 1, 3, "")</f>
        <v/>
      </c>
      <c r="G352" s="17" t="str">
        <f aca="true">IFERROR(VLOOKUP(B352,INDIRECT("'"&amp;F352&amp;"'!D3:D"),1,FALSE()), "Not found")</f>
        <v>Not found</v>
      </c>
      <c r="H352" s="25" t="e">
        <f aca="true">INDIRECT("'"&amp;F352&amp;"'!D1")</f>
        <v>#REF!</v>
      </c>
      <c r="I352" s="18" t="str">
        <f aca="false">IFERROR(__xludf.dummyfunction("REGEXEXTRACT(ADDRESS(ROW(), 24+$H352), ""[A-Z]+"")"),"#VALUE!")</f>
        <v>#VALUE!</v>
      </c>
      <c r="J352" s="18" t="str">
        <f aca="false">IFERROR(__xludf.dummyfunction("REGEXEXTRACT(ADDRESS(ROW(), 30+$H352), ""[A-Z]+"")"),"#VALUE!")</f>
        <v>#VALUE!</v>
      </c>
      <c r="K352" s="18" t="str">
        <f aca="false">IFERROR(__xludf.dummyfunction("REGEXEXTRACT(ADDRESS(ROW(), 36+$H352), ""[A-Z]+"")"),"#VALUE!")</f>
        <v>#VALUE!</v>
      </c>
      <c r="L352" s="18" t="str">
        <f aca="false">IFERROR(__xludf.dummyfunction("REGEXEXTRACT(ADDRESS(ROW(), 42+$H352), ""[A-Z]+"")"),"#VALUE!")</f>
        <v>#VALUE!</v>
      </c>
      <c r="M352" s="18" t="str">
        <f aca="false">IFERROR(__xludf.dummyfunction("REGEXEXTRACT(ADDRESS(ROW(), 48+$H352), ""[A-Z]+"")"),"#VALUE!")</f>
        <v>#VALUE!</v>
      </c>
      <c r="N352" s="18" t="str">
        <f aca="false">IFERROR(__xludf.dummyfunction("REGEXEXTRACT(ADDRESS(ROW(), 50+$H352), ""[A-Z]+"")"),"#VALUE!")</f>
        <v>#VALUE!</v>
      </c>
      <c r="O352" s="18" t="str">
        <f aca="false">IFERROR(__xludf.dummyfunction("REGEXEXTRACT(ADDRESS(ROW(), 51+$H352), ""[A-Z]+"")"),"#VALUE!")</f>
        <v>#VALUE!</v>
      </c>
      <c r="P352" s="18" t="str">
        <f aca="false">IFERROR(__xludf.dummyfunction("REGEXEXTRACT(ADDRESS(ROW(), 54+$H352), ""[A-Z]+"")"),"#VALUE!")</f>
        <v>#VALUE!</v>
      </c>
      <c r="Q352" s="18" t="str">
        <f aca="false">IFERROR(__xludf.dummyfunction("REGEXEXTRACT(ADDRESS(ROW(), 59+$H352), ""[A-Z]+"")"),"#VALUE!")</f>
        <v>#VALUE!</v>
      </c>
      <c r="R352" s="18" t="str">
        <f aca="false">IFERROR(__xludf.dummyfunction("REGEXEXTRACT(ADDRESS(ROW(), 60+$H352), ""[A-Z]+"")"),"#VALUE!")</f>
        <v>#VALUE!</v>
      </c>
      <c r="S352" s="18" t="str">
        <f aca="false">IFERROR(__xludf.dummyfunction("REGEXEXTRACT(ADDRESS(ROW(), 62+$H352), ""[A-Z]+"")"),"#VALUE!")</f>
        <v>#VALUE!</v>
      </c>
      <c r="T352" s="18" t="str">
        <f aca="false">IFERROR(__xludf.dummyfunction("REGEXEXTRACT(ADDRESS(ROW(), 63+$H352), ""[A-Z]+"")"),"#VALUE!")</f>
        <v>#VALUE!</v>
      </c>
      <c r="U352" s="19" t="str">
        <f aca="false">IFERROR(__xludf.dummyfunction("IFERROR(QUERY(INDIRECT(""'""&amp;F352&amp;""'!C3:""&amp;T352&amp;""""), ""SELECT ""&amp;I352&amp;"", ""&amp;J352&amp;"", ""&amp;K352&amp;"", ""&amp;L352&amp;"", ""&amp;M352&amp;"", ""&amp;N352&amp;"", ""&amp;O352&amp;"", ""&amp;P352&amp;"", ""&amp;Q352&amp;"", ""&amp;R352&amp;"", ""&amp;S352&amp;"" WHERE '""&amp;B352&amp;""' = D"", 0), """")"),"")</f>
        <v/>
      </c>
      <c r="V352" s="22"/>
      <c r="W352" s="22"/>
      <c r="X352" s="22"/>
      <c r="Y352" s="22"/>
      <c r="Z352" s="22"/>
      <c r="AA352" s="22"/>
      <c r="AB352" s="22"/>
      <c r="AC352" s="22"/>
      <c r="AD352" s="23"/>
      <c r="AE352" s="24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</row>
    <row r="353" customFormat="false" ht="18.65" hidden="false" customHeight="false" outlineLevel="0" collapsed="false">
      <c r="A353" s="13"/>
      <c r="B353" s="26"/>
      <c r="C353" s="15"/>
      <c r="D353" s="16"/>
      <c r="E353" s="16"/>
      <c r="F353" s="16" t="str">
        <f aca="false">REPLACE(E353, 1, 3, "")</f>
        <v/>
      </c>
      <c r="G353" s="17" t="str">
        <f aca="true">IFERROR(VLOOKUP(B353,INDIRECT("'"&amp;F353&amp;"'!D3:D"),1,FALSE()), "Not found")</f>
        <v>Not found</v>
      </c>
      <c r="H353" s="25" t="e">
        <f aca="true">INDIRECT("'"&amp;F353&amp;"'!D1")</f>
        <v>#REF!</v>
      </c>
      <c r="I353" s="18" t="str">
        <f aca="false">IFERROR(__xludf.dummyfunction("REGEXEXTRACT(ADDRESS(ROW(), 24+$H353), ""[A-Z]+"")"),"#VALUE!")</f>
        <v>#VALUE!</v>
      </c>
      <c r="J353" s="18" t="str">
        <f aca="false">IFERROR(__xludf.dummyfunction("REGEXEXTRACT(ADDRESS(ROW(), 30+$H353), ""[A-Z]+"")"),"#VALUE!")</f>
        <v>#VALUE!</v>
      </c>
      <c r="K353" s="18" t="str">
        <f aca="false">IFERROR(__xludf.dummyfunction("REGEXEXTRACT(ADDRESS(ROW(), 36+$H353), ""[A-Z]+"")"),"#VALUE!")</f>
        <v>#VALUE!</v>
      </c>
      <c r="L353" s="18" t="str">
        <f aca="false">IFERROR(__xludf.dummyfunction("REGEXEXTRACT(ADDRESS(ROW(), 42+$H353), ""[A-Z]+"")"),"#VALUE!")</f>
        <v>#VALUE!</v>
      </c>
      <c r="M353" s="18" t="str">
        <f aca="false">IFERROR(__xludf.dummyfunction("REGEXEXTRACT(ADDRESS(ROW(), 48+$H353), ""[A-Z]+"")"),"#VALUE!")</f>
        <v>#VALUE!</v>
      </c>
      <c r="N353" s="18" t="str">
        <f aca="false">IFERROR(__xludf.dummyfunction("REGEXEXTRACT(ADDRESS(ROW(), 50+$H353), ""[A-Z]+"")"),"#VALUE!")</f>
        <v>#VALUE!</v>
      </c>
      <c r="O353" s="18" t="str">
        <f aca="false">IFERROR(__xludf.dummyfunction("REGEXEXTRACT(ADDRESS(ROW(), 51+$H353), ""[A-Z]+"")"),"#VALUE!")</f>
        <v>#VALUE!</v>
      </c>
      <c r="P353" s="18" t="str">
        <f aca="false">IFERROR(__xludf.dummyfunction("REGEXEXTRACT(ADDRESS(ROW(), 54+$H353), ""[A-Z]+"")"),"#VALUE!")</f>
        <v>#VALUE!</v>
      </c>
      <c r="Q353" s="18" t="str">
        <f aca="false">IFERROR(__xludf.dummyfunction("REGEXEXTRACT(ADDRESS(ROW(), 59+$H353), ""[A-Z]+"")"),"#VALUE!")</f>
        <v>#VALUE!</v>
      </c>
      <c r="R353" s="18" t="str">
        <f aca="false">IFERROR(__xludf.dummyfunction("REGEXEXTRACT(ADDRESS(ROW(), 60+$H353), ""[A-Z]+"")"),"#VALUE!")</f>
        <v>#VALUE!</v>
      </c>
      <c r="S353" s="18" t="str">
        <f aca="false">IFERROR(__xludf.dummyfunction("REGEXEXTRACT(ADDRESS(ROW(), 62+$H353), ""[A-Z]+"")"),"#VALUE!")</f>
        <v>#VALUE!</v>
      </c>
      <c r="T353" s="18" t="str">
        <f aca="false">IFERROR(__xludf.dummyfunction("REGEXEXTRACT(ADDRESS(ROW(), 63+$H353), ""[A-Z]+"")"),"#VALUE!")</f>
        <v>#VALUE!</v>
      </c>
      <c r="U353" s="19" t="str">
        <f aca="false">IFERROR(__xludf.dummyfunction("IFERROR(QUERY(INDIRECT(""'""&amp;F353&amp;""'!C3:""&amp;T353&amp;""""), ""SELECT ""&amp;I353&amp;"", ""&amp;J353&amp;"", ""&amp;K353&amp;"", ""&amp;L353&amp;"", ""&amp;M353&amp;"", ""&amp;N353&amp;"", ""&amp;O353&amp;"", ""&amp;P353&amp;"", ""&amp;Q353&amp;"", ""&amp;R353&amp;"", ""&amp;S353&amp;"" WHERE '""&amp;B353&amp;""' = D"", 0), """")"),"")</f>
        <v/>
      </c>
      <c r="V353" s="22"/>
      <c r="W353" s="22"/>
      <c r="X353" s="22"/>
      <c r="Y353" s="22"/>
      <c r="Z353" s="22"/>
      <c r="AA353" s="22"/>
      <c r="AB353" s="22"/>
      <c r="AC353" s="22"/>
      <c r="AD353" s="23"/>
      <c r="AE353" s="24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</row>
    <row r="354" customFormat="false" ht="18.65" hidden="false" customHeight="false" outlineLevel="0" collapsed="false">
      <c r="A354" s="13"/>
      <c r="B354" s="26"/>
      <c r="C354" s="15"/>
      <c r="D354" s="16"/>
      <c r="E354" s="16"/>
      <c r="F354" s="16" t="str">
        <f aca="false">REPLACE(E354, 1, 3, "")</f>
        <v/>
      </c>
      <c r="G354" s="17" t="str">
        <f aca="true">IFERROR(VLOOKUP(B354,INDIRECT("'"&amp;F354&amp;"'!D3:D"),1,FALSE()), "Not found")</f>
        <v>Not found</v>
      </c>
      <c r="H354" s="25" t="e">
        <f aca="true">INDIRECT("'"&amp;F354&amp;"'!D1")</f>
        <v>#REF!</v>
      </c>
      <c r="I354" s="18" t="str">
        <f aca="false">IFERROR(__xludf.dummyfunction("REGEXEXTRACT(ADDRESS(ROW(), 24+$H354), ""[A-Z]+"")"),"#VALUE!")</f>
        <v>#VALUE!</v>
      </c>
      <c r="J354" s="18" t="str">
        <f aca="false">IFERROR(__xludf.dummyfunction("REGEXEXTRACT(ADDRESS(ROW(), 30+$H354), ""[A-Z]+"")"),"#VALUE!")</f>
        <v>#VALUE!</v>
      </c>
      <c r="K354" s="18" t="str">
        <f aca="false">IFERROR(__xludf.dummyfunction("REGEXEXTRACT(ADDRESS(ROW(), 36+$H354), ""[A-Z]+"")"),"#VALUE!")</f>
        <v>#VALUE!</v>
      </c>
      <c r="L354" s="18" t="str">
        <f aca="false">IFERROR(__xludf.dummyfunction("REGEXEXTRACT(ADDRESS(ROW(), 42+$H354), ""[A-Z]+"")"),"#VALUE!")</f>
        <v>#VALUE!</v>
      </c>
      <c r="M354" s="18" t="str">
        <f aca="false">IFERROR(__xludf.dummyfunction("REGEXEXTRACT(ADDRESS(ROW(), 48+$H354), ""[A-Z]+"")"),"#VALUE!")</f>
        <v>#VALUE!</v>
      </c>
      <c r="N354" s="18" t="str">
        <f aca="false">IFERROR(__xludf.dummyfunction("REGEXEXTRACT(ADDRESS(ROW(), 50+$H354), ""[A-Z]+"")"),"#VALUE!")</f>
        <v>#VALUE!</v>
      </c>
      <c r="O354" s="18" t="str">
        <f aca="false">IFERROR(__xludf.dummyfunction("REGEXEXTRACT(ADDRESS(ROW(), 51+$H354), ""[A-Z]+"")"),"#VALUE!")</f>
        <v>#VALUE!</v>
      </c>
      <c r="P354" s="18" t="str">
        <f aca="false">IFERROR(__xludf.dummyfunction("REGEXEXTRACT(ADDRESS(ROW(), 54+$H354), ""[A-Z]+"")"),"#VALUE!")</f>
        <v>#VALUE!</v>
      </c>
      <c r="Q354" s="18" t="str">
        <f aca="false">IFERROR(__xludf.dummyfunction("REGEXEXTRACT(ADDRESS(ROW(), 59+$H354), ""[A-Z]+"")"),"#VALUE!")</f>
        <v>#VALUE!</v>
      </c>
      <c r="R354" s="18" t="str">
        <f aca="false">IFERROR(__xludf.dummyfunction("REGEXEXTRACT(ADDRESS(ROW(), 60+$H354), ""[A-Z]+"")"),"#VALUE!")</f>
        <v>#VALUE!</v>
      </c>
      <c r="S354" s="18" t="str">
        <f aca="false">IFERROR(__xludf.dummyfunction("REGEXEXTRACT(ADDRESS(ROW(), 62+$H354), ""[A-Z]+"")"),"#VALUE!")</f>
        <v>#VALUE!</v>
      </c>
      <c r="T354" s="18" t="str">
        <f aca="false">IFERROR(__xludf.dummyfunction("REGEXEXTRACT(ADDRESS(ROW(), 63+$H354), ""[A-Z]+"")"),"#VALUE!")</f>
        <v>#VALUE!</v>
      </c>
      <c r="U354" s="19" t="str">
        <f aca="false">IFERROR(__xludf.dummyfunction("IFERROR(QUERY(INDIRECT(""'""&amp;F354&amp;""'!C3:""&amp;T354&amp;""""), ""SELECT ""&amp;I354&amp;"", ""&amp;J354&amp;"", ""&amp;K354&amp;"", ""&amp;L354&amp;"", ""&amp;M354&amp;"", ""&amp;N354&amp;"", ""&amp;O354&amp;"", ""&amp;P354&amp;"", ""&amp;Q354&amp;"", ""&amp;R354&amp;"", ""&amp;S354&amp;"" WHERE '""&amp;B354&amp;""' = D"", 0), """")"),"")</f>
        <v/>
      </c>
      <c r="V354" s="22"/>
      <c r="W354" s="22"/>
      <c r="X354" s="22"/>
      <c r="Y354" s="22"/>
      <c r="Z354" s="22"/>
      <c r="AA354" s="22"/>
      <c r="AB354" s="22"/>
      <c r="AC354" s="22"/>
      <c r="AD354" s="23"/>
      <c r="AE354" s="24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</row>
    <row r="355" customFormat="false" ht="18.65" hidden="false" customHeight="false" outlineLevel="0" collapsed="false">
      <c r="A355" s="13"/>
      <c r="B355" s="26"/>
      <c r="C355" s="15"/>
      <c r="D355" s="16"/>
      <c r="E355" s="16"/>
      <c r="F355" s="16" t="str">
        <f aca="false">REPLACE(E355, 1, 3, "")</f>
        <v/>
      </c>
      <c r="G355" s="17" t="str">
        <f aca="true">IFERROR(VLOOKUP(B355,INDIRECT("'"&amp;F355&amp;"'!D3:D"),1,FALSE()), "Not found")</f>
        <v>Not found</v>
      </c>
      <c r="H355" s="25" t="e">
        <f aca="true">INDIRECT("'"&amp;F355&amp;"'!D1")</f>
        <v>#REF!</v>
      </c>
      <c r="I355" s="18" t="str">
        <f aca="false">IFERROR(__xludf.dummyfunction("REGEXEXTRACT(ADDRESS(ROW(), 24+$H355), ""[A-Z]+"")"),"#VALUE!")</f>
        <v>#VALUE!</v>
      </c>
      <c r="J355" s="18" t="str">
        <f aca="false">IFERROR(__xludf.dummyfunction("REGEXEXTRACT(ADDRESS(ROW(), 30+$H355), ""[A-Z]+"")"),"#VALUE!")</f>
        <v>#VALUE!</v>
      </c>
      <c r="K355" s="18" t="str">
        <f aca="false">IFERROR(__xludf.dummyfunction("REGEXEXTRACT(ADDRESS(ROW(), 36+$H355), ""[A-Z]+"")"),"#VALUE!")</f>
        <v>#VALUE!</v>
      </c>
      <c r="L355" s="18" t="str">
        <f aca="false">IFERROR(__xludf.dummyfunction("REGEXEXTRACT(ADDRESS(ROW(), 42+$H355), ""[A-Z]+"")"),"#VALUE!")</f>
        <v>#VALUE!</v>
      </c>
      <c r="M355" s="18" t="str">
        <f aca="false">IFERROR(__xludf.dummyfunction("REGEXEXTRACT(ADDRESS(ROW(), 48+$H355), ""[A-Z]+"")"),"#VALUE!")</f>
        <v>#VALUE!</v>
      </c>
      <c r="N355" s="18" t="str">
        <f aca="false">IFERROR(__xludf.dummyfunction("REGEXEXTRACT(ADDRESS(ROW(), 50+$H355), ""[A-Z]+"")"),"#VALUE!")</f>
        <v>#VALUE!</v>
      </c>
      <c r="O355" s="18" t="str">
        <f aca="false">IFERROR(__xludf.dummyfunction("REGEXEXTRACT(ADDRESS(ROW(), 51+$H355), ""[A-Z]+"")"),"#VALUE!")</f>
        <v>#VALUE!</v>
      </c>
      <c r="P355" s="18" t="str">
        <f aca="false">IFERROR(__xludf.dummyfunction("REGEXEXTRACT(ADDRESS(ROW(), 54+$H355), ""[A-Z]+"")"),"#VALUE!")</f>
        <v>#VALUE!</v>
      </c>
      <c r="Q355" s="18" t="str">
        <f aca="false">IFERROR(__xludf.dummyfunction("REGEXEXTRACT(ADDRESS(ROW(), 59+$H355), ""[A-Z]+"")"),"#VALUE!")</f>
        <v>#VALUE!</v>
      </c>
      <c r="R355" s="18" t="str">
        <f aca="false">IFERROR(__xludf.dummyfunction("REGEXEXTRACT(ADDRESS(ROW(), 60+$H355), ""[A-Z]+"")"),"#VALUE!")</f>
        <v>#VALUE!</v>
      </c>
      <c r="S355" s="18" t="str">
        <f aca="false">IFERROR(__xludf.dummyfunction("REGEXEXTRACT(ADDRESS(ROW(), 62+$H355), ""[A-Z]+"")"),"#VALUE!")</f>
        <v>#VALUE!</v>
      </c>
      <c r="T355" s="18" t="str">
        <f aca="false">IFERROR(__xludf.dummyfunction("REGEXEXTRACT(ADDRESS(ROW(), 63+$H355), ""[A-Z]+"")"),"#VALUE!")</f>
        <v>#VALUE!</v>
      </c>
      <c r="U355" s="19" t="str">
        <f aca="false">IFERROR(__xludf.dummyfunction("IFERROR(QUERY(INDIRECT(""'""&amp;F355&amp;""'!C3:""&amp;T355&amp;""""), ""SELECT ""&amp;I355&amp;"", ""&amp;J355&amp;"", ""&amp;K355&amp;"", ""&amp;L355&amp;"", ""&amp;M355&amp;"", ""&amp;N355&amp;"", ""&amp;O355&amp;"", ""&amp;P355&amp;"", ""&amp;Q355&amp;"", ""&amp;R355&amp;"", ""&amp;S355&amp;"" WHERE '""&amp;B355&amp;""' = D"", 0), """")"),"")</f>
        <v/>
      </c>
      <c r="V355" s="22"/>
      <c r="W355" s="22"/>
      <c r="X355" s="22"/>
      <c r="Y355" s="22"/>
      <c r="Z355" s="22"/>
      <c r="AA355" s="22"/>
      <c r="AB355" s="22"/>
      <c r="AC355" s="22"/>
      <c r="AD355" s="23"/>
      <c r="AE355" s="24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</row>
    <row r="356" customFormat="false" ht="18.65" hidden="false" customHeight="false" outlineLevel="0" collapsed="false">
      <c r="A356" s="13"/>
      <c r="B356" s="26"/>
      <c r="C356" s="15"/>
      <c r="D356" s="16"/>
      <c r="E356" s="16"/>
      <c r="F356" s="16" t="str">
        <f aca="false">REPLACE(E356, 1, 3, "")</f>
        <v/>
      </c>
      <c r="G356" s="17" t="str">
        <f aca="true">IFERROR(VLOOKUP(B356,INDIRECT("'"&amp;F356&amp;"'!D3:D"),1,FALSE()), "Not found")</f>
        <v>Not found</v>
      </c>
      <c r="H356" s="25" t="e">
        <f aca="true">INDIRECT("'"&amp;F356&amp;"'!D1")</f>
        <v>#REF!</v>
      </c>
      <c r="I356" s="18" t="str">
        <f aca="false">IFERROR(__xludf.dummyfunction("REGEXEXTRACT(ADDRESS(ROW(), 24+$H356), ""[A-Z]+"")"),"#VALUE!")</f>
        <v>#VALUE!</v>
      </c>
      <c r="J356" s="18" t="str">
        <f aca="false">IFERROR(__xludf.dummyfunction("REGEXEXTRACT(ADDRESS(ROW(), 30+$H356), ""[A-Z]+"")"),"#VALUE!")</f>
        <v>#VALUE!</v>
      </c>
      <c r="K356" s="18" t="str">
        <f aca="false">IFERROR(__xludf.dummyfunction("REGEXEXTRACT(ADDRESS(ROW(), 36+$H356), ""[A-Z]+"")"),"#VALUE!")</f>
        <v>#VALUE!</v>
      </c>
      <c r="L356" s="18" t="str">
        <f aca="false">IFERROR(__xludf.dummyfunction("REGEXEXTRACT(ADDRESS(ROW(), 42+$H356), ""[A-Z]+"")"),"#VALUE!")</f>
        <v>#VALUE!</v>
      </c>
      <c r="M356" s="18" t="str">
        <f aca="false">IFERROR(__xludf.dummyfunction("REGEXEXTRACT(ADDRESS(ROW(), 48+$H356), ""[A-Z]+"")"),"#VALUE!")</f>
        <v>#VALUE!</v>
      </c>
      <c r="N356" s="18" t="str">
        <f aca="false">IFERROR(__xludf.dummyfunction("REGEXEXTRACT(ADDRESS(ROW(), 50+$H356), ""[A-Z]+"")"),"#VALUE!")</f>
        <v>#VALUE!</v>
      </c>
      <c r="O356" s="18" t="str">
        <f aca="false">IFERROR(__xludf.dummyfunction("REGEXEXTRACT(ADDRESS(ROW(), 51+$H356), ""[A-Z]+"")"),"#VALUE!")</f>
        <v>#VALUE!</v>
      </c>
      <c r="P356" s="18" t="str">
        <f aca="false">IFERROR(__xludf.dummyfunction("REGEXEXTRACT(ADDRESS(ROW(), 54+$H356), ""[A-Z]+"")"),"#VALUE!")</f>
        <v>#VALUE!</v>
      </c>
      <c r="Q356" s="18" t="str">
        <f aca="false">IFERROR(__xludf.dummyfunction("REGEXEXTRACT(ADDRESS(ROW(), 59+$H356), ""[A-Z]+"")"),"#VALUE!")</f>
        <v>#VALUE!</v>
      </c>
      <c r="R356" s="18" t="str">
        <f aca="false">IFERROR(__xludf.dummyfunction("REGEXEXTRACT(ADDRESS(ROW(), 60+$H356), ""[A-Z]+"")"),"#VALUE!")</f>
        <v>#VALUE!</v>
      </c>
      <c r="S356" s="18" t="str">
        <f aca="false">IFERROR(__xludf.dummyfunction("REGEXEXTRACT(ADDRESS(ROW(), 62+$H356), ""[A-Z]+"")"),"#VALUE!")</f>
        <v>#VALUE!</v>
      </c>
      <c r="T356" s="18" t="str">
        <f aca="false">IFERROR(__xludf.dummyfunction("REGEXEXTRACT(ADDRESS(ROW(), 63+$H356), ""[A-Z]+"")"),"#VALUE!")</f>
        <v>#VALUE!</v>
      </c>
      <c r="U356" s="19" t="str">
        <f aca="false">IFERROR(__xludf.dummyfunction("IFERROR(QUERY(INDIRECT(""'""&amp;F356&amp;""'!C3:""&amp;T356&amp;""""), ""SELECT ""&amp;I356&amp;"", ""&amp;J356&amp;"", ""&amp;K356&amp;"", ""&amp;L356&amp;"", ""&amp;M356&amp;"", ""&amp;N356&amp;"", ""&amp;O356&amp;"", ""&amp;P356&amp;"", ""&amp;Q356&amp;"", ""&amp;R356&amp;"", ""&amp;S356&amp;"" WHERE '""&amp;B356&amp;""' = D"", 0), """")"),"")</f>
        <v/>
      </c>
      <c r="V356" s="22"/>
      <c r="W356" s="22"/>
      <c r="X356" s="22"/>
      <c r="Y356" s="22"/>
      <c r="Z356" s="22"/>
      <c r="AA356" s="22"/>
      <c r="AB356" s="22"/>
      <c r="AC356" s="22"/>
      <c r="AD356" s="23"/>
      <c r="AE356" s="24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</row>
    <row r="357" customFormat="false" ht="18.65" hidden="false" customHeight="false" outlineLevel="0" collapsed="false">
      <c r="A357" s="13"/>
      <c r="B357" s="26"/>
      <c r="C357" s="15"/>
      <c r="D357" s="16"/>
      <c r="E357" s="16"/>
      <c r="F357" s="16" t="str">
        <f aca="false">REPLACE(E357, 1, 3, "")</f>
        <v/>
      </c>
      <c r="G357" s="17" t="str">
        <f aca="true">IFERROR(VLOOKUP(B357,INDIRECT("'"&amp;F357&amp;"'!D3:D"),1,FALSE()), "Not found")</f>
        <v>Not found</v>
      </c>
      <c r="H357" s="25" t="e">
        <f aca="true">INDIRECT("'"&amp;F357&amp;"'!D1")</f>
        <v>#REF!</v>
      </c>
      <c r="I357" s="18" t="str">
        <f aca="false">IFERROR(__xludf.dummyfunction("REGEXEXTRACT(ADDRESS(ROW(), 24+$H357), ""[A-Z]+"")"),"#VALUE!")</f>
        <v>#VALUE!</v>
      </c>
      <c r="J357" s="18" t="str">
        <f aca="false">IFERROR(__xludf.dummyfunction("REGEXEXTRACT(ADDRESS(ROW(), 30+$H357), ""[A-Z]+"")"),"#VALUE!")</f>
        <v>#VALUE!</v>
      </c>
      <c r="K357" s="18" t="str">
        <f aca="false">IFERROR(__xludf.dummyfunction("REGEXEXTRACT(ADDRESS(ROW(), 36+$H357), ""[A-Z]+"")"),"#VALUE!")</f>
        <v>#VALUE!</v>
      </c>
      <c r="L357" s="18" t="str">
        <f aca="false">IFERROR(__xludf.dummyfunction("REGEXEXTRACT(ADDRESS(ROW(), 42+$H357), ""[A-Z]+"")"),"#VALUE!")</f>
        <v>#VALUE!</v>
      </c>
      <c r="M357" s="18" t="str">
        <f aca="false">IFERROR(__xludf.dummyfunction("REGEXEXTRACT(ADDRESS(ROW(), 48+$H357), ""[A-Z]+"")"),"#VALUE!")</f>
        <v>#VALUE!</v>
      </c>
      <c r="N357" s="18" t="str">
        <f aca="false">IFERROR(__xludf.dummyfunction("REGEXEXTRACT(ADDRESS(ROW(), 50+$H357), ""[A-Z]+"")"),"#VALUE!")</f>
        <v>#VALUE!</v>
      </c>
      <c r="O357" s="18" t="str">
        <f aca="false">IFERROR(__xludf.dummyfunction("REGEXEXTRACT(ADDRESS(ROW(), 51+$H357), ""[A-Z]+"")"),"#VALUE!")</f>
        <v>#VALUE!</v>
      </c>
      <c r="P357" s="18" t="str">
        <f aca="false">IFERROR(__xludf.dummyfunction("REGEXEXTRACT(ADDRESS(ROW(), 54+$H357), ""[A-Z]+"")"),"#VALUE!")</f>
        <v>#VALUE!</v>
      </c>
      <c r="Q357" s="18" t="str">
        <f aca="false">IFERROR(__xludf.dummyfunction("REGEXEXTRACT(ADDRESS(ROW(), 59+$H357), ""[A-Z]+"")"),"#VALUE!")</f>
        <v>#VALUE!</v>
      </c>
      <c r="R357" s="18" t="str">
        <f aca="false">IFERROR(__xludf.dummyfunction("REGEXEXTRACT(ADDRESS(ROW(), 60+$H357), ""[A-Z]+"")"),"#VALUE!")</f>
        <v>#VALUE!</v>
      </c>
      <c r="S357" s="18" t="str">
        <f aca="false">IFERROR(__xludf.dummyfunction("REGEXEXTRACT(ADDRESS(ROW(), 62+$H357), ""[A-Z]+"")"),"#VALUE!")</f>
        <v>#VALUE!</v>
      </c>
      <c r="T357" s="18" t="str">
        <f aca="false">IFERROR(__xludf.dummyfunction("REGEXEXTRACT(ADDRESS(ROW(), 63+$H357), ""[A-Z]+"")"),"#VALUE!")</f>
        <v>#VALUE!</v>
      </c>
      <c r="U357" s="19" t="str">
        <f aca="false">IFERROR(__xludf.dummyfunction("IFERROR(QUERY(INDIRECT(""'""&amp;F357&amp;""'!C3:""&amp;T357&amp;""""), ""SELECT ""&amp;I357&amp;"", ""&amp;J357&amp;"", ""&amp;K357&amp;"", ""&amp;L357&amp;"", ""&amp;M357&amp;"", ""&amp;N357&amp;"", ""&amp;O357&amp;"", ""&amp;P357&amp;"", ""&amp;Q357&amp;"", ""&amp;R357&amp;"", ""&amp;S357&amp;"" WHERE '""&amp;B357&amp;""' = D"", 0), """")"),"")</f>
        <v/>
      </c>
      <c r="V357" s="22"/>
      <c r="W357" s="22"/>
      <c r="X357" s="22"/>
      <c r="Y357" s="22"/>
      <c r="Z357" s="22"/>
      <c r="AA357" s="22"/>
      <c r="AB357" s="22"/>
      <c r="AC357" s="22"/>
      <c r="AD357" s="23"/>
      <c r="AE357" s="24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</row>
    <row r="358" customFormat="false" ht="18.65" hidden="false" customHeight="false" outlineLevel="0" collapsed="false">
      <c r="A358" s="13"/>
      <c r="B358" s="27"/>
      <c r="C358" s="28"/>
      <c r="D358" s="29"/>
      <c r="E358" s="29"/>
      <c r="F358" s="16" t="str">
        <f aca="false">REPLACE(E358, 1, 3, "")</f>
        <v/>
      </c>
      <c r="G358" s="17" t="str">
        <f aca="true">IFERROR(VLOOKUP(B358,INDIRECT("'"&amp;F358&amp;"'!D3:D"),1,FALSE()), "Not found")</f>
        <v>Not found</v>
      </c>
      <c r="H358" s="25" t="e">
        <f aca="true">INDIRECT("'"&amp;F358&amp;"'!D1")</f>
        <v>#REF!</v>
      </c>
      <c r="I358" s="18" t="str">
        <f aca="false">IFERROR(__xludf.dummyfunction("REGEXEXTRACT(ADDRESS(ROW(), 24+$H358), ""[A-Z]+"")"),"#VALUE!")</f>
        <v>#VALUE!</v>
      </c>
      <c r="J358" s="18" t="str">
        <f aca="false">IFERROR(__xludf.dummyfunction("REGEXEXTRACT(ADDRESS(ROW(), 30+$H358), ""[A-Z]+"")"),"#VALUE!")</f>
        <v>#VALUE!</v>
      </c>
      <c r="K358" s="18" t="str">
        <f aca="false">IFERROR(__xludf.dummyfunction("REGEXEXTRACT(ADDRESS(ROW(), 36+$H358), ""[A-Z]+"")"),"#VALUE!")</f>
        <v>#VALUE!</v>
      </c>
      <c r="L358" s="18" t="str">
        <f aca="false">IFERROR(__xludf.dummyfunction("REGEXEXTRACT(ADDRESS(ROW(), 42+$H358), ""[A-Z]+"")"),"#VALUE!")</f>
        <v>#VALUE!</v>
      </c>
      <c r="M358" s="18" t="str">
        <f aca="false">IFERROR(__xludf.dummyfunction("REGEXEXTRACT(ADDRESS(ROW(), 48+$H358), ""[A-Z]+"")"),"#VALUE!")</f>
        <v>#VALUE!</v>
      </c>
      <c r="N358" s="18" t="str">
        <f aca="false">IFERROR(__xludf.dummyfunction("REGEXEXTRACT(ADDRESS(ROW(), 50+$H358), ""[A-Z]+"")"),"#VALUE!")</f>
        <v>#VALUE!</v>
      </c>
      <c r="O358" s="18" t="str">
        <f aca="false">IFERROR(__xludf.dummyfunction("REGEXEXTRACT(ADDRESS(ROW(), 51+$H358), ""[A-Z]+"")"),"#VALUE!")</f>
        <v>#VALUE!</v>
      </c>
      <c r="P358" s="18" t="str">
        <f aca="false">IFERROR(__xludf.dummyfunction("REGEXEXTRACT(ADDRESS(ROW(), 54+$H358), ""[A-Z]+"")"),"#VALUE!")</f>
        <v>#VALUE!</v>
      </c>
      <c r="Q358" s="18" t="str">
        <f aca="false">IFERROR(__xludf.dummyfunction("REGEXEXTRACT(ADDRESS(ROW(), 59+$H358), ""[A-Z]+"")"),"#VALUE!")</f>
        <v>#VALUE!</v>
      </c>
      <c r="R358" s="18" t="str">
        <f aca="false">IFERROR(__xludf.dummyfunction("REGEXEXTRACT(ADDRESS(ROW(), 60+$H358), ""[A-Z]+"")"),"#VALUE!")</f>
        <v>#VALUE!</v>
      </c>
      <c r="S358" s="18" t="str">
        <f aca="false">IFERROR(__xludf.dummyfunction("REGEXEXTRACT(ADDRESS(ROW(), 62+$H358), ""[A-Z]+"")"),"#VALUE!")</f>
        <v>#VALUE!</v>
      </c>
      <c r="T358" s="18" t="str">
        <f aca="false">IFERROR(__xludf.dummyfunction("REGEXEXTRACT(ADDRESS(ROW(), 63+$H358), ""[A-Z]+"")"),"#VALUE!")</f>
        <v>#VALUE!</v>
      </c>
      <c r="U358" s="19" t="str">
        <f aca="false">IFERROR(__xludf.dummyfunction("IFERROR(QUERY(INDIRECT(""'""&amp;F358&amp;""'!C3:""&amp;T358&amp;""""), ""SELECT ""&amp;I358&amp;"", ""&amp;J358&amp;"", ""&amp;K358&amp;"", ""&amp;L358&amp;"", ""&amp;M358&amp;"", ""&amp;N358&amp;"", ""&amp;O358&amp;"", ""&amp;P358&amp;"", ""&amp;Q358&amp;"", ""&amp;R358&amp;"", ""&amp;S358&amp;"" WHERE '""&amp;B358&amp;""' = D"", 0), """")"),"")</f>
        <v/>
      </c>
      <c r="V358" s="22"/>
      <c r="W358" s="22"/>
      <c r="X358" s="22"/>
      <c r="Y358" s="22"/>
      <c r="Z358" s="22"/>
      <c r="AA358" s="22"/>
      <c r="AB358" s="22"/>
      <c r="AC358" s="22"/>
      <c r="AD358" s="23"/>
      <c r="AE358" s="24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</row>
    <row r="359" customFormat="false" ht="18.65" hidden="false" customHeight="false" outlineLevel="0" collapsed="false">
      <c r="A359" s="13"/>
      <c r="B359" s="26"/>
      <c r="C359" s="15"/>
      <c r="D359" s="16"/>
      <c r="E359" s="16"/>
      <c r="F359" s="16" t="str">
        <f aca="false">REPLACE(E359, 1, 3, "")</f>
        <v/>
      </c>
      <c r="G359" s="17" t="str">
        <f aca="true">IFERROR(VLOOKUP(B359,INDIRECT("'"&amp;F359&amp;"'!D3:D"),1,FALSE()), "Not found")</f>
        <v>Not found</v>
      </c>
      <c r="H359" s="25" t="e">
        <f aca="true">INDIRECT("'"&amp;F359&amp;"'!D1")</f>
        <v>#REF!</v>
      </c>
      <c r="I359" s="18" t="str">
        <f aca="false">IFERROR(__xludf.dummyfunction("REGEXEXTRACT(ADDRESS(ROW(), 24+$H359), ""[A-Z]+"")"),"#VALUE!")</f>
        <v>#VALUE!</v>
      </c>
      <c r="J359" s="18" t="str">
        <f aca="false">IFERROR(__xludf.dummyfunction("REGEXEXTRACT(ADDRESS(ROW(), 30+$H359), ""[A-Z]+"")"),"#VALUE!")</f>
        <v>#VALUE!</v>
      </c>
      <c r="K359" s="18" t="str">
        <f aca="false">IFERROR(__xludf.dummyfunction("REGEXEXTRACT(ADDRESS(ROW(), 36+$H359), ""[A-Z]+"")"),"#VALUE!")</f>
        <v>#VALUE!</v>
      </c>
      <c r="L359" s="18" t="str">
        <f aca="false">IFERROR(__xludf.dummyfunction("REGEXEXTRACT(ADDRESS(ROW(), 42+$H359), ""[A-Z]+"")"),"#VALUE!")</f>
        <v>#VALUE!</v>
      </c>
      <c r="M359" s="18" t="str">
        <f aca="false">IFERROR(__xludf.dummyfunction("REGEXEXTRACT(ADDRESS(ROW(), 48+$H359), ""[A-Z]+"")"),"#VALUE!")</f>
        <v>#VALUE!</v>
      </c>
      <c r="N359" s="18" t="str">
        <f aca="false">IFERROR(__xludf.dummyfunction("REGEXEXTRACT(ADDRESS(ROW(), 50+$H359), ""[A-Z]+"")"),"#VALUE!")</f>
        <v>#VALUE!</v>
      </c>
      <c r="O359" s="18" t="str">
        <f aca="false">IFERROR(__xludf.dummyfunction("REGEXEXTRACT(ADDRESS(ROW(), 51+$H359), ""[A-Z]+"")"),"#VALUE!")</f>
        <v>#VALUE!</v>
      </c>
      <c r="P359" s="18" t="str">
        <f aca="false">IFERROR(__xludf.dummyfunction("REGEXEXTRACT(ADDRESS(ROW(), 54+$H359), ""[A-Z]+"")"),"#VALUE!")</f>
        <v>#VALUE!</v>
      </c>
      <c r="Q359" s="18" t="str">
        <f aca="false">IFERROR(__xludf.dummyfunction("REGEXEXTRACT(ADDRESS(ROW(), 59+$H359), ""[A-Z]+"")"),"#VALUE!")</f>
        <v>#VALUE!</v>
      </c>
      <c r="R359" s="18" t="str">
        <f aca="false">IFERROR(__xludf.dummyfunction("REGEXEXTRACT(ADDRESS(ROW(), 60+$H359), ""[A-Z]+"")"),"#VALUE!")</f>
        <v>#VALUE!</v>
      </c>
      <c r="S359" s="18" t="str">
        <f aca="false">IFERROR(__xludf.dummyfunction("REGEXEXTRACT(ADDRESS(ROW(), 62+$H359), ""[A-Z]+"")"),"#VALUE!")</f>
        <v>#VALUE!</v>
      </c>
      <c r="T359" s="18" t="str">
        <f aca="false">IFERROR(__xludf.dummyfunction("REGEXEXTRACT(ADDRESS(ROW(), 63+$H359), ""[A-Z]+"")"),"#VALUE!")</f>
        <v>#VALUE!</v>
      </c>
      <c r="U359" s="19" t="str">
        <f aca="false">IFERROR(__xludf.dummyfunction("IFERROR(QUERY(INDIRECT(""'""&amp;F359&amp;""'!C3:""&amp;T359&amp;""""), ""SELECT ""&amp;I359&amp;"", ""&amp;J359&amp;"", ""&amp;K359&amp;"", ""&amp;L359&amp;"", ""&amp;M359&amp;"", ""&amp;N359&amp;"", ""&amp;O359&amp;"", ""&amp;P359&amp;"", ""&amp;Q359&amp;"", ""&amp;R359&amp;"", ""&amp;S359&amp;"" WHERE '""&amp;B359&amp;""' = D"", 0), """")"),"")</f>
        <v/>
      </c>
      <c r="V359" s="22"/>
      <c r="W359" s="22"/>
      <c r="X359" s="22"/>
      <c r="Y359" s="22"/>
      <c r="Z359" s="22"/>
      <c r="AA359" s="22"/>
      <c r="AB359" s="22"/>
      <c r="AC359" s="22"/>
      <c r="AD359" s="23"/>
      <c r="AE359" s="24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</row>
    <row r="360" customFormat="false" ht="18.65" hidden="false" customHeight="false" outlineLevel="0" collapsed="false">
      <c r="A360" s="13"/>
      <c r="B360" s="26"/>
      <c r="C360" s="15"/>
      <c r="D360" s="16"/>
      <c r="E360" s="16"/>
      <c r="F360" s="16" t="str">
        <f aca="false">REPLACE(E360, 1, 3, "")</f>
        <v/>
      </c>
      <c r="G360" s="17" t="str">
        <f aca="true">IFERROR(VLOOKUP(B360,INDIRECT("'"&amp;F360&amp;"'!D3:D"),1,FALSE()), "Not found")</f>
        <v>Not found</v>
      </c>
      <c r="H360" s="25" t="e">
        <f aca="true">INDIRECT("'"&amp;F360&amp;"'!D1")</f>
        <v>#REF!</v>
      </c>
      <c r="I360" s="18" t="str">
        <f aca="false">IFERROR(__xludf.dummyfunction("REGEXEXTRACT(ADDRESS(ROW(), 24+$H360), ""[A-Z]+"")"),"#VALUE!")</f>
        <v>#VALUE!</v>
      </c>
      <c r="J360" s="18" t="str">
        <f aca="false">IFERROR(__xludf.dummyfunction("REGEXEXTRACT(ADDRESS(ROW(), 30+$H360), ""[A-Z]+"")"),"#VALUE!")</f>
        <v>#VALUE!</v>
      </c>
      <c r="K360" s="18" t="str">
        <f aca="false">IFERROR(__xludf.dummyfunction("REGEXEXTRACT(ADDRESS(ROW(), 36+$H360), ""[A-Z]+"")"),"#VALUE!")</f>
        <v>#VALUE!</v>
      </c>
      <c r="L360" s="18" t="str">
        <f aca="false">IFERROR(__xludf.dummyfunction("REGEXEXTRACT(ADDRESS(ROW(), 42+$H360), ""[A-Z]+"")"),"#VALUE!")</f>
        <v>#VALUE!</v>
      </c>
      <c r="M360" s="18" t="str">
        <f aca="false">IFERROR(__xludf.dummyfunction("REGEXEXTRACT(ADDRESS(ROW(), 48+$H360), ""[A-Z]+"")"),"#VALUE!")</f>
        <v>#VALUE!</v>
      </c>
      <c r="N360" s="18" t="str">
        <f aca="false">IFERROR(__xludf.dummyfunction("REGEXEXTRACT(ADDRESS(ROW(), 50+$H360), ""[A-Z]+"")"),"#VALUE!")</f>
        <v>#VALUE!</v>
      </c>
      <c r="O360" s="18" t="str">
        <f aca="false">IFERROR(__xludf.dummyfunction("REGEXEXTRACT(ADDRESS(ROW(), 51+$H360), ""[A-Z]+"")"),"#VALUE!")</f>
        <v>#VALUE!</v>
      </c>
      <c r="P360" s="18" t="str">
        <f aca="false">IFERROR(__xludf.dummyfunction("REGEXEXTRACT(ADDRESS(ROW(), 54+$H360), ""[A-Z]+"")"),"#VALUE!")</f>
        <v>#VALUE!</v>
      </c>
      <c r="Q360" s="18" t="str">
        <f aca="false">IFERROR(__xludf.dummyfunction("REGEXEXTRACT(ADDRESS(ROW(), 59+$H360), ""[A-Z]+"")"),"#VALUE!")</f>
        <v>#VALUE!</v>
      </c>
      <c r="R360" s="18" t="str">
        <f aca="false">IFERROR(__xludf.dummyfunction("REGEXEXTRACT(ADDRESS(ROW(), 60+$H360), ""[A-Z]+"")"),"#VALUE!")</f>
        <v>#VALUE!</v>
      </c>
      <c r="S360" s="18" t="str">
        <f aca="false">IFERROR(__xludf.dummyfunction("REGEXEXTRACT(ADDRESS(ROW(), 62+$H360), ""[A-Z]+"")"),"#VALUE!")</f>
        <v>#VALUE!</v>
      </c>
      <c r="T360" s="18" t="str">
        <f aca="false">IFERROR(__xludf.dummyfunction("REGEXEXTRACT(ADDRESS(ROW(), 63+$H360), ""[A-Z]+"")"),"#VALUE!")</f>
        <v>#VALUE!</v>
      </c>
      <c r="U360" s="19" t="str">
        <f aca="false">IFERROR(__xludf.dummyfunction("IFERROR(QUERY(INDIRECT(""'""&amp;F360&amp;""'!C3:""&amp;T360&amp;""""), ""SELECT ""&amp;I360&amp;"", ""&amp;J360&amp;"", ""&amp;K360&amp;"", ""&amp;L360&amp;"", ""&amp;M360&amp;"", ""&amp;N360&amp;"", ""&amp;O360&amp;"", ""&amp;P360&amp;"", ""&amp;Q360&amp;"", ""&amp;R360&amp;"", ""&amp;S360&amp;"" WHERE '""&amp;B360&amp;""' = D"", 0), """")"),"")</f>
        <v/>
      </c>
      <c r="V360" s="22"/>
      <c r="W360" s="22"/>
      <c r="X360" s="22"/>
      <c r="Y360" s="22"/>
      <c r="Z360" s="22"/>
      <c r="AA360" s="22"/>
      <c r="AB360" s="22"/>
      <c r="AC360" s="22"/>
      <c r="AD360" s="23"/>
      <c r="AE360" s="24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</row>
    <row r="361" customFormat="false" ht="18.65" hidden="false" customHeight="false" outlineLevel="0" collapsed="false">
      <c r="A361" s="13"/>
      <c r="B361" s="26"/>
      <c r="C361" s="15"/>
      <c r="D361" s="16"/>
      <c r="E361" s="16"/>
      <c r="F361" s="16" t="str">
        <f aca="false">REPLACE(E361, 1, 3, "")</f>
        <v/>
      </c>
      <c r="G361" s="17" t="str">
        <f aca="true">IFERROR(VLOOKUP(B361,INDIRECT("'"&amp;F361&amp;"'!D3:D"),1,FALSE()), "Not found")</f>
        <v>Not found</v>
      </c>
      <c r="H361" s="25" t="e">
        <f aca="true">INDIRECT("'"&amp;F361&amp;"'!D1")</f>
        <v>#REF!</v>
      </c>
      <c r="I361" s="18" t="str">
        <f aca="false">IFERROR(__xludf.dummyfunction("REGEXEXTRACT(ADDRESS(ROW(), 24+$H361), ""[A-Z]+"")"),"#VALUE!")</f>
        <v>#VALUE!</v>
      </c>
      <c r="J361" s="18" t="str">
        <f aca="false">IFERROR(__xludf.dummyfunction("REGEXEXTRACT(ADDRESS(ROW(), 30+$H361), ""[A-Z]+"")"),"#VALUE!")</f>
        <v>#VALUE!</v>
      </c>
      <c r="K361" s="18" t="str">
        <f aca="false">IFERROR(__xludf.dummyfunction("REGEXEXTRACT(ADDRESS(ROW(), 36+$H361), ""[A-Z]+"")"),"#VALUE!")</f>
        <v>#VALUE!</v>
      </c>
      <c r="L361" s="18" t="str">
        <f aca="false">IFERROR(__xludf.dummyfunction("REGEXEXTRACT(ADDRESS(ROW(), 42+$H361), ""[A-Z]+"")"),"#VALUE!")</f>
        <v>#VALUE!</v>
      </c>
      <c r="M361" s="18" t="str">
        <f aca="false">IFERROR(__xludf.dummyfunction("REGEXEXTRACT(ADDRESS(ROW(), 48+$H361), ""[A-Z]+"")"),"#VALUE!")</f>
        <v>#VALUE!</v>
      </c>
      <c r="N361" s="18" t="str">
        <f aca="false">IFERROR(__xludf.dummyfunction("REGEXEXTRACT(ADDRESS(ROW(), 50+$H361), ""[A-Z]+"")"),"#VALUE!")</f>
        <v>#VALUE!</v>
      </c>
      <c r="O361" s="18" t="str">
        <f aca="false">IFERROR(__xludf.dummyfunction("REGEXEXTRACT(ADDRESS(ROW(), 51+$H361), ""[A-Z]+"")"),"#VALUE!")</f>
        <v>#VALUE!</v>
      </c>
      <c r="P361" s="18" t="str">
        <f aca="false">IFERROR(__xludf.dummyfunction("REGEXEXTRACT(ADDRESS(ROW(), 54+$H361), ""[A-Z]+"")"),"#VALUE!")</f>
        <v>#VALUE!</v>
      </c>
      <c r="Q361" s="18" t="str">
        <f aca="false">IFERROR(__xludf.dummyfunction("REGEXEXTRACT(ADDRESS(ROW(), 59+$H361), ""[A-Z]+"")"),"#VALUE!")</f>
        <v>#VALUE!</v>
      </c>
      <c r="R361" s="18" t="str">
        <f aca="false">IFERROR(__xludf.dummyfunction("REGEXEXTRACT(ADDRESS(ROW(), 60+$H361), ""[A-Z]+"")"),"#VALUE!")</f>
        <v>#VALUE!</v>
      </c>
      <c r="S361" s="18" t="str">
        <f aca="false">IFERROR(__xludf.dummyfunction("REGEXEXTRACT(ADDRESS(ROW(), 62+$H361), ""[A-Z]+"")"),"#VALUE!")</f>
        <v>#VALUE!</v>
      </c>
      <c r="T361" s="18" t="str">
        <f aca="false">IFERROR(__xludf.dummyfunction("REGEXEXTRACT(ADDRESS(ROW(), 63+$H361), ""[A-Z]+"")"),"#VALUE!")</f>
        <v>#VALUE!</v>
      </c>
      <c r="U361" s="19" t="str">
        <f aca="false">IFERROR(__xludf.dummyfunction("IFERROR(QUERY(INDIRECT(""'""&amp;F361&amp;""'!C3:""&amp;T361&amp;""""), ""SELECT ""&amp;I361&amp;"", ""&amp;J361&amp;"", ""&amp;K361&amp;"", ""&amp;L361&amp;"", ""&amp;M361&amp;"", ""&amp;N361&amp;"", ""&amp;O361&amp;"", ""&amp;P361&amp;"", ""&amp;Q361&amp;"", ""&amp;R361&amp;"", ""&amp;S361&amp;"" WHERE '""&amp;B361&amp;""' = D"", 0), """")"),"")</f>
        <v/>
      </c>
      <c r="V361" s="22"/>
      <c r="W361" s="22"/>
      <c r="X361" s="22"/>
      <c r="Y361" s="22"/>
      <c r="Z361" s="22"/>
      <c r="AA361" s="22"/>
      <c r="AB361" s="22"/>
      <c r="AC361" s="22"/>
      <c r="AD361" s="23"/>
      <c r="AE361" s="24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</row>
    <row r="362" customFormat="false" ht="18.65" hidden="false" customHeight="false" outlineLevel="0" collapsed="false">
      <c r="A362" s="13"/>
      <c r="B362" s="26"/>
      <c r="C362" s="15"/>
      <c r="D362" s="16"/>
      <c r="E362" s="16"/>
      <c r="F362" s="16" t="str">
        <f aca="false">REPLACE(E362, 1, 3, "")</f>
        <v/>
      </c>
      <c r="G362" s="17" t="str">
        <f aca="true">IFERROR(VLOOKUP(B362,INDIRECT("'"&amp;F362&amp;"'!D3:D"),1,FALSE()), "Not found")</f>
        <v>Not found</v>
      </c>
      <c r="H362" s="25" t="e">
        <f aca="true">INDIRECT("'"&amp;F362&amp;"'!D1")</f>
        <v>#REF!</v>
      </c>
      <c r="I362" s="18" t="str">
        <f aca="false">IFERROR(__xludf.dummyfunction("REGEXEXTRACT(ADDRESS(ROW(), 24+$H362), ""[A-Z]+"")"),"#VALUE!")</f>
        <v>#VALUE!</v>
      </c>
      <c r="J362" s="18" t="str">
        <f aca="false">IFERROR(__xludf.dummyfunction("REGEXEXTRACT(ADDRESS(ROW(), 30+$H362), ""[A-Z]+"")"),"#VALUE!")</f>
        <v>#VALUE!</v>
      </c>
      <c r="K362" s="18" t="str">
        <f aca="false">IFERROR(__xludf.dummyfunction("REGEXEXTRACT(ADDRESS(ROW(), 36+$H362), ""[A-Z]+"")"),"#VALUE!")</f>
        <v>#VALUE!</v>
      </c>
      <c r="L362" s="18" t="str">
        <f aca="false">IFERROR(__xludf.dummyfunction("REGEXEXTRACT(ADDRESS(ROW(), 42+$H362), ""[A-Z]+"")"),"#VALUE!")</f>
        <v>#VALUE!</v>
      </c>
      <c r="M362" s="18" t="str">
        <f aca="false">IFERROR(__xludf.dummyfunction("REGEXEXTRACT(ADDRESS(ROW(), 48+$H362), ""[A-Z]+"")"),"#VALUE!")</f>
        <v>#VALUE!</v>
      </c>
      <c r="N362" s="18" t="str">
        <f aca="false">IFERROR(__xludf.dummyfunction("REGEXEXTRACT(ADDRESS(ROW(), 50+$H362), ""[A-Z]+"")"),"#VALUE!")</f>
        <v>#VALUE!</v>
      </c>
      <c r="O362" s="18" t="str">
        <f aca="false">IFERROR(__xludf.dummyfunction("REGEXEXTRACT(ADDRESS(ROW(), 51+$H362), ""[A-Z]+"")"),"#VALUE!")</f>
        <v>#VALUE!</v>
      </c>
      <c r="P362" s="18" t="str">
        <f aca="false">IFERROR(__xludf.dummyfunction("REGEXEXTRACT(ADDRESS(ROW(), 54+$H362), ""[A-Z]+"")"),"#VALUE!")</f>
        <v>#VALUE!</v>
      </c>
      <c r="Q362" s="18" t="str">
        <f aca="false">IFERROR(__xludf.dummyfunction("REGEXEXTRACT(ADDRESS(ROW(), 59+$H362), ""[A-Z]+"")"),"#VALUE!")</f>
        <v>#VALUE!</v>
      </c>
      <c r="R362" s="18" t="str">
        <f aca="false">IFERROR(__xludf.dummyfunction("REGEXEXTRACT(ADDRESS(ROW(), 60+$H362), ""[A-Z]+"")"),"#VALUE!")</f>
        <v>#VALUE!</v>
      </c>
      <c r="S362" s="18" t="str">
        <f aca="false">IFERROR(__xludf.dummyfunction("REGEXEXTRACT(ADDRESS(ROW(), 62+$H362), ""[A-Z]+"")"),"#VALUE!")</f>
        <v>#VALUE!</v>
      </c>
      <c r="T362" s="18" t="str">
        <f aca="false">IFERROR(__xludf.dummyfunction("REGEXEXTRACT(ADDRESS(ROW(), 63+$H362), ""[A-Z]+"")"),"#VALUE!")</f>
        <v>#VALUE!</v>
      </c>
      <c r="U362" s="19" t="str">
        <f aca="false">IFERROR(__xludf.dummyfunction("IFERROR(QUERY(INDIRECT(""'""&amp;F362&amp;""'!C3:""&amp;T362&amp;""""), ""SELECT ""&amp;I362&amp;"", ""&amp;J362&amp;"", ""&amp;K362&amp;"", ""&amp;L362&amp;"", ""&amp;M362&amp;"", ""&amp;N362&amp;"", ""&amp;O362&amp;"", ""&amp;P362&amp;"", ""&amp;Q362&amp;"", ""&amp;R362&amp;"", ""&amp;S362&amp;"" WHERE '""&amp;B362&amp;""' = D"", 0), """")"),"")</f>
        <v/>
      </c>
      <c r="V362" s="22"/>
      <c r="W362" s="22"/>
      <c r="X362" s="22"/>
      <c r="Y362" s="22"/>
      <c r="Z362" s="22"/>
      <c r="AA362" s="22"/>
      <c r="AB362" s="22"/>
      <c r="AC362" s="22"/>
      <c r="AD362" s="23"/>
      <c r="AE362" s="24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</row>
    <row r="363" customFormat="false" ht="18.65" hidden="false" customHeight="false" outlineLevel="0" collapsed="false">
      <c r="A363" s="13"/>
      <c r="B363" s="26"/>
      <c r="C363" s="15"/>
      <c r="D363" s="16"/>
      <c r="E363" s="16"/>
      <c r="F363" s="16" t="str">
        <f aca="false">REPLACE(E363, 1, 3, "")</f>
        <v/>
      </c>
      <c r="G363" s="17" t="str">
        <f aca="true">IFERROR(VLOOKUP(B363,INDIRECT("'"&amp;F363&amp;"'!D3:D"),1,FALSE()), "Not found")</f>
        <v>Not found</v>
      </c>
      <c r="H363" s="25" t="e">
        <f aca="true">INDIRECT("'"&amp;F363&amp;"'!D1")</f>
        <v>#REF!</v>
      </c>
      <c r="I363" s="18" t="str">
        <f aca="false">IFERROR(__xludf.dummyfunction("REGEXEXTRACT(ADDRESS(ROW(), 24+$H363), ""[A-Z]+"")"),"#VALUE!")</f>
        <v>#VALUE!</v>
      </c>
      <c r="J363" s="18" t="str">
        <f aca="false">IFERROR(__xludf.dummyfunction("REGEXEXTRACT(ADDRESS(ROW(), 30+$H363), ""[A-Z]+"")"),"#VALUE!")</f>
        <v>#VALUE!</v>
      </c>
      <c r="K363" s="18" t="str">
        <f aca="false">IFERROR(__xludf.dummyfunction("REGEXEXTRACT(ADDRESS(ROW(), 36+$H363), ""[A-Z]+"")"),"#VALUE!")</f>
        <v>#VALUE!</v>
      </c>
      <c r="L363" s="18" t="str">
        <f aca="false">IFERROR(__xludf.dummyfunction("REGEXEXTRACT(ADDRESS(ROW(), 42+$H363), ""[A-Z]+"")"),"#VALUE!")</f>
        <v>#VALUE!</v>
      </c>
      <c r="M363" s="18" t="str">
        <f aca="false">IFERROR(__xludf.dummyfunction("REGEXEXTRACT(ADDRESS(ROW(), 48+$H363), ""[A-Z]+"")"),"#VALUE!")</f>
        <v>#VALUE!</v>
      </c>
      <c r="N363" s="18" t="str">
        <f aca="false">IFERROR(__xludf.dummyfunction("REGEXEXTRACT(ADDRESS(ROW(), 50+$H363), ""[A-Z]+"")"),"#VALUE!")</f>
        <v>#VALUE!</v>
      </c>
      <c r="O363" s="18" t="str">
        <f aca="false">IFERROR(__xludf.dummyfunction("REGEXEXTRACT(ADDRESS(ROW(), 51+$H363), ""[A-Z]+"")"),"#VALUE!")</f>
        <v>#VALUE!</v>
      </c>
      <c r="P363" s="18" t="str">
        <f aca="false">IFERROR(__xludf.dummyfunction("REGEXEXTRACT(ADDRESS(ROW(), 54+$H363), ""[A-Z]+"")"),"#VALUE!")</f>
        <v>#VALUE!</v>
      </c>
      <c r="Q363" s="18" t="str">
        <f aca="false">IFERROR(__xludf.dummyfunction("REGEXEXTRACT(ADDRESS(ROW(), 59+$H363), ""[A-Z]+"")"),"#VALUE!")</f>
        <v>#VALUE!</v>
      </c>
      <c r="R363" s="18" t="str">
        <f aca="false">IFERROR(__xludf.dummyfunction("REGEXEXTRACT(ADDRESS(ROW(), 60+$H363), ""[A-Z]+"")"),"#VALUE!")</f>
        <v>#VALUE!</v>
      </c>
      <c r="S363" s="18" t="str">
        <f aca="false">IFERROR(__xludf.dummyfunction("REGEXEXTRACT(ADDRESS(ROW(), 62+$H363), ""[A-Z]+"")"),"#VALUE!")</f>
        <v>#VALUE!</v>
      </c>
      <c r="T363" s="18" t="str">
        <f aca="false">IFERROR(__xludf.dummyfunction("REGEXEXTRACT(ADDRESS(ROW(), 63+$H363), ""[A-Z]+"")"),"#VALUE!")</f>
        <v>#VALUE!</v>
      </c>
      <c r="U363" s="19" t="str">
        <f aca="false">IFERROR(__xludf.dummyfunction("IFERROR(QUERY(INDIRECT(""'""&amp;F363&amp;""'!C3:""&amp;T363&amp;""""), ""SELECT ""&amp;I363&amp;"", ""&amp;J363&amp;"", ""&amp;K363&amp;"", ""&amp;L363&amp;"", ""&amp;M363&amp;"", ""&amp;N363&amp;"", ""&amp;O363&amp;"", ""&amp;P363&amp;"", ""&amp;Q363&amp;"", ""&amp;R363&amp;"", ""&amp;S363&amp;"" WHERE '""&amp;B363&amp;""' = D"", 0), """")"),"")</f>
        <v/>
      </c>
      <c r="V363" s="22"/>
      <c r="W363" s="22"/>
      <c r="X363" s="22"/>
      <c r="Y363" s="22"/>
      <c r="Z363" s="22"/>
      <c r="AA363" s="22"/>
      <c r="AB363" s="22"/>
      <c r="AC363" s="22"/>
      <c r="AD363" s="23"/>
      <c r="AE363" s="24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</row>
    <row r="364" customFormat="false" ht="18.65" hidden="false" customHeight="false" outlineLevel="0" collapsed="false">
      <c r="A364" s="13"/>
      <c r="B364" s="26"/>
      <c r="C364" s="15"/>
      <c r="D364" s="16"/>
      <c r="E364" s="16"/>
      <c r="F364" s="16" t="str">
        <f aca="false">REPLACE(E364, 1, 3, "")</f>
        <v/>
      </c>
      <c r="G364" s="17" t="str">
        <f aca="true">IFERROR(VLOOKUP(B364,INDIRECT("'"&amp;F364&amp;"'!D3:D"),1,FALSE()), "Not found")</f>
        <v>Not found</v>
      </c>
      <c r="H364" s="25" t="e">
        <f aca="true">INDIRECT("'"&amp;F364&amp;"'!D1")</f>
        <v>#REF!</v>
      </c>
      <c r="I364" s="18" t="str">
        <f aca="false">IFERROR(__xludf.dummyfunction("REGEXEXTRACT(ADDRESS(ROW(), 24+$H364), ""[A-Z]+"")"),"#VALUE!")</f>
        <v>#VALUE!</v>
      </c>
      <c r="J364" s="18" t="str">
        <f aca="false">IFERROR(__xludf.dummyfunction("REGEXEXTRACT(ADDRESS(ROW(), 30+$H364), ""[A-Z]+"")"),"#VALUE!")</f>
        <v>#VALUE!</v>
      </c>
      <c r="K364" s="18" t="str">
        <f aca="false">IFERROR(__xludf.dummyfunction("REGEXEXTRACT(ADDRESS(ROW(), 36+$H364), ""[A-Z]+"")"),"#VALUE!")</f>
        <v>#VALUE!</v>
      </c>
      <c r="L364" s="18" t="str">
        <f aca="false">IFERROR(__xludf.dummyfunction("REGEXEXTRACT(ADDRESS(ROW(), 42+$H364), ""[A-Z]+"")"),"#VALUE!")</f>
        <v>#VALUE!</v>
      </c>
      <c r="M364" s="18" t="str">
        <f aca="false">IFERROR(__xludf.dummyfunction("REGEXEXTRACT(ADDRESS(ROW(), 48+$H364), ""[A-Z]+"")"),"#VALUE!")</f>
        <v>#VALUE!</v>
      </c>
      <c r="N364" s="18" t="str">
        <f aca="false">IFERROR(__xludf.dummyfunction("REGEXEXTRACT(ADDRESS(ROW(), 50+$H364), ""[A-Z]+"")"),"#VALUE!")</f>
        <v>#VALUE!</v>
      </c>
      <c r="O364" s="18" t="str">
        <f aca="false">IFERROR(__xludf.dummyfunction("REGEXEXTRACT(ADDRESS(ROW(), 51+$H364), ""[A-Z]+"")"),"#VALUE!")</f>
        <v>#VALUE!</v>
      </c>
      <c r="P364" s="18" t="str">
        <f aca="false">IFERROR(__xludf.dummyfunction("REGEXEXTRACT(ADDRESS(ROW(), 54+$H364), ""[A-Z]+"")"),"#VALUE!")</f>
        <v>#VALUE!</v>
      </c>
      <c r="Q364" s="18" t="str">
        <f aca="false">IFERROR(__xludf.dummyfunction("REGEXEXTRACT(ADDRESS(ROW(), 59+$H364), ""[A-Z]+"")"),"#VALUE!")</f>
        <v>#VALUE!</v>
      </c>
      <c r="R364" s="18" t="str">
        <f aca="false">IFERROR(__xludf.dummyfunction("REGEXEXTRACT(ADDRESS(ROW(), 60+$H364), ""[A-Z]+"")"),"#VALUE!")</f>
        <v>#VALUE!</v>
      </c>
      <c r="S364" s="18" t="str">
        <f aca="false">IFERROR(__xludf.dummyfunction("REGEXEXTRACT(ADDRESS(ROW(), 62+$H364), ""[A-Z]+"")"),"#VALUE!")</f>
        <v>#VALUE!</v>
      </c>
      <c r="T364" s="18" t="str">
        <f aca="false">IFERROR(__xludf.dummyfunction("REGEXEXTRACT(ADDRESS(ROW(), 63+$H364), ""[A-Z]+"")"),"#VALUE!")</f>
        <v>#VALUE!</v>
      </c>
      <c r="U364" s="19" t="str">
        <f aca="false">IFERROR(__xludf.dummyfunction("IFERROR(QUERY(INDIRECT(""'""&amp;F364&amp;""'!C3:""&amp;T364&amp;""""), ""SELECT ""&amp;I364&amp;"", ""&amp;J364&amp;"", ""&amp;K364&amp;"", ""&amp;L364&amp;"", ""&amp;M364&amp;"", ""&amp;N364&amp;"", ""&amp;O364&amp;"", ""&amp;P364&amp;"", ""&amp;Q364&amp;"", ""&amp;R364&amp;"", ""&amp;S364&amp;"" WHERE '""&amp;B364&amp;""' = D"", 0), """")"),"")</f>
        <v/>
      </c>
      <c r="V364" s="22"/>
      <c r="W364" s="22"/>
      <c r="X364" s="22"/>
      <c r="Y364" s="22"/>
      <c r="Z364" s="22"/>
      <c r="AA364" s="22"/>
      <c r="AB364" s="22"/>
      <c r="AC364" s="22"/>
      <c r="AD364" s="23"/>
      <c r="AE364" s="24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</row>
    <row r="365" customFormat="false" ht="18.65" hidden="false" customHeight="false" outlineLevel="0" collapsed="false">
      <c r="A365" s="13"/>
      <c r="B365" s="26"/>
      <c r="C365" s="15"/>
      <c r="D365" s="16"/>
      <c r="E365" s="16"/>
      <c r="F365" s="16" t="str">
        <f aca="false">REPLACE(E365, 1, 3, "")</f>
        <v/>
      </c>
      <c r="G365" s="17" t="str">
        <f aca="true">IFERROR(VLOOKUP(B365,INDIRECT("'"&amp;F365&amp;"'!D3:D"),1,FALSE()), "Not found")</f>
        <v>Not found</v>
      </c>
      <c r="H365" s="25" t="e">
        <f aca="true">INDIRECT("'"&amp;F365&amp;"'!D1")</f>
        <v>#REF!</v>
      </c>
      <c r="I365" s="18" t="str">
        <f aca="false">IFERROR(__xludf.dummyfunction("REGEXEXTRACT(ADDRESS(ROW(), 24+$H365), ""[A-Z]+"")"),"#VALUE!")</f>
        <v>#VALUE!</v>
      </c>
      <c r="J365" s="18" t="str">
        <f aca="false">IFERROR(__xludf.dummyfunction("REGEXEXTRACT(ADDRESS(ROW(), 30+$H365), ""[A-Z]+"")"),"#VALUE!")</f>
        <v>#VALUE!</v>
      </c>
      <c r="K365" s="18" t="str">
        <f aca="false">IFERROR(__xludf.dummyfunction("REGEXEXTRACT(ADDRESS(ROW(), 36+$H365), ""[A-Z]+"")"),"#VALUE!")</f>
        <v>#VALUE!</v>
      </c>
      <c r="L365" s="18" t="str">
        <f aca="false">IFERROR(__xludf.dummyfunction("REGEXEXTRACT(ADDRESS(ROW(), 42+$H365), ""[A-Z]+"")"),"#VALUE!")</f>
        <v>#VALUE!</v>
      </c>
      <c r="M365" s="18" t="str">
        <f aca="false">IFERROR(__xludf.dummyfunction("REGEXEXTRACT(ADDRESS(ROW(), 48+$H365), ""[A-Z]+"")"),"#VALUE!")</f>
        <v>#VALUE!</v>
      </c>
      <c r="N365" s="18" t="str">
        <f aca="false">IFERROR(__xludf.dummyfunction("REGEXEXTRACT(ADDRESS(ROW(), 50+$H365), ""[A-Z]+"")"),"#VALUE!")</f>
        <v>#VALUE!</v>
      </c>
      <c r="O365" s="18" t="str">
        <f aca="false">IFERROR(__xludf.dummyfunction("REGEXEXTRACT(ADDRESS(ROW(), 51+$H365), ""[A-Z]+"")"),"#VALUE!")</f>
        <v>#VALUE!</v>
      </c>
      <c r="P365" s="18" t="str">
        <f aca="false">IFERROR(__xludf.dummyfunction("REGEXEXTRACT(ADDRESS(ROW(), 54+$H365), ""[A-Z]+"")"),"#VALUE!")</f>
        <v>#VALUE!</v>
      </c>
      <c r="Q365" s="18" t="str">
        <f aca="false">IFERROR(__xludf.dummyfunction("REGEXEXTRACT(ADDRESS(ROW(), 59+$H365), ""[A-Z]+"")"),"#VALUE!")</f>
        <v>#VALUE!</v>
      </c>
      <c r="R365" s="18" t="str">
        <f aca="false">IFERROR(__xludf.dummyfunction("REGEXEXTRACT(ADDRESS(ROW(), 60+$H365), ""[A-Z]+"")"),"#VALUE!")</f>
        <v>#VALUE!</v>
      </c>
      <c r="S365" s="18" t="str">
        <f aca="false">IFERROR(__xludf.dummyfunction("REGEXEXTRACT(ADDRESS(ROW(), 62+$H365), ""[A-Z]+"")"),"#VALUE!")</f>
        <v>#VALUE!</v>
      </c>
      <c r="T365" s="18" t="str">
        <f aca="false">IFERROR(__xludf.dummyfunction("REGEXEXTRACT(ADDRESS(ROW(), 63+$H365), ""[A-Z]+"")"),"#VALUE!")</f>
        <v>#VALUE!</v>
      </c>
      <c r="U365" s="19" t="str">
        <f aca="false">IFERROR(__xludf.dummyfunction("IFERROR(QUERY(INDIRECT(""'""&amp;F365&amp;""'!C3:""&amp;T365&amp;""""), ""SELECT ""&amp;I365&amp;"", ""&amp;J365&amp;"", ""&amp;K365&amp;"", ""&amp;L365&amp;"", ""&amp;M365&amp;"", ""&amp;N365&amp;"", ""&amp;O365&amp;"", ""&amp;P365&amp;"", ""&amp;Q365&amp;"", ""&amp;R365&amp;"", ""&amp;S365&amp;"" WHERE '""&amp;B365&amp;""' = D"", 0), """")"),"")</f>
        <v/>
      </c>
      <c r="V365" s="22"/>
      <c r="W365" s="22"/>
      <c r="X365" s="22"/>
      <c r="Y365" s="22"/>
      <c r="Z365" s="22"/>
      <c r="AA365" s="22"/>
      <c r="AB365" s="22"/>
      <c r="AC365" s="22"/>
      <c r="AD365" s="23"/>
      <c r="AE365" s="24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</row>
    <row r="366" customFormat="false" ht="18.65" hidden="false" customHeight="false" outlineLevel="0" collapsed="false">
      <c r="A366" s="13"/>
      <c r="B366" s="26"/>
      <c r="C366" s="15"/>
      <c r="D366" s="16"/>
      <c r="E366" s="16"/>
      <c r="F366" s="16" t="str">
        <f aca="false">REPLACE(E366, 1, 3, "")</f>
        <v/>
      </c>
      <c r="G366" s="17" t="str">
        <f aca="true">IFERROR(VLOOKUP(B366,INDIRECT("'"&amp;F366&amp;"'!D3:D"),1,FALSE()), "Not found")</f>
        <v>Not found</v>
      </c>
      <c r="H366" s="25" t="e">
        <f aca="true">INDIRECT("'"&amp;F366&amp;"'!D1")</f>
        <v>#REF!</v>
      </c>
      <c r="I366" s="18" t="str">
        <f aca="false">IFERROR(__xludf.dummyfunction("REGEXEXTRACT(ADDRESS(ROW(), 24+$H366), ""[A-Z]+"")"),"#VALUE!")</f>
        <v>#VALUE!</v>
      </c>
      <c r="J366" s="18" t="str">
        <f aca="false">IFERROR(__xludf.dummyfunction("REGEXEXTRACT(ADDRESS(ROW(), 30+$H366), ""[A-Z]+"")"),"#VALUE!")</f>
        <v>#VALUE!</v>
      </c>
      <c r="K366" s="18" t="str">
        <f aca="false">IFERROR(__xludf.dummyfunction("REGEXEXTRACT(ADDRESS(ROW(), 36+$H366), ""[A-Z]+"")"),"#VALUE!")</f>
        <v>#VALUE!</v>
      </c>
      <c r="L366" s="18" t="str">
        <f aca="false">IFERROR(__xludf.dummyfunction("REGEXEXTRACT(ADDRESS(ROW(), 42+$H366), ""[A-Z]+"")"),"#VALUE!")</f>
        <v>#VALUE!</v>
      </c>
      <c r="M366" s="18" t="str">
        <f aca="false">IFERROR(__xludf.dummyfunction("REGEXEXTRACT(ADDRESS(ROW(), 48+$H366), ""[A-Z]+"")"),"#VALUE!")</f>
        <v>#VALUE!</v>
      </c>
      <c r="N366" s="18" t="str">
        <f aca="false">IFERROR(__xludf.dummyfunction("REGEXEXTRACT(ADDRESS(ROW(), 50+$H366), ""[A-Z]+"")"),"#VALUE!")</f>
        <v>#VALUE!</v>
      </c>
      <c r="O366" s="18" t="str">
        <f aca="false">IFERROR(__xludf.dummyfunction("REGEXEXTRACT(ADDRESS(ROW(), 51+$H366), ""[A-Z]+"")"),"#VALUE!")</f>
        <v>#VALUE!</v>
      </c>
      <c r="P366" s="18" t="str">
        <f aca="false">IFERROR(__xludf.dummyfunction("REGEXEXTRACT(ADDRESS(ROW(), 54+$H366), ""[A-Z]+"")"),"#VALUE!")</f>
        <v>#VALUE!</v>
      </c>
      <c r="Q366" s="18" t="str">
        <f aca="false">IFERROR(__xludf.dummyfunction("REGEXEXTRACT(ADDRESS(ROW(), 59+$H366), ""[A-Z]+"")"),"#VALUE!")</f>
        <v>#VALUE!</v>
      </c>
      <c r="R366" s="18" t="str">
        <f aca="false">IFERROR(__xludf.dummyfunction("REGEXEXTRACT(ADDRESS(ROW(), 60+$H366), ""[A-Z]+"")"),"#VALUE!")</f>
        <v>#VALUE!</v>
      </c>
      <c r="S366" s="18" t="str">
        <f aca="false">IFERROR(__xludf.dummyfunction("REGEXEXTRACT(ADDRESS(ROW(), 62+$H366), ""[A-Z]+"")"),"#VALUE!")</f>
        <v>#VALUE!</v>
      </c>
      <c r="T366" s="18" t="str">
        <f aca="false">IFERROR(__xludf.dummyfunction("REGEXEXTRACT(ADDRESS(ROW(), 63+$H366), ""[A-Z]+"")"),"#VALUE!")</f>
        <v>#VALUE!</v>
      </c>
      <c r="U366" s="19" t="str">
        <f aca="false">IFERROR(__xludf.dummyfunction("IFERROR(QUERY(INDIRECT(""'""&amp;F366&amp;""'!C3:""&amp;T366&amp;""""), ""SELECT ""&amp;I366&amp;"", ""&amp;J366&amp;"", ""&amp;K366&amp;"", ""&amp;L366&amp;"", ""&amp;M366&amp;"", ""&amp;N366&amp;"", ""&amp;O366&amp;"", ""&amp;P366&amp;"", ""&amp;Q366&amp;"", ""&amp;R366&amp;"", ""&amp;S366&amp;"" WHERE '""&amp;B366&amp;""' = D"", 0), """")"),"")</f>
        <v/>
      </c>
      <c r="V366" s="22"/>
      <c r="W366" s="22"/>
      <c r="X366" s="22"/>
      <c r="Y366" s="22"/>
      <c r="Z366" s="22"/>
      <c r="AA366" s="22"/>
      <c r="AB366" s="22"/>
      <c r="AC366" s="22"/>
      <c r="AD366" s="23"/>
      <c r="AE366" s="24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</row>
    <row r="367" customFormat="false" ht="18.65" hidden="false" customHeight="false" outlineLevel="0" collapsed="false">
      <c r="A367" s="13"/>
      <c r="B367" s="27"/>
      <c r="C367" s="28"/>
      <c r="D367" s="29"/>
      <c r="E367" s="29"/>
      <c r="F367" s="16" t="str">
        <f aca="false">REPLACE(E367, 1, 3, "")</f>
        <v/>
      </c>
      <c r="G367" s="17" t="str">
        <f aca="true">IFERROR(VLOOKUP(B367,INDIRECT("'"&amp;F367&amp;"'!D3:D"),1,FALSE()), "Not found")</f>
        <v>Not found</v>
      </c>
      <c r="H367" s="25" t="e">
        <f aca="true">INDIRECT("'"&amp;F367&amp;"'!D1")</f>
        <v>#REF!</v>
      </c>
      <c r="I367" s="18" t="str">
        <f aca="false">IFERROR(__xludf.dummyfunction("REGEXEXTRACT(ADDRESS(ROW(), 24+$H367), ""[A-Z]+"")"),"#VALUE!")</f>
        <v>#VALUE!</v>
      </c>
      <c r="J367" s="18" t="str">
        <f aca="false">IFERROR(__xludf.dummyfunction("REGEXEXTRACT(ADDRESS(ROW(), 30+$H367), ""[A-Z]+"")"),"#VALUE!")</f>
        <v>#VALUE!</v>
      </c>
      <c r="K367" s="18" t="str">
        <f aca="false">IFERROR(__xludf.dummyfunction("REGEXEXTRACT(ADDRESS(ROW(), 36+$H367), ""[A-Z]+"")"),"#VALUE!")</f>
        <v>#VALUE!</v>
      </c>
      <c r="L367" s="18" t="str">
        <f aca="false">IFERROR(__xludf.dummyfunction("REGEXEXTRACT(ADDRESS(ROW(), 42+$H367), ""[A-Z]+"")"),"#VALUE!")</f>
        <v>#VALUE!</v>
      </c>
      <c r="M367" s="18" t="str">
        <f aca="false">IFERROR(__xludf.dummyfunction("REGEXEXTRACT(ADDRESS(ROW(), 48+$H367), ""[A-Z]+"")"),"#VALUE!")</f>
        <v>#VALUE!</v>
      </c>
      <c r="N367" s="18" t="str">
        <f aca="false">IFERROR(__xludf.dummyfunction("REGEXEXTRACT(ADDRESS(ROW(), 50+$H367), ""[A-Z]+"")"),"#VALUE!")</f>
        <v>#VALUE!</v>
      </c>
      <c r="O367" s="18" t="str">
        <f aca="false">IFERROR(__xludf.dummyfunction("REGEXEXTRACT(ADDRESS(ROW(), 51+$H367), ""[A-Z]+"")"),"#VALUE!")</f>
        <v>#VALUE!</v>
      </c>
      <c r="P367" s="18" t="str">
        <f aca="false">IFERROR(__xludf.dummyfunction("REGEXEXTRACT(ADDRESS(ROW(), 54+$H367), ""[A-Z]+"")"),"#VALUE!")</f>
        <v>#VALUE!</v>
      </c>
      <c r="Q367" s="18" t="str">
        <f aca="false">IFERROR(__xludf.dummyfunction("REGEXEXTRACT(ADDRESS(ROW(), 59+$H367), ""[A-Z]+"")"),"#VALUE!")</f>
        <v>#VALUE!</v>
      </c>
      <c r="R367" s="18" t="str">
        <f aca="false">IFERROR(__xludf.dummyfunction("REGEXEXTRACT(ADDRESS(ROW(), 60+$H367), ""[A-Z]+"")"),"#VALUE!")</f>
        <v>#VALUE!</v>
      </c>
      <c r="S367" s="18" t="str">
        <f aca="false">IFERROR(__xludf.dummyfunction("REGEXEXTRACT(ADDRESS(ROW(), 62+$H367), ""[A-Z]+"")"),"#VALUE!")</f>
        <v>#VALUE!</v>
      </c>
      <c r="T367" s="18" t="str">
        <f aca="false">IFERROR(__xludf.dummyfunction("REGEXEXTRACT(ADDRESS(ROW(), 63+$H367), ""[A-Z]+"")"),"#VALUE!")</f>
        <v>#VALUE!</v>
      </c>
      <c r="U367" s="19" t="str">
        <f aca="false">IFERROR(__xludf.dummyfunction("IFERROR(QUERY(INDIRECT(""'""&amp;F367&amp;""'!C3:""&amp;T367&amp;""""), ""SELECT ""&amp;I367&amp;"", ""&amp;J367&amp;"", ""&amp;K367&amp;"", ""&amp;L367&amp;"", ""&amp;M367&amp;"", ""&amp;N367&amp;"", ""&amp;O367&amp;"", ""&amp;P367&amp;"", ""&amp;Q367&amp;"", ""&amp;R367&amp;"", ""&amp;S367&amp;"" WHERE '""&amp;B367&amp;""' = D"", 0), """")"),"")</f>
        <v/>
      </c>
      <c r="V367" s="22"/>
      <c r="W367" s="22"/>
      <c r="X367" s="22"/>
      <c r="Y367" s="22"/>
      <c r="Z367" s="22"/>
      <c r="AA367" s="22"/>
      <c r="AB367" s="22"/>
      <c r="AC367" s="22"/>
      <c r="AD367" s="23"/>
      <c r="AE367" s="24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</row>
    <row r="368" customFormat="false" ht="18.65" hidden="false" customHeight="false" outlineLevel="0" collapsed="false">
      <c r="A368" s="13"/>
      <c r="B368" s="26"/>
      <c r="C368" s="15"/>
      <c r="D368" s="16"/>
      <c r="E368" s="16"/>
      <c r="F368" s="16" t="str">
        <f aca="false">REPLACE(E368, 1, 3, "")</f>
        <v/>
      </c>
      <c r="G368" s="17" t="str">
        <f aca="true">IFERROR(VLOOKUP(B368,INDIRECT("'"&amp;F368&amp;"'!D3:D"),1,FALSE()), "Not found")</f>
        <v>Not found</v>
      </c>
      <c r="H368" s="25" t="e">
        <f aca="true">INDIRECT("'"&amp;F368&amp;"'!D1")</f>
        <v>#REF!</v>
      </c>
      <c r="I368" s="18" t="str">
        <f aca="false">IFERROR(__xludf.dummyfunction("REGEXEXTRACT(ADDRESS(ROW(), 24+$H368), ""[A-Z]+"")"),"#VALUE!")</f>
        <v>#VALUE!</v>
      </c>
      <c r="J368" s="18" t="str">
        <f aca="false">IFERROR(__xludf.dummyfunction("REGEXEXTRACT(ADDRESS(ROW(), 30+$H368), ""[A-Z]+"")"),"#VALUE!")</f>
        <v>#VALUE!</v>
      </c>
      <c r="K368" s="18" t="str">
        <f aca="false">IFERROR(__xludf.dummyfunction("REGEXEXTRACT(ADDRESS(ROW(), 36+$H368), ""[A-Z]+"")"),"#VALUE!")</f>
        <v>#VALUE!</v>
      </c>
      <c r="L368" s="18" t="str">
        <f aca="false">IFERROR(__xludf.dummyfunction("REGEXEXTRACT(ADDRESS(ROW(), 42+$H368), ""[A-Z]+"")"),"#VALUE!")</f>
        <v>#VALUE!</v>
      </c>
      <c r="M368" s="18" t="str">
        <f aca="false">IFERROR(__xludf.dummyfunction("REGEXEXTRACT(ADDRESS(ROW(), 48+$H368), ""[A-Z]+"")"),"#VALUE!")</f>
        <v>#VALUE!</v>
      </c>
      <c r="N368" s="18" t="str">
        <f aca="false">IFERROR(__xludf.dummyfunction("REGEXEXTRACT(ADDRESS(ROW(), 50+$H368), ""[A-Z]+"")"),"#VALUE!")</f>
        <v>#VALUE!</v>
      </c>
      <c r="O368" s="18" t="str">
        <f aca="false">IFERROR(__xludf.dummyfunction("REGEXEXTRACT(ADDRESS(ROW(), 51+$H368), ""[A-Z]+"")"),"#VALUE!")</f>
        <v>#VALUE!</v>
      </c>
      <c r="P368" s="18" t="str">
        <f aca="false">IFERROR(__xludf.dummyfunction("REGEXEXTRACT(ADDRESS(ROW(), 54+$H368), ""[A-Z]+"")"),"#VALUE!")</f>
        <v>#VALUE!</v>
      </c>
      <c r="Q368" s="18" t="str">
        <f aca="false">IFERROR(__xludf.dummyfunction("REGEXEXTRACT(ADDRESS(ROW(), 59+$H368), ""[A-Z]+"")"),"#VALUE!")</f>
        <v>#VALUE!</v>
      </c>
      <c r="R368" s="18" t="str">
        <f aca="false">IFERROR(__xludf.dummyfunction("REGEXEXTRACT(ADDRESS(ROW(), 60+$H368), ""[A-Z]+"")"),"#VALUE!")</f>
        <v>#VALUE!</v>
      </c>
      <c r="S368" s="18" t="str">
        <f aca="false">IFERROR(__xludf.dummyfunction("REGEXEXTRACT(ADDRESS(ROW(), 62+$H368), ""[A-Z]+"")"),"#VALUE!")</f>
        <v>#VALUE!</v>
      </c>
      <c r="T368" s="18" t="str">
        <f aca="false">IFERROR(__xludf.dummyfunction("REGEXEXTRACT(ADDRESS(ROW(), 63+$H368), ""[A-Z]+"")"),"#VALUE!")</f>
        <v>#VALUE!</v>
      </c>
      <c r="U368" s="19" t="str">
        <f aca="false">IFERROR(__xludf.dummyfunction("IFERROR(QUERY(INDIRECT(""'""&amp;F368&amp;""'!C3:""&amp;T368&amp;""""), ""SELECT ""&amp;I368&amp;"", ""&amp;J368&amp;"", ""&amp;K368&amp;"", ""&amp;L368&amp;"", ""&amp;M368&amp;"", ""&amp;N368&amp;"", ""&amp;O368&amp;"", ""&amp;P368&amp;"", ""&amp;Q368&amp;"", ""&amp;R368&amp;"", ""&amp;S368&amp;"" WHERE '""&amp;B368&amp;""' = D"", 0), """")"),"")</f>
        <v/>
      </c>
      <c r="V368" s="22"/>
      <c r="W368" s="22"/>
      <c r="X368" s="22"/>
      <c r="Y368" s="22"/>
      <c r="Z368" s="22"/>
      <c r="AA368" s="22"/>
      <c r="AB368" s="22"/>
      <c r="AC368" s="22"/>
      <c r="AD368" s="23"/>
      <c r="AE368" s="24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</row>
    <row r="369" customFormat="false" ht="18.65" hidden="false" customHeight="false" outlineLevel="0" collapsed="false">
      <c r="A369" s="13"/>
      <c r="B369" s="26"/>
      <c r="C369" s="15"/>
      <c r="D369" s="16"/>
      <c r="E369" s="16"/>
      <c r="F369" s="16" t="str">
        <f aca="false">REPLACE(E369, 1, 3, "")</f>
        <v/>
      </c>
      <c r="G369" s="17" t="str">
        <f aca="true">IFERROR(VLOOKUP(B369,INDIRECT("'"&amp;F369&amp;"'!D3:D"),1,FALSE()), "Not found")</f>
        <v>Not found</v>
      </c>
      <c r="H369" s="25" t="e">
        <f aca="true">INDIRECT("'"&amp;F369&amp;"'!D1")</f>
        <v>#REF!</v>
      </c>
      <c r="I369" s="18" t="str">
        <f aca="false">IFERROR(__xludf.dummyfunction("REGEXEXTRACT(ADDRESS(ROW(), 24+$H369), ""[A-Z]+"")"),"#VALUE!")</f>
        <v>#VALUE!</v>
      </c>
      <c r="J369" s="18" t="str">
        <f aca="false">IFERROR(__xludf.dummyfunction("REGEXEXTRACT(ADDRESS(ROW(), 30+$H369), ""[A-Z]+"")"),"#VALUE!")</f>
        <v>#VALUE!</v>
      </c>
      <c r="K369" s="18" t="str">
        <f aca="false">IFERROR(__xludf.dummyfunction("REGEXEXTRACT(ADDRESS(ROW(), 36+$H369), ""[A-Z]+"")"),"#VALUE!")</f>
        <v>#VALUE!</v>
      </c>
      <c r="L369" s="18" t="str">
        <f aca="false">IFERROR(__xludf.dummyfunction("REGEXEXTRACT(ADDRESS(ROW(), 42+$H369), ""[A-Z]+"")"),"#VALUE!")</f>
        <v>#VALUE!</v>
      </c>
      <c r="M369" s="18" t="str">
        <f aca="false">IFERROR(__xludf.dummyfunction("REGEXEXTRACT(ADDRESS(ROW(), 48+$H369), ""[A-Z]+"")"),"#VALUE!")</f>
        <v>#VALUE!</v>
      </c>
      <c r="N369" s="18" t="str">
        <f aca="false">IFERROR(__xludf.dummyfunction("REGEXEXTRACT(ADDRESS(ROW(), 50+$H369), ""[A-Z]+"")"),"#VALUE!")</f>
        <v>#VALUE!</v>
      </c>
      <c r="O369" s="18" t="str">
        <f aca="false">IFERROR(__xludf.dummyfunction("REGEXEXTRACT(ADDRESS(ROW(), 51+$H369), ""[A-Z]+"")"),"#VALUE!")</f>
        <v>#VALUE!</v>
      </c>
      <c r="P369" s="18" t="str">
        <f aca="false">IFERROR(__xludf.dummyfunction("REGEXEXTRACT(ADDRESS(ROW(), 54+$H369), ""[A-Z]+"")"),"#VALUE!")</f>
        <v>#VALUE!</v>
      </c>
      <c r="Q369" s="18" t="str">
        <f aca="false">IFERROR(__xludf.dummyfunction("REGEXEXTRACT(ADDRESS(ROW(), 59+$H369), ""[A-Z]+"")"),"#VALUE!")</f>
        <v>#VALUE!</v>
      </c>
      <c r="R369" s="18" t="str">
        <f aca="false">IFERROR(__xludf.dummyfunction("REGEXEXTRACT(ADDRESS(ROW(), 60+$H369), ""[A-Z]+"")"),"#VALUE!")</f>
        <v>#VALUE!</v>
      </c>
      <c r="S369" s="18" t="str">
        <f aca="false">IFERROR(__xludf.dummyfunction("REGEXEXTRACT(ADDRESS(ROW(), 62+$H369), ""[A-Z]+"")"),"#VALUE!")</f>
        <v>#VALUE!</v>
      </c>
      <c r="T369" s="18" t="str">
        <f aca="false">IFERROR(__xludf.dummyfunction("REGEXEXTRACT(ADDRESS(ROW(), 63+$H369), ""[A-Z]+"")"),"#VALUE!")</f>
        <v>#VALUE!</v>
      </c>
      <c r="U369" s="19" t="str">
        <f aca="false">IFERROR(__xludf.dummyfunction("IFERROR(QUERY(INDIRECT(""'""&amp;F369&amp;""'!C3:""&amp;T369&amp;""""), ""SELECT ""&amp;I369&amp;"", ""&amp;J369&amp;"", ""&amp;K369&amp;"", ""&amp;L369&amp;"", ""&amp;M369&amp;"", ""&amp;N369&amp;"", ""&amp;O369&amp;"", ""&amp;P369&amp;"", ""&amp;Q369&amp;"", ""&amp;R369&amp;"", ""&amp;S369&amp;"" WHERE '""&amp;B369&amp;""' = D"", 0), """")"),"")</f>
        <v/>
      </c>
      <c r="V369" s="22"/>
      <c r="W369" s="22"/>
      <c r="X369" s="22"/>
      <c r="Y369" s="22"/>
      <c r="Z369" s="22"/>
      <c r="AA369" s="22"/>
      <c r="AB369" s="22"/>
      <c r="AC369" s="22"/>
      <c r="AD369" s="23"/>
      <c r="AE369" s="24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</row>
    <row r="370" customFormat="false" ht="18.65" hidden="false" customHeight="false" outlineLevel="0" collapsed="false">
      <c r="A370" s="13"/>
      <c r="B370" s="26"/>
      <c r="C370" s="15"/>
      <c r="D370" s="16"/>
      <c r="E370" s="16"/>
      <c r="F370" s="16" t="str">
        <f aca="false">REPLACE(E370, 1, 3, "")</f>
        <v/>
      </c>
      <c r="G370" s="17" t="str">
        <f aca="true">IFERROR(VLOOKUP(B370,INDIRECT("'"&amp;F370&amp;"'!D3:D"),1,FALSE()), "Not found")</f>
        <v>Not found</v>
      </c>
      <c r="H370" s="25" t="e">
        <f aca="true">INDIRECT("'"&amp;F370&amp;"'!D1")</f>
        <v>#REF!</v>
      </c>
      <c r="I370" s="18" t="str">
        <f aca="false">IFERROR(__xludf.dummyfunction("REGEXEXTRACT(ADDRESS(ROW(), 24+$H370), ""[A-Z]+"")"),"#VALUE!")</f>
        <v>#VALUE!</v>
      </c>
      <c r="J370" s="18" t="str">
        <f aca="false">IFERROR(__xludf.dummyfunction("REGEXEXTRACT(ADDRESS(ROW(), 30+$H370), ""[A-Z]+"")"),"#VALUE!")</f>
        <v>#VALUE!</v>
      </c>
      <c r="K370" s="18" t="str">
        <f aca="false">IFERROR(__xludf.dummyfunction("REGEXEXTRACT(ADDRESS(ROW(), 36+$H370), ""[A-Z]+"")"),"#VALUE!")</f>
        <v>#VALUE!</v>
      </c>
      <c r="L370" s="18" t="str">
        <f aca="false">IFERROR(__xludf.dummyfunction("REGEXEXTRACT(ADDRESS(ROW(), 42+$H370), ""[A-Z]+"")"),"#VALUE!")</f>
        <v>#VALUE!</v>
      </c>
      <c r="M370" s="18" t="str">
        <f aca="false">IFERROR(__xludf.dummyfunction("REGEXEXTRACT(ADDRESS(ROW(), 48+$H370), ""[A-Z]+"")"),"#VALUE!")</f>
        <v>#VALUE!</v>
      </c>
      <c r="N370" s="18" t="str">
        <f aca="false">IFERROR(__xludf.dummyfunction("REGEXEXTRACT(ADDRESS(ROW(), 50+$H370), ""[A-Z]+"")"),"#VALUE!")</f>
        <v>#VALUE!</v>
      </c>
      <c r="O370" s="18" t="str">
        <f aca="false">IFERROR(__xludf.dummyfunction("REGEXEXTRACT(ADDRESS(ROW(), 51+$H370), ""[A-Z]+"")"),"#VALUE!")</f>
        <v>#VALUE!</v>
      </c>
      <c r="P370" s="18" t="str">
        <f aca="false">IFERROR(__xludf.dummyfunction("REGEXEXTRACT(ADDRESS(ROW(), 54+$H370), ""[A-Z]+"")"),"#VALUE!")</f>
        <v>#VALUE!</v>
      </c>
      <c r="Q370" s="18" t="str">
        <f aca="false">IFERROR(__xludf.dummyfunction("REGEXEXTRACT(ADDRESS(ROW(), 59+$H370), ""[A-Z]+"")"),"#VALUE!")</f>
        <v>#VALUE!</v>
      </c>
      <c r="R370" s="18" t="str">
        <f aca="false">IFERROR(__xludf.dummyfunction("REGEXEXTRACT(ADDRESS(ROW(), 60+$H370), ""[A-Z]+"")"),"#VALUE!")</f>
        <v>#VALUE!</v>
      </c>
      <c r="S370" s="18" t="str">
        <f aca="false">IFERROR(__xludf.dummyfunction("REGEXEXTRACT(ADDRESS(ROW(), 62+$H370), ""[A-Z]+"")"),"#VALUE!")</f>
        <v>#VALUE!</v>
      </c>
      <c r="T370" s="18" t="str">
        <f aca="false">IFERROR(__xludf.dummyfunction("REGEXEXTRACT(ADDRESS(ROW(), 63+$H370), ""[A-Z]+"")"),"#VALUE!")</f>
        <v>#VALUE!</v>
      </c>
      <c r="U370" s="19" t="str">
        <f aca="false">IFERROR(__xludf.dummyfunction("IFERROR(QUERY(INDIRECT(""'""&amp;F370&amp;""'!C3:""&amp;T370&amp;""""), ""SELECT ""&amp;I370&amp;"", ""&amp;J370&amp;"", ""&amp;K370&amp;"", ""&amp;L370&amp;"", ""&amp;M370&amp;"", ""&amp;N370&amp;"", ""&amp;O370&amp;"", ""&amp;P370&amp;"", ""&amp;Q370&amp;"", ""&amp;R370&amp;"", ""&amp;S370&amp;"" WHERE '""&amp;B370&amp;""' = D"", 0), """")"),"")</f>
        <v/>
      </c>
      <c r="V370" s="22"/>
      <c r="W370" s="22"/>
      <c r="X370" s="22"/>
      <c r="Y370" s="22"/>
      <c r="Z370" s="22"/>
      <c r="AA370" s="22"/>
      <c r="AB370" s="22"/>
      <c r="AC370" s="22"/>
      <c r="AD370" s="23"/>
      <c r="AE370" s="24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</row>
    <row r="371" customFormat="false" ht="18.65" hidden="false" customHeight="false" outlineLevel="0" collapsed="false">
      <c r="A371" s="13"/>
      <c r="B371" s="26"/>
      <c r="C371" s="15"/>
      <c r="D371" s="16"/>
      <c r="E371" s="16"/>
      <c r="F371" s="16" t="str">
        <f aca="false">REPLACE(E371, 1, 3, "")</f>
        <v/>
      </c>
      <c r="G371" s="17" t="str">
        <f aca="true">IFERROR(VLOOKUP(B371,INDIRECT("'"&amp;F371&amp;"'!D3:D"),1,FALSE()), "Not found")</f>
        <v>Not found</v>
      </c>
      <c r="H371" s="25" t="e">
        <f aca="true">INDIRECT("'"&amp;F371&amp;"'!D1")</f>
        <v>#REF!</v>
      </c>
      <c r="I371" s="18" t="str">
        <f aca="false">IFERROR(__xludf.dummyfunction("REGEXEXTRACT(ADDRESS(ROW(), 24+$H371), ""[A-Z]+"")"),"#VALUE!")</f>
        <v>#VALUE!</v>
      </c>
      <c r="J371" s="18" t="str">
        <f aca="false">IFERROR(__xludf.dummyfunction("REGEXEXTRACT(ADDRESS(ROW(), 30+$H371), ""[A-Z]+"")"),"#VALUE!")</f>
        <v>#VALUE!</v>
      </c>
      <c r="K371" s="18" t="str">
        <f aca="false">IFERROR(__xludf.dummyfunction("REGEXEXTRACT(ADDRESS(ROW(), 36+$H371), ""[A-Z]+"")"),"#VALUE!")</f>
        <v>#VALUE!</v>
      </c>
      <c r="L371" s="18" t="str">
        <f aca="false">IFERROR(__xludf.dummyfunction("REGEXEXTRACT(ADDRESS(ROW(), 42+$H371), ""[A-Z]+"")"),"#VALUE!")</f>
        <v>#VALUE!</v>
      </c>
      <c r="M371" s="18" t="str">
        <f aca="false">IFERROR(__xludf.dummyfunction("REGEXEXTRACT(ADDRESS(ROW(), 48+$H371), ""[A-Z]+"")"),"#VALUE!")</f>
        <v>#VALUE!</v>
      </c>
      <c r="N371" s="18" t="str">
        <f aca="false">IFERROR(__xludf.dummyfunction("REGEXEXTRACT(ADDRESS(ROW(), 50+$H371), ""[A-Z]+"")"),"#VALUE!")</f>
        <v>#VALUE!</v>
      </c>
      <c r="O371" s="18" t="str">
        <f aca="false">IFERROR(__xludf.dummyfunction("REGEXEXTRACT(ADDRESS(ROW(), 51+$H371), ""[A-Z]+"")"),"#VALUE!")</f>
        <v>#VALUE!</v>
      </c>
      <c r="P371" s="18" t="str">
        <f aca="false">IFERROR(__xludf.dummyfunction("REGEXEXTRACT(ADDRESS(ROW(), 54+$H371), ""[A-Z]+"")"),"#VALUE!")</f>
        <v>#VALUE!</v>
      </c>
      <c r="Q371" s="18" t="str">
        <f aca="false">IFERROR(__xludf.dummyfunction("REGEXEXTRACT(ADDRESS(ROW(), 59+$H371), ""[A-Z]+"")"),"#VALUE!")</f>
        <v>#VALUE!</v>
      </c>
      <c r="R371" s="18" t="str">
        <f aca="false">IFERROR(__xludf.dummyfunction("REGEXEXTRACT(ADDRESS(ROW(), 60+$H371), ""[A-Z]+"")"),"#VALUE!")</f>
        <v>#VALUE!</v>
      </c>
      <c r="S371" s="18" t="str">
        <f aca="false">IFERROR(__xludf.dummyfunction("REGEXEXTRACT(ADDRESS(ROW(), 62+$H371), ""[A-Z]+"")"),"#VALUE!")</f>
        <v>#VALUE!</v>
      </c>
      <c r="T371" s="18" t="str">
        <f aca="false">IFERROR(__xludf.dummyfunction("REGEXEXTRACT(ADDRESS(ROW(), 63+$H371), ""[A-Z]+"")"),"#VALUE!")</f>
        <v>#VALUE!</v>
      </c>
      <c r="U371" s="19" t="str">
        <f aca="false">IFERROR(__xludf.dummyfunction("IFERROR(QUERY(INDIRECT(""'""&amp;F371&amp;""'!C3:""&amp;T371&amp;""""), ""SELECT ""&amp;I371&amp;"", ""&amp;J371&amp;"", ""&amp;K371&amp;"", ""&amp;L371&amp;"", ""&amp;M371&amp;"", ""&amp;N371&amp;"", ""&amp;O371&amp;"", ""&amp;P371&amp;"", ""&amp;Q371&amp;"", ""&amp;R371&amp;"", ""&amp;S371&amp;"" WHERE '""&amp;B371&amp;""' = D"", 0), """")"),"")</f>
        <v/>
      </c>
      <c r="V371" s="22"/>
      <c r="W371" s="22"/>
      <c r="X371" s="22"/>
      <c r="Y371" s="22"/>
      <c r="Z371" s="22"/>
      <c r="AA371" s="22"/>
      <c r="AB371" s="22"/>
      <c r="AC371" s="22"/>
      <c r="AD371" s="23"/>
      <c r="AE371" s="24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</row>
    <row r="372" customFormat="false" ht="18.65" hidden="false" customHeight="false" outlineLevel="0" collapsed="false">
      <c r="A372" s="13"/>
      <c r="B372" s="26"/>
      <c r="C372" s="15"/>
      <c r="D372" s="16"/>
      <c r="E372" s="16"/>
      <c r="F372" s="16" t="str">
        <f aca="false">REPLACE(E372, 1, 3, "")</f>
        <v/>
      </c>
      <c r="G372" s="17" t="str">
        <f aca="true">IFERROR(VLOOKUP(B372,INDIRECT("'"&amp;F372&amp;"'!D3:D"),1,FALSE()), "Not found")</f>
        <v>Not found</v>
      </c>
      <c r="H372" s="25" t="e">
        <f aca="true">INDIRECT("'"&amp;F372&amp;"'!D1")</f>
        <v>#REF!</v>
      </c>
      <c r="I372" s="18" t="str">
        <f aca="false">IFERROR(__xludf.dummyfunction("REGEXEXTRACT(ADDRESS(ROW(), 24+$H372), ""[A-Z]+"")"),"#VALUE!")</f>
        <v>#VALUE!</v>
      </c>
      <c r="J372" s="18" t="str">
        <f aca="false">IFERROR(__xludf.dummyfunction("REGEXEXTRACT(ADDRESS(ROW(), 30+$H372), ""[A-Z]+"")"),"#VALUE!")</f>
        <v>#VALUE!</v>
      </c>
      <c r="K372" s="18" t="str">
        <f aca="false">IFERROR(__xludf.dummyfunction("REGEXEXTRACT(ADDRESS(ROW(), 36+$H372), ""[A-Z]+"")"),"#VALUE!")</f>
        <v>#VALUE!</v>
      </c>
      <c r="L372" s="18" t="str">
        <f aca="false">IFERROR(__xludf.dummyfunction("REGEXEXTRACT(ADDRESS(ROW(), 42+$H372), ""[A-Z]+"")"),"#VALUE!")</f>
        <v>#VALUE!</v>
      </c>
      <c r="M372" s="18" t="str">
        <f aca="false">IFERROR(__xludf.dummyfunction("REGEXEXTRACT(ADDRESS(ROW(), 48+$H372), ""[A-Z]+"")"),"#VALUE!")</f>
        <v>#VALUE!</v>
      </c>
      <c r="N372" s="18" t="str">
        <f aca="false">IFERROR(__xludf.dummyfunction("REGEXEXTRACT(ADDRESS(ROW(), 50+$H372), ""[A-Z]+"")"),"#VALUE!")</f>
        <v>#VALUE!</v>
      </c>
      <c r="O372" s="18" t="str">
        <f aca="false">IFERROR(__xludf.dummyfunction("REGEXEXTRACT(ADDRESS(ROW(), 51+$H372), ""[A-Z]+"")"),"#VALUE!")</f>
        <v>#VALUE!</v>
      </c>
      <c r="P372" s="18" t="str">
        <f aca="false">IFERROR(__xludf.dummyfunction("REGEXEXTRACT(ADDRESS(ROW(), 54+$H372), ""[A-Z]+"")"),"#VALUE!")</f>
        <v>#VALUE!</v>
      </c>
      <c r="Q372" s="18" t="str">
        <f aca="false">IFERROR(__xludf.dummyfunction("REGEXEXTRACT(ADDRESS(ROW(), 59+$H372), ""[A-Z]+"")"),"#VALUE!")</f>
        <v>#VALUE!</v>
      </c>
      <c r="R372" s="18" t="str">
        <f aca="false">IFERROR(__xludf.dummyfunction("REGEXEXTRACT(ADDRESS(ROW(), 60+$H372), ""[A-Z]+"")"),"#VALUE!")</f>
        <v>#VALUE!</v>
      </c>
      <c r="S372" s="18" t="str">
        <f aca="false">IFERROR(__xludf.dummyfunction("REGEXEXTRACT(ADDRESS(ROW(), 62+$H372), ""[A-Z]+"")"),"#VALUE!")</f>
        <v>#VALUE!</v>
      </c>
      <c r="T372" s="18" t="str">
        <f aca="false">IFERROR(__xludf.dummyfunction("REGEXEXTRACT(ADDRESS(ROW(), 63+$H372), ""[A-Z]+"")"),"#VALUE!")</f>
        <v>#VALUE!</v>
      </c>
      <c r="U372" s="19" t="str">
        <f aca="false">IFERROR(__xludf.dummyfunction("IFERROR(QUERY(INDIRECT(""'""&amp;F372&amp;""'!C3:""&amp;T372&amp;""""), ""SELECT ""&amp;I372&amp;"", ""&amp;J372&amp;"", ""&amp;K372&amp;"", ""&amp;L372&amp;"", ""&amp;M372&amp;"", ""&amp;N372&amp;"", ""&amp;O372&amp;"", ""&amp;P372&amp;"", ""&amp;Q372&amp;"", ""&amp;R372&amp;"", ""&amp;S372&amp;"" WHERE '""&amp;B372&amp;""' = D"", 0), """")"),"")</f>
        <v/>
      </c>
      <c r="V372" s="22"/>
      <c r="W372" s="22"/>
      <c r="X372" s="22"/>
      <c r="Y372" s="22"/>
      <c r="Z372" s="22"/>
      <c r="AA372" s="22"/>
      <c r="AB372" s="22"/>
      <c r="AC372" s="22"/>
      <c r="AD372" s="23"/>
      <c r="AE372" s="24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</row>
    <row r="373" customFormat="false" ht="18.65" hidden="false" customHeight="false" outlineLevel="0" collapsed="false">
      <c r="A373" s="13"/>
      <c r="B373" s="26"/>
      <c r="C373" s="15"/>
      <c r="D373" s="16"/>
      <c r="E373" s="16"/>
      <c r="F373" s="16" t="str">
        <f aca="false">REPLACE(E373, 1, 3, "")</f>
        <v/>
      </c>
      <c r="G373" s="17" t="str">
        <f aca="true">IFERROR(VLOOKUP(B373,INDIRECT("'"&amp;F373&amp;"'!D3:D"),1,FALSE()), "Not found")</f>
        <v>Not found</v>
      </c>
      <c r="H373" s="25" t="e">
        <f aca="true">INDIRECT("'"&amp;F373&amp;"'!D1")</f>
        <v>#REF!</v>
      </c>
      <c r="I373" s="18" t="str">
        <f aca="false">IFERROR(__xludf.dummyfunction("REGEXEXTRACT(ADDRESS(ROW(), 24+$H373), ""[A-Z]+"")"),"#VALUE!")</f>
        <v>#VALUE!</v>
      </c>
      <c r="J373" s="18" t="str">
        <f aca="false">IFERROR(__xludf.dummyfunction("REGEXEXTRACT(ADDRESS(ROW(), 30+$H373), ""[A-Z]+"")"),"#VALUE!")</f>
        <v>#VALUE!</v>
      </c>
      <c r="K373" s="18" t="str">
        <f aca="false">IFERROR(__xludf.dummyfunction("REGEXEXTRACT(ADDRESS(ROW(), 36+$H373), ""[A-Z]+"")"),"#VALUE!")</f>
        <v>#VALUE!</v>
      </c>
      <c r="L373" s="18" t="str">
        <f aca="false">IFERROR(__xludf.dummyfunction("REGEXEXTRACT(ADDRESS(ROW(), 42+$H373), ""[A-Z]+"")"),"#VALUE!")</f>
        <v>#VALUE!</v>
      </c>
      <c r="M373" s="18" t="str">
        <f aca="false">IFERROR(__xludf.dummyfunction("REGEXEXTRACT(ADDRESS(ROW(), 48+$H373), ""[A-Z]+"")"),"#VALUE!")</f>
        <v>#VALUE!</v>
      </c>
      <c r="N373" s="18" t="str">
        <f aca="false">IFERROR(__xludf.dummyfunction("REGEXEXTRACT(ADDRESS(ROW(), 50+$H373), ""[A-Z]+"")"),"#VALUE!")</f>
        <v>#VALUE!</v>
      </c>
      <c r="O373" s="18" t="str">
        <f aca="false">IFERROR(__xludf.dummyfunction("REGEXEXTRACT(ADDRESS(ROW(), 51+$H373), ""[A-Z]+"")"),"#VALUE!")</f>
        <v>#VALUE!</v>
      </c>
      <c r="P373" s="18" t="str">
        <f aca="false">IFERROR(__xludf.dummyfunction("REGEXEXTRACT(ADDRESS(ROW(), 54+$H373), ""[A-Z]+"")"),"#VALUE!")</f>
        <v>#VALUE!</v>
      </c>
      <c r="Q373" s="18" t="str">
        <f aca="false">IFERROR(__xludf.dummyfunction("REGEXEXTRACT(ADDRESS(ROW(), 59+$H373), ""[A-Z]+"")"),"#VALUE!")</f>
        <v>#VALUE!</v>
      </c>
      <c r="R373" s="18" t="str">
        <f aca="false">IFERROR(__xludf.dummyfunction("REGEXEXTRACT(ADDRESS(ROW(), 60+$H373), ""[A-Z]+"")"),"#VALUE!")</f>
        <v>#VALUE!</v>
      </c>
      <c r="S373" s="18" t="str">
        <f aca="false">IFERROR(__xludf.dummyfunction("REGEXEXTRACT(ADDRESS(ROW(), 62+$H373), ""[A-Z]+"")"),"#VALUE!")</f>
        <v>#VALUE!</v>
      </c>
      <c r="T373" s="18" t="str">
        <f aca="false">IFERROR(__xludf.dummyfunction("REGEXEXTRACT(ADDRESS(ROW(), 63+$H373), ""[A-Z]+"")"),"#VALUE!")</f>
        <v>#VALUE!</v>
      </c>
      <c r="U373" s="19" t="str">
        <f aca="false">IFERROR(__xludf.dummyfunction("IFERROR(QUERY(INDIRECT(""'""&amp;F373&amp;""'!C3:""&amp;T373&amp;""""), ""SELECT ""&amp;I373&amp;"", ""&amp;J373&amp;"", ""&amp;K373&amp;"", ""&amp;L373&amp;"", ""&amp;M373&amp;"", ""&amp;N373&amp;"", ""&amp;O373&amp;"", ""&amp;P373&amp;"", ""&amp;Q373&amp;"", ""&amp;R373&amp;"", ""&amp;S373&amp;"" WHERE '""&amp;B373&amp;""' = D"", 0), """")"),"")</f>
        <v/>
      </c>
      <c r="V373" s="22"/>
      <c r="W373" s="22"/>
      <c r="X373" s="22"/>
      <c r="Y373" s="22"/>
      <c r="Z373" s="22"/>
      <c r="AA373" s="22"/>
      <c r="AB373" s="22"/>
      <c r="AC373" s="22"/>
      <c r="AD373" s="23"/>
      <c r="AE373" s="24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</row>
    <row r="374" customFormat="false" ht="18.65" hidden="false" customHeight="false" outlineLevel="0" collapsed="false">
      <c r="A374" s="13"/>
      <c r="B374" s="26"/>
      <c r="C374" s="15"/>
      <c r="D374" s="16"/>
      <c r="E374" s="16"/>
      <c r="F374" s="16" t="str">
        <f aca="false">REPLACE(E374, 1, 3, "")</f>
        <v/>
      </c>
      <c r="G374" s="17" t="str">
        <f aca="true">IFERROR(VLOOKUP(B374,INDIRECT("'"&amp;F374&amp;"'!D3:D"),1,FALSE()), "Not found")</f>
        <v>Not found</v>
      </c>
      <c r="H374" s="25" t="e">
        <f aca="true">INDIRECT("'"&amp;F374&amp;"'!D1")</f>
        <v>#REF!</v>
      </c>
      <c r="I374" s="18" t="str">
        <f aca="false">IFERROR(__xludf.dummyfunction("REGEXEXTRACT(ADDRESS(ROW(), 24+$H374), ""[A-Z]+"")"),"#VALUE!")</f>
        <v>#VALUE!</v>
      </c>
      <c r="J374" s="18" t="str">
        <f aca="false">IFERROR(__xludf.dummyfunction("REGEXEXTRACT(ADDRESS(ROW(), 30+$H374), ""[A-Z]+"")"),"#VALUE!")</f>
        <v>#VALUE!</v>
      </c>
      <c r="K374" s="18" t="str">
        <f aca="false">IFERROR(__xludf.dummyfunction("REGEXEXTRACT(ADDRESS(ROW(), 36+$H374), ""[A-Z]+"")"),"#VALUE!")</f>
        <v>#VALUE!</v>
      </c>
      <c r="L374" s="18" t="str">
        <f aca="false">IFERROR(__xludf.dummyfunction("REGEXEXTRACT(ADDRESS(ROW(), 42+$H374), ""[A-Z]+"")"),"#VALUE!")</f>
        <v>#VALUE!</v>
      </c>
      <c r="M374" s="18" t="str">
        <f aca="false">IFERROR(__xludf.dummyfunction("REGEXEXTRACT(ADDRESS(ROW(), 48+$H374), ""[A-Z]+"")"),"#VALUE!")</f>
        <v>#VALUE!</v>
      </c>
      <c r="N374" s="18" t="str">
        <f aca="false">IFERROR(__xludf.dummyfunction("REGEXEXTRACT(ADDRESS(ROW(), 50+$H374), ""[A-Z]+"")"),"#VALUE!")</f>
        <v>#VALUE!</v>
      </c>
      <c r="O374" s="18" t="str">
        <f aca="false">IFERROR(__xludf.dummyfunction("REGEXEXTRACT(ADDRESS(ROW(), 51+$H374), ""[A-Z]+"")"),"#VALUE!")</f>
        <v>#VALUE!</v>
      </c>
      <c r="P374" s="18" t="str">
        <f aca="false">IFERROR(__xludf.dummyfunction("REGEXEXTRACT(ADDRESS(ROW(), 54+$H374), ""[A-Z]+"")"),"#VALUE!")</f>
        <v>#VALUE!</v>
      </c>
      <c r="Q374" s="18" t="str">
        <f aca="false">IFERROR(__xludf.dummyfunction("REGEXEXTRACT(ADDRESS(ROW(), 59+$H374), ""[A-Z]+"")"),"#VALUE!")</f>
        <v>#VALUE!</v>
      </c>
      <c r="R374" s="18" t="str">
        <f aca="false">IFERROR(__xludf.dummyfunction("REGEXEXTRACT(ADDRESS(ROW(), 60+$H374), ""[A-Z]+"")"),"#VALUE!")</f>
        <v>#VALUE!</v>
      </c>
      <c r="S374" s="18" t="str">
        <f aca="false">IFERROR(__xludf.dummyfunction("REGEXEXTRACT(ADDRESS(ROW(), 62+$H374), ""[A-Z]+"")"),"#VALUE!")</f>
        <v>#VALUE!</v>
      </c>
      <c r="T374" s="18" t="str">
        <f aca="false">IFERROR(__xludf.dummyfunction("REGEXEXTRACT(ADDRESS(ROW(), 63+$H374), ""[A-Z]+"")"),"#VALUE!")</f>
        <v>#VALUE!</v>
      </c>
      <c r="U374" s="19" t="str">
        <f aca="false">IFERROR(__xludf.dummyfunction("IFERROR(QUERY(INDIRECT(""'""&amp;F374&amp;""'!C3:""&amp;T374&amp;""""), ""SELECT ""&amp;I374&amp;"", ""&amp;J374&amp;"", ""&amp;K374&amp;"", ""&amp;L374&amp;"", ""&amp;M374&amp;"", ""&amp;N374&amp;"", ""&amp;O374&amp;"", ""&amp;P374&amp;"", ""&amp;Q374&amp;"", ""&amp;R374&amp;"", ""&amp;S374&amp;"" WHERE '""&amp;B374&amp;""' = D"", 0), """")"),"")</f>
        <v/>
      </c>
      <c r="V374" s="22"/>
      <c r="W374" s="22"/>
      <c r="X374" s="22"/>
      <c r="Y374" s="22"/>
      <c r="Z374" s="22"/>
      <c r="AA374" s="22"/>
      <c r="AB374" s="22"/>
      <c r="AC374" s="22"/>
      <c r="AD374" s="23"/>
      <c r="AE374" s="24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</row>
    <row r="375" customFormat="false" ht="18.65" hidden="false" customHeight="false" outlineLevel="0" collapsed="false">
      <c r="A375" s="13"/>
      <c r="B375" s="26"/>
      <c r="C375" s="15"/>
      <c r="D375" s="16"/>
      <c r="E375" s="16"/>
      <c r="F375" s="16" t="str">
        <f aca="false">REPLACE(E375, 1, 3, "")</f>
        <v/>
      </c>
      <c r="G375" s="17" t="str">
        <f aca="true">IFERROR(VLOOKUP(B375,INDIRECT("'"&amp;F375&amp;"'!D3:D"),1,FALSE()), "Not found")</f>
        <v>Not found</v>
      </c>
      <c r="H375" s="25" t="e">
        <f aca="true">INDIRECT("'"&amp;F375&amp;"'!D1")</f>
        <v>#REF!</v>
      </c>
      <c r="I375" s="18" t="str">
        <f aca="false">IFERROR(__xludf.dummyfunction("REGEXEXTRACT(ADDRESS(ROW(), 24+$H375), ""[A-Z]+"")"),"#VALUE!")</f>
        <v>#VALUE!</v>
      </c>
      <c r="J375" s="18" t="str">
        <f aca="false">IFERROR(__xludf.dummyfunction("REGEXEXTRACT(ADDRESS(ROW(), 30+$H375), ""[A-Z]+"")"),"#VALUE!")</f>
        <v>#VALUE!</v>
      </c>
      <c r="K375" s="18" t="str">
        <f aca="false">IFERROR(__xludf.dummyfunction("REGEXEXTRACT(ADDRESS(ROW(), 36+$H375), ""[A-Z]+"")"),"#VALUE!")</f>
        <v>#VALUE!</v>
      </c>
      <c r="L375" s="18" t="str">
        <f aca="false">IFERROR(__xludf.dummyfunction("REGEXEXTRACT(ADDRESS(ROW(), 42+$H375), ""[A-Z]+"")"),"#VALUE!")</f>
        <v>#VALUE!</v>
      </c>
      <c r="M375" s="18" t="str">
        <f aca="false">IFERROR(__xludf.dummyfunction("REGEXEXTRACT(ADDRESS(ROW(), 48+$H375), ""[A-Z]+"")"),"#VALUE!")</f>
        <v>#VALUE!</v>
      </c>
      <c r="N375" s="18" t="str">
        <f aca="false">IFERROR(__xludf.dummyfunction("REGEXEXTRACT(ADDRESS(ROW(), 50+$H375), ""[A-Z]+"")"),"#VALUE!")</f>
        <v>#VALUE!</v>
      </c>
      <c r="O375" s="18" t="str">
        <f aca="false">IFERROR(__xludf.dummyfunction("REGEXEXTRACT(ADDRESS(ROW(), 51+$H375), ""[A-Z]+"")"),"#VALUE!")</f>
        <v>#VALUE!</v>
      </c>
      <c r="P375" s="18" t="str">
        <f aca="false">IFERROR(__xludf.dummyfunction("REGEXEXTRACT(ADDRESS(ROW(), 54+$H375), ""[A-Z]+"")"),"#VALUE!")</f>
        <v>#VALUE!</v>
      </c>
      <c r="Q375" s="18" t="str">
        <f aca="false">IFERROR(__xludf.dummyfunction("REGEXEXTRACT(ADDRESS(ROW(), 59+$H375), ""[A-Z]+"")"),"#VALUE!")</f>
        <v>#VALUE!</v>
      </c>
      <c r="R375" s="18" t="str">
        <f aca="false">IFERROR(__xludf.dummyfunction("REGEXEXTRACT(ADDRESS(ROW(), 60+$H375), ""[A-Z]+"")"),"#VALUE!")</f>
        <v>#VALUE!</v>
      </c>
      <c r="S375" s="18" t="str">
        <f aca="false">IFERROR(__xludf.dummyfunction("REGEXEXTRACT(ADDRESS(ROW(), 62+$H375), ""[A-Z]+"")"),"#VALUE!")</f>
        <v>#VALUE!</v>
      </c>
      <c r="T375" s="18" t="str">
        <f aca="false">IFERROR(__xludf.dummyfunction("REGEXEXTRACT(ADDRESS(ROW(), 63+$H375), ""[A-Z]+"")"),"#VALUE!")</f>
        <v>#VALUE!</v>
      </c>
      <c r="U375" s="19" t="str">
        <f aca="false">IFERROR(__xludf.dummyfunction("IFERROR(QUERY(INDIRECT(""'""&amp;F375&amp;""'!C3:""&amp;T375&amp;""""), ""SELECT ""&amp;I375&amp;"", ""&amp;J375&amp;"", ""&amp;K375&amp;"", ""&amp;L375&amp;"", ""&amp;M375&amp;"", ""&amp;N375&amp;"", ""&amp;O375&amp;"", ""&amp;P375&amp;"", ""&amp;Q375&amp;"", ""&amp;R375&amp;"", ""&amp;S375&amp;"" WHERE '""&amp;B375&amp;""' = D"", 0), """")"),"")</f>
        <v/>
      </c>
      <c r="V375" s="22"/>
      <c r="W375" s="22"/>
      <c r="X375" s="22"/>
      <c r="Y375" s="22"/>
      <c r="Z375" s="22"/>
      <c r="AA375" s="22"/>
      <c r="AB375" s="22"/>
      <c r="AC375" s="22"/>
      <c r="AD375" s="23"/>
      <c r="AE375" s="24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</row>
    <row r="376" customFormat="false" ht="18.65" hidden="false" customHeight="false" outlineLevel="0" collapsed="false">
      <c r="A376" s="13"/>
      <c r="B376" s="26"/>
      <c r="C376" s="15"/>
      <c r="D376" s="16"/>
      <c r="E376" s="16"/>
      <c r="F376" s="16" t="str">
        <f aca="false">REPLACE(E376, 1, 3, "")</f>
        <v/>
      </c>
      <c r="G376" s="17" t="str">
        <f aca="true">IFERROR(VLOOKUP(B376,INDIRECT("'"&amp;F376&amp;"'!D3:D"),1,FALSE()), "Not found")</f>
        <v>Not found</v>
      </c>
      <c r="H376" s="25" t="e">
        <f aca="true">INDIRECT("'"&amp;F376&amp;"'!D1")</f>
        <v>#REF!</v>
      </c>
      <c r="I376" s="18" t="str">
        <f aca="false">IFERROR(__xludf.dummyfunction("REGEXEXTRACT(ADDRESS(ROW(), 24+$H376), ""[A-Z]+"")"),"#VALUE!")</f>
        <v>#VALUE!</v>
      </c>
      <c r="J376" s="18" t="str">
        <f aca="false">IFERROR(__xludf.dummyfunction("REGEXEXTRACT(ADDRESS(ROW(), 30+$H376), ""[A-Z]+"")"),"#VALUE!")</f>
        <v>#VALUE!</v>
      </c>
      <c r="K376" s="18" t="str">
        <f aca="false">IFERROR(__xludf.dummyfunction("REGEXEXTRACT(ADDRESS(ROW(), 36+$H376), ""[A-Z]+"")"),"#VALUE!")</f>
        <v>#VALUE!</v>
      </c>
      <c r="L376" s="18" t="str">
        <f aca="false">IFERROR(__xludf.dummyfunction("REGEXEXTRACT(ADDRESS(ROW(), 42+$H376), ""[A-Z]+"")"),"#VALUE!")</f>
        <v>#VALUE!</v>
      </c>
      <c r="M376" s="18" t="str">
        <f aca="false">IFERROR(__xludf.dummyfunction("REGEXEXTRACT(ADDRESS(ROW(), 48+$H376), ""[A-Z]+"")"),"#VALUE!")</f>
        <v>#VALUE!</v>
      </c>
      <c r="N376" s="18" t="str">
        <f aca="false">IFERROR(__xludf.dummyfunction("REGEXEXTRACT(ADDRESS(ROW(), 50+$H376), ""[A-Z]+"")"),"#VALUE!")</f>
        <v>#VALUE!</v>
      </c>
      <c r="O376" s="18" t="str">
        <f aca="false">IFERROR(__xludf.dummyfunction("REGEXEXTRACT(ADDRESS(ROW(), 51+$H376), ""[A-Z]+"")"),"#VALUE!")</f>
        <v>#VALUE!</v>
      </c>
      <c r="P376" s="18" t="str">
        <f aca="false">IFERROR(__xludf.dummyfunction("REGEXEXTRACT(ADDRESS(ROW(), 54+$H376), ""[A-Z]+"")"),"#VALUE!")</f>
        <v>#VALUE!</v>
      </c>
      <c r="Q376" s="18" t="str">
        <f aca="false">IFERROR(__xludf.dummyfunction("REGEXEXTRACT(ADDRESS(ROW(), 59+$H376), ""[A-Z]+"")"),"#VALUE!")</f>
        <v>#VALUE!</v>
      </c>
      <c r="R376" s="18" t="str">
        <f aca="false">IFERROR(__xludf.dummyfunction("REGEXEXTRACT(ADDRESS(ROW(), 60+$H376), ""[A-Z]+"")"),"#VALUE!")</f>
        <v>#VALUE!</v>
      </c>
      <c r="S376" s="18" t="str">
        <f aca="false">IFERROR(__xludf.dummyfunction("REGEXEXTRACT(ADDRESS(ROW(), 62+$H376), ""[A-Z]+"")"),"#VALUE!")</f>
        <v>#VALUE!</v>
      </c>
      <c r="T376" s="18" t="str">
        <f aca="false">IFERROR(__xludf.dummyfunction("REGEXEXTRACT(ADDRESS(ROW(), 63+$H376), ""[A-Z]+"")"),"#VALUE!")</f>
        <v>#VALUE!</v>
      </c>
      <c r="U376" s="19" t="str">
        <f aca="false">IFERROR(__xludf.dummyfunction("IFERROR(QUERY(INDIRECT(""'""&amp;F376&amp;""'!C3:""&amp;T376&amp;""""), ""SELECT ""&amp;I376&amp;"", ""&amp;J376&amp;"", ""&amp;K376&amp;"", ""&amp;L376&amp;"", ""&amp;M376&amp;"", ""&amp;N376&amp;"", ""&amp;O376&amp;"", ""&amp;P376&amp;"", ""&amp;Q376&amp;"", ""&amp;R376&amp;"", ""&amp;S376&amp;"" WHERE '""&amp;B376&amp;""' = D"", 0), """")"),"")</f>
        <v/>
      </c>
      <c r="V376" s="22"/>
      <c r="W376" s="22"/>
      <c r="X376" s="22"/>
      <c r="Y376" s="22"/>
      <c r="Z376" s="22"/>
      <c r="AA376" s="22"/>
      <c r="AB376" s="22"/>
      <c r="AC376" s="22"/>
      <c r="AD376" s="23"/>
      <c r="AE376" s="24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</row>
    <row r="377" customFormat="false" ht="18.65" hidden="false" customHeight="false" outlineLevel="0" collapsed="false">
      <c r="A377" s="13"/>
      <c r="B377" s="26"/>
      <c r="C377" s="15"/>
      <c r="D377" s="16"/>
      <c r="E377" s="16"/>
      <c r="F377" s="16" t="str">
        <f aca="false">REPLACE(E377, 1, 3, "")</f>
        <v/>
      </c>
      <c r="G377" s="17" t="str">
        <f aca="true">IFERROR(VLOOKUP(B377,INDIRECT("'"&amp;F377&amp;"'!D3:D"),1,FALSE()), "Not found")</f>
        <v>Not found</v>
      </c>
      <c r="H377" s="25" t="e">
        <f aca="true">INDIRECT("'"&amp;F377&amp;"'!D1")</f>
        <v>#REF!</v>
      </c>
      <c r="I377" s="18" t="str">
        <f aca="false">IFERROR(__xludf.dummyfunction("REGEXEXTRACT(ADDRESS(ROW(), 24+$H377), ""[A-Z]+"")"),"#VALUE!")</f>
        <v>#VALUE!</v>
      </c>
      <c r="J377" s="18" t="str">
        <f aca="false">IFERROR(__xludf.dummyfunction("REGEXEXTRACT(ADDRESS(ROW(), 30+$H377), ""[A-Z]+"")"),"#VALUE!")</f>
        <v>#VALUE!</v>
      </c>
      <c r="K377" s="18" t="str">
        <f aca="false">IFERROR(__xludf.dummyfunction("REGEXEXTRACT(ADDRESS(ROW(), 36+$H377), ""[A-Z]+"")"),"#VALUE!")</f>
        <v>#VALUE!</v>
      </c>
      <c r="L377" s="18" t="str">
        <f aca="false">IFERROR(__xludf.dummyfunction("REGEXEXTRACT(ADDRESS(ROW(), 42+$H377), ""[A-Z]+"")"),"#VALUE!")</f>
        <v>#VALUE!</v>
      </c>
      <c r="M377" s="18" t="str">
        <f aca="false">IFERROR(__xludf.dummyfunction("REGEXEXTRACT(ADDRESS(ROW(), 48+$H377), ""[A-Z]+"")"),"#VALUE!")</f>
        <v>#VALUE!</v>
      </c>
      <c r="N377" s="18" t="str">
        <f aca="false">IFERROR(__xludf.dummyfunction("REGEXEXTRACT(ADDRESS(ROW(), 50+$H377), ""[A-Z]+"")"),"#VALUE!")</f>
        <v>#VALUE!</v>
      </c>
      <c r="O377" s="18" t="str">
        <f aca="false">IFERROR(__xludf.dummyfunction("REGEXEXTRACT(ADDRESS(ROW(), 51+$H377), ""[A-Z]+"")"),"#VALUE!")</f>
        <v>#VALUE!</v>
      </c>
      <c r="P377" s="18" t="str">
        <f aca="false">IFERROR(__xludf.dummyfunction("REGEXEXTRACT(ADDRESS(ROW(), 54+$H377), ""[A-Z]+"")"),"#VALUE!")</f>
        <v>#VALUE!</v>
      </c>
      <c r="Q377" s="18" t="str">
        <f aca="false">IFERROR(__xludf.dummyfunction("REGEXEXTRACT(ADDRESS(ROW(), 59+$H377), ""[A-Z]+"")"),"#VALUE!")</f>
        <v>#VALUE!</v>
      </c>
      <c r="R377" s="18" t="str">
        <f aca="false">IFERROR(__xludf.dummyfunction("REGEXEXTRACT(ADDRESS(ROW(), 60+$H377), ""[A-Z]+"")"),"#VALUE!")</f>
        <v>#VALUE!</v>
      </c>
      <c r="S377" s="18" t="str">
        <f aca="false">IFERROR(__xludf.dummyfunction("REGEXEXTRACT(ADDRESS(ROW(), 62+$H377), ""[A-Z]+"")"),"#VALUE!")</f>
        <v>#VALUE!</v>
      </c>
      <c r="T377" s="18" t="str">
        <f aca="false">IFERROR(__xludf.dummyfunction("REGEXEXTRACT(ADDRESS(ROW(), 63+$H377), ""[A-Z]+"")"),"#VALUE!")</f>
        <v>#VALUE!</v>
      </c>
      <c r="U377" s="19" t="str">
        <f aca="false">IFERROR(__xludf.dummyfunction("IFERROR(QUERY(INDIRECT(""'""&amp;F377&amp;""'!C3:""&amp;T377&amp;""""), ""SELECT ""&amp;I377&amp;"", ""&amp;J377&amp;"", ""&amp;K377&amp;"", ""&amp;L377&amp;"", ""&amp;M377&amp;"", ""&amp;N377&amp;"", ""&amp;O377&amp;"", ""&amp;P377&amp;"", ""&amp;Q377&amp;"", ""&amp;R377&amp;"", ""&amp;S377&amp;"" WHERE '""&amp;B377&amp;""' = D"", 0), """")"),"")</f>
        <v/>
      </c>
      <c r="V377" s="22"/>
      <c r="W377" s="22"/>
      <c r="X377" s="22"/>
      <c r="Y377" s="22"/>
      <c r="Z377" s="22"/>
      <c r="AA377" s="22"/>
      <c r="AB377" s="22"/>
      <c r="AC377" s="22"/>
      <c r="AD377" s="23"/>
      <c r="AE377" s="24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</row>
    <row r="378" customFormat="false" ht="18.65" hidden="false" customHeight="false" outlineLevel="0" collapsed="false">
      <c r="A378" s="13"/>
      <c r="B378" s="26"/>
      <c r="C378" s="15"/>
      <c r="D378" s="16"/>
      <c r="E378" s="16"/>
      <c r="F378" s="16" t="str">
        <f aca="false">REPLACE(E378, 1, 3, "")</f>
        <v/>
      </c>
      <c r="G378" s="17" t="str">
        <f aca="true">IFERROR(VLOOKUP(B378,INDIRECT("'"&amp;F378&amp;"'!D3:D"),1,FALSE()), "Not found")</f>
        <v>Not found</v>
      </c>
      <c r="H378" s="25" t="e">
        <f aca="true">INDIRECT("'"&amp;F378&amp;"'!D1")</f>
        <v>#REF!</v>
      </c>
      <c r="I378" s="18" t="str">
        <f aca="false">IFERROR(__xludf.dummyfunction("REGEXEXTRACT(ADDRESS(ROW(), 24+$H378), ""[A-Z]+"")"),"#VALUE!")</f>
        <v>#VALUE!</v>
      </c>
      <c r="J378" s="18" t="str">
        <f aca="false">IFERROR(__xludf.dummyfunction("REGEXEXTRACT(ADDRESS(ROW(), 30+$H378), ""[A-Z]+"")"),"#VALUE!")</f>
        <v>#VALUE!</v>
      </c>
      <c r="K378" s="18" t="str">
        <f aca="false">IFERROR(__xludf.dummyfunction("REGEXEXTRACT(ADDRESS(ROW(), 36+$H378), ""[A-Z]+"")"),"#VALUE!")</f>
        <v>#VALUE!</v>
      </c>
      <c r="L378" s="18" t="str">
        <f aca="false">IFERROR(__xludf.dummyfunction("REGEXEXTRACT(ADDRESS(ROW(), 42+$H378), ""[A-Z]+"")"),"#VALUE!")</f>
        <v>#VALUE!</v>
      </c>
      <c r="M378" s="18" t="str">
        <f aca="false">IFERROR(__xludf.dummyfunction("REGEXEXTRACT(ADDRESS(ROW(), 48+$H378), ""[A-Z]+"")"),"#VALUE!")</f>
        <v>#VALUE!</v>
      </c>
      <c r="N378" s="18" t="str">
        <f aca="false">IFERROR(__xludf.dummyfunction("REGEXEXTRACT(ADDRESS(ROW(), 50+$H378), ""[A-Z]+"")"),"#VALUE!")</f>
        <v>#VALUE!</v>
      </c>
      <c r="O378" s="18" t="str">
        <f aca="false">IFERROR(__xludf.dummyfunction("REGEXEXTRACT(ADDRESS(ROW(), 51+$H378), ""[A-Z]+"")"),"#VALUE!")</f>
        <v>#VALUE!</v>
      </c>
      <c r="P378" s="18" t="str">
        <f aca="false">IFERROR(__xludf.dummyfunction("REGEXEXTRACT(ADDRESS(ROW(), 54+$H378), ""[A-Z]+"")"),"#VALUE!")</f>
        <v>#VALUE!</v>
      </c>
      <c r="Q378" s="18" t="str">
        <f aca="false">IFERROR(__xludf.dummyfunction("REGEXEXTRACT(ADDRESS(ROW(), 59+$H378), ""[A-Z]+"")"),"#VALUE!")</f>
        <v>#VALUE!</v>
      </c>
      <c r="R378" s="18" t="str">
        <f aca="false">IFERROR(__xludf.dummyfunction("REGEXEXTRACT(ADDRESS(ROW(), 60+$H378), ""[A-Z]+"")"),"#VALUE!")</f>
        <v>#VALUE!</v>
      </c>
      <c r="S378" s="18" t="str">
        <f aca="false">IFERROR(__xludf.dummyfunction("REGEXEXTRACT(ADDRESS(ROW(), 62+$H378), ""[A-Z]+"")"),"#VALUE!")</f>
        <v>#VALUE!</v>
      </c>
      <c r="T378" s="18" t="str">
        <f aca="false">IFERROR(__xludf.dummyfunction("REGEXEXTRACT(ADDRESS(ROW(), 63+$H378), ""[A-Z]+"")"),"#VALUE!")</f>
        <v>#VALUE!</v>
      </c>
      <c r="U378" s="19" t="str">
        <f aca="false">IFERROR(__xludf.dummyfunction("IFERROR(QUERY(INDIRECT(""'""&amp;F378&amp;""'!C3:""&amp;T378&amp;""""), ""SELECT ""&amp;I378&amp;"", ""&amp;J378&amp;"", ""&amp;K378&amp;"", ""&amp;L378&amp;"", ""&amp;M378&amp;"", ""&amp;N378&amp;"", ""&amp;O378&amp;"", ""&amp;P378&amp;"", ""&amp;Q378&amp;"", ""&amp;R378&amp;"", ""&amp;S378&amp;"" WHERE '""&amp;B378&amp;""' = D"", 0), """")"),"")</f>
        <v/>
      </c>
      <c r="V378" s="22"/>
      <c r="W378" s="22"/>
      <c r="X378" s="22"/>
      <c r="Y378" s="22"/>
      <c r="Z378" s="22"/>
      <c r="AA378" s="22"/>
      <c r="AB378" s="22"/>
      <c r="AC378" s="22"/>
      <c r="AD378" s="23"/>
      <c r="AE378" s="24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</row>
    <row r="379" customFormat="false" ht="18.65" hidden="false" customHeight="false" outlineLevel="0" collapsed="false">
      <c r="A379" s="13"/>
      <c r="B379" s="26"/>
      <c r="C379" s="15"/>
      <c r="D379" s="16"/>
      <c r="E379" s="16"/>
      <c r="F379" s="16" t="str">
        <f aca="false">REPLACE(E379, 1, 3, "")</f>
        <v/>
      </c>
      <c r="G379" s="17" t="str">
        <f aca="true">IFERROR(VLOOKUP(B379,INDIRECT("'"&amp;F379&amp;"'!D3:D"),1,FALSE()), "Not found")</f>
        <v>Not found</v>
      </c>
      <c r="H379" s="25" t="e">
        <f aca="true">INDIRECT("'"&amp;F379&amp;"'!D1")</f>
        <v>#REF!</v>
      </c>
      <c r="I379" s="18" t="str">
        <f aca="false">IFERROR(__xludf.dummyfunction("REGEXEXTRACT(ADDRESS(ROW(), 24+$H379), ""[A-Z]+"")"),"#VALUE!")</f>
        <v>#VALUE!</v>
      </c>
      <c r="J379" s="18" t="str">
        <f aca="false">IFERROR(__xludf.dummyfunction("REGEXEXTRACT(ADDRESS(ROW(), 30+$H379), ""[A-Z]+"")"),"#VALUE!")</f>
        <v>#VALUE!</v>
      </c>
      <c r="K379" s="18" t="str">
        <f aca="false">IFERROR(__xludf.dummyfunction("REGEXEXTRACT(ADDRESS(ROW(), 36+$H379), ""[A-Z]+"")"),"#VALUE!")</f>
        <v>#VALUE!</v>
      </c>
      <c r="L379" s="18" t="str">
        <f aca="false">IFERROR(__xludf.dummyfunction("REGEXEXTRACT(ADDRESS(ROW(), 42+$H379), ""[A-Z]+"")"),"#VALUE!")</f>
        <v>#VALUE!</v>
      </c>
      <c r="M379" s="18" t="str">
        <f aca="false">IFERROR(__xludf.dummyfunction("REGEXEXTRACT(ADDRESS(ROW(), 48+$H379), ""[A-Z]+"")"),"#VALUE!")</f>
        <v>#VALUE!</v>
      </c>
      <c r="N379" s="18" t="str">
        <f aca="false">IFERROR(__xludf.dummyfunction("REGEXEXTRACT(ADDRESS(ROW(), 50+$H379), ""[A-Z]+"")"),"#VALUE!")</f>
        <v>#VALUE!</v>
      </c>
      <c r="O379" s="18" t="str">
        <f aca="false">IFERROR(__xludf.dummyfunction("REGEXEXTRACT(ADDRESS(ROW(), 51+$H379), ""[A-Z]+"")"),"#VALUE!")</f>
        <v>#VALUE!</v>
      </c>
      <c r="P379" s="18" t="str">
        <f aca="false">IFERROR(__xludf.dummyfunction("REGEXEXTRACT(ADDRESS(ROW(), 54+$H379), ""[A-Z]+"")"),"#VALUE!")</f>
        <v>#VALUE!</v>
      </c>
      <c r="Q379" s="18" t="str">
        <f aca="false">IFERROR(__xludf.dummyfunction("REGEXEXTRACT(ADDRESS(ROW(), 59+$H379), ""[A-Z]+"")"),"#VALUE!")</f>
        <v>#VALUE!</v>
      </c>
      <c r="R379" s="18" t="str">
        <f aca="false">IFERROR(__xludf.dummyfunction("REGEXEXTRACT(ADDRESS(ROW(), 60+$H379), ""[A-Z]+"")"),"#VALUE!")</f>
        <v>#VALUE!</v>
      </c>
      <c r="S379" s="18" t="str">
        <f aca="false">IFERROR(__xludf.dummyfunction("REGEXEXTRACT(ADDRESS(ROW(), 62+$H379), ""[A-Z]+"")"),"#VALUE!")</f>
        <v>#VALUE!</v>
      </c>
      <c r="T379" s="18" t="str">
        <f aca="false">IFERROR(__xludf.dummyfunction("REGEXEXTRACT(ADDRESS(ROW(), 63+$H379), ""[A-Z]+"")"),"#VALUE!")</f>
        <v>#VALUE!</v>
      </c>
      <c r="U379" s="19" t="str">
        <f aca="false">IFERROR(__xludf.dummyfunction("IFERROR(QUERY(INDIRECT(""'""&amp;F379&amp;""'!C3:""&amp;T379&amp;""""), ""SELECT ""&amp;I379&amp;"", ""&amp;J379&amp;"", ""&amp;K379&amp;"", ""&amp;L379&amp;"", ""&amp;M379&amp;"", ""&amp;N379&amp;"", ""&amp;O379&amp;"", ""&amp;P379&amp;"", ""&amp;Q379&amp;"", ""&amp;R379&amp;"", ""&amp;S379&amp;"" WHERE '""&amp;B379&amp;""' = D"", 0), """")"),"")</f>
        <v/>
      </c>
      <c r="V379" s="22"/>
      <c r="W379" s="22"/>
      <c r="X379" s="22"/>
      <c r="Y379" s="22"/>
      <c r="Z379" s="22"/>
      <c r="AA379" s="22"/>
      <c r="AB379" s="22"/>
      <c r="AC379" s="22"/>
      <c r="AD379" s="23"/>
      <c r="AE379" s="24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</row>
    <row r="380" customFormat="false" ht="18.65" hidden="false" customHeight="false" outlineLevel="0" collapsed="false">
      <c r="A380" s="13"/>
      <c r="B380" s="26"/>
      <c r="C380" s="15"/>
      <c r="D380" s="16"/>
      <c r="E380" s="16"/>
      <c r="F380" s="16" t="str">
        <f aca="false">REPLACE(E380, 1, 3, "")</f>
        <v/>
      </c>
      <c r="G380" s="17" t="str">
        <f aca="true">IFERROR(VLOOKUP(B380,INDIRECT("'"&amp;F380&amp;"'!D3:D"),1,FALSE()), "Not found")</f>
        <v>Not found</v>
      </c>
      <c r="H380" s="25" t="e">
        <f aca="true">INDIRECT("'"&amp;F380&amp;"'!D1")</f>
        <v>#REF!</v>
      </c>
      <c r="I380" s="18" t="str">
        <f aca="false">IFERROR(__xludf.dummyfunction("REGEXEXTRACT(ADDRESS(ROW(), 24+$H380), ""[A-Z]+"")"),"#VALUE!")</f>
        <v>#VALUE!</v>
      </c>
      <c r="J380" s="18" t="str">
        <f aca="false">IFERROR(__xludf.dummyfunction("REGEXEXTRACT(ADDRESS(ROW(), 30+$H380), ""[A-Z]+"")"),"#VALUE!")</f>
        <v>#VALUE!</v>
      </c>
      <c r="K380" s="18" t="str">
        <f aca="false">IFERROR(__xludf.dummyfunction("REGEXEXTRACT(ADDRESS(ROW(), 36+$H380), ""[A-Z]+"")"),"#VALUE!")</f>
        <v>#VALUE!</v>
      </c>
      <c r="L380" s="18" t="str">
        <f aca="false">IFERROR(__xludf.dummyfunction("REGEXEXTRACT(ADDRESS(ROW(), 42+$H380), ""[A-Z]+"")"),"#VALUE!")</f>
        <v>#VALUE!</v>
      </c>
      <c r="M380" s="18" t="str">
        <f aca="false">IFERROR(__xludf.dummyfunction("REGEXEXTRACT(ADDRESS(ROW(), 48+$H380), ""[A-Z]+"")"),"#VALUE!")</f>
        <v>#VALUE!</v>
      </c>
      <c r="N380" s="18" t="str">
        <f aca="false">IFERROR(__xludf.dummyfunction("REGEXEXTRACT(ADDRESS(ROW(), 50+$H380), ""[A-Z]+"")"),"#VALUE!")</f>
        <v>#VALUE!</v>
      </c>
      <c r="O380" s="18" t="str">
        <f aca="false">IFERROR(__xludf.dummyfunction("REGEXEXTRACT(ADDRESS(ROW(), 51+$H380), ""[A-Z]+"")"),"#VALUE!")</f>
        <v>#VALUE!</v>
      </c>
      <c r="P380" s="18" t="str">
        <f aca="false">IFERROR(__xludf.dummyfunction("REGEXEXTRACT(ADDRESS(ROW(), 54+$H380), ""[A-Z]+"")"),"#VALUE!")</f>
        <v>#VALUE!</v>
      </c>
      <c r="Q380" s="18" t="str">
        <f aca="false">IFERROR(__xludf.dummyfunction("REGEXEXTRACT(ADDRESS(ROW(), 59+$H380), ""[A-Z]+"")"),"#VALUE!")</f>
        <v>#VALUE!</v>
      </c>
      <c r="R380" s="18" t="str">
        <f aca="false">IFERROR(__xludf.dummyfunction("REGEXEXTRACT(ADDRESS(ROW(), 60+$H380), ""[A-Z]+"")"),"#VALUE!")</f>
        <v>#VALUE!</v>
      </c>
      <c r="S380" s="18" t="str">
        <f aca="false">IFERROR(__xludf.dummyfunction("REGEXEXTRACT(ADDRESS(ROW(), 62+$H380), ""[A-Z]+"")"),"#VALUE!")</f>
        <v>#VALUE!</v>
      </c>
      <c r="T380" s="18" t="str">
        <f aca="false">IFERROR(__xludf.dummyfunction("REGEXEXTRACT(ADDRESS(ROW(), 63+$H380), ""[A-Z]+"")"),"#VALUE!")</f>
        <v>#VALUE!</v>
      </c>
      <c r="U380" s="19" t="str">
        <f aca="false">IFERROR(__xludf.dummyfunction("IFERROR(QUERY(INDIRECT(""'""&amp;F380&amp;""'!C3:""&amp;T380&amp;""""), ""SELECT ""&amp;I380&amp;"", ""&amp;J380&amp;"", ""&amp;K380&amp;"", ""&amp;L380&amp;"", ""&amp;M380&amp;"", ""&amp;N380&amp;"", ""&amp;O380&amp;"", ""&amp;P380&amp;"", ""&amp;Q380&amp;"", ""&amp;R380&amp;"", ""&amp;S380&amp;"" WHERE '""&amp;B380&amp;""' = D"", 0), """")"),"")</f>
        <v/>
      </c>
      <c r="V380" s="22"/>
      <c r="W380" s="22"/>
      <c r="X380" s="22"/>
      <c r="Y380" s="22"/>
      <c r="Z380" s="22"/>
      <c r="AA380" s="22"/>
      <c r="AB380" s="22"/>
      <c r="AC380" s="22"/>
      <c r="AD380" s="23"/>
      <c r="AE380" s="24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</row>
    <row r="381" customFormat="false" ht="18.65" hidden="false" customHeight="false" outlineLevel="0" collapsed="false">
      <c r="A381" s="13"/>
      <c r="B381" s="26"/>
      <c r="C381" s="15"/>
      <c r="D381" s="16"/>
      <c r="E381" s="16"/>
      <c r="F381" s="16" t="str">
        <f aca="false">REPLACE(E381, 1, 3, "")</f>
        <v/>
      </c>
      <c r="G381" s="17" t="str">
        <f aca="true">IFERROR(VLOOKUP(B381,INDIRECT("'"&amp;F381&amp;"'!D3:D"),1,FALSE()), "Not found")</f>
        <v>Not found</v>
      </c>
      <c r="H381" s="25" t="e">
        <f aca="true">INDIRECT("'"&amp;F381&amp;"'!D1")</f>
        <v>#REF!</v>
      </c>
      <c r="I381" s="18" t="str">
        <f aca="false">IFERROR(__xludf.dummyfunction("REGEXEXTRACT(ADDRESS(ROW(), 24+$H381), ""[A-Z]+"")"),"#VALUE!")</f>
        <v>#VALUE!</v>
      </c>
      <c r="J381" s="18" t="str">
        <f aca="false">IFERROR(__xludf.dummyfunction("REGEXEXTRACT(ADDRESS(ROW(), 30+$H381), ""[A-Z]+"")"),"#VALUE!")</f>
        <v>#VALUE!</v>
      </c>
      <c r="K381" s="18" t="str">
        <f aca="false">IFERROR(__xludf.dummyfunction("REGEXEXTRACT(ADDRESS(ROW(), 36+$H381), ""[A-Z]+"")"),"#VALUE!")</f>
        <v>#VALUE!</v>
      </c>
      <c r="L381" s="18" t="str">
        <f aca="false">IFERROR(__xludf.dummyfunction("REGEXEXTRACT(ADDRESS(ROW(), 42+$H381), ""[A-Z]+"")"),"#VALUE!")</f>
        <v>#VALUE!</v>
      </c>
      <c r="M381" s="18" t="str">
        <f aca="false">IFERROR(__xludf.dummyfunction("REGEXEXTRACT(ADDRESS(ROW(), 48+$H381), ""[A-Z]+"")"),"#VALUE!")</f>
        <v>#VALUE!</v>
      </c>
      <c r="N381" s="18" t="str">
        <f aca="false">IFERROR(__xludf.dummyfunction("REGEXEXTRACT(ADDRESS(ROW(), 50+$H381), ""[A-Z]+"")"),"#VALUE!")</f>
        <v>#VALUE!</v>
      </c>
      <c r="O381" s="18" t="str">
        <f aca="false">IFERROR(__xludf.dummyfunction("REGEXEXTRACT(ADDRESS(ROW(), 51+$H381), ""[A-Z]+"")"),"#VALUE!")</f>
        <v>#VALUE!</v>
      </c>
      <c r="P381" s="18" t="str">
        <f aca="false">IFERROR(__xludf.dummyfunction("REGEXEXTRACT(ADDRESS(ROW(), 54+$H381), ""[A-Z]+"")"),"#VALUE!")</f>
        <v>#VALUE!</v>
      </c>
      <c r="Q381" s="18" t="str">
        <f aca="false">IFERROR(__xludf.dummyfunction("REGEXEXTRACT(ADDRESS(ROW(), 59+$H381), ""[A-Z]+"")"),"#VALUE!")</f>
        <v>#VALUE!</v>
      </c>
      <c r="R381" s="18" t="str">
        <f aca="false">IFERROR(__xludf.dummyfunction("REGEXEXTRACT(ADDRESS(ROW(), 60+$H381), ""[A-Z]+"")"),"#VALUE!")</f>
        <v>#VALUE!</v>
      </c>
      <c r="S381" s="18" t="str">
        <f aca="false">IFERROR(__xludf.dummyfunction("REGEXEXTRACT(ADDRESS(ROW(), 62+$H381), ""[A-Z]+"")"),"#VALUE!")</f>
        <v>#VALUE!</v>
      </c>
      <c r="T381" s="18" t="str">
        <f aca="false">IFERROR(__xludf.dummyfunction("REGEXEXTRACT(ADDRESS(ROW(), 63+$H381), ""[A-Z]+"")"),"#VALUE!")</f>
        <v>#VALUE!</v>
      </c>
      <c r="U381" s="19" t="str">
        <f aca="false">IFERROR(__xludf.dummyfunction("IFERROR(QUERY(INDIRECT(""'""&amp;F381&amp;""'!C3:""&amp;T381&amp;""""), ""SELECT ""&amp;I381&amp;"", ""&amp;J381&amp;"", ""&amp;K381&amp;"", ""&amp;L381&amp;"", ""&amp;M381&amp;"", ""&amp;N381&amp;"", ""&amp;O381&amp;"", ""&amp;P381&amp;"", ""&amp;Q381&amp;"", ""&amp;R381&amp;"", ""&amp;S381&amp;"" WHERE '""&amp;B381&amp;""' = D"", 0), """")"),"")</f>
        <v/>
      </c>
      <c r="V381" s="22"/>
      <c r="W381" s="22"/>
      <c r="X381" s="22"/>
      <c r="Y381" s="22"/>
      <c r="Z381" s="22"/>
      <c r="AA381" s="22"/>
      <c r="AB381" s="22"/>
      <c r="AC381" s="22"/>
      <c r="AD381" s="23"/>
      <c r="AE381" s="24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</row>
    <row r="382" customFormat="false" ht="18.65" hidden="false" customHeight="false" outlineLevel="0" collapsed="false">
      <c r="A382" s="13"/>
      <c r="B382" s="26"/>
      <c r="C382" s="15"/>
      <c r="D382" s="16"/>
      <c r="E382" s="16"/>
      <c r="F382" s="16" t="str">
        <f aca="false">REPLACE(E382, 1, 3, "")</f>
        <v/>
      </c>
      <c r="G382" s="17" t="str">
        <f aca="true">IFERROR(VLOOKUP(B382,INDIRECT("'"&amp;F382&amp;"'!D3:D"),1,FALSE()), "Not found")</f>
        <v>Not found</v>
      </c>
      <c r="H382" s="25" t="e">
        <f aca="true">INDIRECT("'"&amp;F382&amp;"'!D1")</f>
        <v>#REF!</v>
      </c>
      <c r="I382" s="18" t="str">
        <f aca="false">IFERROR(__xludf.dummyfunction("REGEXEXTRACT(ADDRESS(ROW(), 24+$H382), ""[A-Z]+"")"),"#VALUE!")</f>
        <v>#VALUE!</v>
      </c>
      <c r="J382" s="18" t="str">
        <f aca="false">IFERROR(__xludf.dummyfunction("REGEXEXTRACT(ADDRESS(ROW(), 30+$H382), ""[A-Z]+"")"),"#VALUE!")</f>
        <v>#VALUE!</v>
      </c>
      <c r="K382" s="18" t="str">
        <f aca="false">IFERROR(__xludf.dummyfunction("REGEXEXTRACT(ADDRESS(ROW(), 36+$H382), ""[A-Z]+"")"),"#VALUE!")</f>
        <v>#VALUE!</v>
      </c>
      <c r="L382" s="18" t="str">
        <f aca="false">IFERROR(__xludf.dummyfunction("REGEXEXTRACT(ADDRESS(ROW(), 42+$H382), ""[A-Z]+"")"),"#VALUE!")</f>
        <v>#VALUE!</v>
      </c>
      <c r="M382" s="18" t="str">
        <f aca="false">IFERROR(__xludf.dummyfunction("REGEXEXTRACT(ADDRESS(ROW(), 48+$H382), ""[A-Z]+"")"),"#VALUE!")</f>
        <v>#VALUE!</v>
      </c>
      <c r="N382" s="18" t="str">
        <f aca="false">IFERROR(__xludf.dummyfunction("REGEXEXTRACT(ADDRESS(ROW(), 50+$H382), ""[A-Z]+"")"),"#VALUE!")</f>
        <v>#VALUE!</v>
      </c>
      <c r="O382" s="18" t="str">
        <f aca="false">IFERROR(__xludf.dummyfunction("REGEXEXTRACT(ADDRESS(ROW(), 51+$H382), ""[A-Z]+"")"),"#VALUE!")</f>
        <v>#VALUE!</v>
      </c>
      <c r="P382" s="18" t="str">
        <f aca="false">IFERROR(__xludf.dummyfunction("REGEXEXTRACT(ADDRESS(ROW(), 54+$H382), ""[A-Z]+"")"),"#VALUE!")</f>
        <v>#VALUE!</v>
      </c>
      <c r="Q382" s="18" t="str">
        <f aca="false">IFERROR(__xludf.dummyfunction("REGEXEXTRACT(ADDRESS(ROW(), 59+$H382), ""[A-Z]+"")"),"#VALUE!")</f>
        <v>#VALUE!</v>
      </c>
      <c r="R382" s="18" t="str">
        <f aca="false">IFERROR(__xludf.dummyfunction("REGEXEXTRACT(ADDRESS(ROW(), 60+$H382), ""[A-Z]+"")"),"#VALUE!")</f>
        <v>#VALUE!</v>
      </c>
      <c r="S382" s="18" t="str">
        <f aca="false">IFERROR(__xludf.dummyfunction("REGEXEXTRACT(ADDRESS(ROW(), 62+$H382), ""[A-Z]+"")"),"#VALUE!")</f>
        <v>#VALUE!</v>
      </c>
      <c r="T382" s="18" t="str">
        <f aca="false">IFERROR(__xludf.dummyfunction("REGEXEXTRACT(ADDRESS(ROW(), 63+$H382), ""[A-Z]+"")"),"#VALUE!")</f>
        <v>#VALUE!</v>
      </c>
      <c r="U382" s="19" t="str">
        <f aca="false">IFERROR(__xludf.dummyfunction("IFERROR(QUERY(INDIRECT(""'""&amp;F382&amp;""'!C3:""&amp;T382&amp;""""), ""SELECT ""&amp;I382&amp;"", ""&amp;J382&amp;"", ""&amp;K382&amp;"", ""&amp;L382&amp;"", ""&amp;M382&amp;"", ""&amp;N382&amp;"", ""&amp;O382&amp;"", ""&amp;P382&amp;"", ""&amp;Q382&amp;"", ""&amp;R382&amp;"", ""&amp;S382&amp;"" WHERE '""&amp;B382&amp;""' = D"", 0), """")"),"")</f>
        <v/>
      </c>
      <c r="V382" s="22"/>
      <c r="W382" s="22"/>
      <c r="X382" s="22"/>
      <c r="Y382" s="22"/>
      <c r="Z382" s="22"/>
      <c r="AA382" s="22"/>
      <c r="AB382" s="22"/>
      <c r="AC382" s="22"/>
      <c r="AD382" s="23"/>
      <c r="AE382" s="24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</row>
    <row r="383" customFormat="false" ht="18.65" hidden="false" customHeight="false" outlineLevel="0" collapsed="false">
      <c r="A383" s="13"/>
      <c r="B383" s="26"/>
      <c r="C383" s="15"/>
      <c r="D383" s="16"/>
      <c r="E383" s="16"/>
      <c r="F383" s="16" t="str">
        <f aca="false">REPLACE(E383, 1, 3, "")</f>
        <v/>
      </c>
      <c r="G383" s="17" t="str">
        <f aca="true">IFERROR(VLOOKUP(B383,INDIRECT("'"&amp;F383&amp;"'!D3:D"),1,FALSE()), "Not found")</f>
        <v>Not found</v>
      </c>
      <c r="H383" s="25" t="e">
        <f aca="true">INDIRECT("'"&amp;F383&amp;"'!D1")</f>
        <v>#REF!</v>
      </c>
      <c r="I383" s="18" t="str">
        <f aca="false">IFERROR(__xludf.dummyfunction("REGEXEXTRACT(ADDRESS(ROW(), 24+$H383), ""[A-Z]+"")"),"#VALUE!")</f>
        <v>#VALUE!</v>
      </c>
      <c r="J383" s="18" t="str">
        <f aca="false">IFERROR(__xludf.dummyfunction("REGEXEXTRACT(ADDRESS(ROW(), 30+$H383), ""[A-Z]+"")"),"#VALUE!")</f>
        <v>#VALUE!</v>
      </c>
      <c r="K383" s="18" t="str">
        <f aca="false">IFERROR(__xludf.dummyfunction("REGEXEXTRACT(ADDRESS(ROW(), 36+$H383), ""[A-Z]+"")"),"#VALUE!")</f>
        <v>#VALUE!</v>
      </c>
      <c r="L383" s="18" t="str">
        <f aca="false">IFERROR(__xludf.dummyfunction("REGEXEXTRACT(ADDRESS(ROW(), 42+$H383), ""[A-Z]+"")"),"#VALUE!")</f>
        <v>#VALUE!</v>
      </c>
      <c r="M383" s="18" t="str">
        <f aca="false">IFERROR(__xludf.dummyfunction("REGEXEXTRACT(ADDRESS(ROW(), 48+$H383), ""[A-Z]+"")"),"#VALUE!")</f>
        <v>#VALUE!</v>
      </c>
      <c r="N383" s="18" t="str">
        <f aca="false">IFERROR(__xludf.dummyfunction("REGEXEXTRACT(ADDRESS(ROW(), 50+$H383), ""[A-Z]+"")"),"#VALUE!")</f>
        <v>#VALUE!</v>
      </c>
      <c r="O383" s="18" t="str">
        <f aca="false">IFERROR(__xludf.dummyfunction("REGEXEXTRACT(ADDRESS(ROW(), 51+$H383), ""[A-Z]+"")"),"#VALUE!")</f>
        <v>#VALUE!</v>
      </c>
      <c r="P383" s="18" t="str">
        <f aca="false">IFERROR(__xludf.dummyfunction("REGEXEXTRACT(ADDRESS(ROW(), 54+$H383), ""[A-Z]+"")"),"#VALUE!")</f>
        <v>#VALUE!</v>
      </c>
      <c r="Q383" s="18" t="str">
        <f aca="false">IFERROR(__xludf.dummyfunction("REGEXEXTRACT(ADDRESS(ROW(), 59+$H383), ""[A-Z]+"")"),"#VALUE!")</f>
        <v>#VALUE!</v>
      </c>
      <c r="R383" s="18" t="str">
        <f aca="false">IFERROR(__xludf.dummyfunction("REGEXEXTRACT(ADDRESS(ROW(), 60+$H383), ""[A-Z]+"")"),"#VALUE!")</f>
        <v>#VALUE!</v>
      </c>
      <c r="S383" s="18" t="str">
        <f aca="false">IFERROR(__xludf.dummyfunction("REGEXEXTRACT(ADDRESS(ROW(), 62+$H383), ""[A-Z]+"")"),"#VALUE!")</f>
        <v>#VALUE!</v>
      </c>
      <c r="T383" s="18" t="str">
        <f aca="false">IFERROR(__xludf.dummyfunction("REGEXEXTRACT(ADDRESS(ROW(), 63+$H383), ""[A-Z]+"")"),"#VALUE!")</f>
        <v>#VALUE!</v>
      </c>
      <c r="U383" s="19" t="str">
        <f aca="false">IFERROR(__xludf.dummyfunction("IFERROR(QUERY(INDIRECT(""'""&amp;F383&amp;""'!C3:""&amp;T383&amp;""""), ""SELECT ""&amp;I383&amp;"", ""&amp;J383&amp;"", ""&amp;K383&amp;"", ""&amp;L383&amp;"", ""&amp;M383&amp;"", ""&amp;N383&amp;"", ""&amp;O383&amp;"", ""&amp;P383&amp;"", ""&amp;Q383&amp;"", ""&amp;R383&amp;"", ""&amp;S383&amp;"" WHERE '""&amp;B383&amp;""' = D"", 0), """")"),"")</f>
        <v/>
      </c>
      <c r="V383" s="22"/>
      <c r="W383" s="22"/>
      <c r="X383" s="22"/>
      <c r="Y383" s="22"/>
      <c r="Z383" s="22"/>
      <c r="AA383" s="22"/>
      <c r="AB383" s="22"/>
      <c r="AC383" s="22"/>
      <c r="AD383" s="23"/>
      <c r="AE383" s="24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</row>
    <row r="384" customFormat="false" ht="18.65" hidden="false" customHeight="false" outlineLevel="0" collapsed="false">
      <c r="A384" s="13"/>
      <c r="B384" s="26"/>
      <c r="C384" s="15"/>
      <c r="D384" s="16"/>
      <c r="E384" s="16"/>
      <c r="F384" s="16" t="str">
        <f aca="false">REPLACE(E384, 1, 3, "")</f>
        <v/>
      </c>
      <c r="G384" s="17" t="str">
        <f aca="true">IFERROR(VLOOKUP(B384,INDIRECT("'"&amp;F384&amp;"'!D3:D"),1,FALSE()), "Not found")</f>
        <v>Not found</v>
      </c>
      <c r="H384" s="25" t="e">
        <f aca="true">INDIRECT("'"&amp;F384&amp;"'!D1")</f>
        <v>#REF!</v>
      </c>
      <c r="I384" s="18" t="str">
        <f aca="false">IFERROR(__xludf.dummyfunction("REGEXEXTRACT(ADDRESS(ROW(), 24+$H384), ""[A-Z]+"")"),"#VALUE!")</f>
        <v>#VALUE!</v>
      </c>
      <c r="J384" s="18" t="str">
        <f aca="false">IFERROR(__xludf.dummyfunction("REGEXEXTRACT(ADDRESS(ROW(), 30+$H384), ""[A-Z]+"")"),"#VALUE!")</f>
        <v>#VALUE!</v>
      </c>
      <c r="K384" s="18" t="str">
        <f aca="false">IFERROR(__xludf.dummyfunction("REGEXEXTRACT(ADDRESS(ROW(), 36+$H384), ""[A-Z]+"")"),"#VALUE!")</f>
        <v>#VALUE!</v>
      </c>
      <c r="L384" s="18" t="str">
        <f aca="false">IFERROR(__xludf.dummyfunction("REGEXEXTRACT(ADDRESS(ROW(), 42+$H384), ""[A-Z]+"")"),"#VALUE!")</f>
        <v>#VALUE!</v>
      </c>
      <c r="M384" s="18" t="str">
        <f aca="false">IFERROR(__xludf.dummyfunction("REGEXEXTRACT(ADDRESS(ROW(), 48+$H384), ""[A-Z]+"")"),"#VALUE!")</f>
        <v>#VALUE!</v>
      </c>
      <c r="N384" s="18" t="str">
        <f aca="false">IFERROR(__xludf.dummyfunction("REGEXEXTRACT(ADDRESS(ROW(), 50+$H384), ""[A-Z]+"")"),"#VALUE!")</f>
        <v>#VALUE!</v>
      </c>
      <c r="O384" s="18" t="str">
        <f aca="false">IFERROR(__xludf.dummyfunction("REGEXEXTRACT(ADDRESS(ROW(), 51+$H384), ""[A-Z]+"")"),"#VALUE!")</f>
        <v>#VALUE!</v>
      </c>
      <c r="P384" s="18" t="str">
        <f aca="false">IFERROR(__xludf.dummyfunction("REGEXEXTRACT(ADDRESS(ROW(), 54+$H384), ""[A-Z]+"")"),"#VALUE!")</f>
        <v>#VALUE!</v>
      </c>
      <c r="Q384" s="18" t="str">
        <f aca="false">IFERROR(__xludf.dummyfunction("REGEXEXTRACT(ADDRESS(ROW(), 59+$H384), ""[A-Z]+"")"),"#VALUE!")</f>
        <v>#VALUE!</v>
      </c>
      <c r="R384" s="18" t="str">
        <f aca="false">IFERROR(__xludf.dummyfunction("REGEXEXTRACT(ADDRESS(ROW(), 60+$H384), ""[A-Z]+"")"),"#VALUE!")</f>
        <v>#VALUE!</v>
      </c>
      <c r="S384" s="18" t="str">
        <f aca="false">IFERROR(__xludf.dummyfunction("REGEXEXTRACT(ADDRESS(ROW(), 62+$H384), ""[A-Z]+"")"),"#VALUE!")</f>
        <v>#VALUE!</v>
      </c>
      <c r="T384" s="18" t="str">
        <f aca="false">IFERROR(__xludf.dummyfunction("REGEXEXTRACT(ADDRESS(ROW(), 63+$H384), ""[A-Z]+"")"),"#VALUE!")</f>
        <v>#VALUE!</v>
      </c>
      <c r="U384" s="19" t="str">
        <f aca="false">IFERROR(__xludf.dummyfunction("IFERROR(QUERY(INDIRECT(""'""&amp;F384&amp;""'!C3:""&amp;T384&amp;""""), ""SELECT ""&amp;I384&amp;"", ""&amp;J384&amp;"", ""&amp;K384&amp;"", ""&amp;L384&amp;"", ""&amp;M384&amp;"", ""&amp;N384&amp;"", ""&amp;O384&amp;"", ""&amp;P384&amp;"", ""&amp;Q384&amp;"", ""&amp;R384&amp;"", ""&amp;S384&amp;"" WHERE '""&amp;B384&amp;""' = D"", 0), """")"),"")</f>
        <v/>
      </c>
      <c r="V384" s="22"/>
      <c r="W384" s="22"/>
      <c r="X384" s="22"/>
      <c r="Y384" s="22"/>
      <c r="Z384" s="22"/>
      <c r="AA384" s="22"/>
      <c r="AB384" s="22"/>
      <c r="AC384" s="22"/>
      <c r="AD384" s="23"/>
      <c r="AE384" s="24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</row>
    <row r="385" customFormat="false" ht="18.65" hidden="false" customHeight="false" outlineLevel="0" collapsed="false">
      <c r="A385" s="13"/>
      <c r="B385" s="26"/>
      <c r="C385" s="15"/>
      <c r="D385" s="16"/>
      <c r="E385" s="16"/>
      <c r="F385" s="16" t="str">
        <f aca="false">REPLACE(E385, 1, 3, "")</f>
        <v/>
      </c>
      <c r="G385" s="17" t="str">
        <f aca="true">IFERROR(VLOOKUP(B385,INDIRECT("'"&amp;F385&amp;"'!D3:D"),1,FALSE()), "Not found")</f>
        <v>Not found</v>
      </c>
      <c r="H385" s="25" t="e">
        <f aca="true">INDIRECT("'"&amp;F385&amp;"'!D1")</f>
        <v>#REF!</v>
      </c>
      <c r="I385" s="18" t="str">
        <f aca="false">IFERROR(__xludf.dummyfunction("REGEXEXTRACT(ADDRESS(ROW(), 24+$H385), ""[A-Z]+"")"),"#VALUE!")</f>
        <v>#VALUE!</v>
      </c>
      <c r="J385" s="18" t="str">
        <f aca="false">IFERROR(__xludf.dummyfunction("REGEXEXTRACT(ADDRESS(ROW(), 30+$H385), ""[A-Z]+"")"),"#VALUE!")</f>
        <v>#VALUE!</v>
      </c>
      <c r="K385" s="18" t="str">
        <f aca="false">IFERROR(__xludf.dummyfunction("REGEXEXTRACT(ADDRESS(ROW(), 36+$H385), ""[A-Z]+"")"),"#VALUE!")</f>
        <v>#VALUE!</v>
      </c>
      <c r="L385" s="18" t="str">
        <f aca="false">IFERROR(__xludf.dummyfunction("REGEXEXTRACT(ADDRESS(ROW(), 42+$H385), ""[A-Z]+"")"),"#VALUE!")</f>
        <v>#VALUE!</v>
      </c>
      <c r="M385" s="18" t="str">
        <f aca="false">IFERROR(__xludf.dummyfunction("REGEXEXTRACT(ADDRESS(ROW(), 48+$H385), ""[A-Z]+"")"),"#VALUE!")</f>
        <v>#VALUE!</v>
      </c>
      <c r="N385" s="18" t="str">
        <f aca="false">IFERROR(__xludf.dummyfunction("REGEXEXTRACT(ADDRESS(ROW(), 50+$H385), ""[A-Z]+"")"),"#VALUE!")</f>
        <v>#VALUE!</v>
      </c>
      <c r="O385" s="18" t="str">
        <f aca="false">IFERROR(__xludf.dummyfunction("REGEXEXTRACT(ADDRESS(ROW(), 51+$H385), ""[A-Z]+"")"),"#VALUE!")</f>
        <v>#VALUE!</v>
      </c>
      <c r="P385" s="18" t="str">
        <f aca="false">IFERROR(__xludf.dummyfunction("REGEXEXTRACT(ADDRESS(ROW(), 54+$H385), ""[A-Z]+"")"),"#VALUE!")</f>
        <v>#VALUE!</v>
      </c>
      <c r="Q385" s="18" t="str">
        <f aca="false">IFERROR(__xludf.dummyfunction("REGEXEXTRACT(ADDRESS(ROW(), 59+$H385), ""[A-Z]+"")"),"#VALUE!")</f>
        <v>#VALUE!</v>
      </c>
      <c r="R385" s="18" t="str">
        <f aca="false">IFERROR(__xludf.dummyfunction("REGEXEXTRACT(ADDRESS(ROW(), 60+$H385), ""[A-Z]+"")"),"#VALUE!")</f>
        <v>#VALUE!</v>
      </c>
      <c r="S385" s="18" t="str">
        <f aca="false">IFERROR(__xludf.dummyfunction("REGEXEXTRACT(ADDRESS(ROW(), 62+$H385), ""[A-Z]+"")"),"#VALUE!")</f>
        <v>#VALUE!</v>
      </c>
      <c r="T385" s="18" t="str">
        <f aca="false">IFERROR(__xludf.dummyfunction("REGEXEXTRACT(ADDRESS(ROW(), 63+$H385), ""[A-Z]+"")"),"#VALUE!")</f>
        <v>#VALUE!</v>
      </c>
      <c r="U385" s="19" t="str">
        <f aca="false">IFERROR(__xludf.dummyfunction("IFERROR(QUERY(INDIRECT(""'""&amp;F385&amp;""'!C3:""&amp;T385&amp;""""), ""SELECT ""&amp;I385&amp;"", ""&amp;J385&amp;"", ""&amp;K385&amp;"", ""&amp;L385&amp;"", ""&amp;M385&amp;"", ""&amp;N385&amp;"", ""&amp;O385&amp;"", ""&amp;P385&amp;"", ""&amp;Q385&amp;"", ""&amp;R385&amp;"", ""&amp;S385&amp;"" WHERE '""&amp;B385&amp;""' = D"", 0), """")"),"")</f>
        <v/>
      </c>
      <c r="V385" s="22"/>
      <c r="W385" s="22"/>
      <c r="X385" s="22"/>
      <c r="Y385" s="22"/>
      <c r="Z385" s="22"/>
      <c r="AA385" s="22"/>
      <c r="AB385" s="22"/>
      <c r="AC385" s="22"/>
      <c r="AD385" s="23"/>
      <c r="AE385" s="24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</row>
    <row r="386" customFormat="false" ht="18.65" hidden="false" customHeight="false" outlineLevel="0" collapsed="false">
      <c r="A386" s="13"/>
      <c r="B386" s="26"/>
      <c r="C386" s="15"/>
      <c r="D386" s="16"/>
      <c r="E386" s="16"/>
      <c r="F386" s="16" t="str">
        <f aca="false">REPLACE(E386, 1, 3, "")</f>
        <v/>
      </c>
      <c r="G386" s="17" t="str">
        <f aca="true">IFERROR(VLOOKUP(B386,INDIRECT("'"&amp;F386&amp;"'!D3:D"),1,FALSE()), "Not found")</f>
        <v>Not found</v>
      </c>
      <c r="H386" s="25" t="e">
        <f aca="true">INDIRECT("'"&amp;F386&amp;"'!D1")</f>
        <v>#REF!</v>
      </c>
      <c r="I386" s="18" t="str">
        <f aca="false">IFERROR(__xludf.dummyfunction("REGEXEXTRACT(ADDRESS(ROW(), 24+$H386), ""[A-Z]+"")"),"#VALUE!")</f>
        <v>#VALUE!</v>
      </c>
      <c r="J386" s="18" t="str">
        <f aca="false">IFERROR(__xludf.dummyfunction("REGEXEXTRACT(ADDRESS(ROW(), 30+$H386), ""[A-Z]+"")"),"#VALUE!")</f>
        <v>#VALUE!</v>
      </c>
      <c r="K386" s="18" t="str">
        <f aca="false">IFERROR(__xludf.dummyfunction("REGEXEXTRACT(ADDRESS(ROW(), 36+$H386), ""[A-Z]+"")"),"#VALUE!")</f>
        <v>#VALUE!</v>
      </c>
      <c r="L386" s="18" t="str">
        <f aca="false">IFERROR(__xludf.dummyfunction("REGEXEXTRACT(ADDRESS(ROW(), 42+$H386), ""[A-Z]+"")"),"#VALUE!")</f>
        <v>#VALUE!</v>
      </c>
      <c r="M386" s="18" t="str">
        <f aca="false">IFERROR(__xludf.dummyfunction("REGEXEXTRACT(ADDRESS(ROW(), 48+$H386), ""[A-Z]+"")"),"#VALUE!")</f>
        <v>#VALUE!</v>
      </c>
      <c r="N386" s="18" t="str">
        <f aca="false">IFERROR(__xludf.dummyfunction("REGEXEXTRACT(ADDRESS(ROW(), 50+$H386), ""[A-Z]+"")"),"#VALUE!")</f>
        <v>#VALUE!</v>
      </c>
      <c r="O386" s="18" t="str">
        <f aca="false">IFERROR(__xludf.dummyfunction("REGEXEXTRACT(ADDRESS(ROW(), 51+$H386), ""[A-Z]+"")"),"#VALUE!")</f>
        <v>#VALUE!</v>
      </c>
      <c r="P386" s="18" t="str">
        <f aca="false">IFERROR(__xludf.dummyfunction("REGEXEXTRACT(ADDRESS(ROW(), 54+$H386), ""[A-Z]+"")"),"#VALUE!")</f>
        <v>#VALUE!</v>
      </c>
      <c r="Q386" s="18" t="str">
        <f aca="false">IFERROR(__xludf.dummyfunction("REGEXEXTRACT(ADDRESS(ROW(), 59+$H386), ""[A-Z]+"")"),"#VALUE!")</f>
        <v>#VALUE!</v>
      </c>
      <c r="R386" s="18" t="str">
        <f aca="false">IFERROR(__xludf.dummyfunction("REGEXEXTRACT(ADDRESS(ROW(), 60+$H386), ""[A-Z]+"")"),"#VALUE!")</f>
        <v>#VALUE!</v>
      </c>
      <c r="S386" s="18" t="str">
        <f aca="false">IFERROR(__xludf.dummyfunction("REGEXEXTRACT(ADDRESS(ROW(), 62+$H386), ""[A-Z]+"")"),"#VALUE!")</f>
        <v>#VALUE!</v>
      </c>
      <c r="T386" s="18" t="str">
        <f aca="false">IFERROR(__xludf.dummyfunction("REGEXEXTRACT(ADDRESS(ROW(), 63+$H386), ""[A-Z]+"")"),"#VALUE!")</f>
        <v>#VALUE!</v>
      </c>
      <c r="U386" s="19" t="str">
        <f aca="false">IFERROR(__xludf.dummyfunction("IFERROR(QUERY(INDIRECT(""'""&amp;F386&amp;""'!C3:""&amp;T386&amp;""""), ""SELECT ""&amp;I386&amp;"", ""&amp;J386&amp;"", ""&amp;K386&amp;"", ""&amp;L386&amp;"", ""&amp;M386&amp;"", ""&amp;N386&amp;"", ""&amp;O386&amp;"", ""&amp;P386&amp;"", ""&amp;Q386&amp;"", ""&amp;R386&amp;"", ""&amp;S386&amp;"" WHERE '""&amp;B386&amp;""' = D"", 0), """")"),"")</f>
        <v/>
      </c>
      <c r="V386" s="22"/>
      <c r="W386" s="22"/>
      <c r="X386" s="22"/>
      <c r="Y386" s="22"/>
      <c r="Z386" s="22"/>
      <c r="AA386" s="22"/>
      <c r="AB386" s="22"/>
      <c r="AC386" s="22"/>
      <c r="AD386" s="23"/>
      <c r="AE386" s="24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</row>
    <row r="387" customFormat="false" ht="18.65" hidden="false" customHeight="false" outlineLevel="0" collapsed="false">
      <c r="A387" s="13"/>
      <c r="B387" s="26"/>
      <c r="C387" s="15"/>
      <c r="D387" s="16"/>
      <c r="E387" s="16"/>
      <c r="F387" s="16" t="str">
        <f aca="false">REPLACE(E387, 1, 3, "")</f>
        <v/>
      </c>
      <c r="G387" s="17" t="str">
        <f aca="true">IFERROR(VLOOKUP(B387,INDIRECT("'"&amp;F387&amp;"'!D3:D"),1,FALSE()), "Not found")</f>
        <v>Not found</v>
      </c>
      <c r="H387" s="25" t="e">
        <f aca="true">INDIRECT("'"&amp;F387&amp;"'!D1")</f>
        <v>#REF!</v>
      </c>
      <c r="I387" s="18" t="str">
        <f aca="false">IFERROR(__xludf.dummyfunction("REGEXEXTRACT(ADDRESS(ROW(), 24+$H387), ""[A-Z]+"")"),"#VALUE!")</f>
        <v>#VALUE!</v>
      </c>
      <c r="J387" s="18" t="str">
        <f aca="false">IFERROR(__xludf.dummyfunction("REGEXEXTRACT(ADDRESS(ROW(), 30+$H387), ""[A-Z]+"")"),"#VALUE!")</f>
        <v>#VALUE!</v>
      </c>
      <c r="K387" s="18" t="str">
        <f aca="false">IFERROR(__xludf.dummyfunction("REGEXEXTRACT(ADDRESS(ROW(), 36+$H387), ""[A-Z]+"")"),"#VALUE!")</f>
        <v>#VALUE!</v>
      </c>
      <c r="L387" s="18" t="str">
        <f aca="false">IFERROR(__xludf.dummyfunction("REGEXEXTRACT(ADDRESS(ROW(), 42+$H387), ""[A-Z]+"")"),"#VALUE!")</f>
        <v>#VALUE!</v>
      </c>
      <c r="M387" s="18" t="str">
        <f aca="false">IFERROR(__xludf.dummyfunction("REGEXEXTRACT(ADDRESS(ROW(), 48+$H387), ""[A-Z]+"")"),"#VALUE!")</f>
        <v>#VALUE!</v>
      </c>
      <c r="N387" s="18" t="str">
        <f aca="false">IFERROR(__xludf.dummyfunction("REGEXEXTRACT(ADDRESS(ROW(), 50+$H387), ""[A-Z]+"")"),"#VALUE!")</f>
        <v>#VALUE!</v>
      </c>
      <c r="O387" s="18" t="str">
        <f aca="false">IFERROR(__xludf.dummyfunction("REGEXEXTRACT(ADDRESS(ROW(), 51+$H387), ""[A-Z]+"")"),"#VALUE!")</f>
        <v>#VALUE!</v>
      </c>
      <c r="P387" s="18" t="str">
        <f aca="false">IFERROR(__xludf.dummyfunction("REGEXEXTRACT(ADDRESS(ROW(), 54+$H387), ""[A-Z]+"")"),"#VALUE!")</f>
        <v>#VALUE!</v>
      </c>
      <c r="Q387" s="18" t="str">
        <f aca="false">IFERROR(__xludf.dummyfunction("REGEXEXTRACT(ADDRESS(ROW(), 59+$H387), ""[A-Z]+"")"),"#VALUE!")</f>
        <v>#VALUE!</v>
      </c>
      <c r="R387" s="18" t="str">
        <f aca="false">IFERROR(__xludf.dummyfunction("REGEXEXTRACT(ADDRESS(ROW(), 60+$H387), ""[A-Z]+"")"),"#VALUE!")</f>
        <v>#VALUE!</v>
      </c>
      <c r="S387" s="18" t="str">
        <f aca="false">IFERROR(__xludf.dummyfunction("REGEXEXTRACT(ADDRESS(ROW(), 62+$H387), ""[A-Z]+"")"),"#VALUE!")</f>
        <v>#VALUE!</v>
      </c>
      <c r="T387" s="18" t="str">
        <f aca="false">IFERROR(__xludf.dummyfunction("REGEXEXTRACT(ADDRESS(ROW(), 63+$H387), ""[A-Z]+"")"),"#VALUE!")</f>
        <v>#VALUE!</v>
      </c>
      <c r="U387" s="19" t="str">
        <f aca="false">IFERROR(__xludf.dummyfunction("IFERROR(QUERY(INDIRECT(""'""&amp;F387&amp;""'!C3:""&amp;T387&amp;""""), ""SELECT ""&amp;I387&amp;"", ""&amp;J387&amp;"", ""&amp;K387&amp;"", ""&amp;L387&amp;"", ""&amp;M387&amp;"", ""&amp;N387&amp;"", ""&amp;O387&amp;"", ""&amp;P387&amp;"", ""&amp;Q387&amp;"", ""&amp;R387&amp;"", ""&amp;S387&amp;"" WHERE '""&amp;B387&amp;""' = D"", 0), """")"),"")</f>
        <v/>
      </c>
      <c r="V387" s="22"/>
      <c r="W387" s="22"/>
      <c r="X387" s="22"/>
      <c r="Y387" s="22"/>
      <c r="Z387" s="22"/>
      <c r="AA387" s="22"/>
      <c r="AB387" s="22"/>
      <c r="AC387" s="22"/>
      <c r="AD387" s="23"/>
      <c r="AE387" s="24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</row>
    <row r="388" customFormat="false" ht="18.65" hidden="false" customHeight="false" outlineLevel="0" collapsed="false">
      <c r="A388" s="13"/>
      <c r="B388" s="26"/>
      <c r="C388" s="15"/>
      <c r="D388" s="16"/>
      <c r="E388" s="16"/>
      <c r="F388" s="16" t="str">
        <f aca="false">REPLACE(E388, 1, 3, "")</f>
        <v/>
      </c>
      <c r="G388" s="17" t="str">
        <f aca="true">IFERROR(VLOOKUP(B388,INDIRECT("'"&amp;F388&amp;"'!D3:D"),1,FALSE()), "Not found")</f>
        <v>Not found</v>
      </c>
      <c r="H388" s="25" t="e">
        <f aca="true">INDIRECT("'"&amp;F388&amp;"'!D1")</f>
        <v>#REF!</v>
      </c>
      <c r="I388" s="18" t="str">
        <f aca="false">IFERROR(__xludf.dummyfunction("REGEXEXTRACT(ADDRESS(ROW(), 24+$H388), ""[A-Z]+"")"),"#VALUE!")</f>
        <v>#VALUE!</v>
      </c>
      <c r="J388" s="18" t="str">
        <f aca="false">IFERROR(__xludf.dummyfunction("REGEXEXTRACT(ADDRESS(ROW(), 30+$H388), ""[A-Z]+"")"),"#VALUE!")</f>
        <v>#VALUE!</v>
      </c>
      <c r="K388" s="18" t="str">
        <f aca="false">IFERROR(__xludf.dummyfunction("REGEXEXTRACT(ADDRESS(ROW(), 36+$H388), ""[A-Z]+"")"),"#VALUE!")</f>
        <v>#VALUE!</v>
      </c>
      <c r="L388" s="18" t="str">
        <f aca="false">IFERROR(__xludf.dummyfunction("REGEXEXTRACT(ADDRESS(ROW(), 42+$H388), ""[A-Z]+"")"),"#VALUE!")</f>
        <v>#VALUE!</v>
      </c>
      <c r="M388" s="18" t="str">
        <f aca="false">IFERROR(__xludf.dummyfunction("REGEXEXTRACT(ADDRESS(ROW(), 48+$H388), ""[A-Z]+"")"),"#VALUE!")</f>
        <v>#VALUE!</v>
      </c>
      <c r="N388" s="18" t="str">
        <f aca="false">IFERROR(__xludf.dummyfunction("REGEXEXTRACT(ADDRESS(ROW(), 50+$H388), ""[A-Z]+"")"),"#VALUE!")</f>
        <v>#VALUE!</v>
      </c>
      <c r="O388" s="18" t="str">
        <f aca="false">IFERROR(__xludf.dummyfunction("REGEXEXTRACT(ADDRESS(ROW(), 51+$H388), ""[A-Z]+"")"),"#VALUE!")</f>
        <v>#VALUE!</v>
      </c>
      <c r="P388" s="18" t="str">
        <f aca="false">IFERROR(__xludf.dummyfunction("REGEXEXTRACT(ADDRESS(ROW(), 54+$H388), ""[A-Z]+"")"),"#VALUE!")</f>
        <v>#VALUE!</v>
      </c>
      <c r="Q388" s="18" t="str">
        <f aca="false">IFERROR(__xludf.dummyfunction("REGEXEXTRACT(ADDRESS(ROW(), 59+$H388), ""[A-Z]+"")"),"#VALUE!")</f>
        <v>#VALUE!</v>
      </c>
      <c r="R388" s="18" t="str">
        <f aca="false">IFERROR(__xludf.dummyfunction("REGEXEXTRACT(ADDRESS(ROW(), 60+$H388), ""[A-Z]+"")"),"#VALUE!")</f>
        <v>#VALUE!</v>
      </c>
      <c r="S388" s="18" t="str">
        <f aca="false">IFERROR(__xludf.dummyfunction("REGEXEXTRACT(ADDRESS(ROW(), 62+$H388), ""[A-Z]+"")"),"#VALUE!")</f>
        <v>#VALUE!</v>
      </c>
      <c r="T388" s="18" t="str">
        <f aca="false">IFERROR(__xludf.dummyfunction("REGEXEXTRACT(ADDRESS(ROW(), 63+$H388), ""[A-Z]+"")"),"#VALUE!")</f>
        <v>#VALUE!</v>
      </c>
      <c r="U388" s="19" t="str">
        <f aca="false">IFERROR(__xludf.dummyfunction("IFERROR(QUERY(INDIRECT(""'""&amp;F388&amp;""'!C3:""&amp;T388&amp;""""), ""SELECT ""&amp;I388&amp;"", ""&amp;J388&amp;"", ""&amp;K388&amp;"", ""&amp;L388&amp;"", ""&amp;M388&amp;"", ""&amp;N388&amp;"", ""&amp;O388&amp;"", ""&amp;P388&amp;"", ""&amp;Q388&amp;"", ""&amp;R388&amp;"", ""&amp;S388&amp;"" WHERE '""&amp;B388&amp;""' = D"", 0), """")"),"")</f>
        <v/>
      </c>
      <c r="V388" s="22"/>
      <c r="W388" s="22"/>
      <c r="X388" s="22"/>
      <c r="Y388" s="22"/>
      <c r="Z388" s="22"/>
      <c r="AA388" s="22"/>
      <c r="AB388" s="22"/>
      <c r="AC388" s="22"/>
      <c r="AD388" s="23"/>
      <c r="AE388" s="24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</row>
    <row r="389" customFormat="false" ht="18.65" hidden="false" customHeight="false" outlineLevel="0" collapsed="false">
      <c r="A389" s="13"/>
      <c r="B389" s="26"/>
      <c r="C389" s="15"/>
      <c r="D389" s="16"/>
      <c r="E389" s="16"/>
      <c r="F389" s="16" t="str">
        <f aca="false">REPLACE(E389, 1, 3, "")</f>
        <v/>
      </c>
      <c r="G389" s="17" t="str">
        <f aca="true">IFERROR(VLOOKUP(B389,INDIRECT("'"&amp;F389&amp;"'!D3:D"),1,FALSE()), "Not found")</f>
        <v>Not found</v>
      </c>
      <c r="H389" s="25" t="e">
        <f aca="true">INDIRECT("'"&amp;F389&amp;"'!D1")</f>
        <v>#REF!</v>
      </c>
      <c r="I389" s="18" t="str">
        <f aca="false">IFERROR(__xludf.dummyfunction("REGEXEXTRACT(ADDRESS(ROW(), 24+$H389), ""[A-Z]+"")"),"#VALUE!")</f>
        <v>#VALUE!</v>
      </c>
      <c r="J389" s="18" t="str">
        <f aca="false">IFERROR(__xludf.dummyfunction("REGEXEXTRACT(ADDRESS(ROW(), 30+$H389), ""[A-Z]+"")"),"#VALUE!")</f>
        <v>#VALUE!</v>
      </c>
      <c r="K389" s="18" t="str">
        <f aca="false">IFERROR(__xludf.dummyfunction("REGEXEXTRACT(ADDRESS(ROW(), 36+$H389), ""[A-Z]+"")"),"#VALUE!")</f>
        <v>#VALUE!</v>
      </c>
      <c r="L389" s="18" t="str">
        <f aca="false">IFERROR(__xludf.dummyfunction("REGEXEXTRACT(ADDRESS(ROW(), 42+$H389), ""[A-Z]+"")"),"#VALUE!")</f>
        <v>#VALUE!</v>
      </c>
      <c r="M389" s="18" t="str">
        <f aca="false">IFERROR(__xludf.dummyfunction("REGEXEXTRACT(ADDRESS(ROW(), 48+$H389), ""[A-Z]+"")"),"#VALUE!")</f>
        <v>#VALUE!</v>
      </c>
      <c r="N389" s="18" t="str">
        <f aca="false">IFERROR(__xludf.dummyfunction("REGEXEXTRACT(ADDRESS(ROW(), 50+$H389), ""[A-Z]+"")"),"#VALUE!")</f>
        <v>#VALUE!</v>
      </c>
      <c r="O389" s="18" t="str">
        <f aca="false">IFERROR(__xludf.dummyfunction("REGEXEXTRACT(ADDRESS(ROW(), 51+$H389), ""[A-Z]+"")"),"#VALUE!")</f>
        <v>#VALUE!</v>
      </c>
      <c r="P389" s="18" t="str">
        <f aca="false">IFERROR(__xludf.dummyfunction("REGEXEXTRACT(ADDRESS(ROW(), 54+$H389), ""[A-Z]+"")"),"#VALUE!")</f>
        <v>#VALUE!</v>
      </c>
      <c r="Q389" s="18" t="str">
        <f aca="false">IFERROR(__xludf.dummyfunction("REGEXEXTRACT(ADDRESS(ROW(), 59+$H389), ""[A-Z]+"")"),"#VALUE!")</f>
        <v>#VALUE!</v>
      </c>
      <c r="R389" s="18" t="str">
        <f aca="false">IFERROR(__xludf.dummyfunction("REGEXEXTRACT(ADDRESS(ROW(), 60+$H389), ""[A-Z]+"")"),"#VALUE!")</f>
        <v>#VALUE!</v>
      </c>
      <c r="S389" s="18" t="str">
        <f aca="false">IFERROR(__xludf.dummyfunction("REGEXEXTRACT(ADDRESS(ROW(), 62+$H389), ""[A-Z]+"")"),"#VALUE!")</f>
        <v>#VALUE!</v>
      </c>
      <c r="T389" s="18" t="str">
        <f aca="false">IFERROR(__xludf.dummyfunction("REGEXEXTRACT(ADDRESS(ROW(), 63+$H389), ""[A-Z]+"")"),"#VALUE!")</f>
        <v>#VALUE!</v>
      </c>
      <c r="U389" s="19" t="str">
        <f aca="false">IFERROR(__xludf.dummyfunction("IFERROR(QUERY(INDIRECT(""'""&amp;F389&amp;""'!C3:""&amp;T389&amp;""""), ""SELECT ""&amp;I389&amp;"", ""&amp;J389&amp;"", ""&amp;K389&amp;"", ""&amp;L389&amp;"", ""&amp;M389&amp;"", ""&amp;N389&amp;"", ""&amp;O389&amp;"", ""&amp;P389&amp;"", ""&amp;Q389&amp;"", ""&amp;R389&amp;"", ""&amp;S389&amp;"" WHERE '""&amp;B389&amp;""' = D"", 0), """")"),"")</f>
        <v/>
      </c>
      <c r="V389" s="22"/>
      <c r="W389" s="22"/>
      <c r="X389" s="22"/>
      <c r="Y389" s="22"/>
      <c r="Z389" s="22"/>
      <c r="AA389" s="22"/>
      <c r="AB389" s="22"/>
      <c r="AC389" s="22"/>
      <c r="AD389" s="23"/>
      <c r="AE389" s="24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</row>
    <row r="390" customFormat="false" ht="18.65" hidden="false" customHeight="false" outlineLevel="0" collapsed="false">
      <c r="A390" s="13"/>
      <c r="B390" s="26"/>
      <c r="C390" s="15"/>
      <c r="D390" s="16"/>
      <c r="E390" s="16"/>
      <c r="F390" s="16" t="str">
        <f aca="false">REPLACE(E390, 1, 3, "")</f>
        <v/>
      </c>
      <c r="G390" s="17" t="str">
        <f aca="true">IFERROR(VLOOKUP(B390,INDIRECT("'"&amp;F390&amp;"'!D3:D"),1,FALSE()), "Not found")</f>
        <v>Not found</v>
      </c>
      <c r="H390" s="25" t="e">
        <f aca="true">INDIRECT("'"&amp;F390&amp;"'!D1")</f>
        <v>#REF!</v>
      </c>
      <c r="I390" s="18" t="str">
        <f aca="false">IFERROR(__xludf.dummyfunction("REGEXEXTRACT(ADDRESS(ROW(), 24+$H390), ""[A-Z]+"")"),"#VALUE!")</f>
        <v>#VALUE!</v>
      </c>
      <c r="J390" s="18" t="str">
        <f aca="false">IFERROR(__xludf.dummyfunction("REGEXEXTRACT(ADDRESS(ROW(), 30+$H390), ""[A-Z]+"")"),"#VALUE!")</f>
        <v>#VALUE!</v>
      </c>
      <c r="K390" s="18" t="str">
        <f aca="false">IFERROR(__xludf.dummyfunction("REGEXEXTRACT(ADDRESS(ROW(), 36+$H390), ""[A-Z]+"")"),"#VALUE!")</f>
        <v>#VALUE!</v>
      </c>
      <c r="L390" s="18" t="str">
        <f aca="false">IFERROR(__xludf.dummyfunction("REGEXEXTRACT(ADDRESS(ROW(), 42+$H390), ""[A-Z]+"")"),"#VALUE!")</f>
        <v>#VALUE!</v>
      </c>
      <c r="M390" s="18" t="str">
        <f aca="false">IFERROR(__xludf.dummyfunction("REGEXEXTRACT(ADDRESS(ROW(), 48+$H390), ""[A-Z]+"")"),"#VALUE!")</f>
        <v>#VALUE!</v>
      </c>
      <c r="N390" s="18" t="str">
        <f aca="false">IFERROR(__xludf.dummyfunction("REGEXEXTRACT(ADDRESS(ROW(), 50+$H390), ""[A-Z]+"")"),"#VALUE!")</f>
        <v>#VALUE!</v>
      </c>
      <c r="O390" s="18" t="str">
        <f aca="false">IFERROR(__xludf.dummyfunction("REGEXEXTRACT(ADDRESS(ROW(), 51+$H390), ""[A-Z]+"")"),"#VALUE!")</f>
        <v>#VALUE!</v>
      </c>
      <c r="P390" s="18" t="str">
        <f aca="false">IFERROR(__xludf.dummyfunction("REGEXEXTRACT(ADDRESS(ROW(), 54+$H390), ""[A-Z]+"")"),"#VALUE!")</f>
        <v>#VALUE!</v>
      </c>
      <c r="Q390" s="18" t="str">
        <f aca="false">IFERROR(__xludf.dummyfunction("REGEXEXTRACT(ADDRESS(ROW(), 59+$H390), ""[A-Z]+"")"),"#VALUE!")</f>
        <v>#VALUE!</v>
      </c>
      <c r="R390" s="18" t="str">
        <f aca="false">IFERROR(__xludf.dummyfunction("REGEXEXTRACT(ADDRESS(ROW(), 60+$H390), ""[A-Z]+"")"),"#VALUE!")</f>
        <v>#VALUE!</v>
      </c>
      <c r="S390" s="18" t="str">
        <f aca="false">IFERROR(__xludf.dummyfunction("REGEXEXTRACT(ADDRESS(ROW(), 62+$H390), ""[A-Z]+"")"),"#VALUE!")</f>
        <v>#VALUE!</v>
      </c>
      <c r="T390" s="18" t="str">
        <f aca="false">IFERROR(__xludf.dummyfunction("REGEXEXTRACT(ADDRESS(ROW(), 63+$H390), ""[A-Z]+"")"),"#VALUE!")</f>
        <v>#VALUE!</v>
      </c>
      <c r="U390" s="19" t="str">
        <f aca="false">IFERROR(__xludf.dummyfunction("IFERROR(QUERY(INDIRECT(""'""&amp;F390&amp;""'!C3:""&amp;T390&amp;""""), ""SELECT ""&amp;I390&amp;"", ""&amp;J390&amp;"", ""&amp;K390&amp;"", ""&amp;L390&amp;"", ""&amp;M390&amp;"", ""&amp;N390&amp;"", ""&amp;O390&amp;"", ""&amp;P390&amp;"", ""&amp;Q390&amp;"", ""&amp;R390&amp;"", ""&amp;S390&amp;"" WHERE '""&amp;B390&amp;""' = D"", 0), """")"),"")</f>
        <v/>
      </c>
      <c r="V390" s="22"/>
      <c r="W390" s="22"/>
      <c r="X390" s="22"/>
      <c r="Y390" s="22"/>
      <c r="Z390" s="22"/>
      <c r="AA390" s="22"/>
      <c r="AB390" s="22"/>
      <c r="AC390" s="22"/>
      <c r="AD390" s="23"/>
      <c r="AE390" s="24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</row>
    <row r="391" customFormat="false" ht="18.65" hidden="false" customHeight="false" outlineLevel="0" collapsed="false">
      <c r="A391" s="13"/>
      <c r="B391" s="26"/>
      <c r="C391" s="15"/>
      <c r="D391" s="16"/>
      <c r="E391" s="16"/>
      <c r="F391" s="16" t="str">
        <f aca="false">REPLACE(E391, 1, 3, "")</f>
        <v/>
      </c>
      <c r="G391" s="17" t="str">
        <f aca="true">IFERROR(VLOOKUP(B391,INDIRECT("'"&amp;F391&amp;"'!D3:D"),1,FALSE()), "Not found")</f>
        <v>Not found</v>
      </c>
      <c r="H391" s="25" t="e">
        <f aca="true">INDIRECT("'"&amp;F391&amp;"'!D1")</f>
        <v>#REF!</v>
      </c>
      <c r="I391" s="18" t="str">
        <f aca="false">IFERROR(__xludf.dummyfunction("REGEXEXTRACT(ADDRESS(ROW(), 24+$H391), ""[A-Z]+"")"),"#VALUE!")</f>
        <v>#VALUE!</v>
      </c>
      <c r="J391" s="18" t="str">
        <f aca="false">IFERROR(__xludf.dummyfunction("REGEXEXTRACT(ADDRESS(ROW(), 30+$H391), ""[A-Z]+"")"),"#VALUE!")</f>
        <v>#VALUE!</v>
      </c>
      <c r="K391" s="18" t="str">
        <f aca="false">IFERROR(__xludf.dummyfunction("REGEXEXTRACT(ADDRESS(ROW(), 36+$H391), ""[A-Z]+"")"),"#VALUE!")</f>
        <v>#VALUE!</v>
      </c>
      <c r="L391" s="18" t="str">
        <f aca="false">IFERROR(__xludf.dummyfunction("REGEXEXTRACT(ADDRESS(ROW(), 42+$H391), ""[A-Z]+"")"),"#VALUE!")</f>
        <v>#VALUE!</v>
      </c>
      <c r="M391" s="18" t="str">
        <f aca="false">IFERROR(__xludf.dummyfunction("REGEXEXTRACT(ADDRESS(ROW(), 48+$H391), ""[A-Z]+"")"),"#VALUE!")</f>
        <v>#VALUE!</v>
      </c>
      <c r="N391" s="18" t="str">
        <f aca="false">IFERROR(__xludf.dummyfunction("REGEXEXTRACT(ADDRESS(ROW(), 50+$H391), ""[A-Z]+"")"),"#VALUE!")</f>
        <v>#VALUE!</v>
      </c>
      <c r="O391" s="18" t="str">
        <f aca="false">IFERROR(__xludf.dummyfunction("REGEXEXTRACT(ADDRESS(ROW(), 51+$H391), ""[A-Z]+"")"),"#VALUE!")</f>
        <v>#VALUE!</v>
      </c>
      <c r="P391" s="18" t="str">
        <f aca="false">IFERROR(__xludf.dummyfunction("REGEXEXTRACT(ADDRESS(ROW(), 54+$H391), ""[A-Z]+"")"),"#VALUE!")</f>
        <v>#VALUE!</v>
      </c>
      <c r="Q391" s="18" t="str">
        <f aca="false">IFERROR(__xludf.dummyfunction("REGEXEXTRACT(ADDRESS(ROW(), 59+$H391), ""[A-Z]+"")"),"#VALUE!")</f>
        <v>#VALUE!</v>
      </c>
      <c r="R391" s="18" t="str">
        <f aca="false">IFERROR(__xludf.dummyfunction("REGEXEXTRACT(ADDRESS(ROW(), 60+$H391), ""[A-Z]+"")"),"#VALUE!")</f>
        <v>#VALUE!</v>
      </c>
      <c r="S391" s="18" t="str">
        <f aca="false">IFERROR(__xludf.dummyfunction("REGEXEXTRACT(ADDRESS(ROW(), 62+$H391), ""[A-Z]+"")"),"#VALUE!")</f>
        <v>#VALUE!</v>
      </c>
      <c r="T391" s="18" t="str">
        <f aca="false">IFERROR(__xludf.dummyfunction("REGEXEXTRACT(ADDRESS(ROW(), 63+$H391), ""[A-Z]+"")"),"#VALUE!")</f>
        <v>#VALUE!</v>
      </c>
      <c r="U391" s="19" t="str">
        <f aca="false">IFERROR(__xludf.dummyfunction("IFERROR(QUERY(INDIRECT(""'""&amp;F391&amp;""'!C3:""&amp;T391&amp;""""), ""SELECT ""&amp;I391&amp;"", ""&amp;J391&amp;"", ""&amp;K391&amp;"", ""&amp;L391&amp;"", ""&amp;M391&amp;"", ""&amp;N391&amp;"", ""&amp;O391&amp;"", ""&amp;P391&amp;"", ""&amp;Q391&amp;"", ""&amp;R391&amp;"", ""&amp;S391&amp;"" WHERE '""&amp;B391&amp;""' = D"", 0), """")"),"")</f>
        <v/>
      </c>
      <c r="V391" s="22"/>
      <c r="W391" s="22"/>
      <c r="X391" s="22"/>
      <c r="Y391" s="22"/>
      <c r="Z391" s="22"/>
      <c r="AA391" s="22"/>
      <c r="AB391" s="22"/>
      <c r="AC391" s="22"/>
      <c r="AD391" s="23"/>
      <c r="AE391" s="24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</row>
    <row r="392" customFormat="false" ht="18.65" hidden="false" customHeight="false" outlineLevel="0" collapsed="false">
      <c r="A392" s="13"/>
      <c r="B392" s="26"/>
      <c r="C392" s="15"/>
      <c r="D392" s="16"/>
      <c r="E392" s="16"/>
      <c r="F392" s="16" t="str">
        <f aca="false">REPLACE(E392, 1, 3, "")</f>
        <v/>
      </c>
      <c r="G392" s="17" t="str">
        <f aca="true">IFERROR(VLOOKUP(B392,INDIRECT("'"&amp;F392&amp;"'!D3:D"),1,FALSE()), "Not found")</f>
        <v>Not found</v>
      </c>
      <c r="H392" s="25" t="e">
        <f aca="true">INDIRECT("'"&amp;F392&amp;"'!D1")</f>
        <v>#REF!</v>
      </c>
      <c r="I392" s="18" t="str">
        <f aca="false">IFERROR(__xludf.dummyfunction("REGEXEXTRACT(ADDRESS(ROW(), 24+$H392), ""[A-Z]+"")"),"#VALUE!")</f>
        <v>#VALUE!</v>
      </c>
      <c r="J392" s="18" t="str">
        <f aca="false">IFERROR(__xludf.dummyfunction("REGEXEXTRACT(ADDRESS(ROW(), 30+$H392), ""[A-Z]+"")"),"#VALUE!")</f>
        <v>#VALUE!</v>
      </c>
      <c r="K392" s="18" t="str">
        <f aca="false">IFERROR(__xludf.dummyfunction("REGEXEXTRACT(ADDRESS(ROW(), 36+$H392), ""[A-Z]+"")"),"#VALUE!")</f>
        <v>#VALUE!</v>
      </c>
      <c r="L392" s="18" t="str">
        <f aca="false">IFERROR(__xludf.dummyfunction("REGEXEXTRACT(ADDRESS(ROW(), 42+$H392), ""[A-Z]+"")"),"#VALUE!")</f>
        <v>#VALUE!</v>
      </c>
      <c r="M392" s="18" t="str">
        <f aca="false">IFERROR(__xludf.dummyfunction("REGEXEXTRACT(ADDRESS(ROW(), 48+$H392), ""[A-Z]+"")"),"#VALUE!")</f>
        <v>#VALUE!</v>
      </c>
      <c r="N392" s="18" t="str">
        <f aca="false">IFERROR(__xludf.dummyfunction("REGEXEXTRACT(ADDRESS(ROW(), 50+$H392), ""[A-Z]+"")"),"#VALUE!")</f>
        <v>#VALUE!</v>
      </c>
      <c r="O392" s="18" t="str">
        <f aca="false">IFERROR(__xludf.dummyfunction("REGEXEXTRACT(ADDRESS(ROW(), 51+$H392), ""[A-Z]+"")"),"#VALUE!")</f>
        <v>#VALUE!</v>
      </c>
      <c r="P392" s="18" t="str">
        <f aca="false">IFERROR(__xludf.dummyfunction("REGEXEXTRACT(ADDRESS(ROW(), 54+$H392), ""[A-Z]+"")"),"#VALUE!")</f>
        <v>#VALUE!</v>
      </c>
      <c r="Q392" s="18" t="str">
        <f aca="false">IFERROR(__xludf.dummyfunction("REGEXEXTRACT(ADDRESS(ROW(), 59+$H392), ""[A-Z]+"")"),"#VALUE!")</f>
        <v>#VALUE!</v>
      </c>
      <c r="R392" s="18" t="str">
        <f aca="false">IFERROR(__xludf.dummyfunction("REGEXEXTRACT(ADDRESS(ROW(), 60+$H392), ""[A-Z]+"")"),"#VALUE!")</f>
        <v>#VALUE!</v>
      </c>
      <c r="S392" s="18" t="str">
        <f aca="false">IFERROR(__xludf.dummyfunction("REGEXEXTRACT(ADDRESS(ROW(), 62+$H392), ""[A-Z]+"")"),"#VALUE!")</f>
        <v>#VALUE!</v>
      </c>
      <c r="T392" s="18" t="str">
        <f aca="false">IFERROR(__xludf.dummyfunction("REGEXEXTRACT(ADDRESS(ROW(), 63+$H392), ""[A-Z]+"")"),"#VALUE!")</f>
        <v>#VALUE!</v>
      </c>
      <c r="U392" s="19" t="str">
        <f aca="false">IFERROR(__xludf.dummyfunction("IFERROR(QUERY(INDIRECT(""'""&amp;F392&amp;""'!C3:""&amp;T392&amp;""""), ""SELECT ""&amp;I392&amp;"", ""&amp;J392&amp;"", ""&amp;K392&amp;"", ""&amp;L392&amp;"", ""&amp;M392&amp;"", ""&amp;N392&amp;"", ""&amp;O392&amp;"", ""&amp;P392&amp;"", ""&amp;Q392&amp;"", ""&amp;R392&amp;"", ""&amp;S392&amp;"" WHERE '""&amp;B392&amp;""' = D"", 0), """")"),"")</f>
        <v/>
      </c>
      <c r="V392" s="22"/>
      <c r="W392" s="22"/>
      <c r="X392" s="22"/>
      <c r="Y392" s="22"/>
      <c r="Z392" s="22"/>
      <c r="AA392" s="22"/>
      <c r="AB392" s="22"/>
      <c r="AC392" s="22"/>
      <c r="AD392" s="23"/>
      <c r="AE392" s="24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</row>
    <row r="393" customFormat="false" ht="18.65" hidden="false" customHeight="false" outlineLevel="0" collapsed="false">
      <c r="A393" s="13"/>
      <c r="B393" s="27"/>
      <c r="C393" s="28"/>
      <c r="D393" s="29"/>
      <c r="E393" s="29"/>
      <c r="F393" s="16" t="str">
        <f aca="false">REPLACE(E393, 1, 3, "")</f>
        <v/>
      </c>
      <c r="G393" s="17" t="str">
        <f aca="true">IFERROR(VLOOKUP(B393,INDIRECT("'"&amp;F393&amp;"'!D3:D"),1,FALSE()), "Not found")</f>
        <v>Not found</v>
      </c>
      <c r="H393" s="25" t="e">
        <f aca="true">INDIRECT("'"&amp;F393&amp;"'!D1")</f>
        <v>#REF!</v>
      </c>
      <c r="I393" s="18" t="str">
        <f aca="false">IFERROR(__xludf.dummyfunction("REGEXEXTRACT(ADDRESS(ROW(), 24+$H393), ""[A-Z]+"")"),"#VALUE!")</f>
        <v>#VALUE!</v>
      </c>
      <c r="J393" s="18" t="str">
        <f aca="false">IFERROR(__xludf.dummyfunction("REGEXEXTRACT(ADDRESS(ROW(), 30+$H393), ""[A-Z]+"")"),"#VALUE!")</f>
        <v>#VALUE!</v>
      </c>
      <c r="K393" s="18" t="str">
        <f aca="false">IFERROR(__xludf.dummyfunction("REGEXEXTRACT(ADDRESS(ROW(), 36+$H393), ""[A-Z]+"")"),"#VALUE!")</f>
        <v>#VALUE!</v>
      </c>
      <c r="L393" s="18" t="str">
        <f aca="false">IFERROR(__xludf.dummyfunction("REGEXEXTRACT(ADDRESS(ROW(), 42+$H393), ""[A-Z]+"")"),"#VALUE!")</f>
        <v>#VALUE!</v>
      </c>
      <c r="M393" s="18" t="str">
        <f aca="false">IFERROR(__xludf.dummyfunction("REGEXEXTRACT(ADDRESS(ROW(), 48+$H393), ""[A-Z]+"")"),"#VALUE!")</f>
        <v>#VALUE!</v>
      </c>
      <c r="N393" s="18" t="str">
        <f aca="false">IFERROR(__xludf.dummyfunction("REGEXEXTRACT(ADDRESS(ROW(), 50+$H393), ""[A-Z]+"")"),"#VALUE!")</f>
        <v>#VALUE!</v>
      </c>
      <c r="O393" s="18" t="str">
        <f aca="false">IFERROR(__xludf.dummyfunction("REGEXEXTRACT(ADDRESS(ROW(), 51+$H393), ""[A-Z]+"")"),"#VALUE!")</f>
        <v>#VALUE!</v>
      </c>
      <c r="P393" s="18" t="str">
        <f aca="false">IFERROR(__xludf.dummyfunction("REGEXEXTRACT(ADDRESS(ROW(), 54+$H393), ""[A-Z]+"")"),"#VALUE!")</f>
        <v>#VALUE!</v>
      </c>
      <c r="Q393" s="18" t="str">
        <f aca="false">IFERROR(__xludf.dummyfunction("REGEXEXTRACT(ADDRESS(ROW(), 59+$H393), ""[A-Z]+"")"),"#VALUE!")</f>
        <v>#VALUE!</v>
      </c>
      <c r="R393" s="18" t="str">
        <f aca="false">IFERROR(__xludf.dummyfunction("REGEXEXTRACT(ADDRESS(ROW(), 60+$H393), ""[A-Z]+"")"),"#VALUE!")</f>
        <v>#VALUE!</v>
      </c>
      <c r="S393" s="18" t="str">
        <f aca="false">IFERROR(__xludf.dummyfunction("REGEXEXTRACT(ADDRESS(ROW(), 62+$H393), ""[A-Z]+"")"),"#VALUE!")</f>
        <v>#VALUE!</v>
      </c>
      <c r="T393" s="18" t="str">
        <f aca="false">IFERROR(__xludf.dummyfunction("REGEXEXTRACT(ADDRESS(ROW(), 63+$H393), ""[A-Z]+"")"),"#VALUE!")</f>
        <v>#VALUE!</v>
      </c>
      <c r="U393" s="19" t="str">
        <f aca="false">IFERROR(__xludf.dummyfunction("IFERROR(QUERY(INDIRECT(""'""&amp;F393&amp;""'!C3:""&amp;T393&amp;""""), ""SELECT ""&amp;I393&amp;"", ""&amp;J393&amp;"", ""&amp;K393&amp;"", ""&amp;L393&amp;"", ""&amp;M393&amp;"", ""&amp;N393&amp;"", ""&amp;O393&amp;"", ""&amp;P393&amp;"", ""&amp;Q393&amp;"", ""&amp;R393&amp;"", ""&amp;S393&amp;"" WHERE '""&amp;B393&amp;""' = D"", 0), """")"),"")</f>
        <v/>
      </c>
      <c r="V393" s="22"/>
      <c r="W393" s="22"/>
      <c r="X393" s="22"/>
      <c r="Y393" s="22"/>
      <c r="Z393" s="22"/>
      <c r="AA393" s="22"/>
      <c r="AB393" s="22"/>
      <c r="AC393" s="22"/>
      <c r="AD393" s="23"/>
      <c r="AE393" s="24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</row>
    <row r="394" customFormat="false" ht="18.65" hidden="false" customHeight="false" outlineLevel="0" collapsed="false">
      <c r="A394" s="13"/>
      <c r="B394" s="26"/>
      <c r="C394" s="15"/>
      <c r="D394" s="16"/>
      <c r="E394" s="16"/>
      <c r="F394" s="16" t="str">
        <f aca="false">REPLACE(E394, 1, 3, "")</f>
        <v/>
      </c>
      <c r="G394" s="17" t="str">
        <f aca="true">IFERROR(VLOOKUP(B394,INDIRECT("'"&amp;F394&amp;"'!D3:D"),1,FALSE()), "Not found")</f>
        <v>Not found</v>
      </c>
      <c r="H394" s="25" t="e">
        <f aca="true">INDIRECT("'"&amp;F394&amp;"'!D1")</f>
        <v>#REF!</v>
      </c>
      <c r="I394" s="18" t="str">
        <f aca="false">IFERROR(__xludf.dummyfunction("REGEXEXTRACT(ADDRESS(ROW(), 24+$H394), ""[A-Z]+"")"),"#VALUE!")</f>
        <v>#VALUE!</v>
      </c>
      <c r="J394" s="18" t="str">
        <f aca="false">IFERROR(__xludf.dummyfunction("REGEXEXTRACT(ADDRESS(ROW(), 30+$H394), ""[A-Z]+"")"),"#VALUE!")</f>
        <v>#VALUE!</v>
      </c>
      <c r="K394" s="18" t="str">
        <f aca="false">IFERROR(__xludf.dummyfunction("REGEXEXTRACT(ADDRESS(ROW(), 36+$H394), ""[A-Z]+"")"),"#VALUE!")</f>
        <v>#VALUE!</v>
      </c>
      <c r="L394" s="18" t="str">
        <f aca="false">IFERROR(__xludf.dummyfunction("REGEXEXTRACT(ADDRESS(ROW(), 42+$H394), ""[A-Z]+"")"),"#VALUE!")</f>
        <v>#VALUE!</v>
      </c>
      <c r="M394" s="18" t="str">
        <f aca="false">IFERROR(__xludf.dummyfunction("REGEXEXTRACT(ADDRESS(ROW(), 48+$H394), ""[A-Z]+"")"),"#VALUE!")</f>
        <v>#VALUE!</v>
      </c>
      <c r="N394" s="18" t="str">
        <f aca="false">IFERROR(__xludf.dummyfunction("REGEXEXTRACT(ADDRESS(ROW(), 50+$H394), ""[A-Z]+"")"),"#VALUE!")</f>
        <v>#VALUE!</v>
      </c>
      <c r="O394" s="18" t="str">
        <f aca="false">IFERROR(__xludf.dummyfunction("REGEXEXTRACT(ADDRESS(ROW(), 51+$H394), ""[A-Z]+"")"),"#VALUE!")</f>
        <v>#VALUE!</v>
      </c>
      <c r="P394" s="18" t="str">
        <f aca="false">IFERROR(__xludf.dummyfunction("REGEXEXTRACT(ADDRESS(ROW(), 54+$H394), ""[A-Z]+"")"),"#VALUE!")</f>
        <v>#VALUE!</v>
      </c>
      <c r="Q394" s="18" t="str">
        <f aca="false">IFERROR(__xludf.dummyfunction("REGEXEXTRACT(ADDRESS(ROW(), 59+$H394), ""[A-Z]+"")"),"#VALUE!")</f>
        <v>#VALUE!</v>
      </c>
      <c r="R394" s="18" t="str">
        <f aca="false">IFERROR(__xludf.dummyfunction("REGEXEXTRACT(ADDRESS(ROW(), 60+$H394), ""[A-Z]+"")"),"#VALUE!")</f>
        <v>#VALUE!</v>
      </c>
      <c r="S394" s="18" t="str">
        <f aca="false">IFERROR(__xludf.dummyfunction("REGEXEXTRACT(ADDRESS(ROW(), 62+$H394), ""[A-Z]+"")"),"#VALUE!")</f>
        <v>#VALUE!</v>
      </c>
      <c r="T394" s="18" t="str">
        <f aca="false">IFERROR(__xludf.dummyfunction("REGEXEXTRACT(ADDRESS(ROW(), 63+$H394), ""[A-Z]+"")"),"#VALUE!")</f>
        <v>#VALUE!</v>
      </c>
      <c r="U394" s="19" t="str">
        <f aca="false">IFERROR(__xludf.dummyfunction("IFERROR(QUERY(INDIRECT(""'""&amp;F394&amp;""'!C3:""&amp;T394&amp;""""), ""SELECT ""&amp;I394&amp;"", ""&amp;J394&amp;"", ""&amp;K394&amp;"", ""&amp;L394&amp;"", ""&amp;M394&amp;"", ""&amp;N394&amp;"", ""&amp;O394&amp;"", ""&amp;P394&amp;"", ""&amp;Q394&amp;"", ""&amp;R394&amp;"", ""&amp;S394&amp;"" WHERE '""&amp;B394&amp;""' = D"", 0), """")"),"")</f>
        <v/>
      </c>
      <c r="V394" s="22"/>
      <c r="W394" s="22"/>
      <c r="X394" s="22"/>
      <c r="Y394" s="22"/>
      <c r="Z394" s="22"/>
      <c r="AA394" s="22"/>
      <c r="AB394" s="22"/>
      <c r="AC394" s="22"/>
      <c r="AD394" s="23"/>
      <c r="AE394" s="24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</row>
    <row r="395" customFormat="false" ht="18.65" hidden="false" customHeight="false" outlineLevel="0" collapsed="false">
      <c r="A395" s="13"/>
      <c r="B395" s="26"/>
      <c r="C395" s="15"/>
      <c r="D395" s="16"/>
      <c r="E395" s="16"/>
      <c r="F395" s="16" t="str">
        <f aca="false">REPLACE(E395, 1, 3, "")</f>
        <v/>
      </c>
      <c r="G395" s="17" t="str">
        <f aca="true">IFERROR(VLOOKUP(B395,INDIRECT("'"&amp;F395&amp;"'!D3:D"),1,FALSE()), "Not found")</f>
        <v>Not found</v>
      </c>
      <c r="H395" s="25" t="e">
        <f aca="true">INDIRECT("'"&amp;F395&amp;"'!D1")</f>
        <v>#REF!</v>
      </c>
      <c r="I395" s="18" t="str">
        <f aca="false">IFERROR(__xludf.dummyfunction("REGEXEXTRACT(ADDRESS(ROW(), 24+$H395), ""[A-Z]+"")"),"#VALUE!")</f>
        <v>#VALUE!</v>
      </c>
      <c r="J395" s="18" t="str">
        <f aca="false">IFERROR(__xludf.dummyfunction("REGEXEXTRACT(ADDRESS(ROW(), 30+$H395), ""[A-Z]+"")"),"#VALUE!")</f>
        <v>#VALUE!</v>
      </c>
      <c r="K395" s="18" t="str">
        <f aca="false">IFERROR(__xludf.dummyfunction("REGEXEXTRACT(ADDRESS(ROW(), 36+$H395), ""[A-Z]+"")"),"#VALUE!")</f>
        <v>#VALUE!</v>
      </c>
      <c r="L395" s="18" t="str">
        <f aca="false">IFERROR(__xludf.dummyfunction("REGEXEXTRACT(ADDRESS(ROW(), 42+$H395), ""[A-Z]+"")"),"#VALUE!")</f>
        <v>#VALUE!</v>
      </c>
      <c r="M395" s="18" t="str">
        <f aca="false">IFERROR(__xludf.dummyfunction("REGEXEXTRACT(ADDRESS(ROW(), 48+$H395), ""[A-Z]+"")"),"#VALUE!")</f>
        <v>#VALUE!</v>
      </c>
      <c r="N395" s="18" t="str">
        <f aca="false">IFERROR(__xludf.dummyfunction("REGEXEXTRACT(ADDRESS(ROW(), 50+$H395), ""[A-Z]+"")"),"#VALUE!")</f>
        <v>#VALUE!</v>
      </c>
      <c r="O395" s="18" t="str">
        <f aca="false">IFERROR(__xludf.dummyfunction("REGEXEXTRACT(ADDRESS(ROW(), 51+$H395), ""[A-Z]+"")"),"#VALUE!")</f>
        <v>#VALUE!</v>
      </c>
      <c r="P395" s="18" t="str">
        <f aca="false">IFERROR(__xludf.dummyfunction("REGEXEXTRACT(ADDRESS(ROW(), 54+$H395), ""[A-Z]+"")"),"#VALUE!")</f>
        <v>#VALUE!</v>
      </c>
      <c r="Q395" s="18" t="str">
        <f aca="false">IFERROR(__xludf.dummyfunction("REGEXEXTRACT(ADDRESS(ROW(), 59+$H395), ""[A-Z]+"")"),"#VALUE!")</f>
        <v>#VALUE!</v>
      </c>
      <c r="R395" s="18" t="str">
        <f aca="false">IFERROR(__xludf.dummyfunction("REGEXEXTRACT(ADDRESS(ROW(), 60+$H395), ""[A-Z]+"")"),"#VALUE!")</f>
        <v>#VALUE!</v>
      </c>
      <c r="S395" s="18" t="str">
        <f aca="false">IFERROR(__xludf.dummyfunction("REGEXEXTRACT(ADDRESS(ROW(), 62+$H395), ""[A-Z]+"")"),"#VALUE!")</f>
        <v>#VALUE!</v>
      </c>
      <c r="T395" s="18" t="str">
        <f aca="false">IFERROR(__xludf.dummyfunction("REGEXEXTRACT(ADDRESS(ROW(), 63+$H395), ""[A-Z]+"")"),"#VALUE!")</f>
        <v>#VALUE!</v>
      </c>
      <c r="U395" s="19" t="str">
        <f aca="false">IFERROR(__xludf.dummyfunction("IFERROR(QUERY(INDIRECT(""'""&amp;F395&amp;""'!C3:""&amp;T395&amp;""""), ""SELECT ""&amp;I395&amp;"", ""&amp;J395&amp;"", ""&amp;K395&amp;"", ""&amp;L395&amp;"", ""&amp;M395&amp;"", ""&amp;N395&amp;"", ""&amp;O395&amp;"", ""&amp;P395&amp;"", ""&amp;Q395&amp;"", ""&amp;R395&amp;"", ""&amp;S395&amp;"" WHERE '""&amp;B395&amp;""' = D"", 0), """")"),"")</f>
        <v/>
      </c>
      <c r="V395" s="22"/>
      <c r="W395" s="22"/>
      <c r="X395" s="22"/>
      <c r="Y395" s="22"/>
      <c r="Z395" s="22"/>
      <c r="AA395" s="22"/>
      <c r="AB395" s="22"/>
      <c r="AC395" s="22"/>
      <c r="AD395" s="23"/>
      <c r="AE395" s="24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</row>
    <row r="396" customFormat="false" ht="18.65" hidden="false" customHeight="false" outlineLevel="0" collapsed="false">
      <c r="A396" s="13"/>
      <c r="B396" s="26"/>
      <c r="C396" s="15"/>
      <c r="D396" s="16"/>
      <c r="E396" s="16"/>
      <c r="F396" s="16" t="str">
        <f aca="false">REPLACE(E396, 1, 3, "")</f>
        <v/>
      </c>
      <c r="G396" s="17" t="str">
        <f aca="true">IFERROR(VLOOKUP(B396,INDIRECT("'"&amp;F396&amp;"'!D3:D"),1,FALSE()), "Not found")</f>
        <v>Not found</v>
      </c>
      <c r="H396" s="25" t="e">
        <f aca="true">INDIRECT("'"&amp;F396&amp;"'!D1")</f>
        <v>#REF!</v>
      </c>
      <c r="I396" s="18" t="str">
        <f aca="false">IFERROR(__xludf.dummyfunction("REGEXEXTRACT(ADDRESS(ROW(), 24+$H396), ""[A-Z]+"")"),"#VALUE!")</f>
        <v>#VALUE!</v>
      </c>
      <c r="J396" s="18" t="str">
        <f aca="false">IFERROR(__xludf.dummyfunction("REGEXEXTRACT(ADDRESS(ROW(), 30+$H396), ""[A-Z]+"")"),"#VALUE!")</f>
        <v>#VALUE!</v>
      </c>
      <c r="K396" s="18" t="str">
        <f aca="false">IFERROR(__xludf.dummyfunction("REGEXEXTRACT(ADDRESS(ROW(), 36+$H396), ""[A-Z]+"")"),"#VALUE!")</f>
        <v>#VALUE!</v>
      </c>
      <c r="L396" s="18" t="str">
        <f aca="false">IFERROR(__xludf.dummyfunction("REGEXEXTRACT(ADDRESS(ROW(), 42+$H396), ""[A-Z]+"")"),"#VALUE!")</f>
        <v>#VALUE!</v>
      </c>
      <c r="M396" s="18" t="str">
        <f aca="false">IFERROR(__xludf.dummyfunction("REGEXEXTRACT(ADDRESS(ROW(), 48+$H396), ""[A-Z]+"")"),"#VALUE!")</f>
        <v>#VALUE!</v>
      </c>
      <c r="N396" s="18" t="str">
        <f aca="false">IFERROR(__xludf.dummyfunction("REGEXEXTRACT(ADDRESS(ROW(), 50+$H396), ""[A-Z]+"")"),"#VALUE!")</f>
        <v>#VALUE!</v>
      </c>
      <c r="O396" s="18" t="str">
        <f aca="false">IFERROR(__xludf.dummyfunction("REGEXEXTRACT(ADDRESS(ROW(), 51+$H396), ""[A-Z]+"")"),"#VALUE!")</f>
        <v>#VALUE!</v>
      </c>
      <c r="P396" s="18" t="str">
        <f aca="false">IFERROR(__xludf.dummyfunction("REGEXEXTRACT(ADDRESS(ROW(), 54+$H396), ""[A-Z]+"")"),"#VALUE!")</f>
        <v>#VALUE!</v>
      </c>
      <c r="Q396" s="18" t="str">
        <f aca="false">IFERROR(__xludf.dummyfunction("REGEXEXTRACT(ADDRESS(ROW(), 59+$H396), ""[A-Z]+"")"),"#VALUE!")</f>
        <v>#VALUE!</v>
      </c>
      <c r="R396" s="18" t="str">
        <f aca="false">IFERROR(__xludf.dummyfunction("REGEXEXTRACT(ADDRESS(ROW(), 60+$H396), ""[A-Z]+"")"),"#VALUE!")</f>
        <v>#VALUE!</v>
      </c>
      <c r="S396" s="18" t="str">
        <f aca="false">IFERROR(__xludf.dummyfunction("REGEXEXTRACT(ADDRESS(ROW(), 62+$H396), ""[A-Z]+"")"),"#VALUE!")</f>
        <v>#VALUE!</v>
      </c>
      <c r="T396" s="18" t="str">
        <f aca="false">IFERROR(__xludf.dummyfunction("REGEXEXTRACT(ADDRESS(ROW(), 63+$H396), ""[A-Z]+"")"),"#VALUE!")</f>
        <v>#VALUE!</v>
      </c>
      <c r="U396" s="19" t="str">
        <f aca="false">IFERROR(__xludf.dummyfunction("IFERROR(QUERY(INDIRECT(""'""&amp;F396&amp;""'!C3:""&amp;T396&amp;""""), ""SELECT ""&amp;I396&amp;"", ""&amp;J396&amp;"", ""&amp;K396&amp;"", ""&amp;L396&amp;"", ""&amp;M396&amp;"", ""&amp;N396&amp;"", ""&amp;O396&amp;"", ""&amp;P396&amp;"", ""&amp;Q396&amp;"", ""&amp;R396&amp;"", ""&amp;S396&amp;"" WHERE '""&amp;B396&amp;""' = D"", 0), """")"),"")</f>
        <v/>
      </c>
      <c r="V396" s="22"/>
      <c r="W396" s="22"/>
      <c r="X396" s="22"/>
      <c r="Y396" s="22"/>
      <c r="Z396" s="22"/>
      <c r="AA396" s="22"/>
      <c r="AB396" s="22"/>
      <c r="AC396" s="22"/>
      <c r="AD396" s="23"/>
      <c r="AE396" s="24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</row>
    <row r="397" customFormat="false" ht="18.65" hidden="false" customHeight="false" outlineLevel="0" collapsed="false">
      <c r="A397" s="13"/>
      <c r="B397" s="26"/>
      <c r="C397" s="15"/>
      <c r="D397" s="16"/>
      <c r="E397" s="16"/>
      <c r="F397" s="16" t="str">
        <f aca="false">REPLACE(E397, 1, 3, "")</f>
        <v/>
      </c>
      <c r="G397" s="17" t="str">
        <f aca="true">IFERROR(VLOOKUP(B397,INDIRECT("'"&amp;F397&amp;"'!D3:D"),1,FALSE()), "Not found")</f>
        <v>Not found</v>
      </c>
      <c r="H397" s="25" t="e">
        <f aca="true">INDIRECT("'"&amp;F397&amp;"'!D1")</f>
        <v>#REF!</v>
      </c>
      <c r="I397" s="18" t="str">
        <f aca="false">IFERROR(__xludf.dummyfunction("REGEXEXTRACT(ADDRESS(ROW(), 24+$H397), ""[A-Z]+"")"),"#VALUE!")</f>
        <v>#VALUE!</v>
      </c>
      <c r="J397" s="18" t="str">
        <f aca="false">IFERROR(__xludf.dummyfunction("REGEXEXTRACT(ADDRESS(ROW(), 30+$H397), ""[A-Z]+"")"),"#VALUE!")</f>
        <v>#VALUE!</v>
      </c>
      <c r="K397" s="18" t="str">
        <f aca="false">IFERROR(__xludf.dummyfunction("REGEXEXTRACT(ADDRESS(ROW(), 36+$H397), ""[A-Z]+"")"),"#VALUE!")</f>
        <v>#VALUE!</v>
      </c>
      <c r="L397" s="18" t="str">
        <f aca="false">IFERROR(__xludf.dummyfunction("REGEXEXTRACT(ADDRESS(ROW(), 42+$H397), ""[A-Z]+"")"),"#VALUE!")</f>
        <v>#VALUE!</v>
      </c>
      <c r="M397" s="18" t="str">
        <f aca="false">IFERROR(__xludf.dummyfunction("REGEXEXTRACT(ADDRESS(ROW(), 48+$H397), ""[A-Z]+"")"),"#VALUE!")</f>
        <v>#VALUE!</v>
      </c>
      <c r="N397" s="18" t="str">
        <f aca="false">IFERROR(__xludf.dummyfunction("REGEXEXTRACT(ADDRESS(ROW(), 50+$H397), ""[A-Z]+"")"),"#VALUE!")</f>
        <v>#VALUE!</v>
      </c>
      <c r="O397" s="18" t="str">
        <f aca="false">IFERROR(__xludf.dummyfunction("REGEXEXTRACT(ADDRESS(ROW(), 51+$H397), ""[A-Z]+"")"),"#VALUE!")</f>
        <v>#VALUE!</v>
      </c>
      <c r="P397" s="18" t="str">
        <f aca="false">IFERROR(__xludf.dummyfunction("REGEXEXTRACT(ADDRESS(ROW(), 54+$H397), ""[A-Z]+"")"),"#VALUE!")</f>
        <v>#VALUE!</v>
      </c>
      <c r="Q397" s="18" t="str">
        <f aca="false">IFERROR(__xludf.dummyfunction("REGEXEXTRACT(ADDRESS(ROW(), 59+$H397), ""[A-Z]+"")"),"#VALUE!")</f>
        <v>#VALUE!</v>
      </c>
      <c r="R397" s="18" t="str">
        <f aca="false">IFERROR(__xludf.dummyfunction("REGEXEXTRACT(ADDRESS(ROW(), 60+$H397), ""[A-Z]+"")"),"#VALUE!")</f>
        <v>#VALUE!</v>
      </c>
      <c r="S397" s="18" t="str">
        <f aca="false">IFERROR(__xludf.dummyfunction("REGEXEXTRACT(ADDRESS(ROW(), 62+$H397), ""[A-Z]+"")"),"#VALUE!")</f>
        <v>#VALUE!</v>
      </c>
      <c r="T397" s="18" t="str">
        <f aca="false">IFERROR(__xludf.dummyfunction("REGEXEXTRACT(ADDRESS(ROW(), 63+$H397), ""[A-Z]+"")"),"#VALUE!")</f>
        <v>#VALUE!</v>
      </c>
      <c r="U397" s="19" t="str">
        <f aca="false">IFERROR(__xludf.dummyfunction("IFERROR(QUERY(INDIRECT(""'""&amp;F397&amp;""'!C3:""&amp;T397&amp;""""), ""SELECT ""&amp;I397&amp;"", ""&amp;J397&amp;"", ""&amp;K397&amp;"", ""&amp;L397&amp;"", ""&amp;M397&amp;"", ""&amp;N397&amp;"", ""&amp;O397&amp;"", ""&amp;P397&amp;"", ""&amp;Q397&amp;"", ""&amp;R397&amp;"", ""&amp;S397&amp;"" WHERE '""&amp;B397&amp;""' = D"", 0), """")"),"")</f>
        <v/>
      </c>
      <c r="V397" s="22"/>
      <c r="W397" s="22"/>
      <c r="X397" s="22"/>
      <c r="Y397" s="22"/>
      <c r="Z397" s="22"/>
      <c r="AA397" s="22"/>
      <c r="AB397" s="22"/>
      <c r="AC397" s="22"/>
      <c r="AD397" s="23"/>
      <c r="AE397" s="24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</row>
    <row r="398" customFormat="false" ht="18.65" hidden="false" customHeight="false" outlineLevel="0" collapsed="false">
      <c r="A398" s="13"/>
      <c r="B398" s="26"/>
      <c r="C398" s="15"/>
      <c r="D398" s="16"/>
      <c r="E398" s="16"/>
      <c r="F398" s="16" t="str">
        <f aca="false">REPLACE(E398, 1, 3, "")</f>
        <v/>
      </c>
      <c r="G398" s="17" t="str">
        <f aca="true">IFERROR(VLOOKUP(B398,INDIRECT("'"&amp;F398&amp;"'!D3:D"),1,FALSE()), "Not found")</f>
        <v>Not found</v>
      </c>
      <c r="H398" s="25" t="e">
        <f aca="true">INDIRECT("'"&amp;F398&amp;"'!D1")</f>
        <v>#REF!</v>
      </c>
      <c r="I398" s="18" t="str">
        <f aca="false">IFERROR(__xludf.dummyfunction("REGEXEXTRACT(ADDRESS(ROW(), 24+$H398), ""[A-Z]+"")"),"#VALUE!")</f>
        <v>#VALUE!</v>
      </c>
      <c r="J398" s="18" t="str">
        <f aca="false">IFERROR(__xludf.dummyfunction("REGEXEXTRACT(ADDRESS(ROW(), 30+$H398), ""[A-Z]+"")"),"#VALUE!")</f>
        <v>#VALUE!</v>
      </c>
      <c r="K398" s="18" t="str">
        <f aca="false">IFERROR(__xludf.dummyfunction("REGEXEXTRACT(ADDRESS(ROW(), 36+$H398), ""[A-Z]+"")"),"#VALUE!")</f>
        <v>#VALUE!</v>
      </c>
      <c r="L398" s="18" t="str">
        <f aca="false">IFERROR(__xludf.dummyfunction("REGEXEXTRACT(ADDRESS(ROW(), 42+$H398), ""[A-Z]+"")"),"#VALUE!")</f>
        <v>#VALUE!</v>
      </c>
      <c r="M398" s="18" t="str">
        <f aca="false">IFERROR(__xludf.dummyfunction("REGEXEXTRACT(ADDRESS(ROW(), 48+$H398), ""[A-Z]+"")"),"#VALUE!")</f>
        <v>#VALUE!</v>
      </c>
      <c r="N398" s="18" t="str">
        <f aca="false">IFERROR(__xludf.dummyfunction("REGEXEXTRACT(ADDRESS(ROW(), 50+$H398), ""[A-Z]+"")"),"#VALUE!")</f>
        <v>#VALUE!</v>
      </c>
      <c r="O398" s="18" t="str">
        <f aca="false">IFERROR(__xludf.dummyfunction("REGEXEXTRACT(ADDRESS(ROW(), 51+$H398), ""[A-Z]+"")"),"#VALUE!")</f>
        <v>#VALUE!</v>
      </c>
      <c r="P398" s="18" t="str">
        <f aca="false">IFERROR(__xludf.dummyfunction("REGEXEXTRACT(ADDRESS(ROW(), 54+$H398), ""[A-Z]+"")"),"#VALUE!")</f>
        <v>#VALUE!</v>
      </c>
      <c r="Q398" s="18" t="str">
        <f aca="false">IFERROR(__xludf.dummyfunction("REGEXEXTRACT(ADDRESS(ROW(), 59+$H398), ""[A-Z]+"")"),"#VALUE!")</f>
        <v>#VALUE!</v>
      </c>
      <c r="R398" s="18" t="str">
        <f aca="false">IFERROR(__xludf.dummyfunction("REGEXEXTRACT(ADDRESS(ROW(), 60+$H398), ""[A-Z]+"")"),"#VALUE!")</f>
        <v>#VALUE!</v>
      </c>
      <c r="S398" s="18" t="str">
        <f aca="false">IFERROR(__xludf.dummyfunction("REGEXEXTRACT(ADDRESS(ROW(), 62+$H398), ""[A-Z]+"")"),"#VALUE!")</f>
        <v>#VALUE!</v>
      </c>
      <c r="T398" s="18" t="str">
        <f aca="false">IFERROR(__xludf.dummyfunction("REGEXEXTRACT(ADDRESS(ROW(), 63+$H398), ""[A-Z]+"")"),"#VALUE!")</f>
        <v>#VALUE!</v>
      </c>
      <c r="U398" s="19" t="str">
        <f aca="false">IFERROR(__xludf.dummyfunction("IFERROR(QUERY(INDIRECT(""'""&amp;F398&amp;""'!C3:""&amp;T398&amp;""""), ""SELECT ""&amp;I398&amp;"", ""&amp;J398&amp;"", ""&amp;K398&amp;"", ""&amp;L398&amp;"", ""&amp;M398&amp;"", ""&amp;N398&amp;"", ""&amp;O398&amp;"", ""&amp;P398&amp;"", ""&amp;Q398&amp;"", ""&amp;R398&amp;"", ""&amp;S398&amp;"" WHERE '""&amp;B398&amp;""' = D"", 0), """")"),"")</f>
        <v/>
      </c>
      <c r="V398" s="22"/>
      <c r="W398" s="22"/>
      <c r="X398" s="22"/>
      <c r="Y398" s="22"/>
      <c r="Z398" s="22"/>
      <c r="AA398" s="22"/>
      <c r="AB398" s="22"/>
      <c r="AC398" s="22"/>
      <c r="AD398" s="23"/>
      <c r="AE398" s="24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</row>
    <row r="399" customFormat="false" ht="18.65" hidden="false" customHeight="false" outlineLevel="0" collapsed="false">
      <c r="A399" s="13"/>
      <c r="B399" s="26"/>
      <c r="C399" s="15"/>
      <c r="D399" s="16"/>
      <c r="E399" s="16"/>
      <c r="F399" s="16" t="str">
        <f aca="false">REPLACE(E399, 1, 3, "")</f>
        <v/>
      </c>
      <c r="G399" s="17" t="str">
        <f aca="true">IFERROR(VLOOKUP(B399,INDIRECT("'"&amp;F399&amp;"'!D3:D"),1,FALSE()), "Not found")</f>
        <v>Not found</v>
      </c>
      <c r="H399" s="25" t="e">
        <f aca="true">INDIRECT("'"&amp;F399&amp;"'!D1")</f>
        <v>#REF!</v>
      </c>
      <c r="I399" s="18" t="str">
        <f aca="false">IFERROR(__xludf.dummyfunction("REGEXEXTRACT(ADDRESS(ROW(), 24+$H399), ""[A-Z]+"")"),"#VALUE!")</f>
        <v>#VALUE!</v>
      </c>
      <c r="J399" s="18" t="str">
        <f aca="false">IFERROR(__xludf.dummyfunction("REGEXEXTRACT(ADDRESS(ROW(), 30+$H399), ""[A-Z]+"")"),"#VALUE!")</f>
        <v>#VALUE!</v>
      </c>
      <c r="K399" s="18" t="str">
        <f aca="false">IFERROR(__xludf.dummyfunction("REGEXEXTRACT(ADDRESS(ROW(), 36+$H399), ""[A-Z]+"")"),"#VALUE!")</f>
        <v>#VALUE!</v>
      </c>
      <c r="L399" s="18" t="str">
        <f aca="false">IFERROR(__xludf.dummyfunction("REGEXEXTRACT(ADDRESS(ROW(), 42+$H399), ""[A-Z]+"")"),"#VALUE!")</f>
        <v>#VALUE!</v>
      </c>
      <c r="M399" s="18" t="str">
        <f aca="false">IFERROR(__xludf.dummyfunction("REGEXEXTRACT(ADDRESS(ROW(), 48+$H399), ""[A-Z]+"")"),"#VALUE!")</f>
        <v>#VALUE!</v>
      </c>
      <c r="N399" s="18" t="str">
        <f aca="false">IFERROR(__xludf.dummyfunction("REGEXEXTRACT(ADDRESS(ROW(), 50+$H399), ""[A-Z]+"")"),"#VALUE!")</f>
        <v>#VALUE!</v>
      </c>
      <c r="O399" s="18" t="str">
        <f aca="false">IFERROR(__xludf.dummyfunction("REGEXEXTRACT(ADDRESS(ROW(), 51+$H399), ""[A-Z]+"")"),"#VALUE!")</f>
        <v>#VALUE!</v>
      </c>
      <c r="P399" s="18" t="str">
        <f aca="false">IFERROR(__xludf.dummyfunction("REGEXEXTRACT(ADDRESS(ROW(), 54+$H399), ""[A-Z]+"")"),"#VALUE!")</f>
        <v>#VALUE!</v>
      </c>
      <c r="Q399" s="18" t="str">
        <f aca="false">IFERROR(__xludf.dummyfunction("REGEXEXTRACT(ADDRESS(ROW(), 59+$H399), ""[A-Z]+"")"),"#VALUE!")</f>
        <v>#VALUE!</v>
      </c>
      <c r="R399" s="18" t="str">
        <f aca="false">IFERROR(__xludf.dummyfunction("REGEXEXTRACT(ADDRESS(ROW(), 60+$H399), ""[A-Z]+"")"),"#VALUE!")</f>
        <v>#VALUE!</v>
      </c>
      <c r="S399" s="18" t="str">
        <f aca="false">IFERROR(__xludf.dummyfunction("REGEXEXTRACT(ADDRESS(ROW(), 62+$H399), ""[A-Z]+"")"),"#VALUE!")</f>
        <v>#VALUE!</v>
      </c>
      <c r="T399" s="18" t="str">
        <f aca="false">IFERROR(__xludf.dummyfunction("REGEXEXTRACT(ADDRESS(ROW(), 63+$H399), ""[A-Z]+"")"),"#VALUE!")</f>
        <v>#VALUE!</v>
      </c>
      <c r="U399" s="19" t="str">
        <f aca="false">IFERROR(__xludf.dummyfunction("IFERROR(QUERY(INDIRECT(""'""&amp;F399&amp;""'!C3:""&amp;T399&amp;""""), ""SELECT ""&amp;I399&amp;"", ""&amp;J399&amp;"", ""&amp;K399&amp;"", ""&amp;L399&amp;"", ""&amp;M399&amp;"", ""&amp;N399&amp;"", ""&amp;O399&amp;"", ""&amp;P399&amp;"", ""&amp;Q399&amp;"", ""&amp;R399&amp;"", ""&amp;S399&amp;"" WHERE '""&amp;B399&amp;""' = D"", 0), """")"),"")</f>
        <v/>
      </c>
      <c r="V399" s="22"/>
      <c r="W399" s="22"/>
      <c r="X399" s="22"/>
      <c r="Y399" s="22"/>
      <c r="Z399" s="22"/>
      <c r="AA399" s="22"/>
      <c r="AB399" s="22"/>
      <c r="AC399" s="22"/>
      <c r="AD399" s="23"/>
      <c r="AE399" s="24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</row>
    <row r="400" customFormat="false" ht="18.65" hidden="false" customHeight="false" outlineLevel="0" collapsed="false">
      <c r="A400" s="13"/>
      <c r="B400" s="26"/>
      <c r="C400" s="15"/>
      <c r="D400" s="16"/>
      <c r="E400" s="16"/>
      <c r="F400" s="16" t="str">
        <f aca="false">REPLACE(E400, 1, 3, "")</f>
        <v/>
      </c>
      <c r="G400" s="17" t="str">
        <f aca="true">IFERROR(VLOOKUP(B400,INDIRECT("'"&amp;F400&amp;"'!D3:D"),1,FALSE()), "Not found")</f>
        <v>Not found</v>
      </c>
      <c r="H400" s="25" t="e">
        <f aca="true">INDIRECT("'"&amp;F400&amp;"'!D1")</f>
        <v>#REF!</v>
      </c>
      <c r="I400" s="18" t="str">
        <f aca="false">IFERROR(__xludf.dummyfunction("REGEXEXTRACT(ADDRESS(ROW(), 24+$H400), ""[A-Z]+"")"),"#VALUE!")</f>
        <v>#VALUE!</v>
      </c>
      <c r="J400" s="18" t="str">
        <f aca="false">IFERROR(__xludf.dummyfunction("REGEXEXTRACT(ADDRESS(ROW(), 30+$H400), ""[A-Z]+"")"),"#VALUE!")</f>
        <v>#VALUE!</v>
      </c>
      <c r="K400" s="18" t="str">
        <f aca="false">IFERROR(__xludf.dummyfunction("REGEXEXTRACT(ADDRESS(ROW(), 36+$H400), ""[A-Z]+"")"),"#VALUE!")</f>
        <v>#VALUE!</v>
      </c>
      <c r="L400" s="18" t="str">
        <f aca="false">IFERROR(__xludf.dummyfunction("REGEXEXTRACT(ADDRESS(ROW(), 42+$H400), ""[A-Z]+"")"),"#VALUE!")</f>
        <v>#VALUE!</v>
      </c>
      <c r="M400" s="18" t="str">
        <f aca="false">IFERROR(__xludf.dummyfunction("REGEXEXTRACT(ADDRESS(ROW(), 48+$H400), ""[A-Z]+"")"),"#VALUE!")</f>
        <v>#VALUE!</v>
      </c>
      <c r="N400" s="18" t="str">
        <f aca="false">IFERROR(__xludf.dummyfunction("REGEXEXTRACT(ADDRESS(ROW(), 50+$H400), ""[A-Z]+"")"),"#VALUE!")</f>
        <v>#VALUE!</v>
      </c>
      <c r="O400" s="18" t="str">
        <f aca="false">IFERROR(__xludf.dummyfunction("REGEXEXTRACT(ADDRESS(ROW(), 51+$H400), ""[A-Z]+"")"),"#VALUE!")</f>
        <v>#VALUE!</v>
      </c>
      <c r="P400" s="18" t="str">
        <f aca="false">IFERROR(__xludf.dummyfunction("REGEXEXTRACT(ADDRESS(ROW(), 54+$H400), ""[A-Z]+"")"),"#VALUE!")</f>
        <v>#VALUE!</v>
      </c>
      <c r="Q400" s="18" t="str">
        <f aca="false">IFERROR(__xludf.dummyfunction("REGEXEXTRACT(ADDRESS(ROW(), 59+$H400), ""[A-Z]+"")"),"#VALUE!")</f>
        <v>#VALUE!</v>
      </c>
      <c r="R400" s="18" t="str">
        <f aca="false">IFERROR(__xludf.dummyfunction("REGEXEXTRACT(ADDRESS(ROW(), 60+$H400), ""[A-Z]+"")"),"#VALUE!")</f>
        <v>#VALUE!</v>
      </c>
      <c r="S400" s="18" t="str">
        <f aca="false">IFERROR(__xludf.dummyfunction("REGEXEXTRACT(ADDRESS(ROW(), 62+$H400), ""[A-Z]+"")"),"#VALUE!")</f>
        <v>#VALUE!</v>
      </c>
      <c r="T400" s="18" t="str">
        <f aca="false">IFERROR(__xludf.dummyfunction("REGEXEXTRACT(ADDRESS(ROW(), 63+$H400), ""[A-Z]+"")"),"#VALUE!")</f>
        <v>#VALUE!</v>
      </c>
      <c r="U400" s="19" t="str">
        <f aca="false">IFERROR(__xludf.dummyfunction("IFERROR(QUERY(INDIRECT(""'""&amp;F400&amp;""'!C3:""&amp;T400&amp;""""), ""SELECT ""&amp;I400&amp;"", ""&amp;J400&amp;"", ""&amp;K400&amp;"", ""&amp;L400&amp;"", ""&amp;M400&amp;"", ""&amp;N400&amp;"", ""&amp;O400&amp;"", ""&amp;P400&amp;"", ""&amp;Q400&amp;"", ""&amp;R400&amp;"", ""&amp;S400&amp;"" WHERE '""&amp;B400&amp;""' = D"", 0), """")"),"")</f>
        <v/>
      </c>
      <c r="V400" s="22"/>
      <c r="W400" s="22"/>
      <c r="X400" s="22"/>
      <c r="Y400" s="22"/>
      <c r="Z400" s="22"/>
      <c r="AA400" s="22"/>
      <c r="AB400" s="22"/>
      <c r="AC400" s="22"/>
      <c r="AD400" s="23"/>
      <c r="AE400" s="24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</row>
    <row r="401" customFormat="false" ht="18.65" hidden="false" customHeight="false" outlineLevel="0" collapsed="false">
      <c r="A401" s="13"/>
      <c r="B401" s="26"/>
      <c r="C401" s="15"/>
      <c r="D401" s="16"/>
      <c r="E401" s="16"/>
      <c r="F401" s="16" t="str">
        <f aca="false">REPLACE(E401, 1, 3, "")</f>
        <v/>
      </c>
      <c r="G401" s="17" t="str">
        <f aca="true">IFERROR(VLOOKUP(B401,INDIRECT("'"&amp;F401&amp;"'!D3:D"),1,FALSE()), "Not found")</f>
        <v>Not found</v>
      </c>
      <c r="H401" s="25" t="e">
        <f aca="true">INDIRECT("'"&amp;F401&amp;"'!D1")</f>
        <v>#REF!</v>
      </c>
      <c r="I401" s="18" t="str">
        <f aca="false">IFERROR(__xludf.dummyfunction("REGEXEXTRACT(ADDRESS(ROW(), 24+$H401), ""[A-Z]+"")"),"#VALUE!")</f>
        <v>#VALUE!</v>
      </c>
      <c r="J401" s="18" t="str">
        <f aca="false">IFERROR(__xludf.dummyfunction("REGEXEXTRACT(ADDRESS(ROW(), 30+$H401), ""[A-Z]+"")"),"#VALUE!")</f>
        <v>#VALUE!</v>
      </c>
      <c r="K401" s="18" t="str">
        <f aca="false">IFERROR(__xludf.dummyfunction("REGEXEXTRACT(ADDRESS(ROW(), 36+$H401), ""[A-Z]+"")"),"#VALUE!")</f>
        <v>#VALUE!</v>
      </c>
      <c r="L401" s="18" t="str">
        <f aca="false">IFERROR(__xludf.dummyfunction("REGEXEXTRACT(ADDRESS(ROW(), 42+$H401), ""[A-Z]+"")"),"#VALUE!")</f>
        <v>#VALUE!</v>
      </c>
      <c r="M401" s="18" t="str">
        <f aca="false">IFERROR(__xludf.dummyfunction("REGEXEXTRACT(ADDRESS(ROW(), 48+$H401), ""[A-Z]+"")"),"#VALUE!")</f>
        <v>#VALUE!</v>
      </c>
      <c r="N401" s="18" t="str">
        <f aca="false">IFERROR(__xludf.dummyfunction("REGEXEXTRACT(ADDRESS(ROW(), 50+$H401), ""[A-Z]+"")"),"#VALUE!")</f>
        <v>#VALUE!</v>
      </c>
      <c r="O401" s="18" t="str">
        <f aca="false">IFERROR(__xludf.dummyfunction("REGEXEXTRACT(ADDRESS(ROW(), 51+$H401), ""[A-Z]+"")"),"#VALUE!")</f>
        <v>#VALUE!</v>
      </c>
      <c r="P401" s="18" t="str">
        <f aca="false">IFERROR(__xludf.dummyfunction("REGEXEXTRACT(ADDRESS(ROW(), 54+$H401), ""[A-Z]+"")"),"#VALUE!")</f>
        <v>#VALUE!</v>
      </c>
      <c r="Q401" s="18" t="str">
        <f aca="false">IFERROR(__xludf.dummyfunction("REGEXEXTRACT(ADDRESS(ROW(), 59+$H401), ""[A-Z]+"")"),"#VALUE!")</f>
        <v>#VALUE!</v>
      </c>
      <c r="R401" s="18" t="str">
        <f aca="false">IFERROR(__xludf.dummyfunction("REGEXEXTRACT(ADDRESS(ROW(), 60+$H401), ""[A-Z]+"")"),"#VALUE!")</f>
        <v>#VALUE!</v>
      </c>
      <c r="S401" s="18" t="str">
        <f aca="false">IFERROR(__xludf.dummyfunction("REGEXEXTRACT(ADDRESS(ROW(), 62+$H401), ""[A-Z]+"")"),"#VALUE!")</f>
        <v>#VALUE!</v>
      </c>
      <c r="T401" s="18" t="str">
        <f aca="false">IFERROR(__xludf.dummyfunction("REGEXEXTRACT(ADDRESS(ROW(), 63+$H401), ""[A-Z]+"")"),"#VALUE!")</f>
        <v>#VALUE!</v>
      </c>
      <c r="U401" s="19" t="str">
        <f aca="false">IFERROR(__xludf.dummyfunction("IFERROR(QUERY(INDIRECT(""'""&amp;F401&amp;""'!C3:""&amp;T401&amp;""""), ""SELECT ""&amp;I401&amp;"", ""&amp;J401&amp;"", ""&amp;K401&amp;"", ""&amp;L401&amp;"", ""&amp;M401&amp;"", ""&amp;N401&amp;"", ""&amp;O401&amp;"", ""&amp;P401&amp;"", ""&amp;Q401&amp;"", ""&amp;R401&amp;"", ""&amp;S401&amp;"" WHERE '""&amp;B401&amp;""' = D"", 0), """")"),"")</f>
        <v/>
      </c>
      <c r="V401" s="22"/>
      <c r="W401" s="22"/>
      <c r="X401" s="22"/>
      <c r="Y401" s="22"/>
      <c r="Z401" s="22"/>
      <c r="AA401" s="22"/>
      <c r="AB401" s="22"/>
      <c r="AC401" s="22"/>
      <c r="AD401" s="23"/>
      <c r="AE401" s="24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</row>
    <row r="402" customFormat="false" ht="18.65" hidden="false" customHeight="false" outlineLevel="0" collapsed="false">
      <c r="A402" s="13"/>
      <c r="B402" s="26"/>
      <c r="C402" s="15"/>
      <c r="D402" s="16"/>
      <c r="E402" s="16"/>
      <c r="F402" s="16" t="str">
        <f aca="false">REPLACE(E402, 1, 3, "")</f>
        <v/>
      </c>
      <c r="G402" s="17" t="str">
        <f aca="true">IFERROR(VLOOKUP(B402,INDIRECT("'"&amp;F402&amp;"'!D3:D"),1,FALSE()), "Not found")</f>
        <v>Not found</v>
      </c>
      <c r="H402" s="25" t="e">
        <f aca="true">INDIRECT("'"&amp;F402&amp;"'!D1")</f>
        <v>#REF!</v>
      </c>
      <c r="I402" s="18" t="str">
        <f aca="false">IFERROR(__xludf.dummyfunction("REGEXEXTRACT(ADDRESS(ROW(), 24+$H402), ""[A-Z]+"")"),"#VALUE!")</f>
        <v>#VALUE!</v>
      </c>
      <c r="J402" s="18" t="str">
        <f aca="false">IFERROR(__xludf.dummyfunction("REGEXEXTRACT(ADDRESS(ROW(), 30+$H402), ""[A-Z]+"")"),"#VALUE!")</f>
        <v>#VALUE!</v>
      </c>
      <c r="K402" s="18" t="str">
        <f aca="false">IFERROR(__xludf.dummyfunction("REGEXEXTRACT(ADDRESS(ROW(), 36+$H402), ""[A-Z]+"")"),"#VALUE!")</f>
        <v>#VALUE!</v>
      </c>
      <c r="L402" s="18" t="str">
        <f aca="false">IFERROR(__xludf.dummyfunction("REGEXEXTRACT(ADDRESS(ROW(), 42+$H402), ""[A-Z]+"")"),"#VALUE!")</f>
        <v>#VALUE!</v>
      </c>
      <c r="M402" s="18" t="str">
        <f aca="false">IFERROR(__xludf.dummyfunction("REGEXEXTRACT(ADDRESS(ROW(), 48+$H402), ""[A-Z]+"")"),"#VALUE!")</f>
        <v>#VALUE!</v>
      </c>
      <c r="N402" s="18" t="str">
        <f aca="false">IFERROR(__xludf.dummyfunction("REGEXEXTRACT(ADDRESS(ROW(), 50+$H402), ""[A-Z]+"")"),"#VALUE!")</f>
        <v>#VALUE!</v>
      </c>
      <c r="O402" s="18" t="str">
        <f aca="false">IFERROR(__xludf.dummyfunction("REGEXEXTRACT(ADDRESS(ROW(), 51+$H402), ""[A-Z]+"")"),"#VALUE!")</f>
        <v>#VALUE!</v>
      </c>
      <c r="P402" s="18" t="str">
        <f aca="false">IFERROR(__xludf.dummyfunction("REGEXEXTRACT(ADDRESS(ROW(), 54+$H402), ""[A-Z]+"")"),"#VALUE!")</f>
        <v>#VALUE!</v>
      </c>
      <c r="Q402" s="18" t="str">
        <f aca="false">IFERROR(__xludf.dummyfunction("REGEXEXTRACT(ADDRESS(ROW(), 59+$H402), ""[A-Z]+"")"),"#VALUE!")</f>
        <v>#VALUE!</v>
      </c>
      <c r="R402" s="18" t="str">
        <f aca="false">IFERROR(__xludf.dummyfunction("REGEXEXTRACT(ADDRESS(ROW(), 60+$H402), ""[A-Z]+"")"),"#VALUE!")</f>
        <v>#VALUE!</v>
      </c>
      <c r="S402" s="18" t="str">
        <f aca="false">IFERROR(__xludf.dummyfunction("REGEXEXTRACT(ADDRESS(ROW(), 62+$H402), ""[A-Z]+"")"),"#VALUE!")</f>
        <v>#VALUE!</v>
      </c>
      <c r="T402" s="18" t="str">
        <f aca="false">IFERROR(__xludf.dummyfunction("REGEXEXTRACT(ADDRESS(ROW(), 63+$H402), ""[A-Z]+"")"),"#VALUE!")</f>
        <v>#VALUE!</v>
      </c>
      <c r="U402" s="19" t="str">
        <f aca="false">IFERROR(__xludf.dummyfunction("IFERROR(QUERY(INDIRECT(""'""&amp;F402&amp;""'!C3:""&amp;T402&amp;""""), ""SELECT ""&amp;I402&amp;"", ""&amp;J402&amp;"", ""&amp;K402&amp;"", ""&amp;L402&amp;"", ""&amp;M402&amp;"", ""&amp;N402&amp;"", ""&amp;O402&amp;"", ""&amp;P402&amp;"", ""&amp;Q402&amp;"", ""&amp;R402&amp;"", ""&amp;S402&amp;"" WHERE '""&amp;B402&amp;""' = D"", 0), """")"),"")</f>
        <v/>
      </c>
      <c r="V402" s="22"/>
      <c r="W402" s="22"/>
      <c r="X402" s="22"/>
      <c r="Y402" s="22"/>
      <c r="Z402" s="22"/>
      <c r="AA402" s="22"/>
      <c r="AB402" s="22"/>
      <c r="AC402" s="22"/>
      <c r="AD402" s="23"/>
      <c r="AE402" s="24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</row>
    <row r="403" customFormat="false" ht="18.65" hidden="false" customHeight="false" outlineLevel="0" collapsed="false">
      <c r="A403" s="13"/>
      <c r="B403" s="26"/>
      <c r="C403" s="15"/>
      <c r="D403" s="16"/>
      <c r="E403" s="16"/>
      <c r="F403" s="16" t="str">
        <f aca="false">REPLACE(E403, 1, 3, "")</f>
        <v/>
      </c>
      <c r="G403" s="17" t="str">
        <f aca="true">IFERROR(VLOOKUP(B403,INDIRECT("'"&amp;F403&amp;"'!D3:D"),1,FALSE()), "Not found")</f>
        <v>Not found</v>
      </c>
      <c r="H403" s="25" t="e">
        <f aca="true">INDIRECT("'"&amp;F403&amp;"'!D1")</f>
        <v>#REF!</v>
      </c>
      <c r="I403" s="18" t="str">
        <f aca="false">IFERROR(__xludf.dummyfunction("REGEXEXTRACT(ADDRESS(ROW(), 24+$H403), ""[A-Z]+"")"),"#VALUE!")</f>
        <v>#VALUE!</v>
      </c>
      <c r="J403" s="18" t="str">
        <f aca="false">IFERROR(__xludf.dummyfunction("REGEXEXTRACT(ADDRESS(ROW(), 30+$H403), ""[A-Z]+"")"),"#VALUE!")</f>
        <v>#VALUE!</v>
      </c>
      <c r="K403" s="18" t="str">
        <f aca="false">IFERROR(__xludf.dummyfunction("REGEXEXTRACT(ADDRESS(ROW(), 36+$H403), ""[A-Z]+"")"),"#VALUE!")</f>
        <v>#VALUE!</v>
      </c>
      <c r="L403" s="18" t="str">
        <f aca="false">IFERROR(__xludf.dummyfunction("REGEXEXTRACT(ADDRESS(ROW(), 42+$H403), ""[A-Z]+"")"),"#VALUE!")</f>
        <v>#VALUE!</v>
      </c>
      <c r="M403" s="18" t="str">
        <f aca="false">IFERROR(__xludf.dummyfunction("REGEXEXTRACT(ADDRESS(ROW(), 48+$H403), ""[A-Z]+"")"),"#VALUE!")</f>
        <v>#VALUE!</v>
      </c>
      <c r="N403" s="18" t="str">
        <f aca="false">IFERROR(__xludf.dummyfunction("REGEXEXTRACT(ADDRESS(ROW(), 50+$H403), ""[A-Z]+"")"),"#VALUE!")</f>
        <v>#VALUE!</v>
      </c>
      <c r="O403" s="18" t="str">
        <f aca="false">IFERROR(__xludf.dummyfunction("REGEXEXTRACT(ADDRESS(ROW(), 51+$H403), ""[A-Z]+"")"),"#VALUE!")</f>
        <v>#VALUE!</v>
      </c>
      <c r="P403" s="18" t="str">
        <f aca="false">IFERROR(__xludf.dummyfunction("REGEXEXTRACT(ADDRESS(ROW(), 54+$H403), ""[A-Z]+"")"),"#VALUE!")</f>
        <v>#VALUE!</v>
      </c>
      <c r="Q403" s="18" t="str">
        <f aca="false">IFERROR(__xludf.dummyfunction("REGEXEXTRACT(ADDRESS(ROW(), 59+$H403), ""[A-Z]+"")"),"#VALUE!")</f>
        <v>#VALUE!</v>
      </c>
      <c r="R403" s="18" t="str">
        <f aca="false">IFERROR(__xludf.dummyfunction("REGEXEXTRACT(ADDRESS(ROW(), 60+$H403), ""[A-Z]+"")"),"#VALUE!")</f>
        <v>#VALUE!</v>
      </c>
      <c r="S403" s="18" t="str">
        <f aca="false">IFERROR(__xludf.dummyfunction("REGEXEXTRACT(ADDRESS(ROW(), 62+$H403), ""[A-Z]+"")"),"#VALUE!")</f>
        <v>#VALUE!</v>
      </c>
      <c r="T403" s="18" t="str">
        <f aca="false">IFERROR(__xludf.dummyfunction("REGEXEXTRACT(ADDRESS(ROW(), 63+$H403), ""[A-Z]+"")"),"#VALUE!")</f>
        <v>#VALUE!</v>
      </c>
      <c r="U403" s="19" t="str">
        <f aca="false">IFERROR(__xludf.dummyfunction("IFERROR(QUERY(INDIRECT(""'""&amp;F403&amp;""'!C3:""&amp;T403&amp;""""), ""SELECT ""&amp;I403&amp;"", ""&amp;J403&amp;"", ""&amp;K403&amp;"", ""&amp;L403&amp;"", ""&amp;M403&amp;"", ""&amp;N403&amp;"", ""&amp;O403&amp;"", ""&amp;P403&amp;"", ""&amp;Q403&amp;"", ""&amp;R403&amp;"", ""&amp;S403&amp;"" WHERE '""&amp;B403&amp;""' = D"", 0), """")"),"")</f>
        <v/>
      </c>
      <c r="V403" s="22"/>
      <c r="W403" s="22"/>
      <c r="X403" s="22"/>
      <c r="Y403" s="22"/>
      <c r="Z403" s="22"/>
      <c r="AA403" s="22"/>
      <c r="AB403" s="22"/>
      <c r="AC403" s="22"/>
      <c r="AD403" s="23"/>
      <c r="AE403" s="24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</row>
    <row r="404" customFormat="false" ht="18.65" hidden="false" customHeight="false" outlineLevel="0" collapsed="false">
      <c r="A404" s="13"/>
      <c r="B404" s="26"/>
      <c r="C404" s="15"/>
      <c r="D404" s="16"/>
      <c r="E404" s="16"/>
      <c r="F404" s="16" t="str">
        <f aca="false">REPLACE(E404, 1, 3, "")</f>
        <v/>
      </c>
      <c r="G404" s="17" t="str">
        <f aca="true">IFERROR(VLOOKUP(B404,INDIRECT("'"&amp;F404&amp;"'!D3:D"),1,FALSE()), "Not found")</f>
        <v>Not found</v>
      </c>
      <c r="H404" s="25" t="e">
        <f aca="true">INDIRECT("'"&amp;F404&amp;"'!D1")</f>
        <v>#REF!</v>
      </c>
      <c r="I404" s="18" t="str">
        <f aca="false">IFERROR(__xludf.dummyfunction("REGEXEXTRACT(ADDRESS(ROW(), 24+$H404), ""[A-Z]+"")"),"#VALUE!")</f>
        <v>#VALUE!</v>
      </c>
      <c r="J404" s="18" t="str">
        <f aca="false">IFERROR(__xludf.dummyfunction("REGEXEXTRACT(ADDRESS(ROW(), 30+$H404), ""[A-Z]+"")"),"#VALUE!")</f>
        <v>#VALUE!</v>
      </c>
      <c r="K404" s="18" t="str">
        <f aca="false">IFERROR(__xludf.dummyfunction("REGEXEXTRACT(ADDRESS(ROW(), 36+$H404), ""[A-Z]+"")"),"#VALUE!")</f>
        <v>#VALUE!</v>
      </c>
      <c r="L404" s="18" t="str">
        <f aca="false">IFERROR(__xludf.dummyfunction("REGEXEXTRACT(ADDRESS(ROW(), 42+$H404), ""[A-Z]+"")"),"#VALUE!")</f>
        <v>#VALUE!</v>
      </c>
      <c r="M404" s="18" t="str">
        <f aca="false">IFERROR(__xludf.dummyfunction("REGEXEXTRACT(ADDRESS(ROW(), 48+$H404), ""[A-Z]+"")"),"#VALUE!")</f>
        <v>#VALUE!</v>
      </c>
      <c r="N404" s="18" t="str">
        <f aca="false">IFERROR(__xludf.dummyfunction("REGEXEXTRACT(ADDRESS(ROW(), 50+$H404), ""[A-Z]+"")"),"#VALUE!")</f>
        <v>#VALUE!</v>
      </c>
      <c r="O404" s="18" t="str">
        <f aca="false">IFERROR(__xludf.dummyfunction("REGEXEXTRACT(ADDRESS(ROW(), 51+$H404), ""[A-Z]+"")"),"#VALUE!")</f>
        <v>#VALUE!</v>
      </c>
      <c r="P404" s="18" t="str">
        <f aca="false">IFERROR(__xludf.dummyfunction("REGEXEXTRACT(ADDRESS(ROW(), 54+$H404), ""[A-Z]+"")"),"#VALUE!")</f>
        <v>#VALUE!</v>
      </c>
      <c r="Q404" s="18" t="str">
        <f aca="false">IFERROR(__xludf.dummyfunction("REGEXEXTRACT(ADDRESS(ROW(), 59+$H404), ""[A-Z]+"")"),"#VALUE!")</f>
        <v>#VALUE!</v>
      </c>
      <c r="R404" s="18" t="str">
        <f aca="false">IFERROR(__xludf.dummyfunction("REGEXEXTRACT(ADDRESS(ROW(), 60+$H404), ""[A-Z]+"")"),"#VALUE!")</f>
        <v>#VALUE!</v>
      </c>
      <c r="S404" s="18" t="str">
        <f aca="false">IFERROR(__xludf.dummyfunction("REGEXEXTRACT(ADDRESS(ROW(), 62+$H404), ""[A-Z]+"")"),"#VALUE!")</f>
        <v>#VALUE!</v>
      </c>
      <c r="T404" s="18" t="str">
        <f aca="false">IFERROR(__xludf.dummyfunction("REGEXEXTRACT(ADDRESS(ROW(), 63+$H404), ""[A-Z]+"")"),"#VALUE!")</f>
        <v>#VALUE!</v>
      </c>
      <c r="U404" s="19" t="str">
        <f aca="false">IFERROR(__xludf.dummyfunction("IFERROR(QUERY(INDIRECT(""'""&amp;F404&amp;""'!C3:""&amp;T404&amp;""""), ""SELECT ""&amp;I404&amp;"", ""&amp;J404&amp;"", ""&amp;K404&amp;"", ""&amp;L404&amp;"", ""&amp;M404&amp;"", ""&amp;N404&amp;"", ""&amp;O404&amp;"", ""&amp;P404&amp;"", ""&amp;Q404&amp;"", ""&amp;R404&amp;"", ""&amp;S404&amp;"" WHERE '""&amp;B404&amp;""' = D"", 0), """")"),"")</f>
        <v/>
      </c>
      <c r="V404" s="22"/>
      <c r="W404" s="22"/>
      <c r="X404" s="22"/>
      <c r="Y404" s="22"/>
      <c r="Z404" s="22"/>
      <c r="AA404" s="22"/>
      <c r="AB404" s="22"/>
      <c r="AC404" s="22"/>
      <c r="AD404" s="23"/>
      <c r="AE404" s="24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</row>
    <row r="405" customFormat="false" ht="18.65" hidden="false" customHeight="false" outlineLevel="0" collapsed="false">
      <c r="A405" s="13"/>
      <c r="B405" s="26"/>
      <c r="C405" s="15"/>
      <c r="D405" s="16"/>
      <c r="E405" s="16"/>
      <c r="F405" s="16" t="str">
        <f aca="false">REPLACE(E405, 1, 3, "")</f>
        <v/>
      </c>
      <c r="G405" s="17" t="str">
        <f aca="true">IFERROR(VLOOKUP(B405,INDIRECT("'"&amp;F405&amp;"'!D3:D"),1,FALSE()), "Not found")</f>
        <v>Not found</v>
      </c>
      <c r="H405" s="25" t="e">
        <f aca="true">INDIRECT("'"&amp;F405&amp;"'!D1")</f>
        <v>#REF!</v>
      </c>
      <c r="I405" s="18" t="str">
        <f aca="false">IFERROR(__xludf.dummyfunction("REGEXEXTRACT(ADDRESS(ROW(), 24+$H405), ""[A-Z]+"")"),"#VALUE!")</f>
        <v>#VALUE!</v>
      </c>
      <c r="J405" s="18" t="str">
        <f aca="false">IFERROR(__xludf.dummyfunction("REGEXEXTRACT(ADDRESS(ROW(), 30+$H405), ""[A-Z]+"")"),"#VALUE!")</f>
        <v>#VALUE!</v>
      </c>
      <c r="K405" s="18" t="str">
        <f aca="false">IFERROR(__xludf.dummyfunction("REGEXEXTRACT(ADDRESS(ROW(), 36+$H405), ""[A-Z]+"")"),"#VALUE!")</f>
        <v>#VALUE!</v>
      </c>
      <c r="L405" s="18" t="str">
        <f aca="false">IFERROR(__xludf.dummyfunction("REGEXEXTRACT(ADDRESS(ROW(), 42+$H405), ""[A-Z]+"")"),"#VALUE!")</f>
        <v>#VALUE!</v>
      </c>
      <c r="M405" s="18" t="str">
        <f aca="false">IFERROR(__xludf.dummyfunction("REGEXEXTRACT(ADDRESS(ROW(), 48+$H405), ""[A-Z]+"")"),"#VALUE!")</f>
        <v>#VALUE!</v>
      </c>
      <c r="N405" s="18" t="str">
        <f aca="false">IFERROR(__xludf.dummyfunction("REGEXEXTRACT(ADDRESS(ROW(), 50+$H405), ""[A-Z]+"")"),"#VALUE!")</f>
        <v>#VALUE!</v>
      </c>
      <c r="O405" s="18" t="str">
        <f aca="false">IFERROR(__xludf.dummyfunction("REGEXEXTRACT(ADDRESS(ROW(), 51+$H405), ""[A-Z]+"")"),"#VALUE!")</f>
        <v>#VALUE!</v>
      </c>
      <c r="P405" s="18" t="str">
        <f aca="false">IFERROR(__xludf.dummyfunction("REGEXEXTRACT(ADDRESS(ROW(), 54+$H405), ""[A-Z]+"")"),"#VALUE!")</f>
        <v>#VALUE!</v>
      </c>
      <c r="Q405" s="18" t="str">
        <f aca="false">IFERROR(__xludf.dummyfunction("REGEXEXTRACT(ADDRESS(ROW(), 59+$H405), ""[A-Z]+"")"),"#VALUE!")</f>
        <v>#VALUE!</v>
      </c>
      <c r="R405" s="18" t="str">
        <f aca="false">IFERROR(__xludf.dummyfunction("REGEXEXTRACT(ADDRESS(ROW(), 60+$H405), ""[A-Z]+"")"),"#VALUE!")</f>
        <v>#VALUE!</v>
      </c>
      <c r="S405" s="18" t="str">
        <f aca="false">IFERROR(__xludf.dummyfunction("REGEXEXTRACT(ADDRESS(ROW(), 62+$H405), ""[A-Z]+"")"),"#VALUE!")</f>
        <v>#VALUE!</v>
      </c>
      <c r="T405" s="18" t="str">
        <f aca="false">IFERROR(__xludf.dummyfunction("REGEXEXTRACT(ADDRESS(ROW(), 63+$H405), ""[A-Z]+"")"),"#VALUE!")</f>
        <v>#VALUE!</v>
      </c>
      <c r="U405" s="19" t="str">
        <f aca="false">IFERROR(__xludf.dummyfunction("IFERROR(QUERY(INDIRECT(""'""&amp;F405&amp;""'!C3:""&amp;T405&amp;""""), ""SELECT ""&amp;I405&amp;"", ""&amp;J405&amp;"", ""&amp;K405&amp;"", ""&amp;L405&amp;"", ""&amp;M405&amp;"", ""&amp;N405&amp;"", ""&amp;O405&amp;"", ""&amp;P405&amp;"", ""&amp;Q405&amp;"", ""&amp;R405&amp;"", ""&amp;S405&amp;"" WHERE '""&amp;B405&amp;""' = D"", 0), """")"),"")</f>
        <v/>
      </c>
      <c r="V405" s="22"/>
      <c r="W405" s="22"/>
      <c r="X405" s="22"/>
      <c r="Y405" s="22"/>
      <c r="Z405" s="22"/>
      <c r="AA405" s="22"/>
      <c r="AB405" s="22"/>
      <c r="AC405" s="22"/>
      <c r="AD405" s="23"/>
      <c r="AE405" s="24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</row>
    <row r="406" customFormat="false" ht="18.65" hidden="false" customHeight="false" outlineLevel="0" collapsed="false">
      <c r="A406" s="13"/>
      <c r="B406" s="26"/>
      <c r="C406" s="15"/>
      <c r="D406" s="16"/>
      <c r="E406" s="16"/>
      <c r="F406" s="16" t="str">
        <f aca="false">REPLACE(E406, 1, 3, "")</f>
        <v/>
      </c>
      <c r="G406" s="17" t="str">
        <f aca="true">IFERROR(VLOOKUP(B406,INDIRECT("'"&amp;F406&amp;"'!D3:D"),1,FALSE()), "Not found")</f>
        <v>Not found</v>
      </c>
      <c r="H406" s="25" t="e">
        <f aca="true">INDIRECT("'"&amp;F406&amp;"'!D1")</f>
        <v>#REF!</v>
      </c>
      <c r="I406" s="18" t="str">
        <f aca="false">IFERROR(__xludf.dummyfunction("REGEXEXTRACT(ADDRESS(ROW(), 24+$H406), ""[A-Z]+"")"),"#VALUE!")</f>
        <v>#VALUE!</v>
      </c>
      <c r="J406" s="18" t="str">
        <f aca="false">IFERROR(__xludf.dummyfunction("REGEXEXTRACT(ADDRESS(ROW(), 30+$H406), ""[A-Z]+"")"),"#VALUE!")</f>
        <v>#VALUE!</v>
      </c>
      <c r="K406" s="18" t="str">
        <f aca="false">IFERROR(__xludf.dummyfunction("REGEXEXTRACT(ADDRESS(ROW(), 36+$H406), ""[A-Z]+"")"),"#VALUE!")</f>
        <v>#VALUE!</v>
      </c>
      <c r="L406" s="18" t="str">
        <f aca="false">IFERROR(__xludf.dummyfunction("REGEXEXTRACT(ADDRESS(ROW(), 42+$H406), ""[A-Z]+"")"),"#VALUE!")</f>
        <v>#VALUE!</v>
      </c>
      <c r="M406" s="18" t="str">
        <f aca="false">IFERROR(__xludf.dummyfunction("REGEXEXTRACT(ADDRESS(ROW(), 48+$H406), ""[A-Z]+"")"),"#VALUE!")</f>
        <v>#VALUE!</v>
      </c>
      <c r="N406" s="18" t="str">
        <f aca="false">IFERROR(__xludf.dummyfunction("REGEXEXTRACT(ADDRESS(ROW(), 50+$H406), ""[A-Z]+"")"),"#VALUE!")</f>
        <v>#VALUE!</v>
      </c>
      <c r="O406" s="18" t="str">
        <f aca="false">IFERROR(__xludf.dummyfunction("REGEXEXTRACT(ADDRESS(ROW(), 51+$H406), ""[A-Z]+"")"),"#VALUE!")</f>
        <v>#VALUE!</v>
      </c>
      <c r="P406" s="18" t="str">
        <f aca="false">IFERROR(__xludf.dummyfunction("REGEXEXTRACT(ADDRESS(ROW(), 54+$H406), ""[A-Z]+"")"),"#VALUE!")</f>
        <v>#VALUE!</v>
      </c>
      <c r="Q406" s="18" t="str">
        <f aca="false">IFERROR(__xludf.dummyfunction("REGEXEXTRACT(ADDRESS(ROW(), 59+$H406), ""[A-Z]+"")"),"#VALUE!")</f>
        <v>#VALUE!</v>
      </c>
      <c r="R406" s="18" t="str">
        <f aca="false">IFERROR(__xludf.dummyfunction("REGEXEXTRACT(ADDRESS(ROW(), 60+$H406), ""[A-Z]+"")"),"#VALUE!")</f>
        <v>#VALUE!</v>
      </c>
      <c r="S406" s="18" t="str">
        <f aca="false">IFERROR(__xludf.dummyfunction("REGEXEXTRACT(ADDRESS(ROW(), 62+$H406), ""[A-Z]+"")"),"#VALUE!")</f>
        <v>#VALUE!</v>
      </c>
      <c r="T406" s="18" t="str">
        <f aca="false">IFERROR(__xludf.dummyfunction("REGEXEXTRACT(ADDRESS(ROW(), 63+$H406), ""[A-Z]+"")"),"#VALUE!")</f>
        <v>#VALUE!</v>
      </c>
      <c r="U406" s="19" t="str">
        <f aca="false">IFERROR(__xludf.dummyfunction("IFERROR(QUERY(INDIRECT(""'""&amp;F406&amp;""'!C3:""&amp;T406&amp;""""), ""SELECT ""&amp;I406&amp;"", ""&amp;J406&amp;"", ""&amp;K406&amp;"", ""&amp;L406&amp;"", ""&amp;M406&amp;"", ""&amp;N406&amp;"", ""&amp;O406&amp;"", ""&amp;P406&amp;"", ""&amp;Q406&amp;"", ""&amp;R406&amp;"", ""&amp;S406&amp;"" WHERE '""&amp;B406&amp;""' = D"", 0), """")"),"")</f>
        <v/>
      </c>
      <c r="V406" s="22"/>
      <c r="W406" s="22"/>
      <c r="X406" s="22"/>
      <c r="Y406" s="22"/>
      <c r="Z406" s="22"/>
      <c r="AA406" s="22"/>
      <c r="AB406" s="22"/>
      <c r="AC406" s="22"/>
      <c r="AD406" s="23"/>
      <c r="AE406" s="24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</row>
    <row r="407" customFormat="false" ht="18.65" hidden="false" customHeight="false" outlineLevel="0" collapsed="false">
      <c r="A407" s="13"/>
      <c r="B407" s="26"/>
      <c r="C407" s="15"/>
      <c r="D407" s="16"/>
      <c r="E407" s="16"/>
      <c r="F407" s="16" t="str">
        <f aca="false">REPLACE(E407, 1, 3, "")</f>
        <v/>
      </c>
      <c r="G407" s="17" t="str">
        <f aca="true">IFERROR(VLOOKUP(B407,INDIRECT("'"&amp;F407&amp;"'!D3:D"),1,FALSE()), "Not found")</f>
        <v>Not found</v>
      </c>
      <c r="H407" s="25" t="e">
        <f aca="true">INDIRECT("'"&amp;F407&amp;"'!D1")</f>
        <v>#REF!</v>
      </c>
      <c r="I407" s="18" t="str">
        <f aca="false">IFERROR(__xludf.dummyfunction("REGEXEXTRACT(ADDRESS(ROW(), 24+$H407), ""[A-Z]+"")"),"#VALUE!")</f>
        <v>#VALUE!</v>
      </c>
      <c r="J407" s="18" t="str">
        <f aca="false">IFERROR(__xludf.dummyfunction("REGEXEXTRACT(ADDRESS(ROW(), 30+$H407), ""[A-Z]+"")"),"#VALUE!")</f>
        <v>#VALUE!</v>
      </c>
      <c r="K407" s="18" t="str">
        <f aca="false">IFERROR(__xludf.dummyfunction("REGEXEXTRACT(ADDRESS(ROW(), 36+$H407), ""[A-Z]+"")"),"#VALUE!")</f>
        <v>#VALUE!</v>
      </c>
      <c r="L407" s="18" t="str">
        <f aca="false">IFERROR(__xludf.dummyfunction("REGEXEXTRACT(ADDRESS(ROW(), 42+$H407), ""[A-Z]+"")"),"#VALUE!")</f>
        <v>#VALUE!</v>
      </c>
      <c r="M407" s="18" t="str">
        <f aca="false">IFERROR(__xludf.dummyfunction("REGEXEXTRACT(ADDRESS(ROW(), 48+$H407), ""[A-Z]+"")"),"#VALUE!")</f>
        <v>#VALUE!</v>
      </c>
      <c r="N407" s="18" t="str">
        <f aca="false">IFERROR(__xludf.dummyfunction("REGEXEXTRACT(ADDRESS(ROW(), 50+$H407), ""[A-Z]+"")"),"#VALUE!")</f>
        <v>#VALUE!</v>
      </c>
      <c r="O407" s="18" t="str">
        <f aca="false">IFERROR(__xludf.dummyfunction("REGEXEXTRACT(ADDRESS(ROW(), 51+$H407), ""[A-Z]+"")"),"#VALUE!")</f>
        <v>#VALUE!</v>
      </c>
      <c r="P407" s="18" t="str">
        <f aca="false">IFERROR(__xludf.dummyfunction("REGEXEXTRACT(ADDRESS(ROW(), 54+$H407), ""[A-Z]+"")"),"#VALUE!")</f>
        <v>#VALUE!</v>
      </c>
      <c r="Q407" s="18" t="str">
        <f aca="false">IFERROR(__xludf.dummyfunction("REGEXEXTRACT(ADDRESS(ROW(), 59+$H407), ""[A-Z]+"")"),"#VALUE!")</f>
        <v>#VALUE!</v>
      </c>
      <c r="R407" s="18" t="str">
        <f aca="false">IFERROR(__xludf.dummyfunction("REGEXEXTRACT(ADDRESS(ROW(), 60+$H407), ""[A-Z]+"")"),"#VALUE!")</f>
        <v>#VALUE!</v>
      </c>
      <c r="S407" s="18" t="str">
        <f aca="false">IFERROR(__xludf.dummyfunction("REGEXEXTRACT(ADDRESS(ROW(), 62+$H407), ""[A-Z]+"")"),"#VALUE!")</f>
        <v>#VALUE!</v>
      </c>
      <c r="T407" s="18" t="str">
        <f aca="false">IFERROR(__xludf.dummyfunction("REGEXEXTRACT(ADDRESS(ROW(), 63+$H407), ""[A-Z]+"")"),"#VALUE!")</f>
        <v>#VALUE!</v>
      </c>
      <c r="U407" s="19" t="str">
        <f aca="false">IFERROR(__xludf.dummyfunction("IFERROR(QUERY(INDIRECT(""'""&amp;F407&amp;""'!C3:""&amp;T407&amp;""""), ""SELECT ""&amp;I407&amp;"", ""&amp;J407&amp;"", ""&amp;K407&amp;"", ""&amp;L407&amp;"", ""&amp;M407&amp;"", ""&amp;N407&amp;"", ""&amp;O407&amp;"", ""&amp;P407&amp;"", ""&amp;Q407&amp;"", ""&amp;R407&amp;"", ""&amp;S407&amp;"" WHERE '""&amp;B407&amp;""' = D"", 0), """")"),"")</f>
        <v/>
      </c>
      <c r="V407" s="22"/>
      <c r="W407" s="22"/>
      <c r="X407" s="22"/>
      <c r="Y407" s="22"/>
      <c r="Z407" s="22"/>
      <c r="AA407" s="22"/>
      <c r="AB407" s="22"/>
      <c r="AC407" s="22"/>
      <c r="AD407" s="23"/>
      <c r="AE407" s="24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</row>
    <row r="408" customFormat="false" ht="18.65" hidden="false" customHeight="false" outlineLevel="0" collapsed="false">
      <c r="A408" s="13"/>
      <c r="B408" s="26"/>
      <c r="C408" s="15"/>
      <c r="D408" s="16"/>
      <c r="E408" s="16"/>
      <c r="F408" s="16" t="str">
        <f aca="false">REPLACE(E408, 1, 3, "")</f>
        <v/>
      </c>
      <c r="G408" s="17" t="str">
        <f aca="true">IFERROR(VLOOKUP(B408,INDIRECT("'"&amp;F408&amp;"'!D3:D"),1,FALSE()), "Not found")</f>
        <v>Not found</v>
      </c>
      <c r="H408" s="25" t="e">
        <f aca="true">INDIRECT("'"&amp;F408&amp;"'!D1")</f>
        <v>#REF!</v>
      </c>
      <c r="I408" s="18" t="str">
        <f aca="false">IFERROR(__xludf.dummyfunction("REGEXEXTRACT(ADDRESS(ROW(), 24+$H408), ""[A-Z]+"")"),"#VALUE!")</f>
        <v>#VALUE!</v>
      </c>
      <c r="J408" s="18" t="str">
        <f aca="false">IFERROR(__xludf.dummyfunction("REGEXEXTRACT(ADDRESS(ROW(), 30+$H408), ""[A-Z]+"")"),"#VALUE!")</f>
        <v>#VALUE!</v>
      </c>
      <c r="K408" s="18" t="str">
        <f aca="false">IFERROR(__xludf.dummyfunction("REGEXEXTRACT(ADDRESS(ROW(), 36+$H408), ""[A-Z]+"")"),"#VALUE!")</f>
        <v>#VALUE!</v>
      </c>
      <c r="L408" s="18" t="str">
        <f aca="false">IFERROR(__xludf.dummyfunction("REGEXEXTRACT(ADDRESS(ROW(), 42+$H408), ""[A-Z]+"")"),"#VALUE!")</f>
        <v>#VALUE!</v>
      </c>
      <c r="M408" s="18" t="str">
        <f aca="false">IFERROR(__xludf.dummyfunction("REGEXEXTRACT(ADDRESS(ROW(), 48+$H408), ""[A-Z]+"")"),"#VALUE!")</f>
        <v>#VALUE!</v>
      </c>
      <c r="N408" s="18" t="str">
        <f aca="false">IFERROR(__xludf.dummyfunction("REGEXEXTRACT(ADDRESS(ROW(), 50+$H408), ""[A-Z]+"")"),"#VALUE!")</f>
        <v>#VALUE!</v>
      </c>
      <c r="O408" s="18" t="str">
        <f aca="false">IFERROR(__xludf.dummyfunction("REGEXEXTRACT(ADDRESS(ROW(), 51+$H408), ""[A-Z]+"")"),"#VALUE!")</f>
        <v>#VALUE!</v>
      </c>
      <c r="P408" s="18" t="str">
        <f aca="false">IFERROR(__xludf.dummyfunction("REGEXEXTRACT(ADDRESS(ROW(), 54+$H408), ""[A-Z]+"")"),"#VALUE!")</f>
        <v>#VALUE!</v>
      </c>
      <c r="Q408" s="18" t="str">
        <f aca="false">IFERROR(__xludf.dummyfunction("REGEXEXTRACT(ADDRESS(ROW(), 59+$H408), ""[A-Z]+"")"),"#VALUE!")</f>
        <v>#VALUE!</v>
      </c>
      <c r="R408" s="18" t="str">
        <f aca="false">IFERROR(__xludf.dummyfunction("REGEXEXTRACT(ADDRESS(ROW(), 60+$H408), ""[A-Z]+"")"),"#VALUE!")</f>
        <v>#VALUE!</v>
      </c>
      <c r="S408" s="18" t="str">
        <f aca="false">IFERROR(__xludf.dummyfunction("REGEXEXTRACT(ADDRESS(ROW(), 62+$H408), ""[A-Z]+"")"),"#VALUE!")</f>
        <v>#VALUE!</v>
      </c>
      <c r="T408" s="18" t="str">
        <f aca="false">IFERROR(__xludf.dummyfunction("REGEXEXTRACT(ADDRESS(ROW(), 63+$H408), ""[A-Z]+"")"),"#VALUE!")</f>
        <v>#VALUE!</v>
      </c>
      <c r="U408" s="19" t="str">
        <f aca="false">IFERROR(__xludf.dummyfunction("IFERROR(QUERY(INDIRECT(""'""&amp;F408&amp;""'!C3:""&amp;T408&amp;""""), ""SELECT ""&amp;I408&amp;"", ""&amp;J408&amp;"", ""&amp;K408&amp;"", ""&amp;L408&amp;"", ""&amp;M408&amp;"", ""&amp;N408&amp;"", ""&amp;O408&amp;"", ""&amp;P408&amp;"", ""&amp;Q408&amp;"", ""&amp;R408&amp;"", ""&amp;S408&amp;"" WHERE '""&amp;B408&amp;""' = D"", 0), """")"),"")</f>
        <v/>
      </c>
      <c r="V408" s="22"/>
      <c r="W408" s="22"/>
      <c r="X408" s="22"/>
      <c r="Y408" s="22"/>
      <c r="Z408" s="22"/>
      <c r="AA408" s="22"/>
      <c r="AB408" s="22"/>
      <c r="AC408" s="22"/>
      <c r="AD408" s="23"/>
      <c r="AE408" s="24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</row>
    <row r="409" customFormat="false" ht="18.65" hidden="false" customHeight="false" outlineLevel="0" collapsed="false">
      <c r="A409" s="13"/>
      <c r="B409" s="26"/>
      <c r="C409" s="15"/>
      <c r="D409" s="16"/>
      <c r="E409" s="16"/>
      <c r="F409" s="16" t="str">
        <f aca="false">REPLACE(E409, 1, 3, "")</f>
        <v/>
      </c>
      <c r="G409" s="17" t="str">
        <f aca="true">IFERROR(VLOOKUP(B409,INDIRECT("'"&amp;F409&amp;"'!D3:D"),1,FALSE()), "Not found")</f>
        <v>Not found</v>
      </c>
      <c r="H409" s="25" t="e">
        <f aca="true">INDIRECT("'"&amp;F409&amp;"'!D1")</f>
        <v>#REF!</v>
      </c>
      <c r="I409" s="18" t="str">
        <f aca="false">IFERROR(__xludf.dummyfunction("REGEXEXTRACT(ADDRESS(ROW(), 24+$H409), ""[A-Z]+"")"),"#VALUE!")</f>
        <v>#VALUE!</v>
      </c>
      <c r="J409" s="18" t="str">
        <f aca="false">IFERROR(__xludf.dummyfunction("REGEXEXTRACT(ADDRESS(ROW(), 30+$H409), ""[A-Z]+"")"),"#VALUE!")</f>
        <v>#VALUE!</v>
      </c>
      <c r="K409" s="18" t="str">
        <f aca="false">IFERROR(__xludf.dummyfunction("REGEXEXTRACT(ADDRESS(ROW(), 36+$H409), ""[A-Z]+"")"),"#VALUE!")</f>
        <v>#VALUE!</v>
      </c>
      <c r="L409" s="18" t="str">
        <f aca="false">IFERROR(__xludf.dummyfunction("REGEXEXTRACT(ADDRESS(ROW(), 42+$H409), ""[A-Z]+"")"),"#VALUE!")</f>
        <v>#VALUE!</v>
      </c>
      <c r="M409" s="18" t="str">
        <f aca="false">IFERROR(__xludf.dummyfunction("REGEXEXTRACT(ADDRESS(ROW(), 48+$H409), ""[A-Z]+"")"),"#VALUE!")</f>
        <v>#VALUE!</v>
      </c>
      <c r="N409" s="18" t="str">
        <f aca="false">IFERROR(__xludf.dummyfunction("REGEXEXTRACT(ADDRESS(ROW(), 50+$H409), ""[A-Z]+"")"),"#VALUE!")</f>
        <v>#VALUE!</v>
      </c>
      <c r="O409" s="18" t="str">
        <f aca="false">IFERROR(__xludf.dummyfunction("REGEXEXTRACT(ADDRESS(ROW(), 51+$H409), ""[A-Z]+"")"),"#VALUE!")</f>
        <v>#VALUE!</v>
      </c>
      <c r="P409" s="18" t="str">
        <f aca="false">IFERROR(__xludf.dummyfunction("REGEXEXTRACT(ADDRESS(ROW(), 54+$H409), ""[A-Z]+"")"),"#VALUE!")</f>
        <v>#VALUE!</v>
      </c>
      <c r="Q409" s="18" t="str">
        <f aca="false">IFERROR(__xludf.dummyfunction("REGEXEXTRACT(ADDRESS(ROW(), 59+$H409), ""[A-Z]+"")"),"#VALUE!")</f>
        <v>#VALUE!</v>
      </c>
      <c r="R409" s="18" t="str">
        <f aca="false">IFERROR(__xludf.dummyfunction("REGEXEXTRACT(ADDRESS(ROW(), 60+$H409), ""[A-Z]+"")"),"#VALUE!")</f>
        <v>#VALUE!</v>
      </c>
      <c r="S409" s="18" t="str">
        <f aca="false">IFERROR(__xludf.dummyfunction("REGEXEXTRACT(ADDRESS(ROW(), 62+$H409), ""[A-Z]+"")"),"#VALUE!")</f>
        <v>#VALUE!</v>
      </c>
      <c r="T409" s="18" t="str">
        <f aca="false">IFERROR(__xludf.dummyfunction("REGEXEXTRACT(ADDRESS(ROW(), 63+$H409), ""[A-Z]+"")"),"#VALUE!")</f>
        <v>#VALUE!</v>
      </c>
      <c r="U409" s="19" t="str">
        <f aca="false">IFERROR(__xludf.dummyfunction("IFERROR(QUERY(INDIRECT(""'""&amp;F409&amp;""'!C3:""&amp;T409&amp;""""), ""SELECT ""&amp;I409&amp;"", ""&amp;J409&amp;"", ""&amp;K409&amp;"", ""&amp;L409&amp;"", ""&amp;M409&amp;"", ""&amp;N409&amp;"", ""&amp;O409&amp;"", ""&amp;P409&amp;"", ""&amp;Q409&amp;"", ""&amp;R409&amp;"", ""&amp;S409&amp;"" WHERE '""&amp;B409&amp;""' = D"", 0), """")"),"")</f>
        <v/>
      </c>
      <c r="V409" s="22"/>
      <c r="W409" s="22"/>
      <c r="X409" s="22"/>
      <c r="Y409" s="22"/>
      <c r="Z409" s="22"/>
      <c r="AA409" s="22"/>
      <c r="AB409" s="22"/>
      <c r="AC409" s="22"/>
      <c r="AD409" s="23"/>
      <c r="AE409" s="24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</row>
    <row r="410" customFormat="false" ht="18.65" hidden="false" customHeight="false" outlineLevel="0" collapsed="false">
      <c r="A410" s="13"/>
      <c r="B410" s="26"/>
      <c r="C410" s="15"/>
      <c r="D410" s="16"/>
      <c r="E410" s="16"/>
      <c r="F410" s="16" t="str">
        <f aca="false">REPLACE(E410, 1, 3, "")</f>
        <v/>
      </c>
      <c r="G410" s="17" t="str">
        <f aca="true">IFERROR(VLOOKUP(B410,INDIRECT("'"&amp;F410&amp;"'!D3:D"),1,FALSE()), "Not found")</f>
        <v>Not found</v>
      </c>
      <c r="H410" s="25" t="e">
        <f aca="true">INDIRECT("'"&amp;F410&amp;"'!D1")</f>
        <v>#REF!</v>
      </c>
      <c r="I410" s="18" t="str">
        <f aca="false">IFERROR(__xludf.dummyfunction("REGEXEXTRACT(ADDRESS(ROW(), 24+$H410), ""[A-Z]+"")"),"#VALUE!")</f>
        <v>#VALUE!</v>
      </c>
      <c r="J410" s="18" t="str">
        <f aca="false">IFERROR(__xludf.dummyfunction("REGEXEXTRACT(ADDRESS(ROW(), 30+$H410), ""[A-Z]+"")"),"#VALUE!")</f>
        <v>#VALUE!</v>
      </c>
      <c r="K410" s="18" t="str">
        <f aca="false">IFERROR(__xludf.dummyfunction("REGEXEXTRACT(ADDRESS(ROW(), 36+$H410), ""[A-Z]+"")"),"#VALUE!")</f>
        <v>#VALUE!</v>
      </c>
      <c r="L410" s="18" t="str">
        <f aca="false">IFERROR(__xludf.dummyfunction("REGEXEXTRACT(ADDRESS(ROW(), 42+$H410), ""[A-Z]+"")"),"#VALUE!")</f>
        <v>#VALUE!</v>
      </c>
      <c r="M410" s="18" t="str">
        <f aca="false">IFERROR(__xludf.dummyfunction("REGEXEXTRACT(ADDRESS(ROW(), 48+$H410), ""[A-Z]+"")"),"#VALUE!")</f>
        <v>#VALUE!</v>
      </c>
      <c r="N410" s="18" t="str">
        <f aca="false">IFERROR(__xludf.dummyfunction("REGEXEXTRACT(ADDRESS(ROW(), 50+$H410), ""[A-Z]+"")"),"#VALUE!")</f>
        <v>#VALUE!</v>
      </c>
      <c r="O410" s="18" t="str">
        <f aca="false">IFERROR(__xludf.dummyfunction("REGEXEXTRACT(ADDRESS(ROW(), 51+$H410), ""[A-Z]+"")"),"#VALUE!")</f>
        <v>#VALUE!</v>
      </c>
      <c r="P410" s="18" t="str">
        <f aca="false">IFERROR(__xludf.dummyfunction("REGEXEXTRACT(ADDRESS(ROW(), 54+$H410), ""[A-Z]+"")"),"#VALUE!")</f>
        <v>#VALUE!</v>
      </c>
      <c r="Q410" s="18" t="str">
        <f aca="false">IFERROR(__xludf.dummyfunction("REGEXEXTRACT(ADDRESS(ROW(), 59+$H410), ""[A-Z]+"")"),"#VALUE!")</f>
        <v>#VALUE!</v>
      </c>
      <c r="R410" s="18" t="str">
        <f aca="false">IFERROR(__xludf.dummyfunction("REGEXEXTRACT(ADDRESS(ROW(), 60+$H410), ""[A-Z]+"")"),"#VALUE!")</f>
        <v>#VALUE!</v>
      </c>
      <c r="S410" s="18" t="str">
        <f aca="false">IFERROR(__xludf.dummyfunction("REGEXEXTRACT(ADDRESS(ROW(), 62+$H410), ""[A-Z]+"")"),"#VALUE!")</f>
        <v>#VALUE!</v>
      </c>
      <c r="T410" s="18" t="str">
        <f aca="false">IFERROR(__xludf.dummyfunction("REGEXEXTRACT(ADDRESS(ROW(), 63+$H410), ""[A-Z]+"")"),"#VALUE!")</f>
        <v>#VALUE!</v>
      </c>
      <c r="U410" s="19" t="str">
        <f aca="false">IFERROR(__xludf.dummyfunction("IFERROR(QUERY(INDIRECT(""'""&amp;F410&amp;""'!C3:""&amp;T410&amp;""""), ""SELECT ""&amp;I410&amp;"", ""&amp;J410&amp;"", ""&amp;K410&amp;"", ""&amp;L410&amp;"", ""&amp;M410&amp;"", ""&amp;N410&amp;"", ""&amp;O410&amp;"", ""&amp;P410&amp;"", ""&amp;Q410&amp;"", ""&amp;R410&amp;"", ""&amp;S410&amp;"" WHERE '""&amp;B410&amp;""' = D"", 0), """")"),"")</f>
        <v/>
      </c>
      <c r="V410" s="22"/>
      <c r="W410" s="22"/>
      <c r="X410" s="22"/>
      <c r="Y410" s="22"/>
      <c r="Z410" s="22"/>
      <c r="AA410" s="22"/>
      <c r="AB410" s="22"/>
      <c r="AC410" s="22"/>
      <c r="AD410" s="23"/>
      <c r="AE410" s="24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</row>
    <row r="411" customFormat="false" ht="18.65" hidden="false" customHeight="false" outlineLevel="0" collapsed="false">
      <c r="A411" s="13"/>
      <c r="B411" s="26"/>
      <c r="C411" s="15"/>
      <c r="D411" s="16"/>
      <c r="E411" s="16"/>
      <c r="F411" s="16" t="str">
        <f aca="false">REPLACE(E411, 1, 3, "")</f>
        <v/>
      </c>
      <c r="G411" s="17" t="str">
        <f aca="true">IFERROR(VLOOKUP(B411,INDIRECT("'"&amp;F411&amp;"'!D3:D"),1,FALSE()), "Not found")</f>
        <v>Not found</v>
      </c>
      <c r="H411" s="25" t="e">
        <f aca="true">INDIRECT("'"&amp;F411&amp;"'!D1")</f>
        <v>#REF!</v>
      </c>
      <c r="I411" s="18" t="str">
        <f aca="false">IFERROR(__xludf.dummyfunction("REGEXEXTRACT(ADDRESS(ROW(), 24+$H411), ""[A-Z]+"")"),"#VALUE!")</f>
        <v>#VALUE!</v>
      </c>
      <c r="J411" s="18" t="str">
        <f aca="false">IFERROR(__xludf.dummyfunction("REGEXEXTRACT(ADDRESS(ROW(), 30+$H411), ""[A-Z]+"")"),"#VALUE!")</f>
        <v>#VALUE!</v>
      </c>
      <c r="K411" s="18" t="str">
        <f aca="false">IFERROR(__xludf.dummyfunction("REGEXEXTRACT(ADDRESS(ROW(), 36+$H411), ""[A-Z]+"")"),"#VALUE!")</f>
        <v>#VALUE!</v>
      </c>
      <c r="L411" s="18" t="str">
        <f aca="false">IFERROR(__xludf.dummyfunction("REGEXEXTRACT(ADDRESS(ROW(), 42+$H411), ""[A-Z]+"")"),"#VALUE!")</f>
        <v>#VALUE!</v>
      </c>
      <c r="M411" s="18" t="str">
        <f aca="false">IFERROR(__xludf.dummyfunction("REGEXEXTRACT(ADDRESS(ROW(), 48+$H411), ""[A-Z]+"")"),"#VALUE!")</f>
        <v>#VALUE!</v>
      </c>
      <c r="N411" s="18" t="str">
        <f aca="false">IFERROR(__xludf.dummyfunction("REGEXEXTRACT(ADDRESS(ROW(), 50+$H411), ""[A-Z]+"")"),"#VALUE!")</f>
        <v>#VALUE!</v>
      </c>
      <c r="O411" s="18" t="str">
        <f aca="false">IFERROR(__xludf.dummyfunction("REGEXEXTRACT(ADDRESS(ROW(), 51+$H411), ""[A-Z]+"")"),"#VALUE!")</f>
        <v>#VALUE!</v>
      </c>
      <c r="P411" s="18" t="str">
        <f aca="false">IFERROR(__xludf.dummyfunction("REGEXEXTRACT(ADDRESS(ROW(), 54+$H411), ""[A-Z]+"")"),"#VALUE!")</f>
        <v>#VALUE!</v>
      </c>
      <c r="Q411" s="18" t="str">
        <f aca="false">IFERROR(__xludf.dummyfunction("REGEXEXTRACT(ADDRESS(ROW(), 59+$H411), ""[A-Z]+"")"),"#VALUE!")</f>
        <v>#VALUE!</v>
      </c>
      <c r="R411" s="18" t="str">
        <f aca="false">IFERROR(__xludf.dummyfunction("REGEXEXTRACT(ADDRESS(ROW(), 60+$H411), ""[A-Z]+"")"),"#VALUE!")</f>
        <v>#VALUE!</v>
      </c>
      <c r="S411" s="18" t="str">
        <f aca="false">IFERROR(__xludf.dummyfunction("REGEXEXTRACT(ADDRESS(ROW(), 62+$H411), ""[A-Z]+"")"),"#VALUE!")</f>
        <v>#VALUE!</v>
      </c>
      <c r="T411" s="18" t="str">
        <f aca="false">IFERROR(__xludf.dummyfunction("REGEXEXTRACT(ADDRESS(ROW(), 63+$H411), ""[A-Z]+"")"),"#VALUE!")</f>
        <v>#VALUE!</v>
      </c>
      <c r="U411" s="19" t="str">
        <f aca="false">IFERROR(__xludf.dummyfunction("IFERROR(QUERY(INDIRECT(""'""&amp;F411&amp;""'!C3:""&amp;T411&amp;""""), ""SELECT ""&amp;I411&amp;"", ""&amp;J411&amp;"", ""&amp;K411&amp;"", ""&amp;L411&amp;"", ""&amp;M411&amp;"", ""&amp;N411&amp;"", ""&amp;O411&amp;"", ""&amp;P411&amp;"", ""&amp;Q411&amp;"", ""&amp;R411&amp;"", ""&amp;S411&amp;"" WHERE '""&amp;B411&amp;""' = D"", 0), """")"),"")</f>
        <v/>
      </c>
      <c r="V411" s="22"/>
      <c r="W411" s="22"/>
      <c r="X411" s="22"/>
      <c r="Y411" s="22"/>
      <c r="Z411" s="22"/>
      <c r="AA411" s="22"/>
      <c r="AB411" s="22"/>
      <c r="AC411" s="22"/>
      <c r="AD411" s="23"/>
      <c r="AE411" s="24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</row>
    <row r="412" customFormat="false" ht="18.65" hidden="false" customHeight="false" outlineLevel="0" collapsed="false">
      <c r="A412" s="13"/>
      <c r="B412" s="26"/>
      <c r="C412" s="15"/>
      <c r="D412" s="16"/>
      <c r="E412" s="16"/>
      <c r="F412" s="16" t="str">
        <f aca="false">REPLACE(E412, 1, 3, "")</f>
        <v/>
      </c>
      <c r="G412" s="17" t="str">
        <f aca="true">IFERROR(VLOOKUP(B412,INDIRECT("'"&amp;F412&amp;"'!D3:D"),1,FALSE()), "Not found")</f>
        <v>Not found</v>
      </c>
      <c r="H412" s="25" t="e">
        <f aca="true">INDIRECT("'"&amp;F412&amp;"'!D1")</f>
        <v>#REF!</v>
      </c>
      <c r="I412" s="18" t="str">
        <f aca="false">IFERROR(__xludf.dummyfunction("REGEXEXTRACT(ADDRESS(ROW(), 24+$H412), ""[A-Z]+"")"),"#VALUE!")</f>
        <v>#VALUE!</v>
      </c>
      <c r="J412" s="18" t="str">
        <f aca="false">IFERROR(__xludf.dummyfunction("REGEXEXTRACT(ADDRESS(ROW(), 30+$H412), ""[A-Z]+"")"),"#VALUE!")</f>
        <v>#VALUE!</v>
      </c>
      <c r="K412" s="18" t="str">
        <f aca="false">IFERROR(__xludf.dummyfunction("REGEXEXTRACT(ADDRESS(ROW(), 36+$H412), ""[A-Z]+"")"),"#VALUE!")</f>
        <v>#VALUE!</v>
      </c>
      <c r="L412" s="18" t="str">
        <f aca="false">IFERROR(__xludf.dummyfunction("REGEXEXTRACT(ADDRESS(ROW(), 42+$H412), ""[A-Z]+"")"),"#VALUE!")</f>
        <v>#VALUE!</v>
      </c>
      <c r="M412" s="18" t="str">
        <f aca="false">IFERROR(__xludf.dummyfunction("REGEXEXTRACT(ADDRESS(ROW(), 48+$H412), ""[A-Z]+"")"),"#VALUE!")</f>
        <v>#VALUE!</v>
      </c>
      <c r="N412" s="18" t="str">
        <f aca="false">IFERROR(__xludf.dummyfunction("REGEXEXTRACT(ADDRESS(ROW(), 50+$H412), ""[A-Z]+"")"),"#VALUE!")</f>
        <v>#VALUE!</v>
      </c>
      <c r="O412" s="18" t="str">
        <f aca="false">IFERROR(__xludf.dummyfunction("REGEXEXTRACT(ADDRESS(ROW(), 51+$H412), ""[A-Z]+"")"),"#VALUE!")</f>
        <v>#VALUE!</v>
      </c>
      <c r="P412" s="18" t="str">
        <f aca="false">IFERROR(__xludf.dummyfunction("REGEXEXTRACT(ADDRESS(ROW(), 54+$H412), ""[A-Z]+"")"),"#VALUE!")</f>
        <v>#VALUE!</v>
      </c>
      <c r="Q412" s="18" t="str">
        <f aca="false">IFERROR(__xludf.dummyfunction("REGEXEXTRACT(ADDRESS(ROW(), 59+$H412), ""[A-Z]+"")"),"#VALUE!")</f>
        <v>#VALUE!</v>
      </c>
      <c r="R412" s="18" t="str">
        <f aca="false">IFERROR(__xludf.dummyfunction("REGEXEXTRACT(ADDRESS(ROW(), 60+$H412), ""[A-Z]+"")"),"#VALUE!")</f>
        <v>#VALUE!</v>
      </c>
      <c r="S412" s="18" t="str">
        <f aca="false">IFERROR(__xludf.dummyfunction("REGEXEXTRACT(ADDRESS(ROW(), 62+$H412), ""[A-Z]+"")"),"#VALUE!")</f>
        <v>#VALUE!</v>
      </c>
      <c r="T412" s="18" t="str">
        <f aca="false">IFERROR(__xludf.dummyfunction("REGEXEXTRACT(ADDRESS(ROW(), 63+$H412), ""[A-Z]+"")"),"#VALUE!")</f>
        <v>#VALUE!</v>
      </c>
      <c r="U412" s="19" t="str">
        <f aca="false">IFERROR(__xludf.dummyfunction("IFERROR(QUERY(INDIRECT(""'""&amp;F412&amp;""'!C3:""&amp;T412&amp;""""), ""SELECT ""&amp;I412&amp;"", ""&amp;J412&amp;"", ""&amp;K412&amp;"", ""&amp;L412&amp;"", ""&amp;M412&amp;"", ""&amp;N412&amp;"", ""&amp;O412&amp;"", ""&amp;P412&amp;"", ""&amp;Q412&amp;"", ""&amp;R412&amp;"", ""&amp;S412&amp;"" WHERE '""&amp;B412&amp;""' = D"", 0), """")"),"")</f>
        <v/>
      </c>
      <c r="V412" s="22"/>
      <c r="W412" s="22"/>
      <c r="X412" s="22"/>
      <c r="Y412" s="22"/>
      <c r="Z412" s="22"/>
      <c r="AA412" s="22"/>
      <c r="AB412" s="22"/>
      <c r="AC412" s="22"/>
      <c r="AD412" s="23"/>
      <c r="AE412" s="24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</row>
    <row r="413" customFormat="false" ht="18.65" hidden="false" customHeight="false" outlineLevel="0" collapsed="false">
      <c r="A413" s="13"/>
      <c r="B413" s="27"/>
      <c r="C413" s="28"/>
      <c r="D413" s="29"/>
      <c r="E413" s="29"/>
      <c r="F413" s="16" t="str">
        <f aca="false">REPLACE(E413, 1, 3, "")</f>
        <v/>
      </c>
      <c r="G413" s="17" t="str">
        <f aca="true">IFERROR(VLOOKUP(B413,INDIRECT("'"&amp;F413&amp;"'!D3:D"),1,FALSE()), "Not found")</f>
        <v>Not found</v>
      </c>
      <c r="H413" s="25" t="e">
        <f aca="true">INDIRECT("'"&amp;F413&amp;"'!D1")</f>
        <v>#REF!</v>
      </c>
      <c r="I413" s="18" t="str">
        <f aca="false">IFERROR(__xludf.dummyfunction("REGEXEXTRACT(ADDRESS(ROW(), 24+$H413), ""[A-Z]+"")"),"#VALUE!")</f>
        <v>#VALUE!</v>
      </c>
      <c r="J413" s="18" t="str">
        <f aca="false">IFERROR(__xludf.dummyfunction("REGEXEXTRACT(ADDRESS(ROW(), 30+$H413), ""[A-Z]+"")"),"#VALUE!")</f>
        <v>#VALUE!</v>
      </c>
      <c r="K413" s="18" t="str">
        <f aca="false">IFERROR(__xludf.dummyfunction("REGEXEXTRACT(ADDRESS(ROW(), 36+$H413), ""[A-Z]+"")"),"#VALUE!")</f>
        <v>#VALUE!</v>
      </c>
      <c r="L413" s="18" t="str">
        <f aca="false">IFERROR(__xludf.dummyfunction("REGEXEXTRACT(ADDRESS(ROW(), 42+$H413), ""[A-Z]+"")"),"#VALUE!")</f>
        <v>#VALUE!</v>
      </c>
      <c r="M413" s="18" t="str">
        <f aca="false">IFERROR(__xludf.dummyfunction("REGEXEXTRACT(ADDRESS(ROW(), 48+$H413), ""[A-Z]+"")"),"#VALUE!")</f>
        <v>#VALUE!</v>
      </c>
      <c r="N413" s="18" t="str">
        <f aca="false">IFERROR(__xludf.dummyfunction("REGEXEXTRACT(ADDRESS(ROW(), 50+$H413), ""[A-Z]+"")"),"#VALUE!")</f>
        <v>#VALUE!</v>
      </c>
      <c r="O413" s="18" t="str">
        <f aca="false">IFERROR(__xludf.dummyfunction("REGEXEXTRACT(ADDRESS(ROW(), 51+$H413), ""[A-Z]+"")"),"#VALUE!")</f>
        <v>#VALUE!</v>
      </c>
      <c r="P413" s="18" t="str">
        <f aca="false">IFERROR(__xludf.dummyfunction("REGEXEXTRACT(ADDRESS(ROW(), 54+$H413), ""[A-Z]+"")"),"#VALUE!")</f>
        <v>#VALUE!</v>
      </c>
      <c r="Q413" s="18" t="str">
        <f aca="false">IFERROR(__xludf.dummyfunction("REGEXEXTRACT(ADDRESS(ROW(), 59+$H413), ""[A-Z]+"")"),"#VALUE!")</f>
        <v>#VALUE!</v>
      </c>
      <c r="R413" s="18" t="str">
        <f aca="false">IFERROR(__xludf.dummyfunction("REGEXEXTRACT(ADDRESS(ROW(), 60+$H413), ""[A-Z]+"")"),"#VALUE!")</f>
        <v>#VALUE!</v>
      </c>
      <c r="S413" s="18" t="str">
        <f aca="false">IFERROR(__xludf.dummyfunction("REGEXEXTRACT(ADDRESS(ROW(), 62+$H413), ""[A-Z]+"")"),"#VALUE!")</f>
        <v>#VALUE!</v>
      </c>
      <c r="T413" s="18" t="str">
        <f aca="false">IFERROR(__xludf.dummyfunction("REGEXEXTRACT(ADDRESS(ROW(), 63+$H413), ""[A-Z]+"")"),"#VALUE!")</f>
        <v>#VALUE!</v>
      </c>
      <c r="U413" s="19" t="str">
        <f aca="false">IFERROR(__xludf.dummyfunction("IFERROR(QUERY(INDIRECT(""'""&amp;F413&amp;""'!C3:""&amp;T413&amp;""""), ""SELECT ""&amp;I413&amp;"", ""&amp;J413&amp;"", ""&amp;K413&amp;"", ""&amp;L413&amp;"", ""&amp;M413&amp;"", ""&amp;N413&amp;"", ""&amp;O413&amp;"", ""&amp;P413&amp;"", ""&amp;Q413&amp;"", ""&amp;R413&amp;"", ""&amp;S413&amp;"" WHERE '""&amp;B413&amp;""' = D"", 0), """")"),"")</f>
        <v/>
      </c>
      <c r="V413" s="22"/>
      <c r="W413" s="22"/>
      <c r="X413" s="22"/>
      <c r="Y413" s="22"/>
      <c r="Z413" s="22"/>
      <c r="AA413" s="22"/>
      <c r="AB413" s="22"/>
      <c r="AC413" s="22"/>
      <c r="AD413" s="23"/>
      <c r="AE413" s="24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</row>
    <row r="414" customFormat="false" ht="18.65" hidden="false" customHeight="false" outlineLevel="0" collapsed="false">
      <c r="A414" s="13"/>
      <c r="B414" s="26"/>
      <c r="C414" s="15"/>
      <c r="D414" s="16"/>
      <c r="E414" s="16"/>
      <c r="F414" s="16" t="str">
        <f aca="false">REPLACE(E414, 1, 3, "")</f>
        <v/>
      </c>
      <c r="G414" s="17" t="str">
        <f aca="true">IFERROR(VLOOKUP(B414,INDIRECT("'"&amp;F414&amp;"'!D3:D"),1,FALSE()), "Not found")</f>
        <v>Not found</v>
      </c>
      <c r="H414" s="25" t="e">
        <f aca="true">INDIRECT("'"&amp;F414&amp;"'!D1")</f>
        <v>#REF!</v>
      </c>
      <c r="I414" s="18" t="str">
        <f aca="false">IFERROR(__xludf.dummyfunction("REGEXEXTRACT(ADDRESS(ROW(), 24+$H414), ""[A-Z]+"")"),"#VALUE!")</f>
        <v>#VALUE!</v>
      </c>
      <c r="J414" s="18" t="str">
        <f aca="false">IFERROR(__xludf.dummyfunction("REGEXEXTRACT(ADDRESS(ROW(), 30+$H414), ""[A-Z]+"")"),"#VALUE!")</f>
        <v>#VALUE!</v>
      </c>
      <c r="K414" s="18" t="str">
        <f aca="false">IFERROR(__xludf.dummyfunction("REGEXEXTRACT(ADDRESS(ROW(), 36+$H414), ""[A-Z]+"")"),"#VALUE!")</f>
        <v>#VALUE!</v>
      </c>
      <c r="L414" s="18" t="str">
        <f aca="false">IFERROR(__xludf.dummyfunction("REGEXEXTRACT(ADDRESS(ROW(), 42+$H414), ""[A-Z]+"")"),"#VALUE!")</f>
        <v>#VALUE!</v>
      </c>
      <c r="M414" s="18" t="str">
        <f aca="false">IFERROR(__xludf.dummyfunction("REGEXEXTRACT(ADDRESS(ROW(), 48+$H414), ""[A-Z]+"")"),"#VALUE!")</f>
        <v>#VALUE!</v>
      </c>
      <c r="N414" s="18" t="str">
        <f aca="false">IFERROR(__xludf.dummyfunction("REGEXEXTRACT(ADDRESS(ROW(), 50+$H414), ""[A-Z]+"")"),"#VALUE!")</f>
        <v>#VALUE!</v>
      </c>
      <c r="O414" s="18" t="str">
        <f aca="false">IFERROR(__xludf.dummyfunction("REGEXEXTRACT(ADDRESS(ROW(), 51+$H414), ""[A-Z]+"")"),"#VALUE!")</f>
        <v>#VALUE!</v>
      </c>
      <c r="P414" s="18" t="str">
        <f aca="false">IFERROR(__xludf.dummyfunction("REGEXEXTRACT(ADDRESS(ROW(), 54+$H414), ""[A-Z]+"")"),"#VALUE!")</f>
        <v>#VALUE!</v>
      </c>
      <c r="Q414" s="18" t="str">
        <f aca="false">IFERROR(__xludf.dummyfunction("REGEXEXTRACT(ADDRESS(ROW(), 59+$H414), ""[A-Z]+"")"),"#VALUE!")</f>
        <v>#VALUE!</v>
      </c>
      <c r="R414" s="18" t="str">
        <f aca="false">IFERROR(__xludf.dummyfunction("REGEXEXTRACT(ADDRESS(ROW(), 60+$H414), ""[A-Z]+"")"),"#VALUE!")</f>
        <v>#VALUE!</v>
      </c>
      <c r="S414" s="18" t="str">
        <f aca="false">IFERROR(__xludf.dummyfunction("REGEXEXTRACT(ADDRESS(ROW(), 62+$H414), ""[A-Z]+"")"),"#VALUE!")</f>
        <v>#VALUE!</v>
      </c>
      <c r="T414" s="18" t="str">
        <f aca="false">IFERROR(__xludf.dummyfunction("REGEXEXTRACT(ADDRESS(ROW(), 63+$H414), ""[A-Z]+"")"),"#VALUE!")</f>
        <v>#VALUE!</v>
      </c>
      <c r="U414" s="19" t="str">
        <f aca="false">IFERROR(__xludf.dummyfunction("IFERROR(QUERY(INDIRECT(""'""&amp;F414&amp;""'!C3:""&amp;T414&amp;""""), ""SELECT ""&amp;I414&amp;"", ""&amp;J414&amp;"", ""&amp;K414&amp;"", ""&amp;L414&amp;"", ""&amp;M414&amp;"", ""&amp;N414&amp;"", ""&amp;O414&amp;"", ""&amp;P414&amp;"", ""&amp;Q414&amp;"", ""&amp;R414&amp;"", ""&amp;S414&amp;"" WHERE '""&amp;B414&amp;""' = D"", 0), """")"),"")</f>
        <v/>
      </c>
      <c r="V414" s="22"/>
      <c r="W414" s="22"/>
      <c r="X414" s="22"/>
      <c r="Y414" s="22"/>
      <c r="Z414" s="22"/>
      <c r="AA414" s="22"/>
      <c r="AB414" s="22"/>
      <c r="AC414" s="22"/>
      <c r="AD414" s="23"/>
      <c r="AE414" s="24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</row>
    <row r="415" customFormat="false" ht="18.65" hidden="false" customHeight="false" outlineLevel="0" collapsed="false">
      <c r="A415" s="13"/>
      <c r="B415" s="26"/>
      <c r="C415" s="15"/>
      <c r="D415" s="16"/>
      <c r="E415" s="16"/>
      <c r="F415" s="16" t="str">
        <f aca="false">REPLACE(E415, 1, 3, "")</f>
        <v/>
      </c>
      <c r="G415" s="17" t="str">
        <f aca="true">IFERROR(VLOOKUP(B415,INDIRECT("'"&amp;F415&amp;"'!D3:D"),1,FALSE()), "Not found")</f>
        <v>Not found</v>
      </c>
      <c r="H415" s="25" t="e">
        <f aca="true">INDIRECT("'"&amp;F415&amp;"'!D1")</f>
        <v>#REF!</v>
      </c>
      <c r="I415" s="18" t="str">
        <f aca="false">IFERROR(__xludf.dummyfunction("REGEXEXTRACT(ADDRESS(ROW(), 24+$H415), ""[A-Z]+"")"),"#VALUE!")</f>
        <v>#VALUE!</v>
      </c>
      <c r="J415" s="18" t="str">
        <f aca="false">IFERROR(__xludf.dummyfunction("REGEXEXTRACT(ADDRESS(ROW(), 30+$H415), ""[A-Z]+"")"),"#VALUE!")</f>
        <v>#VALUE!</v>
      </c>
      <c r="K415" s="18" t="str">
        <f aca="false">IFERROR(__xludf.dummyfunction("REGEXEXTRACT(ADDRESS(ROW(), 36+$H415), ""[A-Z]+"")"),"#VALUE!")</f>
        <v>#VALUE!</v>
      </c>
      <c r="L415" s="18" t="str">
        <f aca="false">IFERROR(__xludf.dummyfunction("REGEXEXTRACT(ADDRESS(ROW(), 42+$H415), ""[A-Z]+"")"),"#VALUE!")</f>
        <v>#VALUE!</v>
      </c>
      <c r="M415" s="18" t="str">
        <f aca="false">IFERROR(__xludf.dummyfunction("REGEXEXTRACT(ADDRESS(ROW(), 48+$H415), ""[A-Z]+"")"),"#VALUE!")</f>
        <v>#VALUE!</v>
      </c>
      <c r="N415" s="18" t="str">
        <f aca="false">IFERROR(__xludf.dummyfunction("REGEXEXTRACT(ADDRESS(ROW(), 50+$H415), ""[A-Z]+"")"),"#VALUE!")</f>
        <v>#VALUE!</v>
      </c>
      <c r="O415" s="18" t="str">
        <f aca="false">IFERROR(__xludf.dummyfunction("REGEXEXTRACT(ADDRESS(ROW(), 51+$H415), ""[A-Z]+"")"),"#VALUE!")</f>
        <v>#VALUE!</v>
      </c>
      <c r="P415" s="18" t="str">
        <f aca="false">IFERROR(__xludf.dummyfunction("REGEXEXTRACT(ADDRESS(ROW(), 54+$H415), ""[A-Z]+"")"),"#VALUE!")</f>
        <v>#VALUE!</v>
      </c>
      <c r="Q415" s="18" t="str">
        <f aca="false">IFERROR(__xludf.dummyfunction("REGEXEXTRACT(ADDRESS(ROW(), 59+$H415), ""[A-Z]+"")"),"#VALUE!")</f>
        <v>#VALUE!</v>
      </c>
      <c r="R415" s="18" t="str">
        <f aca="false">IFERROR(__xludf.dummyfunction("REGEXEXTRACT(ADDRESS(ROW(), 60+$H415), ""[A-Z]+"")"),"#VALUE!")</f>
        <v>#VALUE!</v>
      </c>
      <c r="S415" s="18" t="str">
        <f aca="false">IFERROR(__xludf.dummyfunction("REGEXEXTRACT(ADDRESS(ROW(), 62+$H415), ""[A-Z]+"")"),"#VALUE!")</f>
        <v>#VALUE!</v>
      </c>
      <c r="T415" s="18" t="str">
        <f aca="false">IFERROR(__xludf.dummyfunction("REGEXEXTRACT(ADDRESS(ROW(), 63+$H415), ""[A-Z]+"")"),"#VALUE!")</f>
        <v>#VALUE!</v>
      </c>
      <c r="U415" s="19" t="str">
        <f aca="false">IFERROR(__xludf.dummyfunction("IFERROR(QUERY(INDIRECT(""'""&amp;F415&amp;""'!C3:""&amp;T415&amp;""""), ""SELECT ""&amp;I415&amp;"", ""&amp;J415&amp;"", ""&amp;K415&amp;"", ""&amp;L415&amp;"", ""&amp;M415&amp;"", ""&amp;N415&amp;"", ""&amp;O415&amp;"", ""&amp;P415&amp;"", ""&amp;Q415&amp;"", ""&amp;R415&amp;"", ""&amp;S415&amp;"" WHERE '""&amp;B415&amp;""' = D"", 0), """")"),"")</f>
        <v/>
      </c>
      <c r="V415" s="22"/>
      <c r="W415" s="22"/>
      <c r="X415" s="22"/>
      <c r="Y415" s="22"/>
      <c r="Z415" s="22"/>
      <c r="AA415" s="22"/>
      <c r="AB415" s="22"/>
      <c r="AC415" s="22"/>
      <c r="AD415" s="23"/>
      <c r="AE415" s="24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</row>
    <row r="416" customFormat="false" ht="18.65" hidden="false" customHeight="false" outlineLevel="0" collapsed="false">
      <c r="A416" s="13"/>
      <c r="B416" s="26"/>
      <c r="C416" s="15"/>
      <c r="D416" s="16"/>
      <c r="E416" s="16"/>
      <c r="F416" s="16" t="str">
        <f aca="false">REPLACE(E416, 1, 3, "")</f>
        <v/>
      </c>
      <c r="G416" s="17" t="str">
        <f aca="true">IFERROR(VLOOKUP(B416,INDIRECT("'"&amp;F416&amp;"'!D3:D"),1,FALSE()), "Not found")</f>
        <v>Not found</v>
      </c>
      <c r="H416" s="25" t="e">
        <f aca="true">INDIRECT("'"&amp;F416&amp;"'!D1")</f>
        <v>#REF!</v>
      </c>
      <c r="I416" s="18" t="str">
        <f aca="false">IFERROR(__xludf.dummyfunction("REGEXEXTRACT(ADDRESS(ROW(), 24+$H416), ""[A-Z]+"")"),"#VALUE!")</f>
        <v>#VALUE!</v>
      </c>
      <c r="J416" s="18" t="str">
        <f aca="false">IFERROR(__xludf.dummyfunction("REGEXEXTRACT(ADDRESS(ROW(), 30+$H416), ""[A-Z]+"")"),"#VALUE!")</f>
        <v>#VALUE!</v>
      </c>
      <c r="K416" s="18" t="str">
        <f aca="false">IFERROR(__xludf.dummyfunction("REGEXEXTRACT(ADDRESS(ROW(), 36+$H416), ""[A-Z]+"")"),"#VALUE!")</f>
        <v>#VALUE!</v>
      </c>
      <c r="L416" s="18" t="str">
        <f aca="false">IFERROR(__xludf.dummyfunction("REGEXEXTRACT(ADDRESS(ROW(), 42+$H416), ""[A-Z]+"")"),"#VALUE!")</f>
        <v>#VALUE!</v>
      </c>
      <c r="M416" s="18" t="str">
        <f aca="false">IFERROR(__xludf.dummyfunction("REGEXEXTRACT(ADDRESS(ROW(), 48+$H416), ""[A-Z]+"")"),"#VALUE!")</f>
        <v>#VALUE!</v>
      </c>
      <c r="N416" s="18" t="str">
        <f aca="false">IFERROR(__xludf.dummyfunction("REGEXEXTRACT(ADDRESS(ROW(), 50+$H416), ""[A-Z]+"")"),"#VALUE!")</f>
        <v>#VALUE!</v>
      </c>
      <c r="O416" s="18" t="str">
        <f aca="false">IFERROR(__xludf.dummyfunction("REGEXEXTRACT(ADDRESS(ROW(), 51+$H416), ""[A-Z]+"")"),"#VALUE!")</f>
        <v>#VALUE!</v>
      </c>
      <c r="P416" s="18" t="str">
        <f aca="false">IFERROR(__xludf.dummyfunction("REGEXEXTRACT(ADDRESS(ROW(), 54+$H416), ""[A-Z]+"")"),"#VALUE!")</f>
        <v>#VALUE!</v>
      </c>
      <c r="Q416" s="18" t="str">
        <f aca="false">IFERROR(__xludf.dummyfunction("REGEXEXTRACT(ADDRESS(ROW(), 59+$H416), ""[A-Z]+"")"),"#VALUE!")</f>
        <v>#VALUE!</v>
      </c>
      <c r="R416" s="18" t="str">
        <f aca="false">IFERROR(__xludf.dummyfunction("REGEXEXTRACT(ADDRESS(ROW(), 60+$H416), ""[A-Z]+"")"),"#VALUE!")</f>
        <v>#VALUE!</v>
      </c>
      <c r="S416" s="18" t="str">
        <f aca="false">IFERROR(__xludf.dummyfunction("REGEXEXTRACT(ADDRESS(ROW(), 62+$H416), ""[A-Z]+"")"),"#VALUE!")</f>
        <v>#VALUE!</v>
      </c>
      <c r="T416" s="18" t="str">
        <f aca="false">IFERROR(__xludf.dummyfunction("REGEXEXTRACT(ADDRESS(ROW(), 63+$H416), ""[A-Z]+"")"),"#VALUE!")</f>
        <v>#VALUE!</v>
      </c>
      <c r="U416" s="19" t="str">
        <f aca="false">IFERROR(__xludf.dummyfunction("IFERROR(QUERY(INDIRECT(""'""&amp;F416&amp;""'!C3:""&amp;T416&amp;""""), ""SELECT ""&amp;I416&amp;"", ""&amp;J416&amp;"", ""&amp;K416&amp;"", ""&amp;L416&amp;"", ""&amp;M416&amp;"", ""&amp;N416&amp;"", ""&amp;O416&amp;"", ""&amp;P416&amp;"", ""&amp;Q416&amp;"", ""&amp;R416&amp;"", ""&amp;S416&amp;"" WHERE '""&amp;B416&amp;""' = D"", 0), """")"),"")</f>
        <v/>
      </c>
      <c r="V416" s="22"/>
      <c r="W416" s="22"/>
      <c r="X416" s="22"/>
      <c r="Y416" s="22"/>
      <c r="Z416" s="22"/>
      <c r="AA416" s="22"/>
      <c r="AB416" s="22"/>
      <c r="AC416" s="22"/>
      <c r="AD416" s="23"/>
      <c r="AE416" s="24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</row>
    <row r="417" customFormat="false" ht="18.65" hidden="false" customHeight="false" outlineLevel="0" collapsed="false">
      <c r="A417" s="13"/>
      <c r="B417" s="25"/>
      <c r="C417" s="30"/>
      <c r="D417" s="16"/>
      <c r="E417" s="16"/>
      <c r="F417" s="16" t="str">
        <f aca="false">REPLACE(E417, 1, 3, "")</f>
        <v/>
      </c>
      <c r="G417" s="17" t="str">
        <f aca="true">IFERROR(VLOOKUP(B417,INDIRECT("'"&amp;F417&amp;"'!D3:D"),1,FALSE()), "Not found")</f>
        <v>Not found</v>
      </c>
      <c r="H417" s="25" t="e">
        <f aca="true">INDIRECT("'"&amp;F417&amp;"'!D1")</f>
        <v>#REF!</v>
      </c>
      <c r="I417" s="18" t="str">
        <f aca="false">IFERROR(__xludf.dummyfunction("REGEXEXTRACT(ADDRESS(ROW(), 24+$H417), ""[A-Z]+"")"),"#VALUE!")</f>
        <v>#VALUE!</v>
      </c>
      <c r="J417" s="18" t="str">
        <f aca="false">IFERROR(__xludf.dummyfunction("REGEXEXTRACT(ADDRESS(ROW(), 30+$H417), ""[A-Z]+"")"),"#VALUE!")</f>
        <v>#VALUE!</v>
      </c>
      <c r="K417" s="18" t="str">
        <f aca="false">IFERROR(__xludf.dummyfunction("REGEXEXTRACT(ADDRESS(ROW(), 36+$H417), ""[A-Z]+"")"),"#VALUE!")</f>
        <v>#VALUE!</v>
      </c>
      <c r="L417" s="18" t="str">
        <f aca="false">IFERROR(__xludf.dummyfunction("REGEXEXTRACT(ADDRESS(ROW(), 42+$H417), ""[A-Z]+"")"),"#VALUE!")</f>
        <v>#VALUE!</v>
      </c>
      <c r="M417" s="18" t="str">
        <f aca="false">IFERROR(__xludf.dummyfunction("REGEXEXTRACT(ADDRESS(ROW(), 48+$H417), ""[A-Z]+"")"),"#VALUE!")</f>
        <v>#VALUE!</v>
      </c>
      <c r="N417" s="18" t="str">
        <f aca="false">IFERROR(__xludf.dummyfunction("REGEXEXTRACT(ADDRESS(ROW(), 50+$H417), ""[A-Z]+"")"),"#VALUE!")</f>
        <v>#VALUE!</v>
      </c>
      <c r="O417" s="18" t="str">
        <f aca="false">IFERROR(__xludf.dummyfunction("REGEXEXTRACT(ADDRESS(ROW(), 51+$H417), ""[A-Z]+"")"),"#VALUE!")</f>
        <v>#VALUE!</v>
      </c>
      <c r="P417" s="18" t="str">
        <f aca="false">IFERROR(__xludf.dummyfunction("REGEXEXTRACT(ADDRESS(ROW(), 54+$H417), ""[A-Z]+"")"),"#VALUE!")</f>
        <v>#VALUE!</v>
      </c>
      <c r="Q417" s="18" t="str">
        <f aca="false">IFERROR(__xludf.dummyfunction("REGEXEXTRACT(ADDRESS(ROW(), 59+$H417), ""[A-Z]+"")"),"#VALUE!")</f>
        <v>#VALUE!</v>
      </c>
      <c r="R417" s="18" t="str">
        <f aca="false">IFERROR(__xludf.dummyfunction("REGEXEXTRACT(ADDRESS(ROW(), 60+$H417), ""[A-Z]+"")"),"#VALUE!")</f>
        <v>#VALUE!</v>
      </c>
      <c r="S417" s="18" t="str">
        <f aca="false">IFERROR(__xludf.dummyfunction("REGEXEXTRACT(ADDRESS(ROW(), 62+$H417), ""[A-Z]+"")"),"#VALUE!")</f>
        <v>#VALUE!</v>
      </c>
      <c r="T417" s="18" t="str">
        <f aca="false">IFERROR(__xludf.dummyfunction("REGEXEXTRACT(ADDRESS(ROW(), 63+$H417), ""[A-Z]+"")"),"#VALUE!")</f>
        <v>#VALUE!</v>
      </c>
      <c r="U417" s="19" t="str">
        <f aca="false">IFERROR(__xludf.dummyfunction("IFERROR(QUERY(INDIRECT(""'""&amp;F417&amp;""'!C3:""&amp;T417&amp;""""), ""SELECT ""&amp;I417&amp;"", ""&amp;J417&amp;"", ""&amp;K417&amp;"", ""&amp;L417&amp;"", ""&amp;M417&amp;"", ""&amp;N417&amp;"", ""&amp;O417&amp;"", ""&amp;P417&amp;"", ""&amp;Q417&amp;"", ""&amp;R417&amp;"", ""&amp;S417&amp;"" WHERE '""&amp;B417&amp;""' = D"", 0), """")"),"")</f>
        <v/>
      </c>
      <c r="V417" s="22"/>
      <c r="W417" s="22"/>
      <c r="X417" s="22"/>
      <c r="Y417" s="22"/>
      <c r="Z417" s="22"/>
      <c r="AA417" s="22"/>
      <c r="AB417" s="22"/>
      <c r="AC417" s="22"/>
      <c r="AD417" s="23"/>
      <c r="AE417" s="24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</row>
    <row r="418" customFormat="false" ht="18.65" hidden="false" customHeight="false" outlineLevel="0" collapsed="false">
      <c r="A418" s="13"/>
      <c r="B418" s="31"/>
      <c r="C418" s="32"/>
      <c r="D418" s="29"/>
      <c r="E418" s="29"/>
      <c r="F418" s="16" t="str">
        <f aca="false">REPLACE(E418, 1, 3, "")</f>
        <v/>
      </c>
      <c r="G418" s="17" t="str">
        <f aca="true">IFERROR(VLOOKUP(B418,INDIRECT("'"&amp;F418&amp;"'!D3:D"),1,FALSE()), "Not found")</f>
        <v>Not found</v>
      </c>
      <c r="H418" s="25" t="e">
        <f aca="true">INDIRECT("'"&amp;F418&amp;"'!D1")</f>
        <v>#REF!</v>
      </c>
      <c r="I418" s="18" t="str">
        <f aca="false">IFERROR(__xludf.dummyfunction("REGEXEXTRACT(ADDRESS(ROW(), 24+$H418), ""[A-Z]+"")"),"#VALUE!")</f>
        <v>#VALUE!</v>
      </c>
      <c r="J418" s="18" t="str">
        <f aca="false">IFERROR(__xludf.dummyfunction("REGEXEXTRACT(ADDRESS(ROW(), 30+$H418), ""[A-Z]+"")"),"#VALUE!")</f>
        <v>#VALUE!</v>
      </c>
      <c r="K418" s="18" t="str">
        <f aca="false">IFERROR(__xludf.dummyfunction("REGEXEXTRACT(ADDRESS(ROW(), 36+$H418), ""[A-Z]+"")"),"#VALUE!")</f>
        <v>#VALUE!</v>
      </c>
      <c r="L418" s="18" t="str">
        <f aca="false">IFERROR(__xludf.dummyfunction("REGEXEXTRACT(ADDRESS(ROW(), 42+$H418), ""[A-Z]+"")"),"#VALUE!")</f>
        <v>#VALUE!</v>
      </c>
      <c r="M418" s="18" t="str">
        <f aca="false">IFERROR(__xludf.dummyfunction("REGEXEXTRACT(ADDRESS(ROW(), 48+$H418), ""[A-Z]+"")"),"#VALUE!")</f>
        <v>#VALUE!</v>
      </c>
      <c r="N418" s="18" t="str">
        <f aca="false">IFERROR(__xludf.dummyfunction("REGEXEXTRACT(ADDRESS(ROW(), 50+$H418), ""[A-Z]+"")"),"#VALUE!")</f>
        <v>#VALUE!</v>
      </c>
      <c r="O418" s="18" t="str">
        <f aca="false">IFERROR(__xludf.dummyfunction("REGEXEXTRACT(ADDRESS(ROW(), 51+$H418), ""[A-Z]+"")"),"#VALUE!")</f>
        <v>#VALUE!</v>
      </c>
      <c r="P418" s="18" t="str">
        <f aca="false">IFERROR(__xludf.dummyfunction("REGEXEXTRACT(ADDRESS(ROW(), 54+$H418), ""[A-Z]+"")"),"#VALUE!")</f>
        <v>#VALUE!</v>
      </c>
      <c r="Q418" s="18" t="str">
        <f aca="false">IFERROR(__xludf.dummyfunction("REGEXEXTRACT(ADDRESS(ROW(), 59+$H418), ""[A-Z]+"")"),"#VALUE!")</f>
        <v>#VALUE!</v>
      </c>
      <c r="R418" s="18" t="str">
        <f aca="false">IFERROR(__xludf.dummyfunction("REGEXEXTRACT(ADDRESS(ROW(), 60+$H418), ""[A-Z]+"")"),"#VALUE!")</f>
        <v>#VALUE!</v>
      </c>
      <c r="S418" s="18" t="str">
        <f aca="false">IFERROR(__xludf.dummyfunction("REGEXEXTRACT(ADDRESS(ROW(), 62+$H418), ""[A-Z]+"")"),"#VALUE!")</f>
        <v>#VALUE!</v>
      </c>
      <c r="T418" s="18" t="str">
        <f aca="false">IFERROR(__xludf.dummyfunction("REGEXEXTRACT(ADDRESS(ROW(), 63+$H418), ""[A-Z]+"")"),"#VALUE!")</f>
        <v>#VALUE!</v>
      </c>
      <c r="U418" s="19" t="str">
        <f aca="false">IFERROR(__xludf.dummyfunction("IFERROR(QUERY(INDIRECT(""'""&amp;F418&amp;""'!C3:""&amp;T418&amp;""""), ""SELECT ""&amp;I418&amp;"", ""&amp;J418&amp;"", ""&amp;K418&amp;"", ""&amp;L418&amp;"", ""&amp;M418&amp;"", ""&amp;N418&amp;"", ""&amp;O418&amp;"", ""&amp;P418&amp;"", ""&amp;Q418&amp;"", ""&amp;R418&amp;"", ""&amp;S418&amp;"" WHERE '""&amp;B418&amp;""' = D"", 0), """")"),"")</f>
        <v/>
      </c>
      <c r="V418" s="22"/>
      <c r="W418" s="22"/>
      <c r="X418" s="22"/>
      <c r="Y418" s="22"/>
      <c r="Z418" s="22"/>
      <c r="AA418" s="22"/>
      <c r="AB418" s="22"/>
      <c r="AC418" s="22"/>
      <c r="AD418" s="23"/>
      <c r="AE418" s="24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</row>
    <row r="419" customFormat="false" ht="18.65" hidden="false" customHeight="false" outlineLevel="0" collapsed="false">
      <c r="A419" s="13"/>
      <c r="B419" s="33"/>
      <c r="C419" s="34"/>
      <c r="D419" s="35"/>
      <c r="E419" s="35"/>
      <c r="F419" s="16" t="str">
        <f aca="false">REPLACE(E419, 1, 3, "")</f>
        <v/>
      </c>
      <c r="G419" s="17" t="str">
        <f aca="true">IFERROR(VLOOKUP(B419,INDIRECT("'"&amp;F419&amp;"'!D3:D"),1,FALSE()), "Not found")</f>
        <v>Not found</v>
      </c>
      <c r="H419" s="25" t="e">
        <f aca="true">INDIRECT("'"&amp;F419&amp;"'!D1")</f>
        <v>#REF!</v>
      </c>
      <c r="I419" s="18" t="str">
        <f aca="false">IFERROR(__xludf.dummyfunction("REGEXEXTRACT(ADDRESS(ROW(), 24+$H419), ""[A-Z]+"")"),"#VALUE!")</f>
        <v>#VALUE!</v>
      </c>
      <c r="J419" s="18" t="str">
        <f aca="false">IFERROR(__xludf.dummyfunction("REGEXEXTRACT(ADDRESS(ROW(), 30+$H419), ""[A-Z]+"")"),"#VALUE!")</f>
        <v>#VALUE!</v>
      </c>
      <c r="K419" s="18" t="str">
        <f aca="false">IFERROR(__xludf.dummyfunction("REGEXEXTRACT(ADDRESS(ROW(), 36+$H419), ""[A-Z]+"")"),"#VALUE!")</f>
        <v>#VALUE!</v>
      </c>
      <c r="L419" s="18" t="str">
        <f aca="false">IFERROR(__xludf.dummyfunction("REGEXEXTRACT(ADDRESS(ROW(), 42+$H419), ""[A-Z]+"")"),"#VALUE!")</f>
        <v>#VALUE!</v>
      </c>
      <c r="M419" s="18" t="str">
        <f aca="false">IFERROR(__xludf.dummyfunction("REGEXEXTRACT(ADDRESS(ROW(), 48+$H419), ""[A-Z]+"")"),"#VALUE!")</f>
        <v>#VALUE!</v>
      </c>
      <c r="N419" s="18" t="str">
        <f aca="false">IFERROR(__xludf.dummyfunction("REGEXEXTRACT(ADDRESS(ROW(), 50+$H419), ""[A-Z]+"")"),"#VALUE!")</f>
        <v>#VALUE!</v>
      </c>
      <c r="O419" s="18" t="str">
        <f aca="false">IFERROR(__xludf.dummyfunction("REGEXEXTRACT(ADDRESS(ROW(), 51+$H419), ""[A-Z]+"")"),"#VALUE!")</f>
        <v>#VALUE!</v>
      </c>
      <c r="P419" s="18" t="str">
        <f aca="false">IFERROR(__xludf.dummyfunction("REGEXEXTRACT(ADDRESS(ROW(), 54+$H419), ""[A-Z]+"")"),"#VALUE!")</f>
        <v>#VALUE!</v>
      </c>
      <c r="Q419" s="18" t="str">
        <f aca="false">IFERROR(__xludf.dummyfunction("REGEXEXTRACT(ADDRESS(ROW(), 59+$H419), ""[A-Z]+"")"),"#VALUE!")</f>
        <v>#VALUE!</v>
      </c>
      <c r="R419" s="18" t="str">
        <f aca="false">IFERROR(__xludf.dummyfunction("REGEXEXTRACT(ADDRESS(ROW(), 60+$H419), ""[A-Z]+"")"),"#VALUE!")</f>
        <v>#VALUE!</v>
      </c>
      <c r="S419" s="18" t="str">
        <f aca="false">IFERROR(__xludf.dummyfunction("REGEXEXTRACT(ADDRESS(ROW(), 62+$H419), ""[A-Z]+"")"),"#VALUE!")</f>
        <v>#VALUE!</v>
      </c>
      <c r="T419" s="18" t="str">
        <f aca="false">IFERROR(__xludf.dummyfunction("REGEXEXTRACT(ADDRESS(ROW(), 63+$H419), ""[A-Z]+"")"),"#VALUE!")</f>
        <v>#VALUE!</v>
      </c>
      <c r="U419" s="19" t="str">
        <f aca="false">IFERROR(__xludf.dummyfunction("IFERROR(QUERY(INDIRECT(""'""&amp;F419&amp;""'!C3:""&amp;T419&amp;""""), ""SELECT ""&amp;I419&amp;"", ""&amp;J419&amp;"", ""&amp;K419&amp;"", ""&amp;L419&amp;"", ""&amp;M419&amp;"", ""&amp;N419&amp;"", ""&amp;O419&amp;"", ""&amp;P419&amp;"", ""&amp;Q419&amp;"", ""&amp;R419&amp;"", ""&amp;S419&amp;"" WHERE '""&amp;B419&amp;""' = D"", 0), """")"),"")</f>
        <v/>
      </c>
      <c r="V419" s="22"/>
      <c r="W419" s="22"/>
      <c r="X419" s="22"/>
      <c r="Y419" s="22"/>
      <c r="Z419" s="22"/>
      <c r="AA419" s="22"/>
      <c r="AB419" s="22"/>
      <c r="AC419" s="22"/>
      <c r="AD419" s="23"/>
      <c r="AE419" s="24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</row>
    <row r="420" customFormat="false" ht="18.65" hidden="false" customHeight="false" outlineLevel="0" collapsed="false">
      <c r="A420" s="13"/>
      <c r="B420" s="33"/>
      <c r="C420" s="34"/>
      <c r="D420" s="35"/>
      <c r="E420" s="35"/>
      <c r="F420" s="16" t="str">
        <f aca="false">REPLACE(E420, 1, 3, "")</f>
        <v/>
      </c>
      <c r="G420" s="17" t="str">
        <f aca="true">IFERROR(VLOOKUP(B420,INDIRECT("'"&amp;F420&amp;"'!D3:D"),1,FALSE()), "Not found")</f>
        <v>Not found</v>
      </c>
      <c r="H420" s="25" t="e">
        <f aca="true">INDIRECT("'"&amp;F420&amp;"'!D1")</f>
        <v>#REF!</v>
      </c>
      <c r="I420" s="18" t="str">
        <f aca="false">IFERROR(__xludf.dummyfunction("REGEXEXTRACT(ADDRESS(ROW(), 24+$H420), ""[A-Z]+"")"),"#VALUE!")</f>
        <v>#VALUE!</v>
      </c>
      <c r="J420" s="18" t="str">
        <f aca="false">IFERROR(__xludf.dummyfunction("REGEXEXTRACT(ADDRESS(ROW(), 30+$H420), ""[A-Z]+"")"),"#VALUE!")</f>
        <v>#VALUE!</v>
      </c>
      <c r="K420" s="18" t="str">
        <f aca="false">IFERROR(__xludf.dummyfunction("REGEXEXTRACT(ADDRESS(ROW(), 36+$H420), ""[A-Z]+"")"),"#VALUE!")</f>
        <v>#VALUE!</v>
      </c>
      <c r="L420" s="18" t="str">
        <f aca="false">IFERROR(__xludf.dummyfunction("REGEXEXTRACT(ADDRESS(ROW(), 42+$H420), ""[A-Z]+"")"),"#VALUE!")</f>
        <v>#VALUE!</v>
      </c>
      <c r="M420" s="18" t="str">
        <f aca="false">IFERROR(__xludf.dummyfunction("REGEXEXTRACT(ADDRESS(ROW(), 48+$H420), ""[A-Z]+"")"),"#VALUE!")</f>
        <v>#VALUE!</v>
      </c>
      <c r="N420" s="18" t="str">
        <f aca="false">IFERROR(__xludf.dummyfunction("REGEXEXTRACT(ADDRESS(ROW(), 50+$H420), ""[A-Z]+"")"),"#VALUE!")</f>
        <v>#VALUE!</v>
      </c>
      <c r="O420" s="18" t="str">
        <f aca="false">IFERROR(__xludf.dummyfunction("REGEXEXTRACT(ADDRESS(ROW(), 51+$H420), ""[A-Z]+"")"),"#VALUE!")</f>
        <v>#VALUE!</v>
      </c>
      <c r="P420" s="18" t="str">
        <f aca="false">IFERROR(__xludf.dummyfunction("REGEXEXTRACT(ADDRESS(ROW(), 54+$H420), ""[A-Z]+"")"),"#VALUE!")</f>
        <v>#VALUE!</v>
      </c>
      <c r="Q420" s="18" t="str">
        <f aca="false">IFERROR(__xludf.dummyfunction("REGEXEXTRACT(ADDRESS(ROW(), 59+$H420), ""[A-Z]+"")"),"#VALUE!")</f>
        <v>#VALUE!</v>
      </c>
      <c r="R420" s="18" t="str">
        <f aca="false">IFERROR(__xludf.dummyfunction("REGEXEXTRACT(ADDRESS(ROW(), 60+$H420), ""[A-Z]+"")"),"#VALUE!")</f>
        <v>#VALUE!</v>
      </c>
      <c r="S420" s="18" t="str">
        <f aca="false">IFERROR(__xludf.dummyfunction("REGEXEXTRACT(ADDRESS(ROW(), 62+$H420), ""[A-Z]+"")"),"#VALUE!")</f>
        <v>#VALUE!</v>
      </c>
      <c r="T420" s="18" t="str">
        <f aca="false">IFERROR(__xludf.dummyfunction("REGEXEXTRACT(ADDRESS(ROW(), 63+$H420), ""[A-Z]+"")"),"#VALUE!")</f>
        <v>#VALUE!</v>
      </c>
      <c r="U420" s="19" t="str">
        <f aca="false">IFERROR(__xludf.dummyfunction("IFERROR(QUERY(INDIRECT(""'""&amp;F420&amp;""'!C3:""&amp;T420&amp;""""), ""SELECT ""&amp;I420&amp;"", ""&amp;J420&amp;"", ""&amp;K420&amp;"", ""&amp;L420&amp;"", ""&amp;M420&amp;"", ""&amp;N420&amp;"", ""&amp;O420&amp;"", ""&amp;P420&amp;"", ""&amp;Q420&amp;"", ""&amp;R420&amp;"", ""&amp;S420&amp;"" WHERE '""&amp;B420&amp;""' = D"", 0), """")"),"")</f>
        <v/>
      </c>
      <c r="V420" s="36"/>
      <c r="W420" s="22"/>
      <c r="X420" s="22"/>
      <c r="Y420" s="22"/>
      <c r="Z420" s="22"/>
      <c r="AA420" s="22"/>
      <c r="AB420" s="22"/>
      <c r="AC420" s="22"/>
      <c r="AD420" s="23"/>
      <c r="AE420" s="24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</row>
    <row r="421" customFormat="false" ht="18.65" hidden="false" customHeight="false" outlineLevel="0" collapsed="false">
      <c r="A421" s="13"/>
      <c r="B421" s="33"/>
      <c r="C421" s="34"/>
      <c r="D421" s="35"/>
      <c r="E421" s="35"/>
      <c r="F421" s="16" t="str">
        <f aca="false">REPLACE(E421, 1, 3, "")</f>
        <v/>
      </c>
      <c r="G421" s="17" t="str">
        <f aca="true">IFERROR(VLOOKUP(B421,INDIRECT("'"&amp;F421&amp;"'!D3:D"),1,FALSE()), "Not found")</f>
        <v>Not found</v>
      </c>
      <c r="H421" s="25" t="e">
        <f aca="true">INDIRECT("'"&amp;F421&amp;"'!D1")</f>
        <v>#REF!</v>
      </c>
      <c r="I421" s="18" t="str">
        <f aca="false">IFERROR(__xludf.dummyfunction("REGEXEXTRACT(ADDRESS(ROW(), 24+$H421), ""[A-Z]+"")"),"#VALUE!")</f>
        <v>#VALUE!</v>
      </c>
      <c r="J421" s="18" t="str">
        <f aca="false">IFERROR(__xludf.dummyfunction("REGEXEXTRACT(ADDRESS(ROW(), 30+$H421), ""[A-Z]+"")"),"#VALUE!")</f>
        <v>#VALUE!</v>
      </c>
      <c r="K421" s="18" t="str">
        <f aca="false">IFERROR(__xludf.dummyfunction("REGEXEXTRACT(ADDRESS(ROW(), 36+$H421), ""[A-Z]+"")"),"#VALUE!")</f>
        <v>#VALUE!</v>
      </c>
      <c r="L421" s="18" t="str">
        <f aca="false">IFERROR(__xludf.dummyfunction("REGEXEXTRACT(ADDRESS(ROW(), 42+$H421), ""[A-Z]+"")"),"#VALUE!")</f>
        <v>#VALUE!</v>
      </c>
      <c r="M421" s="18" t="str">
        <f aca="false">IFERROR(__xludf.dummyfunction("REGEXEXTRACT(ADDRESS(ROW(), 48+$H421), ""[A-Z]+"")"),"#VALUE!")</f>
        <v>#VALUE!</v>
      </c>
      <c r="N421" s="18" t="str">
        <f aca="false">IFERROR(__xludf.dummyfunction("REGEXEXTRACT(ADDRESS(ROW(), 50+$H421), ""[A-Z]+"")"),"#VALUE!")</f>
        <v>#VALUE!</v>
      </c>
      <c r="O421" s="18" t="str">
        <f aca="false">IFERROR(__xludf.dummyfunction("REGEXEXTRACT(ADDRESS(ROW(), 51+$H421), ""[A-Z]+"")"),"#VALUE!")</f>
        <v>#VALUE!</v>
      </c>
      <c r="P421" s="18" t="str">
        <f aca="false">IFERROR(__xludf.dummyfunction("REGEXEXTRACT(ADDRESS(ROW(), 54+$H421), ""[A-Z]+"")"),"#VALUE!")</f>
        <v>#VALUE!</v>
      </c>
      <c r="Q421" s="18" t="str">
        <f aca="false">IFERROR(__xludf.dummyfunction("REGEXEXTRACT(ADDRESS(ROW(), 59+$H421), ""[A-Z]+"")"),"#VALUE!")</f>
        <v>#VALUE!</v>
      </c>
      <c r="R421" s="18" t="str">
        <f aca="false">IFERROR(__xludf.dummyfunction("REGEXEXTRACT(ADDRESS(ROW(), 60+$H421), ""[A-Z]+"")"),"#VALUE!")</f>
        <v>#VALUE!</v>
      </c>
      <c r="S421" s="18" t="str">
        <f aca="false">IFERROR(__xludf.dummyfunction("REGEXEXTRACT(ADDRESS(ROW(), 62+$H421), ""[A-Z]+"")"),"#VALUE!")</f>
        <v>#VALUE!</v>
      </c>
      <c r="T421" s="18" t="str">
        <f aca="false">IFERROR(__xludf.dummyfunction("REGEXEXTRACT(ADDRESS(ROW(), 63+$H421), ""[A-Z]+"")"),"#VALUE!")</f>
        <v>#VALUE!</v>
      </c>
      <c r="U421" s="19" t="str">
        <f aca="false">IFERROR(__xludf.dummyfunction("IFERROR(QUERY(INDIRECT(""'""&amp;F421&amp;""'!C3:""&amp;T421&amp;""""), ""SELECT ""&amp;I421&amp;"", ""&amp;J421&amp;"", ""&amp;K421&amp;"", ""&amp;L421&amp;"", ""&amp;M421&amp;"", ""&amp;N421&amp;"", ""&amp;O421&amp;"", ""&amp;P421&amp;"", ""&amp;Q421&amp;"", ""&amp;R421&amp;"", ""&amp;S421&amp;"" WHERE '""&amp;B421&amp;""' = D"", 0), """")"),"")</f>
        <v/>
      </c>
      <c r="V421" s="22"/>
      <c r="W421" s="22"/>
      <c r="X421" s="22"/>
      <c r="Y421" s="22"/>
      <c r="Z421" s="22"/>
      <c r="AA421" s="22"/>
      <c r="AB421" s="22"/>
      <c r="AC421" s="22"/>
      <c r="AD421" s="23"/>
      <c r="AE421" s="24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</row>
    <row r="422" customFormat="false" ht="18.65" hidden="false" customHeight="false" outlineLevel="0" collapsed="false">
      <c r="A422" s="13"/>
      <c r="B422" s="33"/>
      <c r="C422" s="34"/>
      <c r="D422" s="35"/>
      <c r="E422" s="35"/>
      <c r="F422" s="16" t="str">
        <f aca="false">REPLACE(E422, 1, 3, "")</f>
        <v/>
      </c>
      <c r="G422" s="17" t="str">
        <f aca="true">IFERROR(VLOOKUP(B422,INDIRECT("'"&amp;F422&amp;"'!D3:D"),1,FALSE()), "Not found")</f>
        <v>Not found</v>
      </c>
      <c r="H422" s="25" t="e">
        <f aca="true">INDIRECT("'"&amp;F422&amp;"'!D1")</f>
        <v>#REF!</v>
      </c>
      <c r="I422" s="18" t="str">
        <f aca="false">IFERROR(__xludf.dummyfunction("REGEXEXTRACT(ADDRESS(ROW(), 24+$H422), ""[A-Z]+"")"),"#VALUE!")</f>
        <v>#VALUE!</v>
      </c>
      <c r="J422" s="18" t="str">
        <f aca="false">IFERROR(__xludf.dummyfunction("REGEXEXTRACT(ADDRESS(ROW(), 30+$H422), ""[A-Z]+"")"),"#VALUE!")</f>
        <v>#VALUE!</v>
      </c>
      <c r="K422" s="18" t="str">
        <f aca="false">IFERROR(__xludf.dummyfunction("REGEXEXTRACT(ADDRESS(ROW(), 36+$H422), ""[A-Z]+"")"),"#VALUE!")</f>
        <v>#VALUE!</v>
      </c>
      <c r="L422" s="18" t="str">
        <f aca="false">IFERROR(__xludf.dummyfunction("REGEXEXTRACT(ADDRESS(ROW(), 42+$H422), ""[A-Z]+"")"),"#VALUE!")</f>
        <v>#VALUE!</v>
      </c>
      <c r="M422" s="18" t="str">
        <f aca="false">IFERROR(__xludf.dummyfunction("REGEXEXTRACT(ADDRESS(ROW(), 48+$H422), ""[A-Z]+"")"),"#VALUE!")</f>
        <v>#VALUE!</v>
      </c>
      <c r="N422" s="18" t="str">
        <f aca="false">IFERROR(__xludf.dummyfunction("REGEXEXTRACT(ADDRESS(ROW(), 50+$H422), ""[A-Z]+"")"),"#VALUE!")</f>
        <v>#VALUE!</v>
      </c>
      <c r="O422" s="18" t="str">
        <f aca="false">IFERROR(__xludf.dummyfunction("REGEXEXTRACT(ADDRESS(ROW(), 51+$H422), ""[A-Z]+"")"),"#VALUE!")</f>
        <v>#VALUE!</v>
      </c>
      <c r="P422" s="18" t="str">
        <f aca="false">IFERROR(__xludf.dummyfunction("REGEXEXTRACT(ADDRESS(ROW(), 54+$H422), ""[A-Z]+"")"),"#VALUE!")</f>
        <v>#VALUE!</v>
      </c>
      <c r="Q422" s="18" t="str">
        <f aca="false">IFERROR(__xludf.dummyfunction("REGEXEXTRACT(ADDRESS(ROW(), 59+$H422), ""[A-Z]+"")"),"#VALUE!")</f>
        <v>#VALUE!</v>
      </c>
      <c r="R422" s="18" t="str">
        <f aca="false">IFERROR(__xludf.dummyfunction("REGEXEXTRACT(ADDRESS(ROW(), 60+$H422), ""[A-Z]+"")"),"#VALUE!")</f>
        <v>#VALUE!</v>
      </c>
      <c r="S422" s="18" t="str">
        <f aca="false">IFERROR(__xludf.dummyfunction("REGEXEXTRACT(ADDRESS(ROW(), 62+$H422), ""[A-Z]+"")"),"#VALUE!")</f>
        <v>#VALUE!</v>
      </c>
      <c r="T422" s="18" t="str">
        <f aca="false">IFERROR(__xludf.dummyfunction("REGEXEXTRACT(ADDRESS(ROW(), 63+$H422), ""[A-Z]+"")"),"#VALUE!")</f>
        <v>#VALUE!</v>
      </c>
      <c r="U422" s="19" t="str">
        <f aca="false">IFERROR(__xludf.dummyfunction("IFERROR(QUERY(INDIRECT(""'""&amp;F422&amp;""'!C3:""&amp;T422&amp;""""), ""SELECT ""&amp;I422&amp;"", ""&amp;J422&amp;"", ""&amp;K422&amp;"", ""&amp;L422&amp;"", ""&amp;M422&amp;"", ""&amp;N422&amp;"", ""&amp;O422&amp;"", ""&amp;P422&amp;"", ""&amp;Q422&amp;"", ""&amp;R422&amp;"", ""&amp;S422&amp;"" WHERE '""&amp;B422&amp;""' = D"", 0), """")"),"")</f>
        <v/>
      </c>
      <c r="V422" s="22"/>
      <c r="W422" s="22"/>
      <c r="X422" s="22"/>
      <c r="Y422" s="22"/>
      <c r="Z422" s="22"/>
      <c r="AA422" s="22"/>
      <c r="AB422" s="22"/>
      <c r="AC422" s="22"/>
      <c r="AD422" s="23"/>
      <c r="AE422" s="24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</row>
    <row r="423" customFormat="false" ht="18.65" hidden="false" customHeight="false" outlineLevel="0" collapsed="false">
      <c r="A423" s="13"/>
      <c r="B423" s="33"/>
      <c r="C423" s="34"/>
      <c r="D423" s="35"/>
      <c r="E423" s="35"/>
      <c r="F423" s="16" t="str">
        <f aca="false">REPLACE(E423, 1, 3, "")</f>
        <v/>
      </c>
      <c r="G423" s="17" t="str">
        <f aca="true">IFERROR(VLOOKUP(B423,INDIRECT("'"&amp;F423&amp;"'!D3:D"),1,FALSE()), "Not found")</f>
        <v>Not found</v>
      </c>
      <c r="H423" s="25" t="e">
        <f aca="true">INDIRECT("'"&amp;F423&amp;"'!D1")</f>
        <v>#REF!</v>
      </c>
      <c r="I423" s="18" t="str">
        <f aca="false">IFERROR(__xludf.dummyfunction("REGEXEXTRACT(ADDRESS(ROW(), 24+$H423), ""[A-Z]+"")"),"#VALUE!")</f>
        <v>#VALUE!</v>
      </c>
      <c r="J423" s="18" t="str">
        <f aca="false">IFERROR(__xludf.dummyfunction("REGEXEXTRACT(ADDRESS(ROW(), 30+$H423), ""[A-Z]+"")"),"#VALUE!")</f>
        <v>#VALUE!</v>
      </c>
      <c r="K423" s="18" t="str">
        <f aca="false">IFERROR(__xludf.dummyfunction("REGEXEXTRACT(ADDRESS(ROW(), 36+$H423), ""[A-Z]+"")"),"#VALUE!")</f>
        <v>#VALUE!</v>
      </c>
      <c r="L423" s="18" t="str">
        <f aca="false">IFERROR(__xludf.dummyfunction("REGEXEXTRACT(ADDRESS(ROW(), 42+$H423), ""[A-Z]+"")"),"#VALUE!")</f>
        <v>#VALUE!</v>
      </c>
      <c r="M423" s="18" t="str">
        <f aca="false">IFERROR(__xludf.dummyfunction("REGEXEXTRACT(ADDRESS(ROW(), 48+$H423), ""[A-Z]+"")"),"#VALUE!")</f>
        <v>#VALUE!</v>
      </c>
      <c r="N423" s="18" t="str">
        <f aca="false">IFERROR(__xludf.dummyfunction("REGEXEXTRACT(ADDRESS(ROW(), 50+$H423), ""[A-Z]+"")"),"#VALUE!")</f>
        <v>#VALUE!</v>
      </c>
      <c r="O423" s="18" t="str">
        <f aca="false">IFERROR(__xludf.dummyfunction("REGEXEXTRACT(ADDRESS(ROW(), 51+$H423), ""[A-Z]+"")"),"#VALUE!")</f>
        <v>#VALUE!</v>
      </c>
      <c r="P423" s="18" t="str">
        <f aca="false">IFERROR(__xludf.dummyfunction("REGEXEXTRACT(ADDRESS(ROW(), 54+$H423), ""[A-Z]+"")"),"#VALUE!")</f>
        <v>#VALUE!</v>
      </c>
      <c r="Q423" s="18" t="str">
        <f aca="false">IFERROR(__xludf.dummyfunction("REGEXEXTRACT(ADDRESS(ROW(), 59+$H423), ""[A-Z]+"")"),"#VALUE!")</f>
        <v>#VALUE!</v>
      </c>
      <c r="R423" s="18" t="str">
        <f aca="false">IFERROR(__xludf.dummyfunction("REGEXEXTRACT(ADDRESS(ROW(), 60+$H423), ""[A-Z]+"")"),"#VALUE!")</f>
        <v>#VALUE!</v>
      </c>
      <c r="S423" s="18" t="str">
        <f aca="false">IFERROR(__xludf.dummyfunction("REGEXEXTRACT(ADDRESS(ROW(), 62+$H423), ""[A-Z]+"")"),"#VALUE!")</f>
        <v>#VALUE!</v>
      </c>
      <c r="T423" s="18" t="str">
        <f aca="false">IFERROR(__xludf.dummyfunction("REGEXEXTRACT(ADDRESS(ROW(), 63+$H423), ""[A-Z]+"")"),"#VALUE!")</f>
        <v>#VALUE!</v>
      </c>
      <c r="U423" s="19" t="str">
        <f aca="false">IFERROR(__xludf.dummyfunction("IFERROR(QUERY(INDIRECT(""'""&amp;F423&amp;""'!C3:""&amp;T423&amp;""""), ""SELECT ""&amp;I423&amp;"", ""&amp;J423&amp;"", ""&amp;K423&amp;"", ""&amp;L423&amp;"", ""&amp;M423&amp;"", ""&amp;N423&amp;"", ""&amp;O423&amp;"", ""&amp;P423&amp;"", ""&amp;Q423&amp;"", ""&amp;R423&amp;"", ""&amp;S423&amp;"" WHERE '""&amp;B423&amp;""' = D"", 0), """")"),"")</f>
        <v/>
      </c>
      <c r="V423" s="22"/>
      <c r="W423" s="22"/>
      <c r="X423" s="22"/>
      <c r="Y423" s="22"/>
      <c r="Z423" s="22"/>
      <c r="AA423" s="22"/>
      <c r="AB423" s="22"/>
      <c r="AC423" s="22"/>
      <c r="AD423" s="23"/>
      <c r="AE423" s="24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</row>
    <row r="424" customFormat="false" ht="18.65" hidden="false" customHeight="false" outlineLevel="0" collapsed="false">
      <c r="A424" s="13"/>
      <c r="B424" s="33"/>
      <c r="C424" s="34"/>
      <c r="D424" s="35"/>
      <c r="E424" s="35"/>
      <c r="F424" s="16" t="str">
        <f aca="false">REPLACE(E424, 1, 3, "")</f>
        <v/>
      </c>
      <c r="G424" s="17" t="str">
        <f aca="true">IFERROR(VLOOKUP(B424,INDIRECT("'"&amp;F424&amp;"'!D3:D"),1,FALSE()), "Not found")</f>
        <v>Not found</v>
      </c>
      <c r="H424" s="25" t="e">
        <f aca="true">INDIRECT("'"&amp;F424&amp;"'!D1")</f>
        <v>#REF!</v>
      </c>
      <c r="I424" s="18" t="str">
        <f aca="false">IFERROR(__xludf.dummyfunction("REGEXEXTRACT(ADDRESS(ROW(), 24+$H424), ""[A-Z]+"")"),"#VALUE!")</f>
        <v>#VALUE!</v>
      </c>
      <c r="J424" s="18" t="str">
        <f aca="false">IFERROR(__xludf.dummyfunction("REGEXEXTRACT(ADDRESS(ROW(), 30+$H424), ""[A-Z]+"")"),"#VALUE!")</f>
        <v>#VALUE!</v>
      </c>
      <c r="K424" s="18" t="str">
        <f aca="false">IFERROR(__xludf.dummyfunction("REGEXEXTRACT(ADDRESS(ROW(), 36+$H424), ""[A-Z]+"")"),"#VALUE!")</f>
        <v>#VALUE!</v>
      </c>
      <c r="L424" s="18" t="str">
        <f aca="false">IFERROR(__xludf.dummyfunction("REGEXEXTRACT(ADDRESS(ROW(), 42+$H424), ""[A-Z]+"")"),"#VALUE!")</f>
        <v>#VALUE!</v>
      </c>
      <c r="M424" s="18" t="str">
        <f aca="false">IFERROR(__xludf.dummyfunction("REGEXEXTRACT(ADDRESS(ROW(), 48+$H424), ""[A-Z]+"")"),"#VALUE!")</f>
        <v>#VALUE!</v>
      </c>
      <c r="N424" s="18" t="str">
        <f aca="false">IFERROR(__xludf.dummyfunction("REGEXEXTRACT(ADDRESS(ROW(), 50+$H424), ""[A-Z]+"")"),"#VALUE!")</f>
        <v>#VALUE!</v>
      </c>
      <c r="O424" s="18" t="str">
        <f aca="false">IFERROR(__xludf.dummyfunction("REGEXEXTRACT(ADDRESS(ROW(), 51+$H424), ""[A-Z]+"")"),"#VALUE!")</f>
        <v>#VALUE!</v>
      </c>
      <c r="P424" s="18" t="str">
        <f aca="false">IFERROR(__xludf.dummyfunction("REGEXEXTRACT(ADDRESS(ROW(), 54+$H424), ""[A-Z]+"")"),"#VALUE!")</f>
        <v>#VALUE!</v>
      </c>
      <c r="Q424" s="18" t="str">
        <f aca="false">IFERROR(__xludf.dummyfunction("REGEXEXTRACT(ADDRESS(ROW(), 59+$H424), ""[A-Z]+"")"),"#VALUE!")</f>
        <v>#VALUE!</v>
      </c>
      <c r="R424" s="18" t="str">
        <f aca="false">IFERROR(__xludf.dummyfunction("REGEXEXTRACT(ADDRESS(ROW(), 60+$H424), ""[A-Z]+"")"),"#VALUE!")</f>
        <v>#VALUE!</v>
      </c>
      <c r="S424" s="18" t="str">
        <f aca="false">IFERROR(__xludf.dummyfunction("REGEXEXTRACT(ADDRESS(ROW(), 62+$H424), ""[A-Z]+"")"),"#VALUE!")</f>
        <v>#VALUE!</v>
      </c>
      <c r="T424" s="18" t="str">
        <f aca="false">IFERROR(__xludf.dummyfunction("REGEXEXTRACT(ADDRESS(ROW(), 63+$H424), ""[A-Z]+"")"),"#VALUE!")</f>
        <v>#VALUE!</v>
      </c>
      <c r="U424" s="19" t="str">
        <f aca="false">IFERROR(__xludf.dummyfunction("IFERROR(QUERY(INDIRECT(""'""&amp;F424&amp;""'!C3:""&amp;T424&amp;""""), ""SELECT ""&amp;I424&amp;"", ""&amp;J424&amp;"", ""&amp;K424&amp;"", ""&amp;L424&amp;"", ""&amp;M424&amp;"", ""&amp;N424&amp;"", ""&amp;O424&amp;"", ""&amp;P424&amp;"", ""&amp;Q424&amp;"", ""&amp;R424&amp;"", ""&amp;S424&amp;"" WHERE '""&amp;B424&amp;""' = D"", 0), """")"),"")</f>
        <v/>
      </c>
      <c r="V424" s="22"/>
      <c r="W424" s="22"/>
      <c r="X424" s="22"/>
      <c r="Y424" s="22"/>
      <c r="Z424" s="22"/>
      <c r="AA424" s="22"/>
      <c r="AB424" s="22"/>
      <c r="AC424" s="22"/>
      <c r="AD424" s="23"/>
      <c r="AE424" s="24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</row>
    <row r="425" customFormat="false" ht="18.65" hidden="false" customHeight="false" outlineLevel="0" collapsed="false">
      <c r="A425" s="13"/>
      <c r="B425" s="33"/>
      <c r="C425" s="34"/>
      <c r="D425" s="35"/>
      <c r="E425" s="35"/>
      <c r="F425" s="16" t="str">
        <f aca="false">REPLACE(E425, 1, 3, "")</f>
        <v/>
      </c>
      <c r="G425" s="17" t="str">
        <f aca="true">IFERROR(VLOOKUP(B425,INDIRECT("'"&amp;F425&amp;"'!D3:D"),1,FALSE()), "Not found")</f>
        <v>Not found</v>
      </c>
      <c r="H425" s="25" t="e">
        <f aca="true">INDIRECT("'"&amp;F425&amp;"'!D1")</f>
        <v>#REF!</v>
      </c>
      <c r="I425" s="18" t="str">
        <f aca="false">IFERROR(__xludf.dummyfunction("REGEXEXTRACT(ADDRESS(ROW(), 24+$H425), ""[A-Z]+"")"),"#VALUE!")</f>
        <v>#VALUE!</v>
      </c>
      <c r="J425" s="18" t="str">
        <f aca="false">IFERROR(__xludf.dummyfunction("REGEXEXTRACT(ADDRESS(ROW(), 30+$H425), ""[A-Z]+"")"),"#VALUE!")</f>
        <v>#VALUE!</v>
      </c>
      <c r="K425" s="18" t="str">
        <f aca="false">IFERROR(__xludf.dummyfunction("REGEXEXTRACT(ADDRESS(ROW(), 36+$H425), ""[A-Z]+"")"),"#VALUE!")</f>
        <v>#VALUE!</v>
      </c>
      <c r="L425" s="18" t="str">
        <f aca="false">IFERROR(__xludf.dummyfunction("REGEXEXTRACT(ADDRESS(ROW(), 42+$H425), ""[A-Z]+"")"),"#VALUE!")</f>
        <v>#VALUE!</v>
      </c>
      <c r="M425" s="18" t="str">
        <f aca="false">IFERROR(__xludf.dummyfunction("REGEXEXTRACT(ADDRESS(ROW(), 48+$H425), ""[A-Z]+"")"),"#VALUE!")</f>
        <v>#VALUE!</v>
      </c>
      <c r="N425" s="18" t="str">
        <f aca="false">IFERROR(__xludf.dummyfunction("REGEXEXTRACT(ADDRESS(ROW(), 50+$H425), ""[A-Z]+"")"),"#VALUE!")</f>
        <v>#VALUE!</v>
      </c>
      <c r="O425" s="18" t="str">
        <f aca="false">IFERROR(__xludf.dummyfunction("REGEXEXTRACT(ADDRESS(ROW(), 51+$H425), ""[A-Z]+"")"),"#VALUE!")</f>
        <v>#VALUE!</v>
      </c>
      <c r="P425" s="18" t="str">
        <f aca="false">IFERROR(__xludf.dummyfunction("REGEXEXTRACT(ADDRESS(ROW(), 54+$H425), ""[A-Z]+"")"),"#VALUE!")</f>
        <v>#VALUE!</v>
      </c>
      <c r="Q425" s="18" t="str">
        <f aca="false">IFERROR(__xludf.dummyfunction("REGEXEXTRACT(ADDRESS(ROW(), 59+$H425), ""[A-Z]+"")"),"#VALUE!")</f>
        <v>#VALUE!</v>
      </c>
      <c r="R425" s="18" t="str">
        <f aca="false">IFERROR(__xludf.dummyfunction("REGEXEXTRACT(ADDRESS(ROW(), 60+$H425), ""[A-Z]+"")"),"#VALUE!")</f>
        <v>#VALUE!</v>
      </c>
      <c r="S425" s="18" t="str">
        <f aca="false">IFERROR(__xludf.dummyfunction("REGEXEXTRACT(ADDRESS(ROW(), 62+$H425), ""[A-Z]+"")"),"#VALUE!")</f>
        <v>#VALUE!</v>
      </c>
      <c r="T425" s="18" t="str">
        <f aca="false">IFERROR(__xludf.dummyfunction("REGEXEXTRACT(ADDRESS(ROW(), 63+$H425), ""[A-Z]+"")"),"#VALUE!")</f>
        <v>#VALUE!</v>
      </c>
      <c r="U425" s="19" t="str">
        <f aca="false">IFERROR(__xludf.dummyfunction("IFERROR(QUERY(INDIRECT(""'""&amp;F425&amp;""'!C3:""&amp;T425&amp;""""), ""SELECT ""&amp;I425&amp;"", ""&amp;J425&amp;"", ""&amp;K425&amp;"", ""&amp;L425&amp;"", ""&amp;M425&amp;"", ""&amp;N425&amp;"", ""&amp;O425&amp;"", ""&amp;P425&amp;"", ""&amp;Q425&amp;"", ""&amp;R425&amp;"", ""&amp;S425&amp;"" WHERE '""&amp;B425&amp;""' = D"", 0), """")"),"")</f>
        <v/>
      </c>
      <c r="V425" s="22"/>
      <c r="W425" s="22"/>
      <c r="X425" s="22"/>
      <c r="Y425" s="22"/>
      <c r="Z425" s="22"/>
      <c r="AA425" s="22"/>
      <c r="AB425" s="22"/>
      <c r="AC425" s="22"/>
      <c r="AD425" s="23"/>
      <c r="AE425" s="24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</row>
    <row r="426" customFormat="false" ht="18.65" hidden="false" customHeight="false" outlineLevel="0" collapsed="false">
      <c r="A426" s="13"/>
      <c r="B426" s="33"/>
      <c r="C426" s="34"/>
      <c r="D426" s="35"/>
      <c r="E426" s="35"/>
      <c r="F426" s="16" t="str">
        <f aca="false">REPLACE(E426, 1, 3, "")</f>
        <v/>
      </c>
      <c r="G426" s="17" t="str">
        <f aca="true">IFERROR(VLOOKUP(B426,INDIRECT("'"&amp;F426&amp;"'!D3:D"),1,FALSE()), "Not found")</f>
        <v>Not found</v>
      </c>
      <c r="H426" s="25" t="e">
        <f aca="true">INDIRECT("'"&amp;F426&amp;"'!D1")</f>
        <v>#REF!</v>
      </c>
      <c r="I426" s="18" t="str">
        <f aca="false">IFERROR(__xludf.dummyfunction("REGEXEXTRACT(ADDRESS(ROW(), 24+$H426), ""[A-Z]+"")"),"#VALUE!")</f>
        <v>#VALUE!</v>
      </c>
      <c r="J426" s="18" t="str">
        <f aca="false">IFERROR(__xludf.dummyfunction("REGEXEXTRACT(ADDRESS(ROW(), 30+$H426), ""[A-Z]+"")"),"#VALUE!")</f>
        <v>#VALUE!</v>
      </c>
      <c r="K426" s="18" t="str">
        <f aca="false">IFERROR(__xludf.dummyfunction("REGEXEXTRACT(ADDRESS(ROW(), 36+$H426), ""[A-Z]+"")"),"#VALUE!")</f>
        <v>#VALUE!</v>
      </c>
      <c r="L426" s="18" t="str">
        <f aca="false">IFERROR(__xludf.dummyfunction("REGEXEXTRACT(ADDRESS(ROW(), 42+$H426), ""[A-Z]+"")"),"#VALUE!")</f>
        <v>#VALUE!</v>
      </c>
      <c r="M426" s="18" t="str">
        <f aca="false">IFERROR(__xludf.dummyfunction("REGEXEXTRACT(ADDRESS(ROW(), 48+$H426), ""[A-Z]+"")"),"#VALUE!")</f>
        <v>#VALUE!</v>
      </c>
      <c r="N426" s="18" t="str">
        <f aca="false">IFERROR(__xludf.dummyfunction("REGEXEXTRACT(ADDRESS(ROW(), 50+$H426), ""[A-Z]+"")"),"#VALUE!")</f>
        <v>#VALUE!</v>
      </c>
      <c r="O426" s="18" t="str">
        <f aca="false">IFERROR(__xludf.dummyfunction("REGEXEXTRACT(ADDRESS(ROW(), 51+$H426), ""[A-Z]+"")"),"#VALUE!")</f>
        <v>#VALUE!</v>
      </c>
      <c r="P426" s="18" t="str">
        <f aca="false">IFERROR(__xludf.dummyfunction("REGEXEXTRACT(ADDRESS(ROW(), 54+$H426), ""[A-Z]+"")"),"#VALUE!")</f>
        <v>#VALUE!</v>
      </c>
      <c r="Q426" s="18" t="str">
        <f aca="false">IFERROR(__xludf.dummyfunction("REGEXEXTRACT(ADDRESS(ROW(), 59+$H426), ""[A-Z]+"")"),"#VALUE!")</f>
        <v>#VALUE!</v>
      </c>
      <c r="R426" s="18" t="str">
        <f aca="false">IFERROR(__xludf.dummyfunction("REGEXEXTRACT(ADDRESS(ROW(), 60+$H426), ""[A-Z]+"")"),"#VALUE!")</f>
        <v>#VALUE!</v>
      </c>
      <c r="S426" s="18" t="str">
        <f aca="false">IFERROR(__xludf.dummyfunction("REGEXEXTRACT(ADDRESS(ROW(), 62+$H426), ""[A-Z]+"")"),"#VALUE!")</f>
        <v>#VALUE!</v>
      </c>
      <c r="T426" s="18" t="str">
        <f aca="false">IFERROR(__xludf.dummyfunction("REGEXEXTRACT(ADDRESS(ROW(), 63+$H426), ""[A-Z]+"")"),"#VALUE!")</f>
        <v>#VALUE!</v>
      </c>
      <c r="U426" s="19" t="str">
        <f aca="false">IFERROR(__xludf.dummyfunction("IFERROR(QUERY(INDIRECT(""'""&amp;F426&amp;""'!C3:""&amp;T426&amp;""""), ""SELECT ""&amp;I426&amp;"", ""&amp;J426&amp;"", ""&amp;K426&amp;"", ""&amp;L426&amp;"", ""&amp;M426&amp;"", ""&amp;N426&amp;"", ""&amp;O426&amp;"", ""&amp;P426&amp;"", ""&amp;Q426&amp;"", ""&amp;R426&amp;"", ""&amp;S426&amp;"" WHERE '""&amp;B426&amp;""' = D"", 0), """")"),"")</f>
        <v/>
      </c>
      <c r="V426" s="22"/>
      <c r="W426" s="22"/>
      <c r="X426" s="22"/>
      <c r="Y426" s="22"/>
      <c r="Z426" s="22"/>
      <c r="AA426" s="22"/>
      <c r="AB426" s="22"/>
      <c r="AC426" s="22"/>
      <c r="AD426" s="23"/>
      <c r="AE426" s="24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</row>
    <row r="427" customFormat="false" ht="18.65" hidden="false" customHeight="false" outlineLevel="0" collapsed="false">
      <c r="A427" s="13"/>
      <c r="B427" s="33"/>
      <c r="C427" s="34"/>
      <c r="D427" s="35"/>
      <c r="E427" s="35"/>
      <c r="F427" s="16" t="str">
        <f aca="false">REPLACE(E427, 1, 3, "")</f>
        <v/>
      </c>
      <c r="G427" s="17" t="str">
        <f aca="true">IFERROR(VLOOKUP(B427,INDIRECT("'"&amp;F427&amp;"'!D3:D"),1,FALSE()), "Not found")</f>
        <v>Not found</v>
      </c>
      <c r="H427" s="25" t="e">
        <f aca="true">INDIRECT("'"&amp;F427&amp;"'!D1")</f>
        <v>#REF!</v>
      </c>
      <c r="I427" s="18" t="str">
        <f aca="false">IFERROR(__xludf.dummyfunction("REGEXEXTRACT(ADDRESS(ROW(), 24+$H427), ""[A-Z]+"")"),"#VALUE!")</f>
        <v>#VALUE!</v>
      </c>
      <c r="J427" s="18" t="str">
        <f aca="false">IFERROR(__xludf.dummyfunction("REGEXEXTRACT(ADDRESS(ROW(), 30+$H427), ""[A-Z]+"")"),"#VALUE!")</f>
        <v>#VALUE!</v>
      </c>
      <c r="K427" s="18" t="str">
        <f aca="false">IFERROR(__xludf.dummyfunction("REGEXEXTRACT(ADDRESS(ROW(), 36+$H427), ""[A-Z]+"")"),"#VALUE!")</f>
        <v>#VALUE!</v>
      </c>
      <c r="L427" s="18" t="str">
        <f aca="false">IFERROR(__xludf.dummyfunction("REGEXEXTRACT(ADDRESS(ROW(), 42+$H427), ""[A-Z]+"")"),"#VALUE!")</f>
        <v>#VALUE!</v>
      </c>
      <c r="M427" s="18" t="str">
        <f aca="false">IFERROR(__xludf.dummyfunction("REGEXEXTRACT(ADDRESS(ROW(), 48+$H427), ""[A-Z]+"")"),"#VALUE!")</f>
        <v>#VALUE!</v>
      </c>
      <c r="N427" s="18" t="str">
        <f aca="false">IFERROR(__xludf.dummyfunction("REGEXEXTRACT(ADDRESS(ROW(), 50+$H427), ""[A-Z]+"")"),"#VALUE!")</f>
        <v>#VALUE!</v>
      </c>
      <c r="O427" s="18" t="str">
        <f aca="false">IFERROR(__xludf.dummyfunction("REGEXEXTRACT(ADDRESS(ROW(), 51+$H427), ""[A-Z]+"")"),"#VALUE!")</f>
        <v>#VALUE!</v>
      </c>
      <c r="P427" s="18" t="str">
        <f aca="false">IFERROR(__xludf.dummyfunction("REGEXEXTRACT(ADDRESS(ROW(), 54+$H427), ""[A-Z]+"")"),"#VALUE!")</f>
        <v>#VALUE!</v>
      </c>
      <c r="Q427" s="18" t="str">
        <f aca="false">IFERROR(__xludf.dummyfunction("REGEXEXTRACT(ADDRESS(ROW(), 59+$H427), ""[A-Z]+"")"),"#VALUE!")</f>
        <v>#VALUE!</v>
      </c>
      <c r="R427" s="18" t="str">
        <f aca="false">IFERROR(__xludf.dummyfunction("REGEXEXTRACT(ADDRESS(ROW(), 60+$H427), ""[A-Z]+"")"),"#VALUE!")</f>
        <v>#VALUE!</v>
      </c>
      <c r="S427" s="18" t="str">
        <f aca="false">IFERROR(__xludf.dummyfunction("REGEXEXTRACT(ADDRESS(ROW(), 62+$H427), ""[A-Z]+"")"),"#VALUE!")</f>
        <v>#VALUE!</v>
      </c>
      <c r="T427" s="18" t="str">
        <f aca="false">IFERROR(__xludf.dummyfunction("REGEXEXTRACT(ADDRESS(ROW(), 63+$H427), ""[A-Z]+"")"),"#VALUE!")</f>
        <v>#VALUE!</v>
      </c>
      <c r="U427" s="19" t="str">
        <f aca="false">IFERROR(__xludf.dummyfunction("IFERROR(QUERY(INDIRECT(""'""&amp;F427&amp;""'!C3:""&amp;T427&amp;""""), ""SELECT ""&amp;I427&amp;"", ""&amp;J427&amp;"", ""&amp;K427&amp;"", ""&amp;L427&amp;"", ""&amp;M427&amp;"", ""&amp;N427&amp;"", ""&amp;O427&amp;"", ""&amp;P427&amp;"", ""&amp;Q427&amp;"", ""&amp;R427&amp;"", ""&amp;S427&amp;"" WHERE '""&amp;B427&amp;""' = D"", 0), """")"),"")</f>
        <v/>
      </c>
      <c r="V427" s="22"/>
      <c r="W427" s="22"/>
      <c r="X427" s="22"/>
      <c r="Y427" s="22"/>
      <c r="Z427" s="22"/>
      <c r="AA427" s="22"/>
      <c r="AB427" s="22"/>
      <c r="AC427" s="22"/>
      <c r="AD427" s="23"/>
      <c r="AE427" s="24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</row>
    <row r="428" customFormat="false" ht="18.65" hidden="false" customHeight="false" outlineLevel="0" collapsed="false">
      <c r="A428" s="13"/>
      <c r="B428" s="33"/>
      <c r="C428" s="37"/>
      <c r="D428" s="38"/>
      <c r="E428" s="38"/>
      <c r="F428" s="16" t="str">
        <f aca="false">REPLACE(E428, 1, 3, "")</f>
        <v/>
      </c>
      <c r="G428" s="17" t="str">
        <f aca="true">IFERROR(VLOOKUP(B428,INDIRECT("'"&amp;F428&amp;"'!D3:D"),1,FALSE()), "Not found")</f>
        <v>Not found</v>
      </c>
      <c r="H428" s="25" t="e">
        <f aca="true">INDIRECT("'"&amp;F428&amp;"'!D1")</f>
        <v>#REF!</v>
      </c>
      <c r="I428" s="18" t="str">
        <f aca="false">IFERROR(__xludf.dummyfunction("REGEXEXTRACT(ADDRESS(ROW(), 24+$H428), ""[A-Z]+"")"),"#VALUE!")</f>
        <v>#VALUE!</v>
      </c>
      <c r="J428" s="18" t="str">
        <f aca="false">IFERROR(__xludf.dummyfunction("REGEXEXTRACT(ADDRESS(ROW(), 30+$H428), ""[A-Z]+"")"),"#VALUE!")</f>
        <v>#VALUE!</v>
      </c>
      <c r="K428" s="18" t="str">
        <f aca="false">IFERROR(__xludf.dummyfunction("REGEXEXTRACT(ADDRESS(ROW(), 36+$H428), ""[A-Z]+"")"),"#VALUE!")</f>
        <v>#VALUE!</v>
      </c>
      <c r="L428" s="18" t="str">
        <f aca="false">IFERROR(__xludf.dummyfunction("REGEXEXTRACT(ADDRESS(ROW(), 42+$H428), ""[A-Z]+"")"),"#VALUE!")</f>
        <v>#VALUE!</v>
      </c>
      <c r="M428" s="18" t="str">
        <f aca="false">IFERROR(__xludf.dummyfunction("REGEXEXTRACT(ADDRESS(ROW(), 48+$H428), ""[A-Z]+"")"),"#VALUE!")</f>
        <v>#VALUE!</v>
      </c>
      <c r="N428" s="18" t="str">
        <f aca="false">IFERROR(__xludf.dummyfunction("REGEXEXTRACT(ADDRESS(ROW(), 50+$H428), ""[A-Z]+"")"),"#VALUE!")</f>
        <v>#VALUE!</v>
      </c>
      <c r="O428" s="18" t="str">
        <f aca="false">IFERROR(__xludf.dummyfunction("REGEXEXTRACT(ADDRESS(ROW(), 51+$H428), ""[A-Z]+"")"),"#VALUE!")</f>
        <v>#VALUE!</v>
      </c>
      <c r="P428" s="18" t="str">
        <f aca="false">IFERROR(__xludf.dummyfunction("REGEXEXTRACT(ADDRESS(ROW(), 54+$H428), ""[A-Z]+"")"),"#VALUE!")</f>
        <v>#VALUE!</v>
      </c>
      <c r="Q428" s="18" t="str">
        <f aca="false">IFERROR(__xludf.dummyfunction("REGEXEXTRACT(ADDRESS(ROW(), 59+$H428), ""[A-Z]+"")"),"#VALUE!")</f>
        <v>#VALUE!</v>
      </c>
      <c r="R428" s="18" t="str">
        <f aca="false">IFERROR(__xludf.dummyfunction("REGEXEXTRACT(ADDRESS(ROW(), 60+$H428), ""[A-Z]+"")"),"#VALUE!")</f>
        <v>#VALUE!</v>
      </c>
      <c r="S428" s="18" t="str">
        <f aca="false">IFERROR(__xludf.dummyfunction("REGEXEXTRACT(ADDRESS(ROW(), 62+$H428), ""[A-Z]+"")"),"#VALUE!")</f>
        <v>#VALUE!</v>
      </c>
      <c r="T428" s="18" t="str">
        <f aca="false">IFERROR(__xludf.dummyfunction("REGEXEXTRACT(ADDRESS(ROW(), 63+$H428), ""[A-Z]+"")"),"#VALUE!")</f>
        <v>#VALUE!</v>
      </c>
      <c r="U428" s="19" t="str">
        <f aca="false">IFERROR(__xludf.dummyfunction("IFERROR(QUERY(INDIRECT(""'""&amp;F428&amp;""'!C3:""&amp;T428&amp;""""), ""SELECT ""&amp;I428&amp;"", ""&amp;J428&amp;"", ""&amp;K428&amp;"", ""&amp;L428&amp;"", ""&amp;M428&amp;"", ""&amp;N428&amp;"", ""&amp;O428&amp;"", ""&amp;P428&amp;"", ""&amp;Q428&amp;"", ""&amp;R428&amp;"", ""&amp;S428&amp;"" WHERE '""&amp;B428&amp;""' = D"", 0), """")"),"")</f>
        <v/>
      </c>
      <c r="V428" s="22"/>
      <c r="W428" s="22"/>
      <c r="X428" s="22"/>
      <c r="Y428" s="22"/>
      <c r="Z428" s="22"/>
      <c r="AA428" s="22"/>
      <c r="AB428" s="22"/>
      <c r="AC428" s="22"/>
      <c r="AD428" s="23"/>
      <c r="AE428" s="24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</row>
    <row r="429" customFormat="false" ht="18.65" hidden="false" customHeight="false" outlineLevel="0" collapsed="false">
      <c r="A429" s="13"/>
      <c r="B429" s="33"/>
      <c r="C429" s="34"/>
      <c r="D429" s="35"/>
      <c r="E429" s="35"/>
      <c r="F429" s="16" t="str">
        <f aca="false">REPLACE(E429, 1, 3, "")</f>
        <v/>
      </c>
      <c r="G429" s="17" t="str">
        <f aca="true">IFERROR(VLOOKUP(B429,INDIRECT("'"&amp;F429&amp;"'!D3:D"),1,FALSE()), "Not found")</f>
        <v>Not found</v>
      </c>
      <c r="H429" s="25" t="e">
        <f aca="true">INDIRECT("'"&amp;F429&amp;"'!D1")</f>
        <v>#REF!</v>
      </c>
      <c r="I429" s="18" t="str">
        <f aca="false">IFERROR(__xludf.dummyfunction("REGEXEXTRACT(ADDRESS(ROW(), 24+$H429), ""[A-Z]+"")"),"#VALUE!")</f>
        <v>#VALUE!</v>
      </c>
      <c r="J429" s="18" t="str">
        <f aca="false">IFERROR(__xludf.dummyfunction("REGEXEXTRACT(ADDRESS(ROW(), 30+$H429), ""[A-Z]+"")"),"#VALUE!")</f>
        <v>#VALUE!</v>
      </c>
      <c r="K429" s="18" t="str">
        <f aca="false">IFERROR(__xludf.dummyfunction("REGEXEXTRACT(ADDRESS(ROW(), 36+$H429), ""[A-Z]+"")"),"#VALUE!")</f>
        <v>#VALUE!</v>
      </c>
      <c r="L429" s="18" t="str">
        <f aca="false">IFERROR(__xludf.dummyfunction("REGEXEXTRACT(ADDRESS(ROW(), 42+$H429), ""[A-Z]+"")"),"#VALUE!")</f>
        <v>#VALUE!</v>
      </c>
      <c r="M429" s="18" t="str">
        <f aca="false">IFERROR(__xludf.dummyfunction("REGEXEXTRACT(ADDRESS(ROW(), 48+$H429), ""[A-Z]+"")"),"#VALUE!")</f>
        <v>#VALUE!</v>
      </c>
      <c r="N429" s="18" t="str">
        <f aca="false">IFERROR(__xludf.dummyfunction("REGEXEXTRACT(ADDRESS(ROW(), 50+$H429), ""[A-Z]+"")"),"#VALUE!")</f>
        <v>#VALUE!</v>
      </c>
      <c r="O429" s="18" t="str">
        <f aca="false">IFERROR(__xludf.dummyfunction("REGEXEXTRACT(ADDRESS(ROW(), 51+$H429), ""[A-Z]+"")"),"#VALUE!")</f>
        <v>#VALUE!</v>
      </c>
      <c r="P429" s="18" t="str">
        <f aca="false">IFERROR(__xludf.dummyfunction("REGEXEXTRACT(ADDRESS(ROW(), 54+$H429), ""[A-Z]+"")"),"#VALUE!")</f>
        <v>#VALUE!</v>
      </c>
      <c r="Q429" s="18" t="str">
        <f aca="false">IFERROR(__xludf.dummyfunction("REGEXEXTRACT(ADDRESS(ROW(), 59+$H429), ""[A-Z]+"")"),"#VALUE!")</f>
        <v>#VALUE!</v>
      </c>
      <c r="R429" s="18" t="str">
        <f aca="false">IFERROR(__xludf.dummyfunction("REGEXEXTRACT(ADDRESS(ROW(), 60+$H429), ""[A-Z]+"")"),"#VALUE!")</f>
        <v>#VALUE!</v>
      </c>
      <c r="S429" s="18" t="str">
        <f aca="false">IFERROR(__xludf.dummyfunction("REGEXEXTRACT(ADDRESS(ROW(), 62+$H429), ""[A-Z]+"")"),"#VALUE!")</f>
        <v>#VALUE!</v>
      </c>
      <c r="T429" s="18" t="str">
        <f aca="false">IFERROR(__xludf.dummyfunction("REGEXEXTRACT(ADDRESS(ROW(), 63+$H429), ""[A-Z]+"")"),"#VALUE!")</f>
        <v>#VALUE!</v>
      </c>
      <c r="U429" s="19" t="str">
        <f aca="false">IFERROR(__xludf.dummyfunction("IFERROR(QUERY(INDIRECT(""'""&amp;F429&amp;""'!C3:""&amp;T429&amp;""""), ""SELECT ""&amp;I429&amp;"", ""&amp;J429&amp;"", ""&amp;K429&amp;"", ""&amp;L429&amp;"", ""&amp;M429&amp;"", ""&amp;N429&amp;"", ""&amp;O429&amp;"", ""&amp;P429&amp;"", ""&amp;Q429&amp;"", ""&amp;R429&amp;"", ""&amp;S429&amp;"" WHERE '""&amp;B429&amp;""' = D"", 0), """")"),"")</f>
        <v/>
      </c>
      <c r="V429" s="22"/>
      <c r="W429" s="22"/>
      <c r="X429" s="22"/>
      <c r="Y429" s="22"/>
      <c r="Z429" s="22"/>
      <c r="AA429" s="22"/>
      <c r="AB429" s="22"/>
      <c r="AC429" s="22"/>
      <c r="AD429" s="23"/>
      <c r="AE429" s="24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</row>
    <row r="430" customFormat="false" ht="18.65" hidden="false" customHeight="false" outlineLevel="0" collapsed="false">
      <c r="A430" s="13"/>
      <c r="B430" s="33"/>
      <c r="C430" s="34"/>
      <c r="D430" s="35"/>
      <c r="E430" s="35"/>
      <c r="F430" s="16" t="str">
        <f aca="false">REPLACE(E430, 1, 3, "")</f>
        <v/>
      </c>
      <c r="G430" s="17" t="str">
        <f aca="true">IFERROR(VLOOKUP(B430,INDIRECT("'"&amp;F430&amp;"'!D3:D"),1,FALSE()), "Not found")</f>
        <v>Not found</v>
      </c>
      <c r="H430" s="25" t="e">
        <f aca="true">INDIRECT("'"&amp;F430&amp;"'!D1")</f>
        <v>#REF!</v>
      </c>
      <c r="I430" s="18" t="str">
        <f aca="false">IFERROR(__xludf.dummyfunction("REGEXEXTRACT(ADDRESS(ROW(), 24+$H430), ""[A-Z]+"")"),"#VALUE!")</f>
        <v>#VALUE!</v>
      </c>
      <c r="J430" s="18" t="str">
        <f aca="false">IFERROR(__xludf.dummyfunction("REGEXEXTRACT(ADDRESS(ROW(), 30+$H430), ""[A-Z]+"")"),"#VALUE!")</f>
        <v>#VALUE!</v>
      </c>
      <c r="K430" s="18" t="str">
        <f aca="false">IFERROR(__xludf.dummyfunction("REGEXEXTRACT(ADDRESS(ROW(), 36+$H430), ""[A-Z]+"")"),"#VALUE!")</f>
        <v>#VALUE!</v>
      </c>
      <c r="L430" s="18" t="str">
        <f aca="false">IFERROR(__xludf.dummyfunction("REGEXEXTRACT(ADDRESS(ROW(), 42+$H430), ""[A-Z]+"")"),"#VALUE!")</f>
        <v>#VALUE!</v>
      </c>
      <c r="M430" s="18" t="str">
        <f aca="false">IFERROR(__xludf.dummyfunction("REGEXEXTRACT(ADDRESS(ROW(), 48+$H430), ""[A-Z]+"")"),"#VALUE!")</f>
        <v>#VALUE!</v>
      </c>
      <c r="N430" s="18" t="str">
        <f aca="false">IFERROR(__xludf.dummyfunction("REGEXEXTRACT(ADDRESS(ROW(), 50+$H430), ""[A-Z]+"")"),"#VALUE!")</f>
        <v>#VALUE!</v>
      </c>
      <c r="O430" s="18" t="str">
        <f aca="false">IFERROR(__xludf.dummyfunction("REGEXEXTRACT(ADDRESS(ROW(), 51+$H430), ""[A-Z]+"")"),"#VALUE!")</f>
        <v>#VALUE!</v>
      </c>
      <c r="P430" s="18" t="str">
        <f aca="false">IFERROR(__xludf.dummyfunction("REGEXEXTRACT(ADDRESS(ROW(), 54+$H430), ""[A-Z]+"")"),"#VALUE!")</f>
        <v>#VALUE!</v>
      </c>
      <c r="Q430" s="18" t="str">
        <f aca="false">IFERROR(__xludf.dummyfunction("REGEXEXTRACT(ADDRESS(ROW(), 59+$H430), ""[A-Z]+"")"),"#VALUE!")</f>
        <v>#VALUE!</v>
      </c>
      <c r="R430" s="18" t="str">
        <f aca="false">IFERROR(__xludf.dummyfunction("REGEXEXTRACT(ADDRESS(ROW(), 60+$H430), ""[A-Z]+"")"),"#VALUE!")</f>
        <v>#VALUE!</v>
      </c>
      <c r="S430" s="18" t="str">
        <f aca="false">IFERROR(__xludf.dummyfunction("REGEXEXTRACT(ADDRESS(ROW(), 62+$H430), ""[A-Z]+"")"),"#VALUE!")</f>
        <v>#VALUE!</v>
      </c>
      <c r="T430" s="18" t="str">
        <f aca="false">IFERROR(__xludf.dummyfunction("REGEXEXTRACT(ADDRESS(ROW(), 63+$H430), ""[A-Z]+"")"),"#VALUE!")</f>
        <v>#VALUE!</v>
      </c>
      <c r="U430" s="19" t="str">
        <f aca="false">IFERROR(__xludf.dummyfunction("IFERROR(QUERY(INDIRECT(""'""&amp;F430&amp;""'!C3:""&amp;T430&amp;""""), ""SELECT ""&amp;I430&amp;"", ""&amp;J430&amp;"", ""&amp;K430&amp;"", ""&amp;L430&amp;"", ""&amp;M430&amp;"", ""&amp;N430&amp;"", ""&amp;O430&amp;"", ""&amp;P430&amp;"", ""&amp;Q430&amp;"", ""&amp;R430&amp;"", ""&amp;S430&amp;"" WHERE '""&amp;B430&amp;""' = D"", 0), """")"),"")</f>
        <v/>
      </c>
      <c r="V430" s="22"/>
      <c r="W430" s="22"/>
      <c r="X430" s="22"/>
      <c r="Y430" s="22"/>
      <c r="Z430" s="22"/>
      <c r="AA430" s="22"/>
      <c r="AB430" s="22"/>
      <c r="AC430" s="22"/>
      <c r="AD430" s="23"/>
      <c r="AE430" s="24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</row>
    <row r="431" customFormat="false" ht="18.65" hidden="false" customHeight="false" outlineLevel="0" collapsed="false">
      <c r="A431" s="13"/>
      <c r="B431" s="33"/>
      <c r="C431" s="34"/>
      <c r="D431" s="35"/>
      <c r="E431" s="35"/>
      <c r="F431" s="16" t="str">
        <f aca="false">REPLACE(E431, 1, 3, "")</f>
        <v/>
      </c>
      <c r="G431" s="17" t="str">
        <f aca="true">IFERROR(VLOOKUP(B431,INDIRECT("'"&amp;F431&amp;"'!D3:D"),1,FALSE()), "Not found")</f>
        <v>Not found</v>
      </c>
      <c r="H431" s="25" t="e">
        <f aca="true">INDIRECT("'"&amp;F431&amp;"'!D1")</f>
        <v>#REF!</v>
      </c>
      <c r="I431" s="18" t="str">
        <f aca="false">IFERROR(__xludf.dummyfunction("REGEXEXTRACT(ADDRESS(ROW(), 24+$H431), ""[A-Z]+"")"),"#VALUE!")</f>
        <v>#VALUE!</v>
      </c>
      <c r="J431" s="18" t="str">
        <f aca="false">IFERROR(__xludf.dummyfunction("REGEXEXTRACT(ADDRESS(ROW(), 30+$H431), ""[A-Z]+"")"),"#VALUE!")</f>
        <v>#VALUE!</v>
      </c>
      <c r="K431" s="18" t="str">
        <f aca="false">IFERROR(__xludf.dummyfunction("REGEXEXTRACT(ADDRESS(ROW(), 36+$H431), ""[A-Z]+"")"),"#VALUE!")</f>
        <v>#VALUE!</v>
      </c>
      <c r="L431" s="18" t="str">
        <f aca="false">IFERROR(__xludf.dummyfunction("REGEXEXTRACT(ADDRESS(ROW(), 42+$H431), ""[A-Z]+"")"),"#VALUE!")</f>
        <v>#VALUE!</v>
      </c>
      <c r="M431" s="18" t="str">
        <f aca="false">IFERROR(__xludf.dummyfunction("REGEXEXTRACT(ADDRESS(ROW(), 48+$H431), ""[A-Z]+"")"),"#VALUE!")</f>
        <v>#VALUE!</v>
      </c>
      <c r="N431" s="18" t="str">
        <f aca="false">IFERROR(__xludf.dummyfunction("REGEXEXTRACT(ADDRESS(ROW(), 50+$H431), ""[A-Z]+"")"),"#VALUE!")</f>
        <v>#VALUE!</v>
      </c>
      <c r="O431" s="18" t="str">
        <f aca="false">IFERROR(__xludf.dummyfunction("REGEXEXTRACT(ADDRESS(ROW(), 51+$H431), ""[A-Z]+"")"),"#VALUE!")</f>
        <v>#VALUE!</v>
      </c>
      <c r="P431" s="18" t="str">
        <f aca="false">IFERROR(__xludf.dummyfunction("REGEXEXTRACT(ADDRESS(ROW(), 54+$H431), ""[A-Z]+"")"),"#VALUE!")</f>
        <v>#VALUE!</v>
      </c>
      <c r="Q431" s="18" t="str">
        <f aca="false">IFERROR(__xludf.dummyfunction("REGEXEXTRACT(ADDRESS(ROW(), 59+$H431), ""[A-Z]+"")"),"#VALUE!")</f>
        <v>#VALUE!</v>
      </c>
      <c r="R431" s="18" t="str">
        <f aca="false">IFERROR(__xludf.dummyfunction("REGEXEXTRACT(ADDRESS(ROW(), 60+$H431), ""[A-Z]+"")"),"#VALUE!")</f>
        <v>#VALUE!</v>
      </c>
      <c r="S431" s="18" t="str">
        <f aca="false">IFERROR(__xludf.dummyfunction("REGEXEXTRACT(ADDRESS(ROW(), 62+$H431), ""[A-Z]+"")"),"#VALUE!")</f>
        <v>#VALUE!</v>
      </c>
      <c r="T431" s="18" t="str">
        <f aca="false">IFERROR(__xludf.dummyfunction("REGEXEXTRACT(ADDRESS(ROW(), 63+$H431), ""[A-Z]+"")"),"#VALUE!")</f>
        <v>#VALUE!</v>
      </c>
      <c r="U431" s="19" t="str">
        <f aca="false">IFERROR(__xludf.dummyfunction("IFERROR(QUERY(INDIRECT(""'""&amp;F431&amp;""'!C3:""&amp;T431&amp;""""), ""SELECT ""&amp;I431&amp;"", ""&amp;J431&amp;"", ""&amp;K431&amp;"", ""&amp;L431&amp;"", ""&amp;M431&amp;"", ""&amp;N431&amp;"", ""&amp;O431&amp;"", ""&amp;P431&amp;"", ""&amp;Q431&amp;"", ""&amp;R431&amp;"", ""&amp;S431&amp;"" WHERE '""&amp;B431&amp;""' = D"", 0), """")"),"")</f>
        <v/>
      </c>
      <c r="V431" s="22"/>
      <c r="W431" s="22"/>
      <c r="X431" s="22"/>
      <c r="Y431" s="22"/>
      <c r="Z431" s="22"/>
      <c r="AA431" s="22"/>
      <c r="AB431" s="22"/>
      <c r="AC431" s="22"/>
      <c r="AD431" s="23"/>
      <c r="AE431" s="24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</row>
    <row r="432" customFormat="false" ht="18.65" hidden="false" customHeight="false" outlineLevel="0" collapsed="false">
      <c r="A432" s="13"/>
      <c r="B432" s="33"/>
      <c r="C432" s="34"/>
      <c r="D432" s="35"/>
      <c r="E432" s="35"/>
      <c r="F432" s="16" t="str">
        <f aca="false">REPLACE(E432, 1, 3, "")</f>
        <v/>
      </c>
      <c r="G432" s="17" t="str">
        <f aca="true">IFERROR(VLOOKUP(B432,INDIRECT("'"&amp;F432&amp;"'!D3:D"),1,FALSE()), "Not found")</f>
        <v>Not found</v>
      </c>
      <c r="H432" s="25" t="e">
        <f aca="true">INDIRECT("'"&amp;F432&amp;"'!D1")</f>
        <v>#REF!</v>
      </c>
      <c r="I432" s="18" t="str">
        <f aca="false">IFERROR(__xludf.dummyfunction("REGEXEXTRACT(ADDRESS(ROW(), 24+$H432), ""[A-Z]+"")"),"#VALUE!")</f>
        <v>#VALUE!</v>
      </c>
      <c r="J432" s="18" t="str">
        <f aca="false">IFERROR(__xludf.dummyfunction("REGEXEXTRACT(ADDRESS(ROW(), 30+$H432), ""[A-Z]+"")"),"#VALUE!")</f>
        <v>#VALUE!</v>
      </c>
      <c r="K432" s="18" t="str">
        <f aca="false">IFERROR(__xludf.dummyfunction("REGEXEXTRACT(ADDRESS(ROW(), 36+$H432), ""[A-Z]+"")"),"#VALUE!")</f>
        <v>#VALUE!</v>
      </c>
      <c r="L432" s="18" t="str">
        <f aca="false">IFERROR(__xludf.dummyfunction("REGEXEXTRACT(ADDRESS(ROW(), 42+$H432), ""[A-Z]+"")"),"#VALUE!")</f>
        <v>#VALUE!</v>
      </c>
      <c r="M432" s="18" t="str">
        <f aca="false">IFERROR(__xludf.dummyfunction("REGEXEXTRACT(ADDRESS(ROW(), 48+$H432), ""[A-Z]+"")"),"#VALUE!")</f>
        <v>#VALUE!</v>
      </c>
      <c r="N432" s="18" t="str">
        <f aca="false">IFERROR(__xludf.dummyfunction("REGEXEXTRACT(ADDRESS(ROW(), 50+$H432), ""[A-Z]+"")"),"#VALUE!")</f>
        <v>#VALUE!</v>
      </c>
      <c r="O432" s="18" t="str">
        <f aca="false">IFERROR(__xludf.dummyfunction("REGEXEXTRACT(ADDRESS(ROW(), 51+$H432), ""[A-Z]+"")"),"#VALUE!")</f>
        <v>#VALUE!</v>
      </c>
      <c r="P432" s="18" t="str">
        <f aca="false">IFERROR(__xludf.dummyfunction("REGEXEXTRACT(ADDRESS(ROW(), 54+$H432), ""[A-Z]+"")"),"#VALUE!")</f>
        <v>#VALUE!</v>
      </c>
      <c r="Q432" s="18" t="str">
        <f aca="false">IFERROR(__xludf.dummyfunction("REGEXEXTRACT(ADDRESS(ROW(), 59+$H432), ""[A-Z]+"")"),"#VALUE!")</f>
        <v>#VALUE!</v>
      </c>
      <c r="R432" s="18" t="str">
        <f aca="false">IFERROR(__xludf.dummyfunction("REGEXEXTRACT(ADDRESS(ROW(), 60+$H432), ""[A-Z]+"")"),"#VALUE!")</f>
        <v>#VALUE!</v>
      </c>
      <c r="S432" s="18" t="str">
        <f aca="false">IFERROR(__xludf.dummyfunction("REGEXEXTRACT(ADDRESS(ROW(), 62+$H432), ""[A-Z]+"")"),"#VALUE!")</f>
        <v>#VALUE!</v>
      </c>
      <c r="T432" s="18" t="str">
        <f aca="false">IFERROR(__xludf.dummyfunction("REGEXEXTRACT(ADDRESS(ROW(), 63+$H432), ""[A-Z]+"")"),"#VALUE!")</f>
        <v>#VALUE!</v>
      </c>
      <c r="U432" s="19" t="str">
        <f aca="false">IFERROR(__xludf.dummyfunction("IFERROR(QUERY(INDIRECT(""'""&amp;F432&amp;""'!C3:""&amp;T432&amp;""""), ""SELECT ""&amp;I432&amp;"", ""&amp;J432&amp;"", ""&amp;K432&amp;"", ""&amp;L432&amp;"", ""&amp;M432&amp;"", ""&amp;N432&amp;"", ""&amp;O432&amp;"", ""&amp;P432&amp;"", ""&amp;Q432&amp;"", ""&amp;R432&amp;"", ""&amp;S432&amp;"" WHERE '""&amp;B432&amp;""' = D"", 0), """")"),"")</f>
        <v/>
      </c>
      <c r="V432" s="22"/>
      <c r="W432" s="22"/>
      <c r="X432" s="22"/>
      <c r="Y432" s="22"/>
      <c r="Z432" s="22"/>
      <c r="AA432" s="22"/>
      <c r="AB432" s="22"/>
      <c r="AC432" s="22"/>
      <c r="AD432" s="23"/>
      <c r="AE432" s="24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</row>
    <row r="433" customFormat="false" ht="18.65" hidden="false" customHeight="false" outlineLevel="0" collapsed="false">
      <c r="A433" s="13"/>
      <c r="B433" s="33"/>
      <c r="C433" s="34"/>
      <c r="D433" s="35"/>
      <c r="E433" s="35"/>
      <c r="F433" s="16" t="str">
        <f aca="false">REPLACE(E433, 1, 3, "")</f>
        <v/>
      </c>
      <c r="G433" s="17" t="str">
        <f aca="true">IFERROR(VLOOKUP(B433,INDIRECT("'"&amp;F433&amp;"'!D3:D"),1,FALSE()), "Not found")</f>
        <v>Not found</v>
      </c>
      <c r="H433" s="25" t="e">
        <f aca="true">INDIRECT("'"&amp;F433&amp;"'!D1")</f>
        <v>#REF!</v>
      </c>
      <c r="I433" s="18" t="str">
        <f aca="false">IFERROR(__xludf.dummyfunction("REGEXEXTRACT(ADDRESS(ROW(), 24+$H433), ""[A-Z]+"")"),"#VALUE!")</f>
        <v>#VALUE!</v>
      </c>
      <c r="J433" s="18" t="str">
        <f aca="false">IFERROR(__xludf.dummyfunction("REGEXEXTRACT(ADDRESS(ROW(), 30+$H433), ""[A-Z]+"")"),"#VALUE!")</f>
        <v>#VALUE!</v>
      </c>
      <c r="K433" s="18" t="str">
        <f aca="false">IFERROR(__xludf.dummyfunction("REGEXEXTRACT(ADDRESS(ROW(), 36+$H433), ""[A-Z]+"")"),"#VALUE!")</f>
        <v>#VALUE!</v>
      </c>
      <c r="L433" s="18" t="str">
        <f aca="false">IFERROR(__xludf.dummyfunction("REGEXEXTRACT(ADDRESS(ROW(), 42+$H433), ""[A-Z]+"")"),"#VALUE!")</f>
        <v>#VALUE!</v>
      </c>
      <c r="M433" s="18" t="str">
        <f aca="false">IFERROR(__xludf.dummyfunction("REGEXEXTRACT(ADDRESS(ROW(), 48+$H433), ""[A-Z]+"")"),"#VALUE!")</f>
        <v>#VALUE!</v>
      </c>
      <c r="N433" s="18" t="str">
        <f aca="false">IFERROR(__xludf.dummyfunction("REGEXEXTRACT(ADDRESS(ROW(), 50+$H433), ""[A-Z]+"")"),"#VALUE!")</f>
        <v>#VALUE!</v>
      </c>
      <c r="O433" s="18" t="str">
        <f aca="false">IFERROR(__xludf.dummyfunction("REGEXEXTRACT(ADDRESS(ROW(), 51+$H433), ""[A-Z]+"")"),"#VALUE!")</f>
        <v>#VALUE!</v>
      </c>
      <c r="P433" s="18" t="str">
        <f aca="false">IFERROR(__xludf.dummyfunction("REGEXEXTRACT(ADDRESS(ROW(), 54+$H433), ""[A-Z]+"")"),"#VALUE!")</f>
        <v>#VALUE!</v>
      </c>
      <c r="Q433" s="18" t="str">
        <f aca="false">IFERROR(__xludf.dummyfunction("REGEXEXTRACT(ADDRESS(ROW(), 59+$H433), ""[A-Z]+"")"),"#VALUE!")</f>
        <v>#VALUE!</v>
      </c>
      <c r="R433" s="18" t="str">
        <f aca="false">IFERROR(__xludf.dummyfunction("REGEXEXTRACT(ADDRESS(ROW(), 60+$H433), ""[A-Z]+"")"),"#VALUE!")</f>
        <v>#VALUE!</v>
      </c>
      <c r="S433" s="18" t="str">
        <f aca="false">IFERROR(__xludf.dummyfunction("REGEXEXTRACT(ADDRESS(ROW(), 62+$H433), ""[A-Z]+"")"),"#VALUE!")</f>
        <v>#VALUE!</v>
      </c>
      <c r="T433" s="18" t="str">
        <f aca="false">IFERROR(__xludf.dummyfunction("REGEXEXTRACT(ADDRESS(ROW(), 63+$H433), ""[A-Z]+"")"),"#VALUE!")</f>
        <v>#VALUE!</v>
      </c>
      <c r="U433" s="19" t="str">
        <f aca="false">IFERROR(__xludf.dummyfunction("IFERROR(QUERY(INDIRECT(""'""&amp;F433&amp;""'!C3:""&amp;T433&amp;""""), ""SELECT ""&amp;I433&amp;"", ""&amp;J433&amp;"", ""&amp;K433&amp;"", ""&amp;L433&amp;"", ""&amp;M433&amp;"", ""&amp;N433&amp;"", ""&amp;O433&amp;"", ""&amp;P433&amp;"", ""&amp;Q433&amp;"", ""&amp;R433&amp;"", ""&amp;S433&amp;"" WHERE '""&amp;B433&amp;""' = D"", 0), """")"),"")</f>
        <v/>
      </c>
      <c r="V433" s="22"/>
      <c r="W433" s="22"/>
      <c r="X433" s="22"/>
      <c r="Y433" s="22"/>
      <c r="Z433" s="22"/>
      <c r="AA433" s="22"/>
      <c r="AB433" s="22"/>
      <c r="AC433" s="22"/>
      <c r="AD433" s="23"/>
      <c r="AE433" s="24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</row>
    <row r="434" customFormat="false" ht="18.65" hidden="false" customHeight="false" outlineLevel="0" collapsed="false">
      <c r="A434" s="13"/>
      <c r="B434" s="39"/>
      <c r="C434" s="34"/>
      <c r="D434" s="35"/>
      <c r="E434" s="35"/>
      <c r="F434" s="16" t="str">
        <f aca="false">REPLACE(E434, 1, 3, "")</f>
        <v/>
      </c>
      <c r="G434" s="17" t="str">
        <f aca="true">IFERROR(VLOOKUP(B434,INDIRECT("'"&amp;F434&amp;"'!D3:D"),1,FALSE()), "Not found")</f>
        <v>Not found</v>
      </c>
      <c r="H434" s="25" t="e">
        <f aca="true">INDIRECT("'"&amp;F434&amp;"'!D1")</f>
        <v>#REF!</v>
      </c>
      <c r="I434" s="18" t="str">
        <f aca="false">IFERROR(__xludf.dummyfunction("REGEXEXTRACT(ADDRESS(ROW(), 24+$H434), ""[A-Z]+"")"),"#VALUE!")</f>
        <v>#VALUE!</v>
      </c>
      <c r="J434" s="18" t="str">
        <f aca="false">IFERROR(__xludf.dummyfunction("REGEXEXTRACT(ADDRESS(ROW(), 30+$H434), ""[A-Z]+"")"),"#VALUE!")</f>
        <v>#VALUE!</v>
      </c>
      <c r="K434" s="18" t="str">
        <f aca="false">IFERROR(__xludf.dummyfunction("REGEXEXTRACT(ADDRESS(ROW(), 36+$H434), ""[A-Z]+"")"),"#VALUE!")</f>
        <v>#VALUE!</v>
      </c>
      <c r="L434" s="18" t="str">
        <f aca="false">IFERROR(__xludf.dummyfunction("REGEXEXTRACT(ADDRESS(ROW(), 42+$H434), ""[A-Z]+"")"),"#VALUE!")</f>
        <v>#VALUE!</v>
      </c>
      <c r="M434" s="18" t="str">
        <f aca="false">IFERROR(__xludf.dummyfunction("REGEXEXTRACT(ADDRESS(ROW(), 48+$H434), ""[A-Z]+"")"),"#VALUE!")</f>
        <v>#VALUE!</v>
      </c>
      <c r="N434" s="18" t="str">
        <f aca="false">IFERROR(__xludf.dummyfunction("REGEXEXTRACT(ADDRESS(ROW(), 50+$H434), ""[A-Z]+"")"),"#VALUE!")</f>
        <v>#VALUE!</v>
      </c>
      <c r="O434" s="18" t="str">
        <f aca="false">IFERROR(__xludf.dummyfunction("REGEXEXTRACT(ADDRESS(ROW(), 51+$H434), ""[A-Z]+"")"),"#VALUE!")</f>
        <v>#VALUE!</v>
      </c>
      <c r="P434" s="18" t="str">
        <f aca="false">IFERROR(__xludf.dummyfunction("REGEXEXTRACT(ADDRESS(ROW(), 54+$H434), ""[A-Z]+"")"),"#VALUE!")</f>
        <v>#VALUE!</v>
      </c>
      <c r="Q434" s="18" t="str">
        <f aca="false">IFERROR(__xludf.dummyfunction("REGEXEXTRACT(ADDRESS(ROW(), 59+$H434), ""[A-Z]+"")"),"#VALUE!")</f>
        <v>#VALUE!</v>
      </c>
      <c r="R434" s="18" t="str">
        <f aca="false">IFERROR(__xludf.dummyfunction("REGEXEXTRACT(ADDRESS(ROW(), 60+$H434), ""[A-Z]+"")"),"#VALUE!")</f>
        <v>#VALUE!</v>
      </c>
      <c r="S434" s="18" t="str">
        <f aca="false">IFERROR(__xludf.dummyfunction("REGEXEXTRACT(ADDRESS(ROW(), 62+$H434), ""[A-Z]+"")"),"#VALUE!")</f>
        <v>#VALUE!</v>
      </c>
      <c r="T434" s="18" t="str">
        <f aca="false">IFERROR(__xludf.dummyfunction("REGEXEXTRACT(ADDRESS(ROW(), 63+$H434), ""[A-Z]+"")"),"#VALUE!")</f>
        <v>#VALUE!</v>
      </c>
      <c r="U434" s="19" t="str">
        <f aca="false">IFERROR(__xludf.dummyfunction("IFERROR(QUERY(INDIRECT(""'""&amp;F434&amp;""'!C3:""&amp;T434&amp;""""), ""SELECT ""&amp;I434&amp;"", ""&amp;J434&amp;"", ""&amp;K434&amp;"", ""&amp;L434&amp;"", ""&amp;M434&amp;"", ""&amp;N434&amp;"", ""&amp;O434&amp;"", ""&amp;P434&amp;"", ""&amp;Q434&amp;"", ""&amp;R434&amp;"", ""&amp;S434&amp;"" WHERE '""&amp;B434&amp;""' = D"", 0), """")"),"")</f>
        <v/>
      </c>
      <c r="V434" s="22"/>
      <c r="W434" s="22"/>
      <c r="X434" s="22"/>
      <c r="Y434" s="22"/>
      <c r="Z434" s="22"/>
      <c r="AA434" s="22"/>
      <c r="AB434" s="22"/>
      <c r="AC434" s="22"/>
      <c r="AD434" s="23"/>
      <c r="AE434" s="24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</row>
    <row r="435" customFormat="false" ht="18.65" hidden="false" customHeight="false" outlineLevel="0" collapsed="false">
      <c r="A435" s="13"/>
      <c r="B435" s="33"/>
      <c r="C435" s="34"/>
      <c r="D435" s="35"/>
      <c r="E435" s="35"/>
      <c r="F435" s="16" t="str">
        <f aca="false">REPLACE(E435, 1, 3, "")</f>
        <v/>
      </c>
      <c r="G435" s="17" t="str">
        <f aca="true">IFERROR(VLOOKUP(B435,INDIRECT("'"&amp;F435&amp;"'!D3:D"),1,FALSE()), "Not found")</f>
        <v>Not found</v>
      </c>
      <c r="H435" s="25" t="e">
        <f aca="true">INDIRECT("'"&amp;F435&amp;"'!D1")</f>
        <v>#REF!</v>
      </c>
      <c r="I435" s="18" t="str">
        <f aca="false">IFERROR(__xludf.dummyfunction("REGEXEXTRACT(ADDRESS(ROW(), 24+$H435), ""[A-Z]+"")"),"#VALUE!")</f>
        <v>#VALUE!</v>
      </c>
      <c r="J435" s="18" t="str">
        <f aca="false">IFERROR(__xludf.dummyfunction("REGEXEXTRACT(ADDRESS(ROW(), 30+$H435), ""[A-Z]+"")"),"#VALUE!")</f>
        <v>#VALUE!</v>
      </c>
      <c r="K435" s="18" t="str">
        <f aca="false">IFERROR(__xludf.dummyfunction("REGEXEXTRACT(ADDRESS(ROW(), 36+$H435), ""[A-Z]+"")"),"#VALUE!")</f>
        <v>#VALUE!</v>
      </c>
      <c r="L435" s="18" t="str">
        <f aca="false">IFERROR(__xludf.dummyfunction("REGEXEXTRACT(ADDRESS(ROW(), 42+$H435), ""[A-Z]+"")"),"#VALUE!")</f>
        <v>#VALUE!</v>
      </c>
      <c r="M435" s="18" t="str">
        <f aca="false">IFERROR(__xludf.dummyfunction("REGEXEXTRACT(ADDRESS(ROW(), 48+$H435), ""[A-Z]+"")"),"#VALUE!")</f>
        <v>#VALUE!</v>
      </c>
      <c r="N435" s="18" t="str">
        <f aca="false">IFERROR(__xludf.dummyfunction("REGEXEXTRACT(ADDRESS(ROW(), 50+$H435), ""[A-Z]+"")"),"#VALUE!")</f>
        <v>#VALUE!</v>
      </c>
      <c r="O435" s="18" t="str">
        <f aca="false">IFERROR(__xludf.dummyfunction("REGEXEXTRACT(ADDRESS(ROW(), 51+$H435), ""[A-Z]+"")"),"#VALUE!")</f>
        <v>#VALUE!</v>
      </c>
      <c r="P435" s="18" t="str">
        <f aca="false">IFERROR(__xludf.dummyfunction("REGEXEXTRACT(ADDRESS(ROW(), 54+$H435), ""[A-Z]+"")"),"#VALUE!")</f>
        <v>#VALUE!</v>
      </c>
      <c r="Q435" s="18" t="str">
        <f aca="false">IFERROR(__xludf.dummyfunction("REGEXEXTRACT(ADDRESS(ROW(), 59+$H435), ""[A-Z]+"")"),"#VALUE!")</f>
        <v>#VALUE!</v>
      </c>
      <c r="R435" s="18" t="str">
        <f aca="false">IFERROR(__xludf.dummyfunction("REGEXEXTRACT(ADDRESS(ROW(), 60+$H435), ""[A-Z]+"")"),"#VALUE!")</f>
        <v>#VALUE!</v>
      </c>
      <c r="S435" s="18" t="str">
        <f aca="false">IFERROR(__xludf.dummyfunction("REGEXEXTRACT(ADDRESS(ROW(), 62+$H435), ""[A-Z]+"")"),"#VALUE!")</f>
        <v>#VALUE!</v>
      </c>
      <c r="T435" s="18" t="str">
        <f aca="false">IFERROR(__xludf.dummyfunction("REGEXEXTRACT(ADDRESS(ROW(), 63+$H435), ""[A-Z]+"")"),"#VALUE!")</f>
        <v>#VALUE!</v>
      </c>
      <c r="U435" s="19" t="str">
        <f aca="false">IFERROR(__xludf.dummyfunction("IFERROR(QUERY(INDIRECT(""'""&amp;F435&amp;""'!C3:""&amp;T435&amp;""""), ""SELECT ""&amp;I435&amp;"", ""&amp;J435&amp;"", ""&amp;K435&amp;"", ""&amp;L435&amp;"", ""&amp;M435&amp;"", ""&amp;N435&amp;"", ""&amp;O435&amp;"", ""&amp;P435&amp;"", ""&amp;Q435&amp;"", ""&amp;R435&amp;"", ""&amp;S435&amp;"" WHERE '""&amp;B435&amp;""' = D"", 0), """")"),"")</f>
        <v/>
      </c>
      <c r="V435" s="22"/>
      <c r="W435" s="22"/>
      <c r="X435" s="22"/>
      <c r="Y435" s="22"/>
      <c r="Z435" s="22"/>
      <c r="AA435" s="22"/>
      <c r="AB435" s="22"/>
      <c r="AC435" s="22"/>
      <c r="AD435" s="23"/>
      <c r="AE435" s="24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</row>
    <row r="436" customFormat="false" ht="18.65" hidden="false" customHeight="false" outlineLevel="0" collapsed="false">
      <c r="A436" s="13"/>
      <c r="B436" s="33"/>
      <c r="C436" s="34"/>
      <c r="D436" s="35"/>
      <c r="E436" s="35"/>
      <c r="F436" s="16" t="str">
        <f aca="false">REPLACE(E436, 1, 3, "")</f>
        <v/>
      </c>
      <c r="G436" s="17" t="str">
        <f aca="true">IFERROR(VLOOKUP(B436,INDIRECT("'"&amp;F436&amp;"'!D3:D"),1,FALSE()), "Not found")</f>
        <v>Not found</v>
      </c>
      <c r="H436" s="25" t="e">
        <f aca="true">INDIRECT("'"&amp;F436&amp;"'!D1")</f>
        <v>#REF!</v>
      </c>
      <c r="I436" s="18" t="str">
        <f aca="false">IFERROR(__xludf.dummyfunction("REGEXEXTRACT(ADDRESS(ROW(), 24+$H436), ""[A-Z]+"")"),"#VALUE!")</f>
        <v>#VALUE!</v>
      </c>
      <c r="J436" s="18" t="str">
        <f aca="false">IFERROR(__xludf.dummyfunction("REGEXEXTRACT(ADDRESS(ROW(), 30+$H436), ""[A-Z]+"")"),"#VALUE!")</f>
        <v>#VALUE!</v>
      </c>
      <c r="K436" s="18" t="str">
        <f aca="false">IFERROR(__xludf.dummyfunction("REGEXEXTRACT(ADDRESS(ROW(), 36+$H436), ""[A-Z]+"")"),"#VALUE!")</f>
        <v>#VALUE!</v>
      </c>
      <c r="L436" s="18" t="str">
        <f aca="false">IFERROR(__xludf.dummyfunction("REGEXEXTRACT(ADDRESS(ROW(), 42+$H436), ""[A-Z]+"")"),"#VALUE!")</f>
        <v>#VALUE!</v>
      </c>
      <c r="M436" s="18" t="str">
        <f aca="false">IFERROR(__xludf.dummyfunction("REGEXEXTRACT(ADDRESS(ROW(), 48+$H436), ""[A-Z]+"")"),"#VALUE!")</f>
        <v>#VALUE!</v>
      </c>
      <c r="N436" s="18" t="str">
        <f aca="false">IFERROR(__xludf.dummyfunction("REGEXEXTRACT(ADDRESS(ROW(), 50+$H436), ""[A-Z]+"")"),"#VALUE!")</f>
        <v>#VALUE!</v>
      </c>
      <c r="O436" s="18" t="str">
        <f aca="false">IFERROR(__xludf.dummyfunction("REGEXEXTRACT(ADDRESS(ROW(), 51+$H436), ""[A-Z]+"")"),"#VALUE!")</f>
        <v>#VALUE!</v>
      </c>
      <c r="P436" s="18" t="str">
        <f aca="false">IFERROR(__xludf.dummyfunction("REGEXEXTRACT(ADDRESS(ROW(), 54+$H436), ""[A-Z]+"")"),"#VALUE!")</f>
        <v>#VALUE!</v>
      </c>
      <c r="Q436" s="18" t="str">
        <f aca="false">IFERROR(__xludf.dummyfunction("REGEXEXTRACT(ADDRESS(ROW(), 59+$H436), ""[A-Z]+"")"),"#VALUE!")</f>
        <v>#VALUE!</v>
      </c>
      <c r="R436" s="18" t="str">
        <f aca="false">IFERROR(__xludf.dummyfunction("REGEXEXTRACT(ADDRESS(ROW(), 60+$H436), ""[A-Z]+"")"),"#VALUE!")</f>
        <v>#VALUE!</v>
      </c>
      <c r="S436" s="18" t="str">
        <f aca="false">IFERROR(__xludf.dummyfunction("REGEXEXTRACT(ADDRESS(ROW(), 62+$H436), ""[A-Z]+"")"),"#VALUE!")</f>
        <v>#VALUE!</v>
      </c>
      <c r="T436" s="18" t="str">
        <f aca="false">IFERROR(__xludf.dummyfunction("REGEXEXTRACT(ADDRESS(ROW(), 63+$H436), ""[A-Z]+"")"),"#VALUE!")</f>
        <v>#VALUE!</v>
      </c>
      <c r="U436" s="19" t="str">
        <f aca="false">IFERROR(__xludf.dummyfunction("IFERROR(QUERY(INDIRECT(""'""&amp;F436&amp;""'!C3:""&amp;T436&amp;""""), ""SELECT ""&amp;I436&amp;"", ""&amp;J436&amp;"", ""&amp;K436&amp;"", ""&amp;L436&amp;"", ""&amp;M436&amp;"", ""&amp;N436&amp;"", ""&amp;O436&amp;"", ""&amp;P436&amp;"", ""&amp;Q436&amp;"", ""&amp;R436&amp;"", ""&amp;S436&amp;"" WHERE '""&amp;B436&amp;""' = D"", 0), """")"),"")</f>
        <v/>
      </c>
      <c r="V436" s="22"/>
      <c r="W436" s="22"/>
      <c r="X436" s="22"/>
      <c r="Y436" s="22"/>
      <c r="Z436" s="22"/>
      <c r="AA436" s="22"/>
      <c r="AB436" s="22"/>
      <c r="AC436" s="22"/>
      <c r="AD436" s="23"/>
      <c r="AE436" s="24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</row>
    <row r="437" customFormat="false" ht="18.65" hidden="false" customHeight="false" outlineLevel="0" collapsed="false">
      <c r="A437" s="13"/>
      <c r="B437" s="33"/>
      <c r="C437" s="34"/>
      <c r="D437" s="35"/>
      <c r="E437" s="35"/>
      <c r="F437" s="16" t="str">
        <f aca="false">REPLACE(E437, 1, 3, "")</f>
        <v/>
      </c>
      <c r="G437" s="17" t="str">
        <f aca="true">IFERROR(VLOOKUP(B437,INDIRECT("'"&amp;F437&amp;"'!D3:D"),1,FALSE()), "Not found")</f>
        <v>Not found</v>
      </c>
      <c r="H437" s="25" t="e">
        <f aca="true">INDIRECT("'"&amp;F437&amp;"'!D1")</f>
        <v>#REF!</v>
      </c>
      <c r="I437" s="18" t="str">
        <f aca="false">IFERROR(__xludf.dummyfunction("REGEXEXTRACT(ADDRESS(ROW(), 24+$H437), ""[A-Z]+"")"),"#VALUE!")</f>
        <v>#VALUE!</v>
      </c>
      <c r="J437" s="18" t="str">
        <f aca="false">IFERROR(__xludf.dummyfunction("REGEXEXTRACT(ADDRESS(ROW(), 30+$H437), ""[A-Z]+"")"),"#VALUE!")</f>
        <v>#VALUE!</v>
      </c>
      <c r="K437" s="18" t="str">
        <f aca="false">IFERROR(__xludf.dummyfunction("REGEXEXTRACT(ADDRESS(ROW(), 36+$H437), ""[A-Z]+"")"),"#VALUE!")</f>
        <v>#VALUE!</v>
      </c>
      <c r="L437" s="18" t="str">
        <f aca="false">IFERROR(__xludf.dummyfunction("REGEXEXTRACT(ADDRESS(ROW(), 42+$H437), ""[A-Z]+"")"),"#VALUE!")</f>
        <v>#VALUE!</v>
      </c>
      <c r="M437" s="18" t="str">
        <f aca="false">IFERROR(__xludf.dummyfunction("REGEXEXTRACT(ADDRESS(ROW(), 48+$H437), ""[A-Z]+"")"),"#VALUE!")</f>
        <v>#VALUE!</v>
      </c>
      <c r="N437" s="18" t="str">
        <f aca="false">IFERROR(__xludf.dummyfunction("REGEXEXTRACT(ADDRESS(ROW(), 50+$H437), ""[A-Z]+"")"),"#VALUE!")</f>
        <v>#VALUE!</v>
      </c>
      <c r="O437" s="18" t="str">
        <f aca="false">IFERROR(__xludf.dummyfunction("REGEXEXTRACT(ADDRESS(ROW(), 51+$H437), ""[A-Z]+"")"),"#VALUE!")</f>
        <v>#VALUE!</v>
      </c>
      <c r="P437" s="18" t="str">
        <f aca="false">IFERROR(__xludf.dummyfunction("REGEXEXTRACT(ADDRESS(ROW(), 54+$H437), ""[A-Z]+"")"),"#VALUE!")</f>
        <v>#VALUE!</v>
      </c>
      <c r="Q437" s="18" t="str">
        <f aca="false">IFERROR(__xludf.dummyfunction("REGEXEXTRACT(ADDRESS(ROW(), 59+$H437), ""[A-Z]+"")"),"#VALUE!")</f>
        <v>#VALUE!</v>
      </c>
      <c r="R437" s="18" t="str">
        <f aca="false">IFERROR(__xludf.dummyfunction("REGEXEXTRACT(ADDRESS(ROW(), 60+$H437), ""[A-Z]+"")"),"#VALUE!")</f>
        <v>#VALUE!</v>
      </c>
      <c r="S437" s="18" t="str">
        <f aca="false">IFERROR(__xludf.dummyfunction("REGEXEXTRACT(ADDRESS(ROW(), 62+$H437), ""[A-Z]+"")"),"#VALUE!")</f>
        <v>#VALUE!</v>
      </c>
      <c r="T437" s="18" t="str">
        <f aca="false">IFERROR(__xludf.dummyfunction("REGEXEXTRACT(ADDRESS(ROW(), 63+$H437), ""[A-Z]+"")"),"#VALUE!")</f>
        <v>#VALUE!</v>
      </c>
      <c r="U437" s="19" t="str">
        <f aca="false">IFERROR(__xludf.dummyfunction("IFERROR(QUERY(INDIRECT(""'""&amp;F437&amp;""'!C3:""&amp;T437&amp;""""), ""SELECT ""&amp;I437&amp;"", ""&amp;J437&amp;"", ""&amp;K437&amp;"", ""&amp;L437&amp;"", ""&amp;M437&amp;"", ""&amp;N437&amp;"", ""&amp;O437&amp;"", ""&amp;P437&amp;"", ""&amp;Q437&amp;"", ""&amp;R437&amp;"", ""&amp;S437&amp;"" WHERE '""&amp;B437&amp;""' = D"", 0), """")"),"")</f>
        <v/>
      </c>
      <c r="V437" s="22"/>
      <c r="W437" s="22"/>
      <c r="X437" s="22"/>
      <c r="Y437" s="22"/>
      <c r="Z437" s="22"/>
      <c r="AA437" s="22"/>
      <c r="AB437" s="22"/>
      <c r="AC437" s="22"/>
      <c r="AD437" s="23"/>
      <c r="AE437" s="24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</row>
    <row r="438" customFormat="false" ht="18.65" hidden="false" customHeight="false" outlineLevel="0" collapsed="false">
      <c r="A438" s="13"/>
      <c r="B438" s="33"/>
      <c r="C438" s="34"/>
      <c r="D438" s="35"/>
      <c r="E438" s="35"/>
      <c r="F438" s="16" t="str">
        <f aca="false">REPLACE(E438, 1, 3, "")</f>
        <v/>
      </c>
      <c r="G438" s="17" t="str">
        <f aca="true">IFERROR(VLOOKUP(B438,INDIRECT("'"&amp;F438&amp;"'!D3:D"),1,FALSE()), "Not found")</f>
        <v>Not found</v>
      </c>
      <c r="H438" s="25" t="e">
        <f aca="true">INDIRECT("'"&amp;F438&amp;"'!D1")</f>
        <v>#REF!</v>
      </c>
      <c r="I438" s="18" t="str">
        <f aca="false">IFERROR(__xludf.dummyfunction("REGEXEXTRACT(ADDRESS(ROW(), 24+$H438), ""[A-Z]+"")"),"#VALUE!")</f>
        <v>#VALUE!</v>
      </c>
      <c r="J438" s="18" t="str">
        <f aca="false">IFERROR(__xludf.dummyfunction("REGEXEXTRACT(ADDRESS(ROW(), 30+$H438), ""[A-Z]+"")"),"#VALUE!")</f>
        <v>#VALUE!</v>
      </c>
      <c r="K438" s="18" t="str">
        <f aca="false">IFERROR(__xludf.dummyfunction("REGEXEXTRACT(ADDRESS(ROW(), 36+$H438), ""[A-Z]+"")"),"#VALUE!")</f>
        <v>#VALUE!</v>
      </c>
      <c r="L438" s="18" t="str">
        <f aca="false">IFERROR(__xludf.dummyfunction("REGEXEXTRACT(ADDRESS(ROW(), 42+$H438), ""[A-Z]+"")"),"#VALUE!")</f>
        <v>#VALUE!</v>
      </c>
      <c r="M438" s="18" t="str">
        <f aca="false">IFERROR(__xludf.dummyfunction("REGEXEXTRACT(ADDRESS(ROW(), 48+$H438), ""[A-Z]+"")"),"#VALUE!")</f>
        <v>#VALUE!</v>
      </c>
      <c r="N438" s="18" t="str">
        <f aca="false">IFERROR(__xludf.dummyfunction("REGEXEXTRACT(ADDRESS(ROW(), 50+$H438), ""[A-Z]+"")"),"#VALUE!")</f>
        <v>#VALUE!</v>
      </c>
      <c r="O438" s="18" t="str">
        <f aca="false">IFERROR(__xludf.dummyfunction("REGEXEXTRACT(ADDRESS(ROW(), 51+$H438), ""[A-Z]+"")"),"#VALUE!")</f>
        <v>#VALUE!</v>
      </c>
      <c r="P438" s="18" t="str">
        <f aca="false">IFERROR(__xludf.dummyfunction("REGEXEXTRACT(ADDRESS(ROW(), 54+$H438), ""[A-Z]+"")"),"#VALUE!")</f>
        <v>#VALUE!</v>
      </c>
      <c r="Q438" s="18" t="str">
        <f aca="false">IFERROR(__xludf.dummyfunction("REGEXEXTRACT(ADDRESS(ROW(), 59+$H438), ""[A-Z]+"")"),"#VALUE!")</f>
        <v>#VALUE!</v>
      </c>
      <c r="R438" s="18" t="str">
        <f aca="false">IFERROR(__xludf.dummyfunction("REGEXEXTRACT(ADDRESS(ROW(), 60+$H438), ""[A-Z]+"")"),"#VALUE!")</f>
        <v>#VALUE!</v>
      </c>
      <c r="S438" s="18" t="str">
        <f aca="false">IFERROR(__xludf.dummyfunction("REGEXEXTRACT(ADDRESS(ROW(), 62+$H438), ""[A-Z]+"")"),"#VALUE!")</f>
        <v>#VALUE!</v>
      </c>
      <c r="T438" s="18" t="str">
        <f aca="false">IFERROR(__xludf.dummyfunction("REGEXEXTRACT(ADDRESS(ROW(), 63+$H438), ""[A-Z]+"")"),"#VALUE!")</f>
        <v>#VALUE!</v>
      </c>
      <c r="U438" s="19" t="str">
        <f aca="false">IFERROR(__xludf.dummyfunction("IFERROR(QUERY(INDIRECT(""'""&amp;F438&amp;""'!C3:""&amp;T438&amp;""""), ""SELECT ""&amp;I438&amp;"", ""&amp;J438&amp;"", ""&amp;K438&amp;"", ""&amp;L438&amp;"", ""&amp;M438&amp;"", ""&amp;N438&amp;"", ""&amp;O438&amp;"", ""&amp;P438&amp;"", ""&amp;Q438&amp;"", ""&amp;R438&amp;"", ""&amp;S438&amp;"" WHERE '""&amp;B438&amp;""' = D"", 0), """")"),"")</f>
        <v/>
      </c>
      <c r="V438" s="22"/>
      <c r="W438" s="22"/>
      <c r="X438" s="22"/>
      <c r="Y438" s="22"/>
      <c r="Z438" s="22"/>
      <c r="AA438" s="22"/>
      <c r="AB438" s="22"/>
      <c r="AC438" s="22"/>
      <c r="AD438" s="23"/>
      <c r="AE438" s="24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</row>
    <row r="439" customFormat="false" ht="15.75" hidden="false" customHeight="false" outlineLevel="0" collapsed="false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41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</row>
    <row r="440" customFormat="false" ht="15.75" hidden="false" customHeight="false" outlineLevel="0" collapsed="false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41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</row>
    <row r="441" customFormat="false" ht="15.75" hidden="false" customHeight="false" outlineLevel="0" collapsed="false">
      <c r="A441" s="12"/>
      <c r="B441" s="4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41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</row>
    <row r="442" customFormat="false" ht="15.75" hidden="false" customHeight="false" outlineLevel="0" collapsed="false">
      <c r="A442" s="12"/>
      <c r="B442" s="4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41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</row>
    <row r="443" customFormat="false" ht="15.75" hidden="false" customHeight="false" outlineLevel="0" collapsed="false">
      <c r="A443" s="12"/>
      <c r="B443" s="4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41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</row>
    <row r="444" customFormat="false" ht="15.75" hidden="false" customHeight="false" outlineLevel="0" collapsed="false">
      <c r="A444" s="12"/>
      <c r="B444" s="4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41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</row>
    <row r="445" customFormat="false" ht="15.75" hidden="false" customHeight="false" outlineLevel="0" collapsed="false">
      <c r="A445" s="12"/>
      <c r="B445" s="4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41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</row>
    <row r="446" customFormat="false" ht="15.75" hidden="false" customHeight="false" outlineLevel="0" collapsed="false">
      <c r="A446" s="12"/>
      <c r="B446" s="4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41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</row>
    <row r="447" customFormat="false" ht="15.75" hidden="false" customHeight="false" outlineLevel="0" collapsed="false">
      <c r="A447" s="12"/>
      <c r="B447" s="4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41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</row>
    <row r="448" customFormat="false" ht="15.75" hidden="false" customHeight="false" outlineLevel="0" collapsed="false">
      <c r="A448" s="12"/>
      <c r="B448" s="4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41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</row>
    <row r="449" customFormat="false" ht="15.75" hidden="false" customHeight="false" outlineLevel="0" collapsed="false">
      <c r="A449" s="12"/>
      <c r="B449" s="4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41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</row>
    <row r="450" customFormat="false" ht="15.75" hidden="false" customHeight="false" outlineLevel="0" collapsed="false">
      <c r="A450" s="12"/>
      <c r="B450" s="4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41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</row>
    <row r="451" customFormat="false" ht="15.75" hidden="false" customHeight="false" outlineLevel="0" collapsed="false">
      <c r="A451" s="12"/>
      <c r="B451" s="4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41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</row>
    <row r="452" customFormat="false" ht="15.75" hidden="false" customHeight="false" outlineLevel="0" collapsed="false">
      <c r="A452" s="12"/>
      <c r="B452" s="4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41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</row>
    <row r="453" customFormat="false" ht="15.75" hidden="false" customHeight="false" outlineLevel="0" collapsed="false">
      <c r="A453" s="12"/>
      <c r="B453" s="4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41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</row>
    <row r="454" customFormat="false" ht="15.75" hidden="false" customHeight="false" outlineLevel="0" collapsed="false">
      <c r="A454" s="12"/>
      <c r="B454" s="4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41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</row>
    <row r="455" customFormat="false" ht="15.75" hidden="false" customHeight="false" outlineLevel="0" collapsed="false">
      <c r="A455" s="12"/>
      <c r="B455" s="4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41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</row>
    <row r="456" customFormat="false" ht="15.75" hidden="false" customHeight="false" outlineLevel="0" collapsed="false">
      <c r="A456" s="12"/>
      <c r="B456" s="4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41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</row>
    <row r="457" customFormat="false" ht="15.75" hidden="false" customHeight="false" outlineLevel="0" collapsed="false">
      <c r="A457" s="12"/>
      <c r="B457" s="4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41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</row>
    <row r="458" customFormat="false" ht="15.75" hidden="false" customHeight="false" outlineLevel="0" collapsed="false">
      <c r="A458" s="12"/>
      <c r="B458" s="4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41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</row>
    <row r="459" customFormat="false" ht="15.75" hidden="false" customHeight="false" outlineLevel="0" collapsed="false">
      <c r="A459" s="12"/>
      <c r="B459" s="4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41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</row>
    <row r="460" customFormat="false" ht="15.75" hidden="false" customHeight="false" outlineLevel="0" collapsed="false">
      <c r="A460" s="12"/>
      <c r="B460" s="4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41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</row>
    <row r="461" customFormat="false" ht="15.75" hidden="false" customHeight="false" outlineLevel="0" collapsed="false">
      <c r="A461" s="12"/>
      <c r="B461" s="4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41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</row>
    <row r="462" customFormat="false" ht="15.75" hidden="false" customHeight="false" outlineLevel="0" collapsed="false">
      <c r="A462" s="12"/>
      <c r="B462" s="4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41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</row>
    <row r="463" customFormat="false" ht="15.75" hidden="false" customHeight="false" outlineLevel="0" collapsed="false">
      <c r="A463" s="12"/>
      <c r="B463" s="4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41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</row>
    <row r="464" customFormat="false" ht="15.75" hidden="false" customHeight="false" outlineLevel="0" collapsed="false">
      <c r="A464" s="12"/>
      <c r="B464" s="4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41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</row>
    <row r="465" customFormat="false" ht="15.75" hidden="false" customHeight="false" outlineLevel="0" collapsed="false">
      <c r="A465" s="12"/>
      <c r="B465" s="4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41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</row>
    <row r="466" customFormat="false" ht="15.75" hidden="false" customHeight="false" outlineLevel="0" collapsed="false">
      <c r="A466" s="12"/>
      <c r="B466" s="4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41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</row>
    <row r="467" customFormat="false" ht="15.75" hidden="false" customHeight="false" outlineLevel="0" collapsed="false">
      <c r="A467" s="12"/>
      <c r="B467" s="4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41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</row>
    <row r="468" customFormat="false" ht="15.75" hidden="false" customHeight="false" outlineLevel="0" collapsed="false">
      <c r="A468" s="12"/>
      <c r="B468" s="4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41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</row>
    <row r="469" customFormat="false" ht="15.75" hidden="false" customHeight="false" outlineLevel="0" collapsed="false">
      <c r="A469" s="12"/>
      <c r="B469" s="4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41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</row>
    <row r="470" customFormat="false" ht="15.75" hidden="false" customHeight="false" outlineLevel="0" collapsed="false">
      <c r="A470" s="12"/>
      <c r="B470" s="4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41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</row>
    <row r="471" customFormat="false" ht="15.75" hidden="false" customHeight="false" outlineLevel="0" collapsed="false">
      <c r="A471" s="12"/>
      <c r="B471" s="4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41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</row>
    <row r="472" customFormat="false" ht="15.75" hidden="false" customHeight="false" outlineLevel="0" collapsed="false">
      <c r="A472" s="12"/>
      <c r="B472" s="4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41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</row>
    <row r="473" customFormat="false" ht="15.75" hidden="false" customHeight="false" outlineLevel="0" collapsed="false">
      <c r="A473" s="12"/>
      <c r="B473" s="4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41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</row>
    <row r="474" customFormat="false" ht="15.75" hidden="false" customHeight="false" outlineLevel="0" collapsed="false">
      <c r="A474" s="12"/>
      <c r="B474" s="4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41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</row>
    <row r="475" customFormat="false" ht="15.75" hidden="false" customHeight="false" outlineLevel="0" collapsed="false">
      <c r="A475" s="12"/>
      <c r="B475" s="4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41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</row>
    <row r="476" customFormat="false" ht="15.75" hidden="false" customHeight="false" outlineLevel="0" collapsed="false">
      <c r="A476" s="12"/>
      <c r="B476" s="4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41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</row>
    <row r="477" customFormat="false" ht="15.75" hidden="false" customHeight="false" outlineLevel="0" collapsed="false">
      <c r="A477" s="12"/>
      <c r="B477" s="4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41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</row>
    <row r="478" customFormat="false" ht="15.75" hidden="false" customHeight="false" outlineLevel="0" collapsed="false">
      <c r="A478" s="12"/>
      <c r="B478" s="4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41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</row>
    <row r="479" customFormat="false" ht="15.75" hidden="false" customHeight="false" outlineLevel="0" collapsed="false">
      <c r="A479" s="12"/>
      <c r="B479" s="4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41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</row>
    <row r="480" customFormat="false" ht="15.75" hidden="false" customHeight="false" outlineLevel="0" collapsed="false">
      <c r="A480" s="12"/>
      <c r="B480" s="4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41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</row>
    <row r="481" customFormat="false" ht="15.75" hidden="false" customHeight="false" outlineLevel="0" collapsed="false">
      <c r="A481" s="12"/>
      <c r="B481" s="4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41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</row>
    <row r="482" customFormat="false" ht="15.75" hidden="false" customHeight="false" outlineLevel="0" collapsed="false">
      <c r="A482" s="12"/>
      <c r="B482" s="4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41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</row>
    <row r="483" customFormat="false" ht="15.75" hidden="false" customHeight="false" outlineLevel="0" collapsed="false">
      <c r="A483" s="12"/>
      <c r="B483" s="4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41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</row>
    <row r="484" customFormat="false" ht="15.75" hidden="false" customHeight="false" outlineLevel="0" collapsed="false">
      <c r="A484" s="12"/>
      <c r="B484" s="4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41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</row>
    <row r="485" customFormat="false" ht="15.75" hidden="false" customHeight="false" outlineLevel="0" collapsed="false">
      <c r="A485" s="12"/>
      <c r="B485" s="4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41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</row>
    <row r="486" customFormat="false" ht="15.75" hidden="false" customHeight="false" outlineLevel="0" collapsed="false">
      <c r="A486" s="12"/>
      <c r="B486" s="4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41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</row>
    <row r="487" customFormat="false" ht="15.75" hidden="false" customHeight="false" outlineLevel="0" collapsed="false">
      <c r="A487" s="12"/>
      <c r="B487" s="4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41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</row>
    <row r="488" customFormat="false" ht="15.75" hidden="false" customHeight="false" outlineLevel="0" collapsed="false">
      <c r="A488" s="12"/>
      <c r="B488" s="4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41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</row>
    <row r="489" customFormat="false" ht="15.75" hidden="false" customHeight="false" outlineLevel="0" collapsed="false">
      <c r="A489" s="12"/>
      <c r="B489" s="4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41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</row>
    <row r="490" customFormat="false" ht="15.75" hidden="false" customHeight="false" outlineLevel="0" collapsed="false">
      <c r="A490" s="12"/>
      <c r="B490" s="4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41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</row>
    <row r="491" customFormat="false" ht="15.75" hidden="false" customHeight="false" outlineLevel="0" collapsed="false">
      <c r="A491" s="12"/>
      <c r="B491" s="4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41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</row>
    <row r="492" customFormat="false" ht="15.75" hidden="false" customHeight="false" outlineLevel="0" collapsed="false">
      <c r="A492" s="12"/>
      <c r="B492" s="4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41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</row>
    <row r="493" customFormat="false" ht="15.75" hidden="false" customHeight="false" outlineLevel="0" collapsed="false">
      <c r="A493" s="12"/>
      <c r="B493" s="4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41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</row>
    <row r="494" customFormat="false" ht="15.75" hidden="false" customHeight="false" outlineLevel="0" collapsed="false">
      <c r="A494" s="12"/>
      <c r="B494" s="4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41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</row>
    <row r="495" customFormat="false" ht="15.75" hidden="false" customHeight="false" outlineLevel="0" collapsed="false">
      <c r="A495" s="12"/>
      <c r="B495" s="4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41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</row>
    <row r="496" customFormat="false" ht="15.75" hidden="false" customHeight="false" outlineLevel="0" collapsed="false">
      <c r="A496" s="12"/>
      <c r="B496" s="4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41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</row>
    <row r="497" customFormat="false" ht="15.75" hidden="false" customHeight="false" outlineLevel="0" collapsed="false">
      <c r="A497" s="12"/>
      <c r="B497" s="4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41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</row>
    <row r="498" customFormat="false" ht="15.75" hidden="false" customHeight="false" outlineLevel="0" collapsed="false">
      <c r="A498" s="12"/>
      <c r="B498" s="4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41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</row>
    <row r="499" customFormat="false" ht="15.75" hidden="false" customHeight="false" outlineLevel="0" collapsed="false">
      <c r="A499" s="12"/>
      <c r="B499" s="4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41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</row>
    <row r="500" customFormat="false" ht="15.75" hidden="false" customHeight="false" outlineLevel="0" collapsed="false">
      <c r="A500" s="12"/>
      <c r="B500" s="4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41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</row>
    <row r="501" customFormat="false" ht="15.75" hidden="false" customHeight="false" outlineLevel="0" collapsed="false">
      <c r="A501" s="12"/>
      <c r="B501" s="4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41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</row>
    <row r="502" customFormat="false" ht="15.75" hidden="false" customHeight="false" outlineLevel="0" collapsed="false">
      <c r="A502" s="12"/>
      <c r="B502" s="4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41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</row>
    <row r="503" customFormat="false" ht="15.75" hidden="false" customHeight="false" outlineLevel="0" collapsed="false">
      <c r="A503" s="12"/>
      <c r="B503" s="4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41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</row>
    <row r="504" customFormat="false" ht="15.75" hidden="false" customHeight="false" outlineLevel="0" collapsed="false">
      <c r="A504" s="12"/>
      <c r="B504" s="4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41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</row>
    <row r="505" customFormat="false" ht="15.75" hidden="false" customHeight="false" outlineLevel="0" collapsed="false">
      <c r="A505" s="12"/>
      <c r="B505" s="4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41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</row>
    <row r="506" customFormat="false" ht="15.75" hidden="false" customHeight="false" outlineLevel="0" collapsed="false">
      <c r="A506" s="12"/>
      <c r="B506" s="4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41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</row>
    <row r="507" customFormat="false" ht="15.75" hidden="false" customHeight="false" outlineLevel="0" collapsed="false">
      <c r="A507" s="12"/>
      <c r="B507" s="4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41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</row>
    <row r="508" customFormat="false" ht="15.75" hidden="false" customHeight="false" outlineLevel="0" collapsed="false">
      <c r="A508" s="12"/>
      <c r="B508" s="4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41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</row>
    <row r="509" customFormat="false" ht="15.75" hidden="false" customHeight="false" outlineLevel="0" collapsed="false">
      <c r="A509" s="12"/>
      <c r="B509" s="4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41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</row>
    <row r="510" customFormat="false" ht="15.75" hidden="false" customHeight="false" outlineLevel="0" collapsed="false">
      <c r="A510" s="12"/>
      <c r="B510" s="4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41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</row>
    <row r="511" customFormat="false" ht="15.75" hidden="false" customHeight="false" outlineLevel="0" collapsed="false">
      <c r="A511" s="12"/>
      <c r="B511" s="4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41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</row>
    <row r="512" customFormat="false" ht="15.75" hidden="false" customHeight="false" outlineLevel="0" collapsed="false">
      <c r="A512" s="12"/>
      <c r="B512" s="4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41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</row>
    <row r="513" customFormat="false" ht="15.75" hidden="false" customHeight="false" outlineLevel="0" collapsed="false">
      <c r="A513" s="12"/>
      <c r="B513" s="4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41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</row>
    <row r="514" customFormat="false" ht="15.75" hidden="false" customHeight="false" outlineLevel="0" collapsed="false">
      <c r="A514" s="12"/>
      <c r="B514" s="4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41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</row>
    <row r="515" customFormat="false" ht="15.75" hidden="false" customHeight="false" outlineLevel="0" collapsed="false">
      <c r="A515" s="12"/>
      <c r="B515" s="4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41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</row>
    <row r="516" customFormat="false" ht="15.75" hidden="false" customHeight="false" outlineLevel="0" collapsed="false">
      <c r="A516" s="12"/>
      <c r="B516" s="4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41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</row>
    <row r="517" customFormat="false" ht="15.75" hidden="false" customHeight="false" outlineLevel="0" collapsed="false">
      <c r="A517" s="12"/>
      <c r="B517" s="4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41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</row>
    <row r="518" customFormat="false" ht="15.75" hidden="false" customHeight="false" outlineLevel="0" collapsed="false">
      <c r="A518" s="12"/>
      <c r="B518" s="4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41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</row>
    <row r="519" customFormat="false" ht="15.75" hidden="false" customHeight="false" outlineLevel="0" collapsed="false">
      <c r="A519" s="12"/>
      <c r="B519" s="4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41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</row>
    <row r="520" customFormat="false" ht="15.75" hidden="false" customHeight="false" outlineLevel="0" collapsed="false">
      <c r="A520" s="12"/>
      <c r="B520" s="4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41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</row>
    <row r="521" customFormat="false" ht="15.75" hidden="false" customHeight="false" outlineLevel="0" collapsed="false">
      <c r="A521" s="12"/>
      <c r="B521" s="4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41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</row>
    <row r="522" customFormat="false" ht="15.75" hidden="false" customHeight="false" outlineLevel="0" collapsed="false">
      <c r="A522" s="12"/>
      <c r="B522" s="4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41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</row>
    <row r="523" customFormat="false" ht="15.75" hidden="false" customHeight="false" outlineLevel="0" collapsed="false">
      <c r="A523" s="12"/>
      <c r="B523" s="4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41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</row>
    <row r="524" customFormat="false" ht="15.75" hidden="false" customHeight="false" outlineLevel="0" collapsed="false">
      <c r="A524" s="12"/>
      <c r="B524" s="4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41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</row>
    <row r="525" customFormat="false" ht="15.75" hidden="false" customHeight="false" outlineLevel="0" collapsed="false">
      <c r="A525" s="12"/>
      <c r="B525" s="4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41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</row>
    <row r="526" customFormat="false" ht="15.75" hidden="false" customHeight="false" outlineLevel="0" collapsed="false">
      <c r="A526" s="12"/>
      <c r="B526" s="4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41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</row>
    <row r="527" customFormat="false" ht="15.75" hidden="false" customHeight="false" outlineLevel="0" collapsed="false">
      <c r="A527" s="12"/>
      <c r="B527" s="4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41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</row>
    <row r="528" customFormat="false" ht="15.75" hidden="false" customHeight="false" outlineLevel="0" collapsed="false">
      <c r="A528" s="12"/>
      <c r="B528" s="4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41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</row>
    <row r="529" customFormat="false" ht="15.75" hidden="false" customHeight="false" outlineLevel="0" collapsed="false">
      <c r="A529" s="12"/>
      <c r="B529" s="4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41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</row>
    <row r="530" customFormat="false" ht="15.75" hidden="false" customHeight="false" outlineLevel="0" collapsed="false">
      <c r="A530" s="12"/>
      <c r="B530" s="4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41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</row>
    <row r="531" customFormat="false" ht="15.75" hidden="false" customHeight="false" outlineLevel="0" collapsed="false">
      <c r="A531" s="12"/>
      <c r="B531" s="4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41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</row>
    <row r="532" customFormat="false" ht="15.75" hidden="false" customHeight="false" outlineLevel="0" collapsed="false">
      <c r="A532" s="12"/>
      <c r="B532" s="4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41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</row>
    <row r="533" customFormat="false" ht="15.75" hidden="false" customHeight="false" outlineLevel="0" collapsed="false">
      <c r="A533" s="12"/>
      <c r="B533" s="4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41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</row>
    <row r="534" customFormat="false" ht="15.75" hidden="false" customHeight="false" outlineLevel="0" collapsed="false">
      <c r="A534" s="12"/>
      <c r="B534" s="4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41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</row>
    <row r="535" customFormat="false" ht="15.75" hidden="false" customHeight="false" outlineLevel="0" collapsed="false">
      <c r="A535" s="12"/>
      <c r="B535" s="4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41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</row>
    <row r="536" customFormat="false" ht="15.75" hidden="false" customHeight="false" outlineLevel="0" collapsed="false">
      <c r="A536" s="12"/>
      <c r="B536" s="4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41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</row>
    <row r="537" customFormat="false" ht="15.75" hidden="false" customHeight="false" outlineLevel="0" collapsed="false">
      <c r="A537" s="12"/>
      <c r="B537" s="4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41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</row>
    <row r="538" customFormat="false" ht="15.75" hidden="false" customHeight="false" outlineLevel="0" collapsed="false">
      <c r="A538" s="12"/>
      <c r="B538" s="4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41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</row>
    <row r="539" customFormat="false" ht="15.75" hidden="false" customHeight="false" outlineLevel="0" collapsed="false">
      <c r="A539" s="12"/>
      <c r="B539" s="4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41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</row>
    <row r="540" customFormat="false" ht="15.75" hidden="false" customHeight="false" outlineLevel="0" collapsed="false">
      <c r="A540" s="12"/>
      <c r="B540" s="4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41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</row>
    <row r="541" customFormat="false" ht="15.75" hidden="false" customHeight="false" outlineLevel="0" collapsed="false">
      <c r="A541" s="12"/>
      <c r="B541" s="4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41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</row>
    <row r="542" customFormat="false" ht="15.75" hidden="false" customHeight="false" outlineLevel="0" collapsed="false">
      <c r="A542" s="12"/>
      <c r="B542" s="4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41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</row>
    <row r="543" customFormat="false" ht="15.75" hidden="false" customHeight="false" outlineLevel="0" collapsed="false">
      <c r="A543" s="12"/>
      <c r="B543" s="4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41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</row>
    <row r="544" customFormat="false" ht="15.75" hidden="false" customHeight="false" outlineLevel="0" collapsed="false">
      <c r="A544" s="12"/>
      <c r="B544" s="4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41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</row>
    <row r="545" customFormat="false" ht="15.75" hidden="false" customHeight="false" outlineLevel="0" collapsed="false">
      <c r="A545" s="12"/>
      <c r="B545" s="4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41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</row>
    <row r="546" customFormat="false" ht="15.75" hidden="false" customHeight="false" outlineLevel="0" collapsed="false">
      <c r="A546" s="12"/>
      <c r="B546" s="4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41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</row>
    <row r="547" customFormat="false" ht="15.75" hidden="false" customHeight="false" outlineLevel="0" collapsed="false">
      <c r="A547" s="12"/>
      <c r="B547" s="4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41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</row>
    <row r="548" customFormat="false" ht="15.75" hidden="false" customHeight="false" outlineLevel="0" collapsed="false">
      <c r="A548" s="12"/>
      <c r="B548" s="4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41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</row>
    <row r="549" customFormat="false" ht="15.75" hidden="false" customHeight="false" outlineLevel="0" collapsed="false">
      <c r="A549" s="12"/>
      <c r="B549" s="4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41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</row>
    <row r="550" customFormat="false" ht="15.75" hidden="false" customHeight="false" outlineLevel="0" collapsed="false">
      <c r="A550" s="12"/>
      <c r="B550" s="4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41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</row>
    <row r="551" customFormat="false" ht="15.75" hidden="false" customHeight="false" outlineLevel="0" collapsed="false">
      <c r="A551" s="12"/>
      <c r="B551" s="4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41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</row>
    <row r="552" customFormat="false" ht="15.75" hidden="false" customHeight="false" outlineLevel="0" collapsed="false">
      <c r="A552" s="12"/>
      <c r="B552" s="4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41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</row>
    <row r="553" customFormat="false" ht="15.75" hidden="false" customHeight="false" outlineLevel="0" collapsed="false">
      <c r="A553" s="12"/>
      <c r="B553" s="4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41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</row>
    <row r="554" customFormat="false" ht="15.75" hidden="false" customHeight="false" outlineLevel="0" collapsed="false">
      <c r="A554" s="12"/>
      <c r="B554" s="4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41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</row>
    <row r="555" customFormat="false" ht="15.75" hidden="false" customHeight="false" outlineLevel="0" collapsed="false">
      <c r="A555" s="12"/>
      <c r="B555" s="4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41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</row>
    <row r="556" customFormat="false" ht="15.75" hidden="false" customHeight="false" outlineLevel="0" collapsed="false">
      <c r="A556" s="12"/>
      <c r="B556" s="4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41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</row>
    <row r="557" customFormat="false" ht="15.75" hidden="false" customHeight="false" outlineLevel="0" collapsed="false">
      <c r="A557" s="12"/>
      <c r="B557" s="4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41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</row>
    <row r="558" customFormat="false" ht="15.75" hidden="false" customHeight="false" outlineLevel="0" collapsed="false">
      <c r="A558" s="12"/>
      <c r="B558" s="4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41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</row>
    <row r="559" customFormat="false" ht="15.75" hidden="false" customHeight="false" outlineLevel="0" collapsed="false">
      <c r="A559" s="12"/>
      <c r="B559" s="4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41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</row>
    <row r="560" customFormat="false" ht="15.75" hidden="false" customHeight="false" outlineLevel="0" collapsed="false">
      <c r="A560" s="12"/>
      <c r="B560" s="4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41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</row>
    <row r="561" customFormat="false" ht="15.75" hidden="false" customHeight="false" outlineLevel="0" collapsed="false">
      <c r="A561" s="12"/>
      <c r="B561" s="4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41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</row>
    <row r="562" customFormat="false" ht="15.75" hidden="false" customHeight="false" outlineLevel="0" collapsed="false">
      <c r="A562" s="12"/>
      <c r="B562" s="4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41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</row>
    <row r="563" customFormat="false" ht="15.75" hidden="false" customHeight="false" outlineLevel="0" collapsed="false">
      <c r="A563" s="12"/>
      <c r="B563" s="4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41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</row>
    <row r="564" customFormat="false" ht="15.75" hidden="false" customHeight="false" outlineLevel="0" collapsed="false">
      <c r="A564" s="12"/>
      <c r="B564" s="4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41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</row>
    <row r="565" customFormat="false" ht="15.75" hidden="false" customHeight="false" outlineLevel="0" collapsed="false">
      <c r="A565" s="12"/>
      <c r="B565" s="4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41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</row>
    <row r="566" customFormat="false" ht="15.75" hidden="false" customHeight="false" outlineLevel="0" collapsed="false">
      <c r="A566" s="12"/>
      <c r="B566" s="4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41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</row>
    <row r="567" customFormat="false" ht="15.75" hidden="false" customHeight="false" outlineLevel="0" collapsed="false">
      <c r="A567" s="12"/>
      <c r="B567" s="4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41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</row>
    <row r="568" customFormat="false" ht="15.75" hidden="false" customHeight="false" outlineLevel="0" collapsed="false">
      <c r="A568" s="12"/>
      <c r="B568" s="4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41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</row>
    <row r="569" customFormat="false" ht="15.75" hidden="false" customHeight="false" outlineLevel="0" collapsed="false">
      <c r="A569" s="12"/>
      <c r="B569" s="4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41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</row>
    <row r="570" customFormat="false" ht="15.75" hidden="false" customHeight="false" outlineLevel="0" collapsed="false">
      <c r="A570" s="12"/>
      <c r="B570" s="4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41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</row>
    <row r="571" customFormat="false" ht="15.75" hidden="false" customHeight="false" outlineLevel="0" collapsed="false">
      <c r="A571" s="12"/>
      <c r="B571" s="4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41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</row>
    <row r="572" customFormat="false" ht="15.75" hidden="false" customHeight="false" outlineLevel="0" collapsed="false">
      <c r="A572" s="12"/>
      <c r="B572" s="4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41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</row>
    <row r="573" customFormat="false" ht="15.75" hidden="false" customHeight="false" outlineLevel="0" collapsed="false">
      <c r="A573" s="12"/>
      <c r="B573" s="4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41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</row>
    <row r="574" customFormat="false" ht="15.75" hidden="false" customHeight="false" outlineLevel="0" collapsed="false">
      <c r="A574" s="12"/>
      <c r="B574" s="4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41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</row>
    <row r="575" customFormat="false" ht="15.75" hidden="false" customHeight="false" outlineLevel="0" collapsed="false">
      <c r="A575" s="12"/>
      <c r="B575" s="4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41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</row>
    <row r="576" customFormat="false" ht="15.75" hidden="false" customHeight="false" outlineLevel="0" collapsed="false">
      <c r="A576" s="12"/>
      <c r="B576" s="4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41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</row>
    <row r="577" customFormat="false" ht="15.75" hidden="false" customHeight="false" outlineLevel="0" collapsed="false">
      <c r="A577" s="12"/>
      <c r="B577" s="4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41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</row>
    <row r="578" customFormat="false" ht="15.75" hidden="false" customHeight="false" outlineLevel="0" collapsed="false">
      <c r="A578" s="12"/>
      <c r="B578" s="4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41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</row>
    <row r="579" customFormat="false" ht="15.75" hidden="false" customHeight="false" outlineLevel="0" collapsed="false">
      <c r="A579" s="12"/>
      <c r="B579" s="4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41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</row>
    <row r="580" customFormat="false" ht="15.75" hidden="false" customHeight="false" outlineLevel="0" collapsed="false">
      <c r="A580" s="12"/>
      <c r="B580" s="4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41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</row>
    <row r="581" customFormat="false" ht="15.75" hidden="false" customHeight="false" outlineLevel="0" collapsed="false">
      <c r="A581" s="12"/>
      <c r="B581" s="4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41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</row>
    <row r="582" customFormat="false" ht="15.75" hidden="false" customHeight="false" outlineLevel="0" collapsed="false">
      <c r="A582" s="12"/>
      <c r="B582" s="4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41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</row>
    <row r="583" customFormat="false" ht="15.75" hidden="false" customHeight="false" outlineLevel="0" collapsed="false">
      <c r="A583" s="12"/>
      <c r="B583" s="4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41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</row>
    <row r="584" customFormat="false" ht="15.75" hidden="false" customHeight="false" outlineLevel="0" collapsed="false">
      <c r="A584" s="12"/>
      <c r="B584" s="4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41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</row>
    <row r="585" customFormat="false" ht="15.75" hidden="false" customHeight="false" outlineLevel="0" collapsed="false">
      <c r="A585" s="12"/>
      <c r="B585" s="4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41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</row>
    <row r="586" customFormat="false" ht="15.75" hidden="false" customHeight="false" outlineLevel="0" collapsed="false">
      <c r="A586" s="12"/>
      <c r="B586" s="4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41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</row>
    <row r="587" customFormat="false" ht="15.75" hidden="false" customHeight="false" outlineLevel="0" collapsed="false">
      <c r="A587" s="12"/>
      <c r="B587" s="4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41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</row>
    <row r="588" customFormat="false" ht="15.75" hidden="false" customHeight="false" outlineLevel="0" collapsed="false">
      <c r="A588" s="12"/>
      <c r="B588" s="4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41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</row>
    <row r="589" customFormat="false" ht="15.75" hidden="false" customHeight="false" outlineLevel="0" collapsed="false">
      <c r="A589" s="12"/>
      <c r="B589" s="4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41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</row>
    <row r="590" customFormat="false" ht="15.75" hidden="false" customHeight="false" outlineLevel="0" collapsed="false">
      <c r="A590" s="12"/>
      <c r="B590" s="4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41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</row>
    <row r="591" customFormat="false" ht="15.75" hidden="false" customHeight="false" outlineLevel="0" collapsed="false">
      <c r="A591" s="12"/>
      <c r="B591" s="4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41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</row>
    <row r="592" customFormat="false" ht="15.75" hidden="false" customHeight="false" outlineLevel="0" collapsed="false">
      <c r="A592" s="12"/>
      <c r="B592" s="4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41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</row>
    <row r="593" customFormat="false" ht="15.75" hidden="false" customHeight="false" outlineLevel="0" collapsed="false">
      <c r="A593" s="12"/>
      <c r="B593" s="4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41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</row>
    <row r="594" customFormat="false" ht="15.75" hidden="false" customHeight="false" outlineLevel="0" collapsed="false">
      <c r="A594" s="12"/>
      <c r="B594" s="4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41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</row>
    <row r="595" customFormat="false" ht="15.75" hidden="false" customHeight="false" outlineLevel="0" collapsed="false">
      <c r="A595" s="12"/>
      <c r="B595" s="4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41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</row>
    <row r="596" customFormat="false" ht="15.75" hidden="false" customHeight="false" outlineLevel="0" collapsed="false">
      <c r="A596" s="12"/>
      <c r="B596" s="4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41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</row>
    <row r="597" customFormat="false" ht="15.75" hidden="false" customHeight="false" outlineLevel="0" collapsed="false">
      <c r="A597" s="12"/>
      <c r="B597" s="4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41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</row>
    <row r="598" customFormat="false" ht="15.75" hidden="false" customHeight="false" outlineLevel="0" collapsed="false">
      <c r="A598" s="12"/>
      <c r="B598" s="4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41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</row>
    <row r="599" customFormat="false" ht="15.75" hidden="false" customHeight="false" outlineLevel="0" collapsed="false">
      <c r="A599" s="12"/>
      <c r="B599" s="4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41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</row>
    <row r="600" customFormat="false" ht="15.75" hidden="false" customHeight="false" outlineLevel="0" collapsed="false">
      <c r="A600" s="12"/>
      <c r="B600" s="4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41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</row>
    <row r="601" customFormat="false" ht="15.75" hidden="false" customHeight="false" outlineLevel="0" collapsed="false">
      <c r="A601" s="12"/>
      <c r="B601" s="4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41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</row>
    <row r="602" customFormat="false" ht="15.75" hidden="false" customHeight="false" outlineLevel="0" collapsed="false">
      <c r="A602" s="12"/>
      <c r="B602" s="4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41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</row>
    <row r="603" customFormat="false" ht="15.75" hidden="false" customHeight="false" outlineLevel="0" collapsed="false">
      <c r="A603" s="12"/>
      <c r="B603" s="4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41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</row>
    <row r="604" customFormat="false" ht="15.75" hidden="false" customHeight="false" outlineLevel="0" collapsed="false">
      <c r="A604" s="12"/>
      <c r="B604" s="4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41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</row>
    <row r="605" customFormat="false" ht="15.75" hidden="false" customHeight="false" outlineLevel="0" collapsed="false">
      <c r="A605" s="12"/>
      <c r="B605" s="4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41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</row>
    <row r="606" customFormat="false" ht="15.75" hidden="false" customHeight="false" outlineLevel="0" collapsed="false">
      <c r="A606" s="12"/>
      <c r="B606" s="4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41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</row>
    <row r="607" customFormat="false" ht="15.75" hidden="false" customHeight="false" outlineLevel="0" collapsed="false">
      <c r="A607" s="12"/>
      <c r="B607" s="4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41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</row>
    <row r="608" customFormat="false" ht="15.75" hidden="false" customHeight="false" outlineLevel="0" collapsed="false">
      <c r="A608" s="12"/>
      <c r="B608" s="4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41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</row>
    <row r="609" customFormat="false" ht="15.75" hidden="false" customHeight="false" outlineLevel="0" collapsed="false">
      <c r="A609" s="12"/>
      <c r="B609" s="4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41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</row>
    <row r="610" customFormat="false" ht="15.75" hidden="false" customHeight="false" outlineLevel="0" collapsed="false">
      <c r="A610" s="12"/>
      <c r="B610" s="4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41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</row>
    <row r="611" customFormat="false" ht="15.75" hidden="false" customHeight="false" outlineLevel="0" collapsed="false">
      <c r="A611" s="12"/>
      <c r="B611" s="4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41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</row>
    <row r="612" customFormat="false" ht="15.75" hidden="false" customHeight="false" outlineLevel="0" collapsed="false">
      <c r="A612" s="12"/>
      <c r="B612" s="4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41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</row>
    <row r="613" customFormat="false" ht="15.75" hidden="false" customHeight="false" outlineLevel="0" collapsed="false">
      <c r="A613" s="12"/>
      <c r="B613" s="4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41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</row>
    <row r="614" customFormat="false" ht="15.75" hidden="false" customHeight="false" outlineLevel="0" collapsed="false">
      <c r="A614" s="12"/>
      <c r="B614" s="4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41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</row>
    <row r="615" customFormat="false" ht="15.75" hidden="false" customHeight="false" outlineLevel="0" collapsed="false">
      <c r="A615" s="12"/>
      <c r="B615" s="4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41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</row>
    <row r="616" customFormat="false" ht="15.75" hidden="false" customHeight="false" outlineLevel="0" collapsed="false">
      <c r="A616" s="12"/>
      <c r="B616" s="4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41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</row>
    <row r="617" customFormat="false" ht="15.75" hidden="false" customHeight="false" outlineLevel="0" collapsed="false">
      <c r="A617" s="12"/>
      <c r="B617" s="4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41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</row>
    <row r="618" customFormat="false" ht="15.75" hidden="false" customHeight="false" outlineLevel="0" collapsed="false">
      <c r="A618" s="12"/>
      <c r="B618" s="4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41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</row>
    <row r="619" customFormat="false" ht="15.75" hidden="false" customHeight="false" outlineLevel="0" collapsed="false">
      <c r="A619" s="12"/>
      <c r="B619" s="4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41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</row>
    <row r="620" customFormat="false" ht="15.75" hidden="false" customHeight="false" outlineLevel="0" collapsed="false">
      <c r="A620" s="12"/>
      <c r="B620" s="4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41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</row>
    <row r="621" customFormat="false" ht="15.75" hidden="false" customHeight="false" outlineLevel="0" collapsed="false">
      <c r="A621" s="12"/>
      <c r="B621" s="4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41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</row>
    <row r="622" customFormat="false" ht="15.75" hidden="false" customHeight="false" outlineLevel="0" collapsed="false">
      <c r="A622" s="12"/>
      <c r="B622" s="4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41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</row>
    <row r="623" customFormat="false" ht="15.75" hidden="false" customHeight="false" outlineLevel="0" collapsed="false">
      <c r="A623" s="12"/>
      <c r="B623" s="4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41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</row>
    <row r="624" customFormat="false" ht="15.75" hidden="false" customHeight="false" outlineLevel="0" collapsed="false">
      <c r="A624" s="12"/>
      <c r="B624" s="4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41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</row>
    <row r="625" customFormat="false" ht="15.75" hidden="false" customHeight="false" outlineLevel="0" collapsed="false">
      <c r="A625" s="12"/>
      <c r="B625" s="4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41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</row>
    <row r="626" customFormat="false" ht="15.75" hidden="false" customHeight="false" outlineLevel="0" collapsed="false">
      <c r="A626" s="12"/>
      <c r="B626" s="4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41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</row>
    <row r="627" customFormat="false" ht="15.75" hidden="false" customHeight="false" outlineLevel="0" collapsed="false">
      <c r="A627" s="12"/>
      <c r="B627" s="4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41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</row>
    <row r="628" customFormat="false" ht="15.75" hidden="false" customHeight="false" outlineLevel="0" collapsed="false">
      <c r="A628" s="12"/>
      <c r="B628" s="4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41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</row>
    <row r="629" customFormat="false" ht="15.75" hidden="false" customHeight="false" outlineLevel="0" collapsed="false">
      <c r="A629" s="12"/>
      <c r="B629" s="4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41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</row>
    <row r="630" customFormat="false" ht="15.75" hidden="false" customHeight="false" outlineLevel="0" collapsed="false">
      <c r="A630" s="12"/>
      <c r="B630" s="4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41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</row>
    <row r="631" customFormat="false" ht="15.75" hidden="false" customHeight="false" outlineLevel="0" collapsed="false">
      <c r="A631" s="12"/>
      <c r="B631" s="4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41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</row>
    <row r="632" customFormat="false" ht="15.75" hidden="false" customHeight="false" outlineLevel="0" collapsed="false">
      <c r="A632" s="12"/>
      <c r="B632" s="4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41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</row>
    <row r="633" customFormat="false" ht="15.75" hidden="false" customHeight="false" outlineLevel="0" collapsed="false">
      <c r="A633" s="12"/>
      <c r="B633" s="4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41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</row>
    <row r="634" customFormat="false" ht="15.75" hidden="false" customHeight="false" outlineLevel="0" collapsed="false">
      <c r="A634" s="12"/>
      <c r="B634" s="4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41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</row>
    <row r="635" customFormat="false" ht="15.75" hidden="false" customHeight="false" outlineLevel="0" collapsed="false">
      <c r="A635" s="12"/>
      <c r="B635" s="4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41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</row>
    <row r="636" customFormat="false" ht="15.75" hidden="false" customHeight="false" outlineLevel="0" collapsed="false">
      <c r="A636" s="12"/>
      <c r="B636" s="4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41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</row>
    <row r="637" customFormat="false" ht="15.75" hidden="false" customHeight="false" outlineLevel="0" collapsed="false">
      <c r="A637" s="12"/>
      <c r="B637" s="4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41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</row>
    <row r="638" customFormat="false" ht="15.75" hidden="false" customHeight="false" outlineLevel="0" collapsed="false">
      <c r="A638" s="12"/>
      <c r="B638" s="4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41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</row>
    <row r="639" customFormat="false" ht="15.75" hidden="false" customHeight="false" outlineLevel="0" collapsed="false">
      <c r="A639" s="12"/>
      <c r="B639" s="4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41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</row>
    <row r="640" customFormat="false" ht="15.75" hidden="false" customHeight="false" outlineLevel="0" collapsed="false">
      <c r="A640" s="12"/>
      <c r="B640" s="4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41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</row>
    <row r="641" customFormat="false" ht="15.75" hidden="false" customHeight="false" outlineLevel="0" collapsed="false">
      <c r="A641" s="12"/>
      <c r="B641" s="4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41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</row>
    <row r="642" customFormat="false" ht="15.75" hidden="false" customHeight="false" outlineLevel="0" collapsed="false">
      <c r="A642" s="12"/>
      <c r="B642" s="4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41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</row>
    <row r="643" customFormat="false" ht="15.75" hidden="false" customHeight="false" outlineLevel="0" collapsed="false">
      <c r="A643" s="12"/>
      <c r="B643" s="4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41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</row>
    <row r="644" customFormat="false" ht="15.75" hidden="false" customHeight="false" outlineLevel="0" collapsed="false">
      <c r="A644" s="12"/>
      <c r="B644" s="4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41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</row>
    <row r="645" customFormat="false" ht="15.75" hidden="false" customHeight="false" outlineLevel="0" collapsed="false">
      <c r="A645" s="12"/>
      <c r="B645" s="4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41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</row>
    <row r="646" customFormat="false" ht="15.75" hidden="false" customHeight="false" outlineLevel="0" collapsed="false">
      <c r="A646" s="12"/>
      <c r="B646" s="4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41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</row>
    <row r="647" customFormat="false" ht="15.75" hidden="false" customHeight="false" outlineLevel="0" collapsed="false">
      <c r="A647" s="12"/>
      <c r="B647" s="4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41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</row>
    <row r="648" customFormat="false" ht="15.75" hidden="false" customHeight="false" outlineLevel="0" collapsed="false">
      <c r="A648" s="12"/>
      <c r="B648" s="4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41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</row>
    <row r="649" customFormat="false" ht="15.75" hidden="false" customHeight="false" outlineLevel="0" collapsed="false">
      <c r="A649" s="12"/>
      <c r="B649" s="4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41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</row>
    <row r="650" customFormat="false" ht="15.75" hidden="false" customHeight="false" outlineLevel="0" collapsed="false">
      <c r="A650" s="12"/>
      <c r="B650" s="4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41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</row>
    <row r="651" customFormat="false" ht="15.75" hidden="false" customHeight="false" outlineLevel="0" collapsed="false">
      <c r="A651" s="12"/>
      <c r="B651" s="4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41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</row>
    <row r="652" customFormat="false" ht="15.75" hidden="false" customHeight="false" outlineLevel="0" collapsed="false">
      <c r="A652" s="12"/>
      <c r="B652" s="4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41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</row>
    <row r="653" customFormat="false" ht="15.75" hidden="false" customHeight="false" outlineLevel="0" collapsed="false">
      <c r="A653" s="12"/>
      <c r="B653" s="4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41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</row>
    <row r="654" customFormat="false" ht="15.75" hidden="false" customHeight="false" outlineLevel="0" collapsed="false">
      <c r="A654" s="12"/>
      <c r="B654" s="4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41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</row>
    <row r="655" customFormat="false" ht="15.75" hidden="false" customHeight="false" outlineLevel="0" collapsed="false">
      <c r="A655" s="12"/>
      <c r="B655" s="4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41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</row>
    <row r="656" customFormat="false" ht="15.75" hidden="false" customHeight="false" outlineLevel="0" collapsed="false">
      <c r="A656" s="12"/>
      <c r="B656" s="4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41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</row>
    <row r="657" customFormat="false" ht="15.75" hidden="false" customHeight="false" outlineLevel="0" collapsed="false">
      <c r="A657" s="12"/>
      <c r="B657" s="4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41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</row>
    <row r="658" customFormat="false" ht="15.75" hidden="false" customHeight="false" outlineLevel="0" collapsed="false">
      <c r="A658" s="12"/>
      <c r="B658" s="4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41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</row>
    <row r="659" customFormat="false" ht="15.75" hidden="false" customHeight="false" outlineLevel="0" collapsed="false">
      <c r="A659" s="12"/>
      <c r="B659" s="4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41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</row>
    <row r="660" customFormat="false" ht="15.75" hidden="false" customHeight="false" outlineLevel="0" collapsed="false">
      <c r="A660" s="12"/>
      <c r="B660" s="4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41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</row>
    <row r="661" customFormat="false" ht="15.75" hidden="false" customHeight="false" outlineLevel="0" collapsed="false">
      <c r="A661" s="12"/>
      <c r="B661" s="4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41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</row>
    <row r="662" customFormat="false" ht="15.75" hidden="false" customHeight="false" outlineLevel="0" collapsed="false">
      <c r="A662" s="12"/>
      <c r="B662" s="4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41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</row>
    <row r="663" customFormat="false" ht="15.75" hidden="false" customHeight="false" outlineLevel="0" collapsed="false">
      <c r="A663" s="12"/>
      <c r="B663" s="4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41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</row>
    <row r="664" customFormat="false" ht="15.75" hidden="false" customHeight="false" outlineLevel="0" collapsed="false">
      <c r="A664" s="12"/>
      <c r="B664" s="4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41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</row>
    <row r="665" customFormat="false" ht="15.75" hidden="false" customHeight="false" outlineLevel="0" collapsed="false">
      <c r="A665" s="12"/>
      <c r="B665" s="4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41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</row>
    <row r="666" customFormat="false" ht="15.75" hidden="false" customHeight="false" outlineLevel="0" collapsed="false">
      <c r="A666" s="12"/>
      <c r="B666" s="4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41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</row>
    <row r="667" customFormat="false" ht="15.75" hidden="false" customHeight="false" outlineLevel="0" collapsed="false">
      <c r="A667" s="12"/>
      <c r="B667" s="4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41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</row>
    <row r="668" customFormat="false" ht="15.75" hidden="false" customHeight="false" outlineLevel="0" collapsed="false">
      <c r="A668" s="12"/>
      <c r="B668" s="4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41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</row>
    <row r="669" customFormat="false" ht="15.75" hidden="false" customHeight="false" outlineLevel="0" collapsed="false">
      <c r="A669" s="12"/>
      <c r="B669" s="4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41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</row>
    <row r="670" customFormat="false" ht="15.75" hidden="false" customHeight="false" outlineLevel="0" collapsed="false">
      <c r="A670" s="12"/>
      <c r="B670" s="4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41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</row>
    <row r="671" customFormat="false" ht="15.75" hidden="false" customHeight="false" outlineLevel="0" collapsed="false">
      <c r="A671" s="12"/>
      <c r="B671" s="4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41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</row>
    <row r="672" customFormat="false" ht="15.75" hidden="false" customHeight="false" outlineLevel="0" collapsed="false">
      <c r="A672" s="12"/>
      <c r="B672" s="4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41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</row>
    <row r="673" customFormat="false" ht="15.75" hidden="false" customHeight="false" outlineLevel="0" collapsed="false">
      <c r="A673" s="12"/>
      <c r="B673" s="4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41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</row>
    <row r="674" customFormat="false" ht="15.75" hidden="false" customHeight="false" outlineLevel="0" collapsed="false">
      <c r="A674" s="12"/>
      <c r="B674" s="4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41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</row>
    <row r="675" customFormat="false" ht="15.75" hidden="false" customHeight="false" outlineLevel="0" collapsed="false">
      <c r="A675" s="12"/>
      <c r="B675" s="4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41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</row>
    <row r="676" customFormat="false" ht="15.75" hidden="false" customHeight="false" outlineLevel="0" collapsed="false">
      <c r="A676" s="12"/>
      <c r="B676" s="4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41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</row>
    <row r="677" customFormat="false" ht="15.75" hidden="false" customHeight="false" outlineLevel="0" collapsed="false">
      <c r="A677" s="12"/>
      <c r="B677" s="4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41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</row>
    <row r="678" customFormat="false" ht="15.75" hidden="false" customHeight="false" outlineLevel="0" collapsed="false">
      <c r="A678" s="12"/>
      <c r="B678" s="4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41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</row>
    <row r="679" customFormat="false" ht="15.75" hidden="false" customHeight="false" outlineLevel="0" collapsed="false">
      <c r="A679" s="12"/>
      <c r="B679" s="4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41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</row>
    <row r="680" customFormat="false" ht="15.75" hidden="false" customHeight="false" outlineLevel="0" collapsed="false">
      <c r="A680" s="12"/>
      <c r="B680" s="4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41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</row>
    <row r="681" customFormat="false" ht="15.75" hidden="false" customHeight="false" outlineLevel="0" collapsed="false">
      <c r="A681" s="12"/>
      <c r="B681" s="4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41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</row>
    <row r="682" customFormat="false" ht="15.75" hidden="false" customHeight="false" outlineLevel="0" collapsed="false">
      <c r="A682" s="12"/>
      <c r="B682" s="4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41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</row>
    <row r="683" customFormat="false" ht="15.75" hidden="false" customHeight="false" outlineLevel="0" collapsed="false">
      <c r="A683" s="12"/>
      <c r="B683" s="4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41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</row>
    <row r="684" customFormat="false" ht="15.75" hidden="false" customHeight="false" outlineLevel="0" collapsed="false">
      <c r="A684" s="12"/>
      <c r="B684" s="4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41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</row>
    <row r="685" customFormat="false" ht="15.75" hidden="false" customHeight="false" outlineLevel="0" collapsed="false">
      <c r="A685" s="12"/>
      <c r="B685" s="4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41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</row>
    <row r="686" customFormat="false" ht="15.75" hidden="false" customHeight="false" outlineLevel="0" collapsed="false">
      <c r="A686" s="12"/>
      <c r="B686" s="4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41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</row>
    <row r="687" customFormat="false" ht="15.75" hidden="false" customHeight="false" outlineLevel="0" collapsed="false">
      <c r="A687" s="12"/>
      <c r="B687" s="4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41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</row>
    <row r="688" customFormat="false" ht="15.75" hidden="false" customHeight="false" outlineLevel="0" collapsed="false">
      <c r="A688" s="12"/>
      <c r="B688" s="4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41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</row>
    <row r="689" customFormat="false" ht="15.75" hidden="false" customHeight="false" outlineLevel="0" collapsed="false">
      <c r="A689" s="12"/>
      <c r="B689" s="4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41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</row>
    <row r="690" customFormat="false" ht="15.75" hidden="false" customHeight="false" outlineLevel="0" collapsed="false">
      <c r="A690" s="12"/>
      <c r="B690" s="4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41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</row>
    <row r="691" customFormat="false" ht="15.75" hidden="false" customHeight="false" outlineLevel="0" collapsed="false">
      <c r="A691" s="12"/>
      <c r="B691" s="4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41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</row>
    <row r="692" customFormat="false" ht="15.75" hidden="false" customHeight="false" outlineLevel="0" collapsed="false">
      <c r="A692" s="12"/>
      <c r="B692" s="4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41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</row>
    <row r="693" customFormat="false" ht="15.75" hidden="false" customHeight="false" outlineLevel="0" collapsed="false">
      <c r="A693" s="12"/>
      <c r="B693" s="4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41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</row>
    <row r="694" customFormat="false" ht="15.75" hidden="false" customHeight="false" outlineLevel="0" collapsed="false">
      <c r="A694" s="12"/>
      <c r="B694" s="4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41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</row>
    <row r="695" customFormat="false" ht="15.75" hidden="false" customHeight="false" outlineLevel="0" collapsed="false">
      <c r="A695" s="12"/>
      <c r="B695" s="4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41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</row>
    <row r="696" customFormat="false" ht="15.75" hidden="false" customHeight="false" outlineLevel="0" collapsed="false">
      <c r="A696" s="12"/>
      <c r="B696" s="4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41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</row>
    <row r="697" customFormat="false" ht="15.75" hidden="false" customHeight="false" outlineLevel="0" collapsed="false">
      <c r="A697" s="12"/>
      <c r="B697" s="4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41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</row>
    <row r="698" customFormat="false" ht="15.75" hidden="false" customHeight="false" outlineLevel="0" collapsed="false">
      <c r="A698" s="12"/>
      <c r="B698" s="4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41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</row>
    <row r="699" customFormat="false" ht="15.75" hidden="false" customHeight="false" outlineLevel="0" collapsed="false">
      <c r="A699" s="12"/>
      <c r="B699" s="4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41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</row>
    <row r="700" customFormat="false" ht="15.75" hidden="false" customHeight="false" outlineLevel="0" collapsed="false">
      <c r="A700" s="12"/>
      <c r="B700" s="4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41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</row>
    <row r="701" customFormat="false" ht="15.75" hidden="false" customHeight="false" outlineLevel="0" collapsed="false">
      <c r="A701" s="12"/>
      <c r="B701" s="4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41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</row>
    <row r="702" customFormat="false" ht="15.75" hidden="false" customHeight="false" outlineLevel="0" collapsed="false">
      <c r="A702" s="12"/>
      <c r="B702" s="4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41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</row>
    <row r="703" customFormat="false" ht="15.75" hidden="false" customHeight="false" outlineLevel="0" collapsed="false">
      <c r="A703" s="12"/>
      <c r="B703" s="4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41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</row>
    <row r="704" customFormat="false" ht="15.75" hidden="false" customHeight="false" outlineLevel="0" collapsed="false">
      <c r="A704" s="12"/>
      <c r="B704" s="4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41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</row>
    <row r="705" customFormat="false" ht="15.75" hidden="false" customHeight="false" outlineLevel="0" collapsed="false">
      <c r="A705" s="12"/>
      <c r="B705" s="4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41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</row>
    <row r="706" customFormat="false" ht="15.75" hidden="false" customHeight="false" outlineLevel="0" collapsed="false">
      <c r="A706" s="12"/>
      <c r="B706" s="4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41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</row>
    <row r="707" customFormat="false" ht="15.75" hidden="false" customHeight="false" outlineLevel="0" collapsed="false">
      <c r="A707" s="12"/>
      <c r="B707" s="4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41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</row>
    <row r="708" customFormat="false" ht="15.75" hidden="false" customHeight="false" outlineLevel="0" collapsed="false">
      <c r="A708" s="12"/>
      <c r="B708" s="4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41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</row>
    <row r="709" customFormat="false" ht="15.75" hidden="false" customHeight="false" outlineLevel="0" collapsed="false">
      <c r="A709" s="12"/>
      <c r="B709" s="4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41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</row>
    <row r="710" customFormat="false" ht="15.75" hidden="false" customHeight="false" outlineLevel="0" collapsed="false">
      <c r="A710" s="12"/>
      <c r="B710" s="4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41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</row>
    <row r="711" customFormat="false" ht="15.75" hidden="false" customHeight="false" outlineLevel="0" collapsed="false">
      <c r="A711" s="12"/>
      <c r="B711" s="4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41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</row>
    <row r="712" customFormat="false" ht="15.75" hidden="false" customHeight="false" outlineLevel="0" collapsed="false">
      <c r="A712" s="12"/>
      <c r="B712" s="4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41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</row>
    <row r="713" customFormat="false" ht="15.75" hidden="false" customHeight="false" outlineLevel="0" collapsed="false">
      <c r="A713" s="12"/>
      <c r="B713" s="4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41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</row>
    <row r="714" customFormat="false" ht="15.75" hidden="false" customHeight="false" outlineLevel="0" collapsed="false">
      <c r="A714" s="12"/>
      <c r="B714" s="4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41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</row>
    <row r="715" customFormat="false" ht="15.75" hidden="false" customHeight="false" outlineLevel="0" collapsed="false">
      <c r="A715" s="12"/>
      <c r="B715" s="4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41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</row>
    <row r="716" customFormat="false" ht="15.75" hidden="false" customHeight="false" outlineLevel="0" collapsed="false">
      <c r="A716" s="12"/>
      <c r="B716" s="4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41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</row>
    <row r="717" customFormat="false" ht="15.75" hidden="false" customHeight="false" outlineLevel="0" collapsed="false">
      <c r="A717" s="12"/>
      <c r="B717" s="4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41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</row>
    <row r="718" customFormat="false" ht="15.75" hidden="false" customHeight="false" outlineLevel="0" collapsed="false">
      <c r="A718" s="12"/>
      <c r="B718" s="4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41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</row>
    <row r="719" customFormat="false" ht="15.75" hidden="false" customHeight="false" outlineLevel="0" collapsed="false">
      <c r="A719" s="12"/>
      <c r="B719" s="4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41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</row>
    <row r="720" customFormat="false" ht="15.75" hidden="false" customHeight="false" outlineLevel="0" collapsed="false">
      <c r="A720" s="12"/>
      <c r="B720" s="4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41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</row>
    <row r="721" customFormat="false" ht="15.75" hidden="false" customHeight="false" outlineLevel="0" collapsed="false">
      <c r="A721" s="12"/>
      <c r="B721" s="4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41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</row>
    <row r="722" customFormat="false" ht="15.75" hidden="false" customHeight="false" outlineLevel="0" collapsed="false">
      <c r="A722" s="12"/>
      <c r="B722" s="4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41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</row>
    <row r="723" customFormat="false" ht="15.75" hidden="false" customHeight="false" outlineLevel="0" collapsed="false">
      <c r="A723" s="12"/>
      <c r="B723" s="4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41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</row>
    <row r="724" customFormat="false" ht="15.75" hidden="false" customHeight="false" outlineLevel="0" collapsed="false">
      <c r="A724" s="12"/>
      <c r="B724" s="4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41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</row>
    <row r="725" customFormat="false" ht="15.75" hidden="false" customHeight="false" outlineLevel="0" collapsed="false">
      <c r="A725" s="12"/>
      <c r="B725" s="4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41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</row>
    <row r="726" customFormat="false" ht="15.75" hidden="false" customHeight="false" outlineLevel="0" collapsed="false">
      <c r="A726" s="12"/>
      <c r="B726" s="4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41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</row>
    <row r="727" customFormat="false" ht="15.75" hidden="false" customHeight="false" outlineLevel="0" collapsed="false">
      <c r="A727" s="12"/>
      <c r="B727" s="4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41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</row>
    <row r="728" customFormat="false" ht="15.75" hidden="false" customHeight="false" outlineLevel="0" collapsed="false">
      <c r="A728" s="12"/>
      <c r="B728" s="4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41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</row>
    <row r="729" customFormat="false" ht="15.75" hidden="false" customHeight="false" outlineLevel="0" collapsed="false">
      <c r="A729" s="12"/>
      <c r="B729" s="4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41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</row>
    <row r="730" customFormat="false" ht="15.75" hidden="false" customHeight="false" outlineLevel="0" collapsed="false">
      <c r="A730" s="12"/>
      <c r="B730" s="4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41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</row>
    <row r="731" customFormat="false" ht="15.75" hidden="false" customHeight="false" outlineLevel="0" collapsed="false">
      <c r="A731" s="12"/>
      <c r="B731" s="4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41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</row>
    <row r="732" customFormat="false" ht="15.75" hidden="false" customHeight="false" outlineLevel="0" collapsed="false">
      <c r="A732" s="12"/>
      <c r="B732" s="4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41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</row>
    <row r="733" customFormat="false" ht="15.75" hidden="false" customHeight="false" outlineLevel="0" collapsed="false">
      <c r="A733" s="12"/>
      <c r="B733" s="4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41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</row>
    <row r="734" customFormat="false" ht="15.75" hidden="false" customHeight="false" outlineLevel="0" collapsed="false">
      <c r="A734" s="12"/>
      <c r="B734" s="4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41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</row>
    <row r="735" customFormat="false" ht="15.75" hidden="false" customHeight="false" outlineLevel="0" collapsed="false">
      <c r="A735" s="12"/>
      <c r="B735" s="4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41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</row>
    <row r="736" customFormat="false" ht="15.75" hidden="false" customHeight="false" outlineLevel="0" collapsed="false">
      <c r="A736" s="12"/>
      <c r="B736" s="4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41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</row>
    <row r="737" customFormat="false" ht="15.75" hidden="false" customHeight="false" outlineLevel="0" collapsed="false">
      <c r="A737" s="12"/>
      <c r="B737" s="4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41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</row>
    <row r="738" customFormat="false" ht="15.75" hidden="false" customHeight="false" outlineLevel="0" collapsed="false">
      <c r="A738" s="12"/>
      <c r="B738" s="4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41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</row>
    <row r="739" customFormat="false" ht="15.75" hidden="false" customHeight="false" outlineLevel="0" collapsed="false">
      <c r="A739" s="12"/>
      <c r="B739" s="4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41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</row>
    <row r="740" customFormat="false" ht="15.75" hidden="false" customHeight="false" outlineLevel="0" collapsed="false">
      <c r="A740" s="12"/>
      <c r="B740" s="4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41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</row>
    <row r="741" customFormat="false" ht="15.75" hidden="false" customHeight="false" outlineLevel="0" collapsed="false">
      <c r="A741" s="12"/>
      <c r="B741" s="4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41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</row>
    <row r="742" customFormat="false" ht="15.75" hidden="false" customHeight="false" outlineLevel="0" collapsed="false">
      <c r="A742" s="12"/>
      <c r="B742" s="4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41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</row>
    <row r="743" customFormat="false" ht="15.75" hidden="false" customHeight="false" outlineLevel="0" collapsed="false">
      <c r="A743" s="12"/>
      <c r="B743" s="4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41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</row>
    <row r="744" customFormat="false" ht="15.75" hidden="false" customHeight="false" outlineLevel="0" collapsed="false">
      <c r="A744" s="12"/>
      <c r="B744" s="4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41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</row>
    <row r="745" customFormat="false" ht="15.75" hidden="false" customHeight="false" outlineLevel="0" collapsed="false">
      <c r="A745" s="12"/>
      <c r="B745" s="4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41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</row>
    <row r="746" customFormat="false" ht="15.75" hidden="false" customHeight="false" outlineLevel="0" collapsed="false">
      <c r="A746" s="12"/>
      <c r="B746" s="4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41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</row>
    <row r="747" customFormat="false" ht="15.75" hidden="false" customHeight="false" outlineLevel="0" collapsed="false">
      <c r="A747" s="12"/>
      <c r="B747" s="4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41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</row>
    <row r="748" customFormat="false" ht="15.75" hidden="false" customHeight="false" outlineLevel="0" collapsed="false">
      <c r="A748" s="12"/>
      <c r="B748" s="4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41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</row>
    <row r="749" customFormat="false" ht="15.75" hidden="false" customHeight="false" outlineLevel="0" collapsed="false">
      <c r="A749" s="12"/>
      <c r="B749" s="4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41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</row>
    <row r="750" customFormat="false" ht="15.75" hidden="false" customHeight="false" outlineLevel="0" collapsed="false">
      <c r="A750" s="12"/>
      <c r="B750" s="4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41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</row>
    <row r="751" customFormat="false" ht="15.75" hidden="false" customHeight="false" outlineLevel="0" collapsed="false">
      <c r="A751" s="12"/>
      <c r="B751" s="4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41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</row>
    <row r="752" customFormat="false" ht="15.75" hidden="false" customHeight="false" outlineLevel="0" collapsed="false">
      <c r="A752" s="12"/>
      <c r="B752" s="4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41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</row>
    <row r="753" customFormat="false" ht="15.75" hidden="false" customHeight="false" outlineLevel="0" collapsed="false">
      <c r="A753" s="12"/>
      <c r="B753" s="4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41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</row>
    <row r="754" customFormat="false" ht="15.75" hidden="false" customHeight="false" outlineLevel="0" collapsed="false">
      <c r="A754" s="12"/>
      <c r="B754" s="4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41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</row>
    <row r="755" customFormat="false" ht="15.75" hidden="false" customHeight="false" outlineLevel="0" collapsed="false">
      <c r="A755" s="12"/>
      <c r="B755" s="4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41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</row>
    <row r="756" customFormat="false" ht="15.75" hidden="false" customHeight="false" outlineLevel="0" collapsed="false">
      <c r="A756" s="12"/>
      <c r="B756" s="4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41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</row>
    <row r="757" customFormat="false" ht="15.75" hidden="false" customHeight="false" outlineLevel="0" collapsed="false">
      <c r="A757" s="12"/>
      <c r="B757" s="4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41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</row>
    <row r="758" customFormat="false" ht="15.75" hidden="false" customHeight="false" outlineLevel="0" collapsed="false">
      <c r="A758" s="12"/>
      <c r="B758" s="4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41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</row>
    <row r="759" customFormat="false" ht="15.75" hidden="false" customHeight="false" outlineLevel="0" collapsed="false">
      <c r="A759" s="12"/>
      <c r="B759" s="4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41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</row>
    <row r="760" customFormat="false" ht="15.75" hidden="false" customHeight="false" outlineLevel="0" collapsed="false">
      <c r="A760" s="12"/>
      <c r="B760" s="4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41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</row>
    <row r="761" customFormat="false" ht="15.75" hidden="false" customHeight="false" outlineLevel="0" collapsed="false">
      <c r="A761" s="12"/>
      <c r="B761" s="4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41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</row>
    <row r="762" customFormat="false" ht="15.75" hidden="false" customHeight="false" outlineLevel="0" collapsed="false">
      <c r="A762" s="12"/>
      <c r="B762" s="4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41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</row>
    <row r="763" customFormat="false" ht="15.75" hidden="false" customHeight="false" outlineLevel="0" collapsed="false">
      <c r="A763" s="12"/>
      <c r="B763" s="4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41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</row>
    <row r="764" customFormat="false" ht="15.75" hidden="false" customHeight="false" outlineLevel="0" collapsed="false">
      <c r="A764" s="12"/>
      <c r="B764" s="4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41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</row>
    <row r="765" customFormat="false" ht="15.75" hidden="false" customHeight="false" outlineLevel="0" collapsed="false">
      <c r="A765" s="12"/>
      <c r="B765" s="4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41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</row>
    <row r="766" customFormat="false" ht="15.75" hidden="false" customHeight="false" outlineLevel="0" collapsed="false">
      <c r="A766" s="12"/>
      <c r="B766" s="4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41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</row>
    <row r="767" customFormat="false" ht="15.75" hidden="false" customHeight="false" outlineLevel="0" collapsed="false">
      <c r="A767" s="12"/>
      <c r="B767" s="4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41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</row>
    <row r="768" customFormat="false" ht="15.75" hidden="false" customHeight="false" outlineLevel="0" collapsed="false">
      <c r="A768" s="12"/>
      <c r="B768" s="4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41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</row>
    <row r="769" customFormat="false" ht="15.75" hidden="false" customHeight="false" outlineLevel="0" collapsed="false">
      <c r="A769" s="12"/>
      <c r="B769" s="4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41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</row>
    <row r="770" customFormat="false" ht="15.75" hidden="false" customHeight="false" outlineLevel="0" collapsed="false">
      <c r="A770" s="12"/>
      <c r="B770" s="4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41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</row>
    <row r="771" customFormat="false" ht="15.75" hidden="false" customHeight="false" outlineLevel="0" collapsed="false">
      <c r="A771" s="12"/>
      <c r="B771" s="4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41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</row>
    <row r="772" customFormat="false" ht="15.75" hidden="false" customHeight="false" outlineLevel="0" collapsed="false">
      <c r="A772" s="12"/>
      <c r="B772" s="4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41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</row>
    <row r="773" customFormat="false" ht="15.75" hidden="false" customHeight="false" outlineLevel="0" collapsed="false">
      <c r="A773" s="12"/>
      <c r="B773" s="4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41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</row>
    <row r="774" customFormat="false" ht="15.75" hidden="false" customHeight="false" outlineLevel="0" collapsed="false">
      <c r="A774" s="12"/>
      <c r="B774" s="4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41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</row>
    <row r="775" customFormat="false" ht="15.75" hidden="false" customHeight="false" outlineLevel="0" collapsed="false">
      <c r="A775" s="12"/>
      <c r="B775" s="4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41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</row>
    <row r="776" customFormat="false" ht="15.75" hidden="false" customHeight="false" outlineLevel="0" collapsed="false">
      <c r="A776" s="12"/>
      <c r="B776" s="4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41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</row>
    <row r="777" customFormat="false" ht="15.75" hidden="false" customHeight="false" outlineLevel="0" collapsed="false">
      <c r="A777" s="12"/>
      <c r="B777" s="4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41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</row>
    <row r="778" customFormat="false" ht="15.75" hidden="false" customHeight="false" outlineLevel="0" collapsed="false">
      <c r="A778" s="12"/>
      <c r="B778" s="4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41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</row>
    <row r="779" customFormat="false" ht="15.75" hidden="false" customHeight="false" outlineLevel="0" collapsed="false">
      <c r="A779" s="12"/>
      <c r="B779" s="4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41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</row>
    <row r="780" customFormat="false" ht="15.75" hidden="false" customHeight="false" outlineLevel="0" collapsed="false">
      <c r="A780" s="12"/>
      <c r="B780" s="4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41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</row>
    <row r="781" customFormat="false" ht="15.75" hidden="false" customHeight="false" outlineLevel="0" collapsed="false">
      <c r="A781" s="12"/>
      <c r="B781" s="4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41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</row>
    <row r="782" customFormat="false" ht="15.75" hidden="false" customHeight="false" outlineLevel="0" collapsed="false">
      <c r="A782" s="12"/>
      <c r="B782" s="4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41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</row>
    <row r="783" customFormat="false" ht="15.75" hidden="false" customHeight="false" outlineLevel="0" collapsed="false">
      <c r="A783" s="12"/>
      <c r="B783" s="4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41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</row>
    <row r="784" customFormat="false" ht="15.75" hidden="false" customHeight="false" outlineLevel="0" collapsed="false">
      <c r="A784" s="12"/>
      <c r="B784" s="4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41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</row>
    <row r="785" customFormat="false" ht="15.75" hidden="false" customHeight="false" outlineLevel="0" collapsed="false">
      <c r="A785" s="12"/>
      <c r="B785" s="4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41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</row>
    <row r="786" customFormat="false" ht="15.75" hidden="false" customHeight="false" outlineLevel="0" collapsed="false">
      <c r="A786" s="12"/>
      <c r="B786" s="4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41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</row>
    <row r="787" customFormat="false" ht="15.75" hidden="false" customHeight="false" outlineLevel="0" collapsed="false">
      <c r="A787" s="12"/>
      <c r="B787" s="4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41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</row>
    <row r="788" customFormat="false" ht="15.75" hidden="false" customHeight="false" outlineLevel="0" collapsed="false">
      <c r="A788" s="12"/>
      <c r="B788" s="4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41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</row>
    <row r="789" customFormat="false" ht="15.75" hidden="false" customHeight="false" outlineLevel="0" collapsed="false">
      <c r="A789" s="12"/>
      <c r="B789" s="4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41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</row>
    <row r="790" customFormat="false" ht="15.75" hidden="false" customHeight="false" outlineLevel="0" collapsed="false">
      <c r="A790" s="12"/>
      <c r="B790" s="4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41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</row>
    <row r="791" customFormat="false" ht="15.75" hidden="false" customHeight="false" outlineLevel="0" collapsed="false">
      <c r="A791" s="12"/>
      <c r="B791" s="4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41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</row>
    <row r="792" customFormat="false" ht="15.75" hidden="false" customHeight="false" outlineLevel="0" collapsed="false">
      <c r="A792" s="12"/>
      <c r="B792" s="4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41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</row>
    <row r="793" customFormat="false" ht="15.75" hidden="false" customHeight="false" outlineLevel="0" collapsed="false">
      <c r="A793" s="12"/>
      <c r="B793" s="4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41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</row>
    <row r="794" customFormat="false" ht="15.75" hidden="false" customHeight="false" outlineLevel="0" collapsed="false">
      <c r="A794" s="12"/>
      <c r="B794" s="4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41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</row>
    <row r="795" customFormat="false" ht="15.75" hidden="false" customHeight="false" outlineLevel="0" collapsed="false">
      <c r="A795" s="12"/>
      <c r="B795" s="4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41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</row>
    <row r="796" customFormat="false" ht="15.75" hidden="false" customHeight="false" outlineLevel="0" collapsed="false">
      <c r="A796" s="12"/>
      <c r="B796" s="4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41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</row>
    <row r="797" customFormat="false" ht="15.75" hidden="false" customHeight="false" outlineLevel="0" collapsed="false">
      <c r="A797" s="12"/>
      <c r="B797" s="4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41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</row>
    <row r="798" customFormat="false" ht="15.75" hidden="false" customHeight="false" outlineLevel="0" collapsed="false">
      <c r="A798" s="12"/>
      <c r="B798" s="4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41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</row>
    <row r="799" customFormat="false" ht="15.75" hidden="false" customHeight="false" outlineLevel="0" collapsed="false">
      <c r="A799" s="12"/>
      <c r="B799" s="4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41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</row>
    <row r="800" customFormat="false" ht="15.75" hidden="false" customHeight="false" outlineLevel="0" collapsed="false">
      <c r="A800" s="12"/>
      <c r="B800" s="4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41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</row>
    <row r="801" customFormat="false" ht="15.75" hidden="false" customHeight="false" outlineLevel="0" collapsed="false">
      <c r="A801" s="12"/>
      <c r="B801" s="4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41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</row>
    <row r="802" customFormat="false" ht="15.75" hidden="false" customHeight="false" outlineLevel="0" collapsed="false">
      <c r="A802" s="12"/>
      <c r="B802" s="4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41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</row>
    <row r="803" customFormat="false" ht="15.75" hidden="false" customHeight="false" outlineLevel="0" collapsed="false">
      <c r="A803" s="12"/>
      <c r="B803" s="4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41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</row>
    <row r="804" customFormat="false" ht="15.75" hidden="false" customHeight="false" outlineLevel="0" collapsed="false">
      <c r="A804" s="12"/>
      <c r="B804" s="4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41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</row>
    <row r="805" customFormat="false" ht="15.75" hidden="false" customHeight="false" outlineLevel="0" collapsed="false">
      <c r="A805" s="12"/>
      <c r="B805" s="4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41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</row>
    <row r="806" customFormat="false" ht="15.75" hidden="false" customHeight="false" outlineLevel="0" collapsed="false">
      <c r="A806" s="12"/>
      <c r="B806" s="4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41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</row>
    <row r="807" customFormat="false" ht="15.75" hidden="false" customHeight="false" outlineLevel="0" collapsed="false">
      <c r="A807" s="12"/>
      <c r="B807" s="4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41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</row>
    <row r="808" customFormat="false" ht="15.75" hidden="false" customHeight="false" outlineLevel="0" collapsed="false">
      <c r="A808" s="12"/>
      <c r="B808" s="4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41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</row>
    <row r="809" customFormat="false" ht="15.75" hidden="false" customHeight="false" outlineLevel="0" collapsed="false">
      <c r="A809" s="12"/>
      <c r="B809" s="4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41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</row>
    <row r="810" customFormat="false" ht="15.75" hidden="false" customHeight="false" outlineLevel="0" collapsed="false">
      <c r="A810" s="12"/>
      <c r="B810" s="4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41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</row>
    <row r="811" customFormat="false" ht="15.75" hidden="false" customHeight="false" outlineLevel="0" collapsed="false">
      <c r="A811" s="12"/>
      <c r="B811" s="4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41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</row>
    <row r="812" customFormat="false" ht="15.75" hidden="false" customHeight="false" outlineLevel="0" collapsed="false">
      <c r="A812" s="12"/>
      <c r="B812" s="4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41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</row>
    <row r="813" customFormat="false" ht="15.75" hidden="false" customHeight="false" outlineLevel="0" collapsed="false">
      <c r="A813" s="12"/>
      <c r="B813" s="4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41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</row>
    <row r="814" customFormat="false" ht="15.75" hidden="false" customHeight="false" outlineLevel="0" collapsed="false">
      <c r="A814" s="12"/>
      <c r="B814" s="4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41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</row>
    <row r="815" customFormat="false" ht="15.75" hidden="false" customHeight="false" outlineLevel="0" collapsed="false">
      <c r="A815" s="12"/>
      <c r="B815" s="4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41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</row>
    <row r="816" customFormat="false" ht="15.75" hidden="false" customHeight="false" outlineLevel="0" collapsed="false">
      <c r="A816" s="12"/>
      <c r="B816" s="4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41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</row>
    <row r="817" customFormat="false" ht="15.75" hidden="false" customHeight="false" outlineLevel="0" collapsed="false">
      <c r="A817" s="12"/>
      <c r="B817" s="4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41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</row>
    <row r="818" customFormat="false" ht="15.75" hidden="false" customHeight="false" outlineLevel="0" collapsed="false">
      <c r="A818" s="12"/>
      <c r="B818" s="4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41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</row>
    <row r="819" customFormat="false" ht="15.75" hidden="false" customHeight="false" outlineLevel="0" collapsed="false">
      <c r="A819" s="12"/>
      <c r="B819" s="4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41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</row>
    <row r="820" customFormat="false" ht="15.75" hidden="false" customHeight="false" outlineLevel="0" collapsed="false">
      <c r="A820" s="12"/>
      <c r="B820" s="4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41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</row>
    <row r="821" customFormat="false" ht="15.75" hidden="false" customHeight="false" outlineLevel="0" collapsed="false">
      <c r="A821" s="12"/>
      <c r="B821" s="4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41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</row>
    <row r="822" customFormat="false" ht="15.75" hidden="false" customHeight="false" outlineLevel="0" collapsed="false">
      <c r="A822" s="12"/>
      <c r="B822" s="4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41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</row>
    <row r="823" customFormat="false" ht="15.75" hidden="false" customHeight="false" outlineLevel="0" collapsed="false">
      <c r="A823" s="12"/>
      <c r="B823" s="4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41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</row>
    <row r="824" customFormat="false" ht="15.75" hidden="false" customHeight="false" outlineLevel="0" collapsed="false">
      <c r="A824" s="12"/>
      <c r="B824" s="4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41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</row>
    <row r="825" customFormat="false" ht="15.75" hidden="false" customHeight="false" outlineLevel="0" collapsed="false">
      <c r="A825" s="12"/>
      <c r="B825" s="4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41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</row>
    <row r="826" customFormat="false" ht="15.75" hidden="false" customHeight="false" outlineLevel="0" collapsed="false">
      <c r="A826" s="12"/>
      <c r="B826" s="4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41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</row>
    <row r="827" customFormat="false" ht="15.75" hidden="false" customHeight="false" outlineLevel="0" collapsed="false">
      <c r="A827" s="12"/>
      <c r="B827" s="4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41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</row>
    <row r="828" customFormat="false" ht="15.75" hidden="false" customHeight="false" outlineLevel="0" collapsed="false">
      <c r="A828" s="12"/>
      <c r="B828" s="4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41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</row>
    <row r="829" customFormat="false" ht="15.75" hidden="false" customHeight="false" outlineLevel="0" collapsed="false">
      <c r="A829" s="12"/>
      <c r="B829" s="4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41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</row>
    <row r="830" customFormat="false" ht="15.75" hidden="false" customHeight="false" outlineLevel="0" collapsed="false">
      <c r="A830" s="12"/>
      <c r="B830" s="4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41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</row>
    <row r="831" customFormat="false" ht="15.75" hidden="false" customHeight="false" outlineLevel="0" collapsed="false">
      <c r="A831" s="12"/>
      <c r="B831" s="4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41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</row>
    <row r="832" customFormat="false" ht="15.75" hidden="false" customHeight="false" outlineLevel="0" collapsed="false">
      <c r="A832" s="12"/>
      <c r="B832" s="4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41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</row>
    <row r="833" customFormat="false" ht="15.75" hidden="false" customHeight="false" outlineLevel="0" collapsed="false">
      <c r="A833" s="12"/>
      <c r="B833" s="4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41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</row>
    <row r="834" customFormat="false" ht="15.75" hidden="false" customHeight="false" outlineLevel="0" collapsed="false">
      <c r="A834" s="12"/>
      <c r="B834" s="4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41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</row>
    <row r="835" customFormat="false" ht="15.75" hidden="false" customHeight="false" outlineLevel="0" collapsed="false">
      <c r="A835" s="12"/>
      <c r="B835" s="4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41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</row>
    <row r="836" customFormat="false" ht="15.75" hidden="false" customHeight="false" outlineLevel="0" collapsed="false">
      <c r="A836" s="12"/>
      <c r="B836" s="4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41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</row>
    <row r="837" customFormat="false" ht="15.75" hidden="false" customHeight="false" outlineLevel="0" collapsed="false">
      <c r="A837" s="12"/>
      <c r="B837" s="4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41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</row>
    <row r="838" customFormat="false" ht="15.75" hidden="false" customHeight="false" outlineLevel="0" collapsed="false">
      <c r="A838" s="12"/>
      <c r="B838" s="4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41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</row>
    <row r="839" customFormat="false" ht="15.75" hidden="false" customHeight="false" outlineLevel="0" collapsed="false">
      <c r="A839" s="12"/>
      <c r="B839" s="4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41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</row>
    <row r="840" customFormat="false" ht="15.75" hidden="false" customHeight="false" outlineLevel="0" collapsed="false">
      <c r="A840" s="12"/>
      <c r="B840" s="4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41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</row>
    <row r="841" customFormat="false" ht="15.75" hidden="false" customHeight="false" outlineLevel="0" collapsed="false">
      <c r="A841" s="12"/>
      <c r="B841" s="4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41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</row>
    <row r="842" customFormat="false" ht="15.75" hidden="false" customHeight="false" outlineLevel="0" collapsed="false">
      <c r="A842" s="12"/>
      <c r="B842" s="4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41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</row>
    <row r="843" customFormat="false" ht="15.75" hidden="false" customHeight="false" outlineLevel="0" collapsed="false">
      <c r="A843" s="12"/>
      <c r="B843" s="4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41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</row>
    <row r="844" customFormat="false" ht="15.75" hidden="false" customHeight="false" outlineLevel="0" collapsed="false">
      <c r="A844" s="12"/>
      <c r="B844" s="4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41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</row>
    <row r="845" customFormat="false" ht="15.75" hidden="false" customHeight="false" outlineLevel="0" collapsed="false">
      <c r="A845" s="12"/>
      <c r="B845" s="4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41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</row>
    <row r="846" customFormat="false" ht="15.75" hidden="false" customHeight="false" outlineLevel="0" collapsed="false">
      <c r="A846" s="12"/>
      <c r="B846" s="4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41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</row>
    <row r="847" customFormat="false" ht="15.75" hidden="false" customHeight="false" outlineLevel="0" collapsed="false">
      <c r="A847" s="12"/>
      <c r="B847" s="4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41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</row>
    <row r="848" customFormat="false" ht="15.75" hidden="false" customHeight="false" outlineLevel="0" collapsed="false">
      <c r="A848" s="12"/>
      <c r="B848" s="4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41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</row>
    <row r="849" customFormat="false" ht="15.75" hidden="false" customHeight="false" outlineLevel="0" collapsed="false">
      <c r="A849" s="12"/>
      <c r="B849" s="4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41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</row>
    <row r="850" customFormat="false" ht="15.75" hidden="false" customHeight="false" outlineLevel="0" collapsed="false">
      <c r="A850" s="12"/>
      <c r="B850" s="4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41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</row>
    <row r="851" customFormat="false" ht="15.75" hidden="false" customHeight="false" outlineLevel="0" collapsed="false">
      <c r="A851" s="12"/>
      <c r="B851" s="4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41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</row>
    <row r="852" customFormat="false" ht="15.75" hidden="false" customHeight="false" outlineLevel="0" collapsed="false">
      <c r="A852" s="12"/>
      <c r="B852" s="4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41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</row>
    <row r="853" customFormat="false" ht="15.75" hidden="false" customHeight="false" outlineLevel="0" collapsed="false">
      <c r="A853" s="12"/>
      <c r="B853" s="4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41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</row>
    <row r="854" customFormat="false" ht="15.75" hidden="false" customHeight="false" outlineLevel="0" collapsed="false">
      <c r="A854" s="12"/>
      <c r="B854" s="4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41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</row>
    <row r="855" customFormat="false" ht="15.75" hidden="false" customHeight="false" outlineLevel="0" collapsed="false">
      <c r="A855" s="12"/>
      <c r="B855" s="4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41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</row>
    <row r="856" customFormat="false" ht="15.75" hidden="false" customHeight="false" outlineLevel="0" collapsed="false">
      <c r="A856" s="12"/>
      <c r="B856" s="4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41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</row>
    <row r="857" customFormat="false" ht="15.75" hidden="false" customHeight="false" outlineLevel="0" collapsed="false">
      <c r="A857" s="12"/>
      <c r="B857" s="4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41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</row>
    <row r="858" customFormat="false" ht="15.75" hidden="false" customHeight="false" outlineLevel="0" collapsed="false">
      <c r="A858" s="12"/>
      <c r="B858" s="4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41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</row>
    <row r="859" customFormat="false" ht="15.75" hidden="false" customHeight="false" outlineLevel="0" collapsed="false">
      <c r="A859" s="12"/>
      <c r="B859" s="4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41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</row>
    <row r="860" customFormat="false" ht="15.75" hidden="false" customHeight="false" outlineLevel="0" collapsed="false">
      <c r="A860" s="12"/>
      <c r="B860" s="4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41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</row>
    <row r="861" customFormat="false" ht="15.75" hidden="false" customHeight="false" outlineLevel="0" collapsed="false">
      <c r="A861" s="12"/>
      <c r="B861" s="4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41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</row>
    <row r="862" customFormat="false" ht="15.75" hidden="false" customHeight="false" outlineLevel="0" collapsed="false">
      <c r="A862" s="12"/>
      <c r="B862" s="4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41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</row>
    <row r="863" customFormat="false" ht="15.75" hidden="false" customHeight="false" outlineLevel="0" collapsed="false">
      <c r="A863" s="12"/>
      <c r="B863" s="4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41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</row>
    <row r="864" customFormat="false" ht="15.75" hidden="false" customHeight="false" outlineLevel="0" collapsed="false">
      <c r="A864" s="12"/>
      <c r="B864" s="4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41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</row>
    <row r="865" customFormat="false" ht="15.75" hidden="false" customHeight="false" outlineLevel="0" collapsed="false">
      <c r="A865" s="12"/>
      <c r="B865" s="4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41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</row>
    <row r="866" customFormat="false" ht="15.75" hidden="false" customHeight="false" outlineLevel="0" collapsed="false">
      <c r="A866" s="12"/>
      <c r="B866" s="4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41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</row>
    <row r="867" customFormat="false" ht="15.75" hidden="false" customHeight="false" outlineLevel="0" collapsed="false">
      <c r="A867" s="12"/>
      <c r="B867" s="4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41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</row>
    <row r="868" customFormat="false" ht="15.75" hidden="false" customHeight="false" outlineLevel="0" collapsed="false">
      <c r="A868" s="12"/>
      <c r="B868" s="4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41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</row>
    <row r="869" customFormat="false" ht="15.75" hidden="false" customHeight="false" outlineLevel="0" collapsed="false">
      <c r="A869" s="12"/>
      <c r="B869" s="4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41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</row>
    <row r="870" customFormat="false" ht="15.75" hidden="false" customHeight="false" outlineLevel="0" collapsed="false">
      <c r="A870" s="12"/>
      <c r="B870" s="4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41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</row>
    <row r="871" customFormat="false" ht="15.75" hidden="false" customHeight="false" outlineLevel="0" collapsed="false">
      <c r="A871" s="12"/>
      <c r="B871" s="4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41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</row>
    <row r="872" customFormat="false" ht="15.75" hidden="false" customHeight="false" outlineLevel="0" collapsed="false">
      <c r="A872" s="12"/>
      <c r="B872" s="4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41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</row>
    <row r="873" customFormat="false" ht="15.75" hidden="false" customHeight="false" outlineLevel="0" collapsed="false">
      <c r="A873" s="12"/>
      <c r="B873" s="4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41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</row>
    <row r="874" customFormat="false" ht="15.75" hidden="false" customHeight="false" outlineLevel="0" collapsed="false">
      <c r="A874" s="12"/>
      <c r="B874" s="4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41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</row>
    <row r="875" customFormat="false" ht="15.75" hidden="false" customHeight="false" outlineLevel="0" collapsed="false">
      <c r="A875" s="12"/>
      <c r="B875" s="4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41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</row>
    <row r="876" customFormat="false" ht="15.75" hidden="false" customHeight="false" outlineLevel="0" collapsed="false">
      <c r="A876" s="12"/>
      <c r="B876" s="4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41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</row>
    <row r="877" customFormat="false" ht="15.75" hidden="false" customHeight="false" outlineLevel="0" collapsed="false">
      <c r="A877" s="12"/>
      <c r="B877" s="4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41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</row>
    <row r="878" customFormat="false" ht="15.75" hidden="false" customHeight="false" outlineLevel="0" collapsed="false">
      <c r="A878" s="12"/>
      <c r="B878" s="4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41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</row>
    <row r="879" customFormat="false" ht="15.75" hidden="false" customHeight="false" outlineLevel="0" collapsed="false">
      <c r="A879" s="12"/>
      <c r="B879" s="4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41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</row>
    <row r="880" customFormat="false" ht="15.75" hidden="false" customHeight="false" outlineLevel="0" collapsed="false">
      <c r="A880" s="12"/>
      <c r="B880" s="4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41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</row>
    <row r="881" customFormat="false" ht="15.75" hidden="false" customHeight="false" outlineLevel="0" collapsed="false">
      <c r="A881" s="12"/>
      <c r="B881" s="4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41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</row>
    <row r="882" customFormat="false" ht="15.75" hidden="false" customHeight="false" outlineLevel="0" collapsed="false">
      <c r="A882" s="12"/>
      <c r="B882" s="4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41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</row>
    <row r="883" customFormat="false" ht="15.75" hidden="false" customHeight="false" outlineLevel="0" collapsed="false">
      <c r="A883" s="12"/>
      <c r="B883" s="4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41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</row>
    <row r="884" customFormat="false" ht="15.75" hidden="false" customHeight="false" outlineLevel="0" collapsed="false">
      <c r="A884" s="12"/>
      <c r="B884" s="4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41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</row>
    <row r="885" customFormat="false" ht="15.75" hidden="false" customHeight="false" outlineLevel="0" collapsed="false">
      <c r="A885" s="12"/>
      <c r="B885" s="4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41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</row>
    <row r="886" customFormat="false" ht="15.75" hidden="false" customHeight="false" outlineLevel="0" collapsed="false">
      <c r="A886" s="12"/>
      <c r="B886" s="4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41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</row>
    <row r="887" customFormat="false" ht="15.75" hidden="false" customHeight="false" outlineLevel="0" collapsed="false">
      <c r="A887" s="12"/>
      <c r="B887" s="4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41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</row>
    <row r="888" customFormat="false" ht="15.75" hidden="false" customHeight="false" outlineLevel="0" collapsed="false">
      <c r="A888" s="12"/>
      <c r="B888" s="4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41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</row>
    <row r="889" customFormat="false" ht="15.75" hidden="false" customHeight="false" outlineLevel="0" collapsed="false">
      <c r="A889" s="12"/>
      <c r="B889" s="4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41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</row>
    <row r="890" customFormat="false" ht="15.75" hidden="false" customHeight="false" outlineLevel="0" collapsed="false">
      <c r="A890" s="12"/>
      <c r="B890" s="4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41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</row>
    <row r="891" customFormat="false" ht="15.75" hidden="false" customHeight="false" outlineLevel="0" collapsed="false">
      <c r="A891" s="12"/>
      <c r="B891" s="4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41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</row>
    <row r="892" customFormat="false" ht="15.75" hidden="false" customHeight="false" outlineLevel="0" collapsed="false">
      <c r="A892" s="12"/>
      <c r="B892" s="4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41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</row>
    <row r="893" customFormat="false" ht="15.75" hidden="false" customHeight="false" outlineLevel="0" collapsed="false">
      <c r="A893" s="12"/>
      <c r="B893" s="4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41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</row>
    <row r="894" customFormat="false" ht="15.75" hidden="false" customHeight="false" outlineLevel="0" collapsed="false">
      <c r="A894" s="12"/>
      <c r="B894" s="4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41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</row>
    <row r="895" customFormat="false" ht="15.75" hidden="false" customHeight="false" outlineLevel="0" collapsed="false">
      <c r="A895" s="12"/>
      <c r="B895" s="4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41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</row>
    <row r="896" customFormat="false" ht="15.75" hidden="false" customHeight="false" outlineLevel="0" collapsed="false">
      <c r="A896" s="12"/>
      <c r="B896" s="4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41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</row>
    <row r="897" customFormat="false" ht="15.75" hidden="false" customHeight="false" outlineLevel="0" collapsed="false">
      <c r="A897" s="12"/>
      <c r="B897" s="4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41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</row>
    <row r="898" customFormat="false" ht="15.75" hidden="false" customHeight="false" outlineLevel="0" collapsed="false">
      <c r="A898" s="12"/>
      <c r="B898" s="4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41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</row>
    <row r="899" customFormat="false" ht="15.75" hidden="false" customHeight="false" outlineLevel="0" collapsed="false">
      <c r="A899" s="12"/>
      <c r="B899" s="4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41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</row>
    <row r="900" customFormat="false" ht="15.75" hidden="false" customHeight="false" outlineLevel="0" collapsed="false">
      <c r="A900" s="12"/>
      <c r="B900" s="4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41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</row>
    <row r="901" customFormat="false" ht="15.75" hidden="false" customHeight="false" outlineLevel="0" collapsed="false">
      <c r="A901" s="12"/>
      <c r="B901" s="4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41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</row>
    <row r="902" customFormat="false" ht="15.75" hidden="false" customHeight="false" outlineLevel="0" collapsed="false">
      <c r="A902" s="12"/>
      <c r="B902" s="4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41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</row>
    <row r="903" customFormat="false" ht="15.75" hidden="false" customHeight="false" outlineLevel="0" collapsed="false">
      <c r="A903" s="12"/>
      <c r="B903" s="4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41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</row>
    <row r="904" customFormat="false" ht="15.75" hidden="false" customHeight="false" outlineLevel="0" collapsed="false">
      <c r="A904" s="12"/>
      <c r="B904" s="4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41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</row>
    <row r="905" customFormat="false" ht="15.75" hidden="false" customHeight="false" outlineLevel="0" collapsed="false">
      <c r="A905" s="12"/>
      <c r="B905" s="4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41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</row>
    <row r="906" customFormat="false" ht="15.75" hidden="false" customHeight="false" outlineLevel="0" collapsed="false">
      <c r="A906" s="12"/>
      <c r="B906" s="4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41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</row>
    <row r="907" customFormat="false" ht="15.75" hidden="false" customHeight="false" outlineLevel="0" collapsed="false">
      <c r="A907" s="12"/>
      <c r="B907" s="4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41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</row>
    <row r="908" customFormat="false" ht="15.75" hidden="false" customHeight="false" outlineLevel="0" collapsed="false">
      <c r="A908" s="12"/>
      <c r="B908" s="4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41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</row>
    <row r="909" customFormat="false" ht="15.75" hidden="false" customHeight="false" outlineLevel="0" collapsed="false">
      <c r="A909" s="12"/>
      <c r="B909" s="4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41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</row>
    <row r="910" customFormat="false" ht="15.75" hidden="false" customHeight="false" outlineLevel="0" collapsed="false">
      <c r="A910" s="12"/>
      <c r="B910" s="4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41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</row>
    <row r="911" customFormat="false" ht="15.75" hidden="false" customHeight="false" outlineLevel="0" collapsed="false">
      <c r="A911" s="12"/>
      <c r="B911" s="4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41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</row>
    <row r="912" customFormat="false" ht="15.75" hidden="false" customHeight="false" outlineLevel="0" collapsed="false">
      <c r="A912" s="12"/>
      <c r="B912" s="4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41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</row>
    <row r="913" customFormat="false" ht="15.75" hidden="false" customHeight="false" outlineLevel="0" collapsed="false">
      <c r="A913" s="12"/>
      <c r="B913" s="4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41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</row>
    <row r="914" customFormat="false" ht="15.75" hidden="false" customHeight="false" outlineLevel="0" collapsed="false">
      <c r="A914" s="12"/>
      <c r="B914" s="4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41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</row>
    <row r="915" customFormat="false" ht="15.75" hidden="false" customHeight="false" outlineLevel="0" collapsed="false">
      <c r="A915" s="12"/>
      <c r="B915" s="4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41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</row>
    <row r="916" customFormat="false" ht="15.75" hidden="false" customHeight="false" outlineLevel="0" collapsed="false">
      <c r="A916" s="12"/>
      <c r="B916" s="4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41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</row>
    <row r="917" customFormat="false" ht="15.75" hidden="false" customHeight="false" outlineLevel="0" collapsed="false">
      <c r="A917" s="12"/>
      <c r="B917" s="4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41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</row>
    <row r="918" customFormat="false" ht="15.75" hidden="false" customHeight="false" outlineLevel="0" collapsed="false">
      <c r="A918" s="12"/>
      <c r="B918" s="4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41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</row>
    <row r="919" customFormat="false" ht="15.75" hidden="false" customHeight="false" outlineLevel="0" collapsed="false">
      <c r="A919" s="12"/>
      <c r="B919" s="4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41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</row>
    <row r="920" customFormat="false" ht="15.75" hidden="false" customHeight="false" outlineLevel="0" collapsed="false">
      <c r="A920" s="12"/>
      <c r="B920" s="4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41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</row>
    <row r="921" customFormat="false" ht="15.75" hidden="false" customHeight="false" outlineLevel="0" collapsed="false">
      <c r="A921" s="12"/>
      <c r="B921" s="4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41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</row>
    <row r="922" customFormat="false" ht="15.75" hidden="false" customHeight="false" outlineLevel="0" collapsed="false">
      <c r="A922" s="12"/>
      <c r="B922" s="4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41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</row>
    <row r="923" customFormat="false" ht="15.75" hidden="false" customHeight="false" outlineLevel="0" collapsed="false">
      <c r="A923" s="12"/>
      <c r="B923" s="4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41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</row>
    <row r="924" customFormat="false" ht="15.75" hidden="false" customHeight="false" outlineLevel="0" collapsed="false">
      <c r="A924" s="12"/>
      <c r="B924" s="4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41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</row>
    <row r="925" customFormat="false" ht="15.75" hidden="false" customHeight="false" outlineLevel="0" collapsed="false">
      <c r="A925" s="12"/>
      <c r="B925" s="4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41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</row>
    <row r="926" customFormat="false" ht="15.75" hidden="false" customHeight="false" outlineLevel="0" collapsed="false">
      <c r="A926" s="12"/>
      <c r="B926" s="4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41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</row>
    <row r="927" customFormat="false" ht="15.75" hidden="false" customHeight="false" outlineLevel="0" collapsed="false">
      <c r="A927" s="12"/>
      <c r="B927" s="4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41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</row>
    <row r="928" customFormat="false" ht="15.75" hidden="false" customHeight="false" outlineLevel="0" collapsed="false">
      <c r="A928" s="12"/>
      <c r="B928" s="4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41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</row>
    <row r="929" customFormat="false" ht="15.75" hidden="false" customHeight="false" outlineLevel="0" collapsed="false">
      <c r="A929" s="12"/>
      <c r="B929" s="4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41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</row>
    <row r="930" customFormat="false" ht="15.75" hidden="false" customHeight="false" outlineLevel="0" collapsed="false">
      <c r="A930" s="12"/>
      <c r="B930" s="4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41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</row>
    <row r="931" customFormat="false" ht="15.75" hidden="false" customHeight="false" outlineLevel="0" collapsed="false">
      <c r="A931" s="12"/>
      <c r="B931" s="4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41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</row>
    <row r="932" customFormat="false" ht="15.75" hidden="false" customHeight="false" outlineLevel="0" collapsed="false">
      <c r="A932" s="12"/>
      <c r="B932" s="4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41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</row>
    <row r="933" customFormat="false" ht="15.75" hidden="false" customHeight="false" outlineLevel="0" collapsed="false">
      <c r="A933" s="12"/>
      <c r="B933" s="4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41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</row>
    <row r="934" customFormat="false" ht="15.75" hidden="false" customHeight="false" outlineLevel="0" collapsed="false">
      <c r="A934" s="12"/>
      <c r="B934" s="4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41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</row>
    <row r="935" customFormat="false" ht="15.75" hidden="false" customHeight="false" outlineLevel="0" collapsed="false">
      <c r="A935" s="12"/>
      <c r="B935" s="4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41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</row>
    <row r="936" customFormat="false" ht="15.75" hidden="false" customHeight="false" outlineLevel="0" collapsed="false">
      <c r="A936" s="12"/>
      <c r="B936" s="4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41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</row>
    <row r="937" customFormat="false" ht="15.75" hidden="false" customHeight="false" outlineLevel="0" collapsed="false">
      <c r="A937" s="12"/>
      <c r="B937" s="4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41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</row>
    <row r="938" customFormat="false" ht="15.75" hidden="false" customHeight="false" outlineLevel="0" collapsed="false">
      <c r="A938" s="12"/>
      <c r="B938" s="4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41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</row>
    <row r="939" customFormat="false" ht="15.75" hidden="false" customHeight="false" outlineLevel="0" collapsed="false">
      <c r="A939" s="12"/>
      <c r="B939" s="4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41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</row>
    <row r="940" customFormat="false" ht="15.75" hidden="false" customHeight="false" outlineLevel="0" collapsed="false">
      <c r="A940" s="12"/>
      <c r="B940" s="4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41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</row>
    <row r="941" customFormat="false" ht="15.75" hidden="false" customHeight="false" outlineLevel="0" collapsed="false">
      <c r="A941" s="12"/>
      <c r="B941" s="4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41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</row>
    <row r="942" customFormat="false" ht="15.75" hidden="false" customHeight="false" outlineLevel="0" collapsed="false">
      <c r="A942" s="12"/>
      <c r="B942" s="4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41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</row>
    <row r="943" customFormat="false" ht="15.75" hidden="false" customHeight="false" outlineLevel="0" collapsed="false">
      <c r="A943" s="12"/>
      <c r="B943" s="4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41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</row>
    <row r="944" customFormat="false" ht="15.75" hidden="false" customHeight="false" outlineLevel="0" collapsed="false">
      <c r="A944" s="12"/>
      <c r="B944" s="4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41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</row>
    <row r="945" customFormat="false" ht="15.75" hidden="false" customHeight="false" outlineLevel="0" collapsed="false">
      <c r="A945" s="12"/>
      <c r="B945" s="4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41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</row>
    <row r="946" customFormat="false" ht="15.75" hidden="false" customHeight="false" outlineLevel="0" collapsed="false">
      <c r="A946" s="12"/>
      <c r="B946" s="4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41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</row>
    <row r="947" customFormat="false" ht="15.75" hidden="false" customHeight="false" outlineLevel="0" collapsed="false">
      <c r="A947" s="12"/>
      <c r="B947" s="4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41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</row>
    <row r="948" customFormat="false" ht="15.75" hidden="false" customHeight="false" outlineLevel="0" collapsed="false">
      <c r="A948" s="12"/>
      <c r="B948" s="4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41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</row>
    <row r="949" customFormat="false" ht="15.75" hidden="false" customHeight="false" outlineLevel="0" collapsed="false">
      <c r="A949" s="12"/>
      <c r="B949" s="4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41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</row>
    <row r="950" customFormat="false" ht="15.75" hidden="false" customHeight="false" outlineLevel="0" collapsed="false">
      <c r="A950" s="12"/>
      <c r="B950" s="4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41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</row>
    <row r="951" customFormat="false" ht="15.75" hidden="false" customHeight="false" outlineLevel="0" collapsed="false">
      <c r="A951" s="12"/>
      <c r="B951" s="4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41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</row>
    <row r="952" customFormat="false" ht="15.75" hidden="false" customHeight="false" outlineLevel="0" collapsed="false">
      <c r="A952" s="12"/>
      <c r="B952" s="4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41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</row>
    <row r="953" customFormat="false" ht="15.75" hidden="false" customHeight="false" outlineLevel="0" collapsed="false">
      <c r="A953" s="12"/>
      <c r="B953" s="4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41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</row>
    <row r="954" customFormat="false" ht="15.75" hidden="false" customHeight="false" outlineLevel="0" collapsed="false">
      <c r="A954" s="12"/>
      <c r="B954" s="4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41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</row>
    <row r="955" customFormat="false" ht="15.75" hidden="false" customHeight="false" outlineLevel="0" collapsed="false">
      <c r="A955" s="12"/>
      <c r="B955" s="4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41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</row>
    <row r="956" customFormat="false" ht="15.75" hidden="false" customHeight="false" outlineLevel="0" collapsed="false">
      <c r="A956" s="12"/>
      <c r="B956" s="4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41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</row>
    <row r="957" customFormat="false" ht="15.75" hidden="false" customHeight="false" outlineLevel="0" collapsed="false">
      <c r="A957" s="12"/>
      <c r="B957" s="4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41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</row>
    <row r="958" customFormat="false" ht="15.75" hidden="false" customHeight="false" outlineLevel="0" collapsed="false">
      <c r="A958" s="12"/>
      <c r="B958" s="4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41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</row>
    <row r="959" customFormat="false" ht="15.75" hidden="false" customHeight="false" outlineLevel="0" collapsed="false">
      <c r="A959" s="12"/>
      <c r="B959" s="4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41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</row>
    <row r="960" customFormat="false" ht="15.75" hidden="false" customHeight="false" outlineLevel="0" collapsed="false">
      <c r="A960" s="12"/>
      <c r="B960" s="4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41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</row>
    <row r="961" customFormat="false" ht="15.75" hidden="false" customHeight="false" outlineLevel="0" collapsed="false">
      <c r="A961" s="12"/>
      <c r="B961" s="4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41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</row>
    <row r="962" customFormat="false" ht="15.75" hidden="false" customHeight="false" outlineLevel="0" collapsed="false">
      <c r="A962" s="12"/>
      <c r="B962" s="4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41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</row>
    <row r="963" customFormat="false" ht="15.75" hidden="false" customHeight="false" outlineLevel="0" collapsed="false">
      <c r="A963" s="12"/>
      <c r="B963" s="4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41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</row>
    <row r="964" customFormat="false" ht="15.75" hidden="false" customHeight="false" outlineLevel="0" collapsed="false">
      <c r="A964" s="12"/>
      <c r="B964" s="4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41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</row>
    <row r="965" customFormat="false" ht="15.75" hidden="false" customHeight="false" outlineLevel="0" collapsed="false">
      <c r="A965" s="12"/>
      <c r="B965" s="4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41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</row>
    <row r="966" customFormat="false" ht="15.75" hidden="false" customHeight="false" outlineLevel="0" collapsed="false">
      <c r="A966" s="12"/>
      <c r="B966" s="4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41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</row>
    <row r="967" customFormat="false" ht="15.75" hidden="false" customHeight="false" outlineLevel="0" collapsed="false">
      <c r="A967" s="12"/>
      <c r="B967" s="4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41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</row>
    <row r="968" customFormat="false" ht="15.75" hidden="false" customHeight="false" outlineLevel="0" collapsed="false">
      <c r="A968" s="12"/>
      <c r="B968" s="4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41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</row>
    <row r="969" customFormat="false" ht="15.75" hidden="false" customHeight="false" outlineLevel="0" collapsed="false">
      <c r="A969" s="12"/>
      <c r="B969" s="4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41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</row>
    <row r="970" customFormat="false" ht="15.75" hidden="false" customHeight="false" outlineLevel="0" collapsed="false">
      <c r="A970" s="12"/>
      <c r="B970" s="4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41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</row>
    <row r="971" customFormat="false" ht="15.75" hidden="false" customHeight="false" outlineLevel="0" collapsed="false">
      <c r="A971" s="12"/>
      <c r="B971" s="4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41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</row>
    <row r="972" customFormat="false" ht="15.75" hidden="false" customHeight="false" outlineLevel="0" collapsed="false">
      <c r="A972" s="12"/>
      <c r="B972" s="4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41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</row>
    <row r="973" customFormat="false" ht="15.75" hidden="false" customHeight="false" outlineLevel="0" collapsed="false">
      <c r="A973" s="12"/>
      <c r="B973" s="4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41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</row>
    <row r="974" customFormat="false" ht="15.75" hidden="false" customHeight="false" outlineLevel="0" collapsed="false">
      <c r="A974" s="12"/>
      <c r="B974" s="4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41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</row>
    <row r="975" customFormat="false" ht="15.75" hidden="false" customHeight="false" outlineLevel="0" collapsed="false">
      <c r="A975" s="12"/>
      <c r="B975" s="4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41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</row>
    <row r="976" customFormat="false" ht="15.75" hidden="false" customHeight="false" outlineLevel="0" collapsed="false">
      <c r="A976" s="12"/>
      <c r="B976" s="4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41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</row>
    <row r="977" customFormat="false" ht="15.75" hidden="false" customHeight="false" outlineLevel="0" collapsed="false">
      <c r="A977" s="12"/>
      <c r="B977" s="4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41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</row>
  </sheetData>
  <conditionalFormatting sqref="C428">
    <cfRule type="expression" priority="2" aboveAverage="0" equalAverage="0" bottom="0" percent="0" rank="0" text="" dxfId="0">
      <formula>COUNTBLANK(H428:AA428)&lt;COUNTBLANK(AI428,BP428,BU428,BZ428)</formula>
    </cfRule>
  </conditionalFormatting>
  <conditionalFormatting sqref="D2:G438">
    <cfRule type="cellIs" priority="3" operator="equal" aboveAverage="0" equalAverage="0" bottom="0" percent="0" rank="0" text="" dxfId="1">
      <formula>"Not found"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FF"/>
    <outlinePr summaryBelow="0"/>
    <pageSetUpPr fitToPage="false"/>
  </sheetPr>
  <dimension ref="A1:B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4" min="3" style="0" width="6.63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692</v>
      </c>
      <c r="C1" s="45" t="s">
        <v>661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45327</v>
      </c>
      <c r="G2" s="55" t="n">
        <f aca="false">F2+14</f>
        <v>45341</v>
      </c>
      <c r="H2" s="55" t="n">
        <f aca="false">G2+14</f>
        <v>45355</v>
      </c>
      <c r="I2" s="55" t="n">
        <f aca="false">H2+14</f>
        <v>45369</v>
      </c>
      <c r="J2" s="55" t="n">
        <f aca="false">I2+14</f>
        <v>45383</v>
      </c>
      <c r="K2" s="55" t="n">
        <f aca="false">J2+14</f>
        <v>45397</v>
      </c>
      <c r="L2" s="55" t="n">
        <f aca="false">K2+14</f>
        <v>45411</v>
      </c>
      <c r="M2" s="55" t="n">
        <f aca="false">L2+14</f>
        <v>45425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60" t="s">
        <v>190</v>
      </c>
      <c r="C3" s="61" t="s">
        <v>191</v>
      </c>
      <c r="D3" s="61" t="s">
        <v>189</v>
      </c>
      <c r="E3" s="62"/>
      <c r="F3" s="145" t="s">
        <v>735</v>
      </c>
      <c r="G3" s="145" t="s">
        <v>735</v>
      </c>
      <c r="H3" s="145" t="s">
        <v>735</v>
      </c>
      <c r="I3" s="145" t="s">
        <v>735</v>
      </c>
      <c r="J3" s="145" t="s">
        <v>735</v>
      </c>
      <c r="K3" s="145" t="s">
        <v>735</v>
      </c>
      <c r="L3" s="145" t="s">
        <v>735</v>
      </c>
      <c r="M3" s="145" t="s">
        <v>735</v>
      </c>
      <c r="N3" s="64" t="s">
        <v>735</v>
      </c>
      <c r="O3" s="64" t="s">
        <v>735</v>
      </c>
      <c r="P3" s="64"/>
      <c r="Q3" s="64"/>
      <c r="R3" s="64"/>
      <c r="S3" s="65"/>
      <c r="T3" s="66" t="s">
        <v>897</v>
      </c>
      <c r="U3" s="67"/>
      <c r="V3" s="67"/>
      <c r="W3" s="67"/>
      <c r="X3" s="87"/>
      <c r="Y3" s="69"/>
      <c r="Z3" s="70"/>
      <c r="AA3" s="67"/>
      <c r="AB3" s="67"/>
      <c r="AC3" s="67"/>
      <c r="AD3" s="87"/>
      <c r="AE3" s="69"/>
      <c r="AF3" s="70"/>
      <c r="AG3" s="70"/>
      <c r="AH3" s="70"/>
      <c r="AI3" s="70"/>
      <c r="AJ3" s="87"/>
      <c r="AK3" s="69"/>
      <c r="AL3" s="70"/>
      <c r="AM3" s="70"/>
      <c r="AN3" s="70"/>
      <c r="AO3" s="70"/>
      <c r="AP3" s="87"/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87" t="n">
        <v>0</v>
      </c>
      <c r="AW3" s="69"/>
      <c r="AX3" s="68"/>
      <c r="AY3" s="68"/>
      <c r="AZ3" s="69"/>
      <c r="BA3" s="106"/>
      <c r="BB3" s="87" t="n">
        <v>0</v>
      </c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107" t="n">
        <f aca="false">SUM(X3,AD3,AJ3,AP3,AV3,AX3:AY3,BH3,BB3,BG3)</f>
        <v>0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60" t="s">
        <v>210</v>
      </c>
      <c r="C4" s="61" t="s">
        <v>191</v>
      </c>
      <c r="D4" s="61" t="s">
        <v>209</v>
      </c>
      <c r="E4" s="62"/>
      <c r="F4" s="145" t="s">
        <v>696</v>
      </c>
      <c r="G4" s="145" t="s">
        <v>734</v>
      </c>
      <c r="H4" s="145" t="s">
        <v>734</v>
      </c>
      <c r="I4" s="145" t="s">
        <v>734</v>
      </c>
      <c r="J4" s="145" t="s">
        <v>734</v>
      </c>
      <c r="K4" s="145" t="s">
        <v>739</v>
      </c>
      <c r="L4" s="145" t="s">
        <v>734</v>
      </c>
      <c r="M4" s="145" t="s">
        <v>734</v>
      </c>
      <c r="N4" s="64" t="s">
        <v>735</v>
      </c>
      <c r="O4" s="64" t="s">
        <v>735</v>
      </c>
      <c r="P4" s="64"/>
      <c r="Q4" s="64"/>
      <c r="R4" s="64"/>
      <c r="S4" s="65"/>
      <c r="T4" s="66" t="s">
        <v>898</v>
      </c>
      <c r="U4" s="67" t="n">
        <v>45729</v>
      </c>
      <c r="V4" s="67" t="n">
        <v>45729</v>
      </c>
      <c r="W4" s="67" t="n">
        <v>45729</v>
      </c>
      <c r="X4" s="87" t="n">
        <v>10</v>
      </c>
      <c r="Y4" s="69"/>
      <c r="Z4" s="70" t="n">
        <v>3369</v>
      </c>
      <c r="AA4" s="67" t="n">
        <v>45757</v>
      </c>
      <c r="AB4" s="67" t="n">
        <v>45757</v>
      </c>
      <c r="AC4" s="67" t="n">
        <v>45757</v>
      </c>
      <c r="AD4" s="87" t="n">
        <v>10</v>
      </c>
      <c r="AE4" s="69"/>
      <c r="AF4" s="70" t="n">
        <v>7742</v>
      </c>
      <c r="AG4" s="106" t="n">
        <v>45771</v>
      </c>
      <c r="AH4" s="106" t="n">
        <v>45771</v>
      </c>
      <c r="AI4" s="106" t="n">
        <v>45771</v>
      </c>
      <c r="AJ4" s="87" t="n">
        <v>10</v>
      </c>
      <c r="AK4" s="69"/>
      <c r="AL4" s="70" t="n">
        <v>994</v>
      </c>
      <c r="AM4" s="106" t="n">
        <v>45799</v>
      </c>
      <c r="AN4" s="106" t="n">
        <v>45799</v>
      </c>
      <c r="AO4" s="106" t="n">
        <v>45799</v>
      </c>
      <c r="AP4" s="87" t="n">
        <v>10</v>
      </c>
      <c r="AQ4" s="69"/>
      <c r="AR4" s="70" t="n">
        <v>761</v>
      </c>
      <c r="AS4" s="106" t="n">
        <v>45805</v>
      </c>
      <c r="AT4" s="106" t="n">
        <v>45805</v>
      </c>
      <c r="AU4" s="106" t="n">
        <v>45805</v>
      </c>
      <c r="AV4" s="87" t="n">
        <v>9</v>
      </c>
      <c r="AW4" s="69"/>
      <c r="AX4" s="68" t="n">
        <v>1</v>
      </c>
      <c r="AY4" s="68" t="n">
        <v>2</v>
      </c>
      <c r="AZ4" s="69"/>
      <c r="BA4" s="106" t="n">
        <v>45791</v>
      </c>
      <c r="BB4" s="87" t="n">
        <v>9.5</v>
      </c>
      <c r="BC4" s="72"/>
      <c r="BD4" s="73" t="str">
        <f aca="false">IF(AND(BB4&gt;=6,AP4&gt;=6,AJ4&gt;=6,AD4&gt;=6,X4&gt;=6),"да","нет")</f>
        <v>да</v>
      </c>
      <c r="BE4" s="72"/>
      <c r="BF4" s="118" t="n">
        <v>45822</v>
      </c>
      <c r="BG4" s="71" t="n">
        <v>30</v>
      </c>
      <c r="BH4" s="68"/>
      <c r="BI4" s="50"/>
      <c r="BJ4" s="107" t="n">
        <f aca="false">SUM(X4,AD4,AJ4,AP4,AV4,AX4:AY4,BH4,BB4,BG4)</f>
        <v>91.5</v>
      </c>
      <c r="BK4" s="73" t="str">
        <f aca="false">IF(BJ4&gt;90,"A",IF(BJ4&gt;83,"B",IF(BJ4&gt;74,"C",IF(BJ4&gt;67,"D",IF(BJ4&gt;=60,"E","FX")))))</f>
        <v>A</v>
      </c>
    </row>
    <row r="5" customFormat="false" ht="15.75" hidden="false" customHeight="false" outlineLevel="0" collapsed="false">
      <c r="A5" s="59" t="n">
        <f aca="false">A4+1</f>
        <v>3</v>
      </c>
      <c r="B5" s="60" t="s">
        <v>252</v>
      </c>
      <c r="C5" s="61" t="s">
        <v>191</v>
      </c>
      <c r="D5" s="61" t="s">
        <v>251</v>
      </c>
      <c r="E5" s="62"/>
      <c r="F5" s="145" t="s">
        <v>696</v>
      </c>
      <c r="G5" s="145" t="s">
        <v>734</v>
      </c>
      <c r="H5" s="145" t="s">
        <v>696</v>
      </c>
      <c r="I5" s="145" t="s">
        <v>734</v>
      </c>
      <c r="J5" s="145" t="s">
        <v>739</v>
      </c>
      <c r="K5" s="145" t="s">
        <v>734</v>
      </c>
      <c r="L5" s="145" t="s">
        <v>734</v>
      </c>
      <c r="M5" s="145" t="s">
        <v>734</v>
      </c>
      <c r="N5" s="64" t="s">
        <v>735</v>
      </c>
      <c r="O5" s="64" t="s">
        <v>735</v>
      </c>
      <c r="P5" s="64"/>
      <c r="Q5" s="64"/>
      <c r="R5" s="64"/>
      <c r="S5" s="65"/>
      <c r="T5" s="66" t="s">
        <v>899</v>
      </c>
      <c r="U5" s="67" t="n">
        <v>45729</v>
      </c>
      <c r="V5" s="67" t="n">
        <v>45729</v>
      </c>
      <c r="W5" s="67" t="n">
        <v>45729</v>
      </c>
      <c r="X5" s="87" t="n">
        <v>10</v>
      </c>
      <c r="Y5" s="69"/>
      <c r="Z5" s="70" t="n">
        <v>7745</v>
      </c>
      <c r="AA5" s="67" t="n">
        <v>45757</v>
      </c>
      <c r="AB5" s="67" t="n">
        <v>45757</v>
      </c>
      <c r="AC5" s="67" t="n">
        <v>45757</v>
      </c>
      <c r="AD5" s="87" t="n">
        <v>10</v>
      </c>
      <c r="AE5" s="69"/>
      <c r="AF5" s="70" t="n">
        <v>5554</v>
      </c>
      <c r="AG5" s="106" t="n">
        <v>45771</v>
      </c>
      <c r="AH5" s="106" t="n">
        <v>45771</v>
      </c>
      <c r="AI5" s="106" t="n">
        <v>45771</v>
      </c>
      <c r="AJ5" s="87" t="n">
        <v>10</v>
      </c>
      <c r="AK5" s="69"/>
      <c r="AL5" s="70" t="n">
        <v>881</v>
      </c>
      <c r="AM5" s="106" t="n">
        <v>45799</v>
      </c>
      <c r="AN5" s="106" t="n">
        <v>45799</v>
      </c>
      <c r="AO5" s="106" t="n">
        <v>45799</v>
      </c>
      <c r="AP5" s="87" t="n">
        <v>10</v>
      </c>
      <c r="AQ5" s="69"/>
      <c r="AR5" s="70" t="n">
        <v>76889</v>
      </c>
      <c r="AS5" s="106" t="n">
        <v>45805</v>
      </c>
      <c r="AT5" s="106" t="n">
        <v>45805</v>
      </c>
      <c r="AU5" s="106" t="n">
        <v>45805</v>
      </c>
      <c r="AV5" s="87" t="n">
        <v>10</v>
      </c>
      <c r="AW5" s="69"/>
      <c r="AX5" s="68" t="n">
        <v>2</v>
      </c>
      <c r="AY5" s="68"/>
      <c r="AZ5" s="69"/>
      <c r="BA5" s="106" t="n">
        <v>45791</v>
      </c>
      <c r="BB5" s="87" t="n">
        <v>10</v>
      </c>
      <c r="BC5" s="72"/>
      <c r="BD5" s="73" t="str">
        <f aca="false">IF(AND(BB5&gt;=6,AP5&gt;=6,AJ5&gt;=6,AD5&gt;=6,X5&gt;=6),"да","нет")</f>
        <v>да</v>
      </c>
      <c r="BE5" s="72"/>
      <c r="BF5" s="118" t="n">
        <v>45822</v>
      </c>
      <c r="BG5" s="71" t="n">
        <v>29</v>
      </c>
      <c r="BH5" s="68"/>
      <c r="BI5" s="50"/>
      <c r="BJ5" s="107" t="n">
        <f aca="false">SUM(X5,AD5,AJ5,AP5,AV5,AX5:AY5,BH5,BB5,BG5)</f>
        <v>91</v>
      </c>
      <c r="BK5" s="73" t="str">
        <f aca="false">IF(BJ5&gt;90,"A",IF(BJ5&gt;83,"B",IF(BJ5&gt;74,"C",IF(BJ5&gt;67,"D",IF(BJ5&gt;=60,"E","FX")))))</f>
        <v>A</v>
      </c>
    </row>
    <row r="6" customFormat="false" ht="15.75" hidden="false" customHeight="false" outlineLevel="0" collapsed="false">
      <c r="A6" s="59" t="n">
        <f aca="false">A5+1</f>
        <v>4</v>
      </c>
      <c r="B6" s="60" t="s">
        <v>254</v>
      </c>
      <c r="C6" s="61" t="s">
        <v>191</v>
      </c>
      <c r="D6" s="61" t="s">
        <v>253</v>
      </c>
      <c r="E6" s="62"/>
      <c r="F6" s="145" t="s">
        <v>696</v>
      </c>
      <c r="G6" s="145" t="s">
        <v>735</v>
      </c>
      <c r="H6" s="145" t="s">
        <v>734</v>
      </c>
      <c r="I6" s="145" t="s">
        <v>739</v>
      </c>
      <c r="J6" s="145" t="s">
        <v>735</v>
      </c>
      <c r="K6" s="145" t="s">
        <v>735</v>
      </c>
      <c r="L6" s="145" t="s">
        <v>739</v>
      </c>
      <c r="M6" s="145" t="s">
        <v>734</v>
      </c>
      <c r="N6" s="64" t="s">
        <v>734</v>
      </c>
      <c r="O6" s="64" t="s">
        <v>734</v>
      </c>
      <c r="P6" s="64"/>
      <c r="Q6" s="64"/>
      <c r="R6" s="64"/>
      <c r="S6" s="65"/>
      <c r="T6" s="66" t="s">
        <v>900</v>
      </c>
      <c r="U6" s="67" t="n">
        <v>45743</v>
      </c>
      <c r="V6" s="67" t="n">
        <v>45743</v>
      </c>
      <c r="W6" s="67" t="n">
        <v>45743</v>
      </c>
      <c r="X6" s="87" t="n">
        <v>9.5</v>
      </c>
      <c r="Y6" s="69"/>
      <c r="Z6" s="70" t="n">
        <v>5551</v>
      </c>
      <c r="AA6" s="106" t="n">
        <v>45805</v>
      </c>
      <c r="AB6" s="106" t="n">
        <v>45805</v>
      </c>
      <c r="AC6" s="106" t="n">
        <v>45805</v>
      </c>
      <c r="AD6" s="87" t="n">
        <v>10</v>
      </c>
      <c r="AE6" s="69"/>
      <c r="AF6" s="70" t="n">
        <v>7457</v>
      </c>
      <c r="AG6" s="106" t="n">
        <v>45820</v>
      </c>
      <c r="AH6" s="106" t="n">
        <v>45820</v>
      </c>
      <c r="AI6" s="106" t="n">
        <v>45820</v>
      </c>
      <c r="AJ6" s="87" t="n">
        <v>10</v>
      </c>
      <c r="AK6" s="69"/>
      <c r="AL6" s="70" t="n">
        <v>551</v>
      </c>
      <c r="AM6" s="70"/>
      <c r="AN6" s="70"/>
      <c r="AO6" s="70"/>
      <c r="AP6" s="87"/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87" t="n">
        <v>0</v>
      </c>
      <c r="AW6" s="69"/>
      <c r="AX6" s="68"/>
      <c r="AY6" s="68" t="n">
        <v>2</v>
      </c>
      <c r="AZ6" s="69"/>
      <c r="BA6" s="106" t="n">
        <v>45791</v>
      </c>
      <c r="BB6" s="87" t="n">
        <v>0.01</v>
      </c>
      <c r="BC6" s="72"/>
      <c r="BD6" s="73" t="str">
        <f aca="false">IF(AND(BB6&gt;=6,AP6&gt;=6,AJ6&gt;=6,AD6&gt;=6,X6&gt;=6),"да","нет")</f>
        <v>нет</v>
      </c>
      <c r="BE6" s="72"/>
      <c r="BF6" s="118" t="n">
        <v>45822</v>
      </c>
      <c r="BG6" s="71" t="n">
        <v>0</v>
      </c>
      <c r="BH6" s="68"/>
      <c r="BI6" s="50"/>
      <c r="BJ6" s="107" t="n">
        <f aca="false">SUM(X6,AD6,AJ6,AP6,AV6,AX6:AY6,BH6,BB6,BG6)</f>
        <v>31.51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60" t="s">
        <v>293</v>
      </c>
      <c r="C7" s="61" t="s">
        <v>191</v>
      </c>
      <c r="D7" s="61" t="s">
        <v>292</v>
      </c>
      <c r="E7" s="62"/>
      <c r="F7" s="145" t="s">
        <v>696</v>
      </c>
      <c r="G7" s="145" t="s">
        <v>696</v>
      </c>
      <c r="H7" s="145" t="s">
        <v>739</v>
      </c>
      <c r="I7" s="145" t="s">
        <v>734</v>
      </c>
      <c r="J7" s="145" t="s">
        <v>734</v>
      </c>
      <c r="K7" s="145" t="s">
        <v>739</v>
      </c>
      <c r="L7" s="145" t="s">
        <v>734</v>
      </c>
      <c r="M7" s="145" t="s">
        <v>734</v>
      </c>
      <c r="N7" s="64" t="s">
        <v>735</v>
      </c>
      <c r="O7" s="64" t="s">
        <v>735</v>
      </c>
      <c r="P7" s="64"/>
      <c r="Q7" s="64"/>
      <c r="R7" s="64"/>
      <c r="S7" s="65"/>
      <c r="T7" s="66" t="s">
        <v>901</v>
      </c>
      <c r="U7" s="67" t="n">
        <v>45743</v>
      </c>
      <c r="V7" s="67" t="n">
        <v>45757</v>
      </c>
      <c r="W7" s="67" t="n">
        <v>45757</v>
      </c>
      <c r="X7" s="87" t="n">
        <v>9.5</v>
      </c>
      <c r="Y7" s="69"/>
      <c r="Z7" s="70" t="n">
        <v>5531</v>
      </c>
      <c r="AA7" s="67" t="n">
        <v>45777</v>
      </c>
      <c r="AB7" s="67" t="n">
        <v>45777</v>
      </c>
      <c r="AC7" s="67" t="n">
        <v>45777</v>
      </c>
      <c r="AD7" s="87" t="n">
        <v>10</v>
      </c>
      <c r="AE7" s="69"/>
      <c r="AF7" s="70" t="n">
        <v>9997</v>
      </c>
      <c r="AG7" s="106" t="n">
        <v>45799</v>
      </c>
      <c r="AH7" s="106" t="n">
        <v>45799</v>
      </c>
      <c r="AI7" s="106" t="n">
        <v>45799</v>
      </c>
      <c r="AJ7" s="87" t="n">
        <v>10</v>
      </c>
      <c r="AK7" s="69"/>
      <c r="AL7" s="70" t="n">
        <v>991</v>
      </c>
      <c r="AM7" s="106" t="n">
        <v>45805</v>
      </c>
      <c r="AN7" s="106" t="n">
        <v>45805</v>
      </c>
      <c r="AO7" s="106" t="n">
        <v>45805</v>
      </c>
      <c r="AP7" s="87" t="n">
        <v>10</v>
      </c>
      <c r="AQ7" s="69"/>
      <c r="AR7" s="70" t="n">
        <v>3413</v>
      </c>
      <c r="AS7" s="70" t="s">
        <v>737</v>
      </c>
      <c r="AT7" s="70" t="s">
        <v>737</v>
      </c>
      <c r="AU7" s="70" t="s">
        <v>737</v>
      </c>
      <c r="AV7" s="87" t="n">
        <v>0</v>
      </c>
      <c r="AW7" s="69"/>
      <c r="AX7" s="68" t="n">
        <v>0</v>
      </c>
      <c r="AY7" s="68" t="n">
        <v>0</v>
      </c>
      <c r="AZ7" s="69"/>
      <c r="BA7" s="106" t="n">
        <v>45791</v>
      </c>
      <c r="BB7" s="87" t="n">
        <v>10</v>
      </c>
      <c r="BC7" s="72"/>
      <c r="BD7" s="73" t="str">
        <f aca="false">IF(AND(BB7&gt;=6,AP7&gt;=6,AJ7&gt;=6,AD7&gt;=6,X7&gt;=6),"да","нет")</f>
        <v>да</v>
      </c>
      <c r="BE7" s="72"/>
      <c r="BF7" s="118" t="n">
        <v>45822</v>
      </c>
      <c r="BG7" s="71" t="n">
        <v>0</v>
      </c>
      <c r="BH7" s="68"/>
      <c r="BI7" s="50"/>
      <c r="BJ7" s="107" t="n">
        <f aca="false">SUM(X7,AD7,AJ7,AP7,AV7,AX7:AY7,BH7,BB7,BG7)</f>
        <v>49.5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60" t="s">
        <v>303</v>
      </c>
      <c r="C8" s="61" t="s">
        <v>191</v>
      </c>
      <c r="D8" s="61" t="s">
        <v>302</v>
      </c>
      <c r="E8" s="62"/>
      <c r="F8" s="145" t="s">
        <v>735</v>
      </c>
      <c r="G8" s="145" t="s">
        <v>696</v>
      </c>
      <c r="H8" s="145" t="s">
        <v>734</v>
      </c>
      <c r="I8" s="145" t="s">
        <v>734</v>
      </c>
      <c r="J8" s="145" t="s">
        <v>739</v>
      </c>
      <c r="K8" s="145" t="s">
        <v>738</v>
      </c>
      <c r="L8" s="145" t="s">
        <v>734</v>
      </c>
      <c r="M8" s="145" t="s">
        <v>734</v>
      </c>
      <c r="N8" s="64" t="s">
        <v>735</v>
      </c>
      <c r="O8" s="64" t="s">
        <v>735</v>
      </c>
      <c r="P8" s="64"/>
      <c r="Q8" s="64"/>
      <c r="R8" s="64"/>
      <c r="S8" s="65"/>
      <c r="T8" s="66" t="s">
        <v>902</v>
      </c>
      <c r="U8" s="67" t="n">
        <v>45743</v>
      </c>
      <c r="V8" s="67" t="n">
        <v>45757</v>
      </c>
      <c r="W8" s="67" t="n">
        <v>45757</v>
      </c>
      <c r="X8" s="87" t="n">
        <v>9.5</v>
      </c>
      <c r="Y8" s="69"/>
      <c r="Z8" s="70" t="n">
        <v>6652</v>
      </c>
      <c r="AA8" s="106" t="n">
        <v>45771</v>
      </c>
      <c r="AB8" s="106" t="n">
        <v>45771</v>
      </c>
      <c r="AC8" s="106" t="n">
        <v>45771</v>
      </c>
      <c r="AD8" s="87" t="n">
        <v>10</v>
      </c>
      <c r="AE8" s="69"/>
      <c r="AF8" s="70" t="n">
        <v>5542</v>
      </c>
      <c r="AG8" s="106" t="n">
        <v>45799</v>
      </c>
      <c r="AH8" s="106" t="n">
        <v>45799</v>
      </c>
      <c r="AI8" s="106" t="n">
        <v>45799</v>
      </c>
      <c r="AJ8" s="87" t="n">
        <v>9</v>
      </c>
      <c r="AK8" s="69"/>
      <c r="AL8" s="70" t="n">
        <v>745</v>
      </c>
      <c r="AM8" s="106" t="n">
        <v>45805</v>
      </c>
      <c r="AN8" s="106" t="n">
        <v>45805</v>
      </c>
      <c r="AO8" s="106" t="n">
        <v>45805</v>
      </c>
      <c r="AP8" s="87" t="n">
        <v>9.5</v>
      </c>
      <c r="AQ8" s="69"/>
      <c r="AR8" s="70" t="n">
        <v>9465</v>
      </c>
      <c r="AS8" s="70" t="s">
        <v>737</v>
      </c>
      <c r="AT8" s="70" t="s">
        <v>737</v>
      </c>
      <c r="AU8" s="70" t="s">
        <v>737</v>
      </c>
      <c r="AV8" s="87" t="n">
        <v>0</v>
      </c>
      <c r="AW8" s="69"/>
      <c r="AX8" s="68" t="n">
        <v>0</v>
      </c>
      <c r="AY8" s="68" t="n">
        <v>2.5</v>
      </c>
      <c r="AZ8" s="69"/>
      <c r="BA8" s="106" t="n">
        <v>45791</v>
      </c>
      <c r="BB8" s="87" t="n">
        <v>10</v>
      </c>
      <c r="BC8" s="72"/>
      <c r="BD8" s="73" t="str">
        <f aca="false">IF(AND(BB8&gt;=6,AP8&gt;=6,AJ8&gt;=6,AD8&gt;=6,X8&gt;=6),"да","нет")</f>
        <v>да</v>
      </c>
      <c r="BE8" s="72"/>
      <c r="BF8" s="118" t="n">
        <v>45822</v>
      </c>
      <c r="BG8" s="71" t="n">
        <v>29</v>
      </c>
      <c r="BH8" s="68"/>
      <c r="BI8" s="50"/>
      <c r="BJ8" s="107" t="n">
        <f aca="false">SUM(X8,AD8,AJ8,AP8,AV8,AX8:AY8,BH8,BB8,BG8)</f>
        <v>79.5</v>
      </c>
      <c r="BK8" s="73" t="str">
        <f aca="false">IF(BJ8&gt;90,"A",IF(BJ8&gt;83,"B",IF(BJ8&gt;74,"C",IF(BJ8&gt;67,"D",IF(BJ8&gt;=60,"E","FX")))))</f>
        <v>C</v>
      </c>
    </row>
    <row r="9" customFormat="false" ht="15.75" hidden="false" customHeight="false" outlineLevel="0" collapsed="false">
      <c r="A9" s="59" t="n">
        <f aca="false">A8+1</f>
        <v>7</v>
      </c>
      <c r="B9" s="60" t="s">
        <v>325</v>
      </c>
      <c r="C9" s="61" t="s">
        <v>191</v>
      </c>
      <c r="D9" s="61" t="s">
        <v>324</v>
      </c>
      <c r="E9" s="62"/>
      <c r="F9" s="145" t="s">
        <v>696</v>
      </c>
      <c r="G9" s="145" t="s">
        <v>735</v>
      </c>
      <c r="H9" s="145" t="s">
        <v>735</v>
      </c>
      <c r="I9" s="145" t="s">
        <v>734</v>
      </c>
      <c r="J9" s="145" t="s">
        <v>738</v>
      </c>
      <c r="K9" s="145" t="s">
        <v>735</v>
      </c>
      <c r="L9" s="145" t="s">
        <v>739</v>
      </c>
      <c r="M9" s="145" t="s">
        <v>738</v>
      </c>
      <c r="N9" s="64" t="s">
        <v>734</v>
      </c>
      <c r="O9" s="64" t="s">
        <v>735</v>
      </c>
      <c r="P9" s="64"/>
      <c r="Q9" s="64"/>
      <c r="R9" s="64"/>
      <c r="S9" s="65"/>
      <c r="T9" s="66" t="s">
        <v>903</v>
      </c>
      <c r="U9" s="67" t="n">
        <v>45757</v>
      </c>
      <c r="V9" s="67" t="n">
        <v>45757</v>
      </c>
      <c r="W9" s="67" t="n">
        <v>45757</v>
      </c>
      <c r="X9" s="87" t="n">
        <v>7</v>
      </c>
      <c r="Y9" s="69"/>
      <c r="Z9" s="70" t="n">
        <v>4411</v>
      </c>
      <c r="AA9" s="67" t="n">
        <v>45810</v>
      </c>
      <c r="AB9" s="67" t="n">
        <v>45810</v>
      </c>
      <c r="AC9" s="67" t="n">
        <v>45810</v>
      </c>
      <c r="AD9" s="87" t="n">
        <v>9</v>
      </c>
      <c r="AE9" s="69"/>
      <c r="AF9" s="70" t="n">
        <v>3336</v>
      </c>
      <c r="AG9" s="106" t="n">
        <v>45817</v>
      </c>
      <c r="AH9" s="106" t="n">
        <v>45817</v>
      </c>
      <c r="AI9" s="106" t="n">
        <v>45817</v>
      </c>
      <c r="AJ9" s="87" t="n">
        <v>7</v>
      </c>
      <c r="AK9" s="69"/>
      <c r="AL9" s="70" t="n">
        <v>112</v>
      </c>
      <c r="AM9" s="106" t="n">
        <v>45820</v>
      </c>
      <c r="AN9" s="106" t="n">
        <v>45820</v>
      </c>
      <c r="AO9" s="106" t="n">
        <v>45820</v>
      </c>
      <c r="AP9" s="87" t="n">
        <v>7</v>
      </c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87" t="n">
        <v>0</v>
      </c>
      <c r="AW9" s="69"/>
      <c r="AX9" s="68" t="n">
        <v>0</v>
      </c>
      <c r="AY9" s="68"/>
      <c r="AZ9" s="69"/>
      <c r="BA9" s="106" t="n">
        <v>45791</v>
      </c>
      <c r="BB9" s="87" t="n">
        <v>7</v>
      </c>
      <c r="BC9" s="72"/>
      <c r="BD9" s="73" t="str">
        <f aca="false">IF(AND(BB9&gt;=6,AP9&gt;=6,AJ9&gt;=6,AD9&gt;=6,X9&gt;=6),"да","нет")</f>
        <v>да</v>
      </c>
      <c r="BE9" s="72"/>
      <c r="BF9" s="118" t="n">
        <v>45822</v>
      </c>
      <c r="BG9" s="71" t="n">
        <v>0</v>
      </c>
      <c r="BH9" s="68"/>
      <c r="BI9" s="50"/>
      <c r="BJ9" s="107" t="n">
        <f aca="false">SUM(X9,AD9,AJ9,AP9,AV9,AX9:AY9,BH9,BB9,BG9)</f>
        <v>37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60" t="s">
        <v>339</v>
      </c>
      <c r="C10" s="61" t="s">
        <v>191</v>
      </c>
      <c r="D10" s="61" t="s">
        <v>338</v>
      </c>
      <c r="E10" s="62"/>
      <c r="F10" s="145" t="s">
        <v>735</v>
      </c>
      <c r="G10" s="145" t="s">
        <v>739</v>
      </c>
      <c r="H10" s="145" t="s">
        <v>734</v>
      </c>
      <c r="I10" s="145" t="s">
        <v>734</v>
      </c>
      <c r="J10" s="145" t="s">
        <v>734</v>
      </c>
      <c r="K10" s="145" t="s">
        <v>734</v>
      </c>
      <c r="L10" s="145" t="s">
        <v>734</v>
      </c>
      <c r="M10" s="145" t="s">
        <v>735</v>
      </c>
      <c r="N10" s="64" t="s">
        <v>735</v>
      </c>
      <c r="O10" s="64" t="s">
        <v>735</v>
      </c>
      <c r="P10" s="64"/>
      <c r="Q10" s="64"/>
      <c r="R10" s="64"/>
      <c r="S10" s="65"/>
      <c r="T10" s="66" t="s">
        <v>904</v>
      </c>
      <c r="U10" s="67" t="n">
        <v>45715</v>
      </c>
      <c r="V10" s="67" t="n">
        <v>45715</v>
      </c>
      <c r="W10" s="67" t="n">
        <v>45715</v>
      </c>
      <c r="X10" s="87" t="n">
        <v>9.5</v>
      </c>
      <c r="Y10" s="69"/>
      <c r="Z10" s="70" t="n">
        <v>5324</v>
      </c>
      <c r="AA10" s="67" t="n">
        <v>45743</v>
      </c>
      <c r="AB10" s="67" t="n">
        <v>45743</v>
      </c>
      <c r="AC10" s="67" t="n">
        <v>45743</v>
      </c>
      <c r="AD10" s="87" t="n">
        <v>9.5</v>
      </c>
      <c r="AE10" s="69"/>
      <c r="AF10" s="70" t="n">
        <v>6611</v>
      </c>
      <c r="AG10" s="67" t="n">
        <v>45757</v>
      </c>
      <c r="AH10" s="67" t="n">
        <v>45757</v>
      </c>
      <c r="AI10" s="67" t="n">
        <v>45757</v>
      </c>
      <c r="AJ10" s="87" t="n">
        <v>9.5</v>
      </c>
      <c r="AK10" s="69"/>
      <c r="AL10" s="70" t="n">
        <v>887</v>
      </c>
      <c r="AM10" s="106" t="n">
        <v>45771</v>
      </c>
      <c r="AN10" s="106" t="n">
        <v>45771</v>
      </c>
      <c r="AO10" s="106" t="n">
        <v>45771</v>
      </c>
      <c r="AP10" s="87" t="n">
        <v>10</v>
      </c>
      <c r="AQ10" s="69"/>
      <c r="AR10" s="70" t="n">
        <v>918</v>
      </c>
      <c r="AS10" s="106" t="n">
        <v>45799</v>
      </c>
      <c r="AT10" s="106" t="n">
        <v>45799</v>
      </c>
      <c r="AU10" s="106" t="n">
        <v>45799</v>
      </c>
      <c r="AV10" s="87" t="n">
        <v>10</v>
      </c>
      <c r="AW10" s="69"/>
      <c r="AX10" s="68" t="n">
        <v>1</v>
      </c>
      <c r="AY10" s="68" t="n">
        <v>2.5</v>
      </c>
      <c r="AZ10" s="69"/>
      <c r="BA10" s="106" t="n">
        <v>45791</v>
      </c>
      <c r="BB10" s="87" t="n">
        <v>10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45822</v>
      </c>
      <c r="BG10" s="71" t="n">
        <v>26</v>
      </c>
      <c r="BH10" s="68" t="n">
        <v>3</v>
      </c>
      <c r="BI10" s="50"/>
      <c r="BJ10" s="107" t="n">
        <f aca="false">SUM(X10,AD10,AJ10,AP10,AV10,AX10:AY10,BH10,BB10,BG10)</f>
        <v>91</v>
      </c>
      <c r="BK10" s="73" t="str">
        <f aca="false">IF(BJ10&gt;90,"A",IF(BJ10&gt;83,"B",IF(BJ10&gt;74,"C",IF(BJ10&gt;67,"D",IF(BJ10&gt;=60,"E","FX")))))</f>
        <v>A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383</v>
      </c>
      <c r="C11" s="61" t="s">
        <v>191</v>
      </c>
      <c r="D11" s="61" t="s">
        <v>382</v>
      </c>
      <c r="E11" s="62"/>
      <c r="F11" s="145" t="s">
        <v>696</v>
      </c>
      <c r="G11" s="145" t="s">
        <v>734</v>
      </c>
      <c r="H11" s="145" t="s">
        <v>734</v>
      </c>
      <c r="I11" s="145" t="s">
        <v>734</v>
      </c>
      <c r="J11" s="145" t="s">
        <v>734</v>
      </c>
      <c r="K11" s="145" t="s">
        <v>739</v>
      </c>
      <c r="L11" s="145" t="s">
        <v>734</v>
      </c>
      <c r="M11" s="145" t="s">
        <v>739</v>
      </c>
      <c r="N11" s="64" t="s">
        <v>734</v>
      </c>
      <c r="O11" s="64" t="s">
        <v>734</v>
      </c>
      <c r="P11" s="64"/>
      <c r="Q11" s="64"/>
      <c r="R11" s="64"/>
      <c r="S11" s="65"/>
      <c r="T11" s="66" t="s">
        <v>905</v>
      </c>
      <c r="U11" s="67" t="n">
        <v>45729</v>
      </c>
      <c r="V11" s="67" t="n">
        <v>45729</v>
      </c>
      <c r="W11" s="67" t="n">
        <v>45743</v>
      </c>
      <c r="X11" s="87" t="n">
        <v>10</v>
      </c>
      <c r="Y11" s="69"/>
      <c r="Z11" s="70" t="n">
        <v>7732</v>
      </c>
      <c r="AA11" s="106" t="n">
        <v>45771</v>
      </c>
      <c r="AB11" s="106" t="n">
        <v>45771</v>
      </c>
      <c r="AC11" s="106" t="n">
        <v>45771</v>
      </c>
      <c r="AD11" s="87" t="n">
        <v>10</v>
      </c>
      <c r="AE11" s="69"/>
      <c r="AF11" s="70" t="n">
        <v>7664</v>
      </c>
      <c r="AG11" s="106" t="n">
        <v>45805</v>
      </c>
      <c r="AH11" s="106" t="n">
        <v>45805</v>
      </c>
      <c r="AI11" s="106" t="n">
        <v>45805</v>
      </c>
      <c r="AJ11" s="87" t="n">
        <v>9</v>
      </c>
      <c r="AK11" s="69"/>
      <c r="AL11" s="70" t="n">
        <v>764</v>
      </c>
      <c r="AM11" s="106" t="n">
        <v>45817</v>
      </c>
      <c r="AN11" s="106" t="n">
        <v>45817</v>
      </c>
      <c r="AO11" s="106" t="n">
        <v>45817</v>
      </c>
      <c r="AP11" s="87" t="n">
        <v>8.5</v>
      </c>
      <c r="AQ11" s="69"/>
      <c r="AR11" s="70" t="n">
        <v>441</v>
      </c>
      <c r="AS11" s="106" t="n">
        <v>45820</v>
      </c>
      <c r="AT11" s="106" t="n">
        <v>45820</v>
      </c>
      <c r="AU11" s="106" t="n">
        <v>45820</v>
      </c>
      <c r="AV11" s="87" t="n">
        <v>8.5</v>
      </c>
      <c r="AW11" s="69"/>
      <c r="AX11" s="68" t="n">
        <v>0</v>
      </c>
      <c r="AY11" s="68" t="n">
        <v>2</v>
      </c>
      <c r="AZ11" s="69"/>
      <c r="BA11" s="106" t="n">
        <v>45791</v>
      </c>
      <c r="BB11" s="87" t="n">
        <v>6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45822</v>
      </c>
      <c r="BG11" s="71" t="n">
        <v>18</v>
      </c>
      <c r="BH11" s="68"/>
      <c r="BI11" s="50"/>
      <c r="BJ11" s="107" t="n">
        <f aca="false">SUM(X11,AD11,AJ11,AP11,AV11,AX11:AY11,BH11,BB11,BG11)</f>
        <v>72</v>
      </c>
      <c r="BK11" s="73" t="str">
        <f aca="false">IF(BJ11&gt;90,"A",IF(BJ11&gt;83,"B",IF(BJ11&gt;74,"C",IF(BJ11&gt;67,"D",IF(BJ11&gt;=60,"E","FX")))))</f>
        <v>D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906</v>
      </c>
      <c r="C12" s="61" t="s">
        <v>191</v>
      </c>
      <c r="D12" s="61" t="s">
        <v>907</v>
      </c>
      <c r="E12" s="62"/>
      <c r="F12" s="145" t="s">
        <v>735</v>
      </c>
      <c r="G12" s="145" t="s">
        <v>735</v>
      </c>
      <c r="H12" s="145" t="s">
        <v>735</v>
      </c>
      <c r="I12" s="145" t="s">
        <v>735</v>
      </c>
      <c r="J12" s="145" t="s">
        <v>735</v>
      </c>
      <c r="K12" s="145" t="s">
        <v>735</v>
      </c>
      <c r="L12" s="145" t="s">
        <v>735</v>
      </c>
      <c r="M12" s="145" t="s">
        <v>735</v>
      </c>
      <c r="N12" s="64" t="s">
        <v>735</v>
      </c>
      <c r="O12" s="64" t="s">
        <v>735</v>
      </c>
      <c r="P12" s="64"/>
      <c r="Q12" s="64"/>
      <c r="R12" s="64"/>
      <c r="S12" s="65"/>
      <c r="T12" s="66" t="s">
        <v>908</v>
      </c>
      <c r="U12" s="67"/>
      <c r="V12" s="67"/>
      <c r="W12" s="67"/>
      <c r="X12" s="87"/>
      <c r="Y12" s="69"/>
      <c r="Z12" s="70"/>
      <c r="AA12" s="67"/>
      <c r="AB12" s="67"/>
      <c r="AC12" s="67"/>
      <c r="AD12" s="87"/>
      <c r="AE12" s="69"/>
      <c r="AF12" s="70"/>
      <c r="AG12" s="70"/>
      <c r="AH12" s="70"/>
      <c r="AI12" s="70"/>
      <c r="AJ12" s="87"/>
      <c r="AK12" s="69"/>
      <c r="AL12" s="70"/>
      <c r="AM12" s="70"/>
      <c r="AN12" s="70"/>
      <c r="AO12" s="70"/>
      <c r="AP12" s="87"/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87" t="n">
        <v>0</v>
      </c>
      <c r="AW12" s="69"/>
      <c r="AX12" s="68"/>
      <c r="AY12" s="68"/>
      <c r="AZ12" s="69"/>
      <c r="BA12" s="106"/>
      <c r="BB12" s="87" t="n">
        <v>0</v>
      </c>
      <c r="BC12" s="72"/>
      <c r="BD12" s="73" t="str">
        <f aca="false">IF(AND(BB12&gt;=6,AP12&gt;=6,AJ12&gt;=6,AD12&gt;=6,X12&gt;=6),"да","нет")</f>
        <v>нет</v>
      </c>
      <c r="BE12" s="72"/>
      <c r="BF12" s="118"/>
      <c r="BG12" s="71"/>
      <c r="BH12" s="68"/>
      <c r="BI12" s="50"/>
      <c r="BJ12" s="107" t="n">
        <f aca="false">SUM(X12,AD12,AJ12,AP12,AV12,AX12:AY12,BH12,BB12,BG12)</f>
        <v>0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60" t="s">
        <v>417</v>
      </c>
      <c r="C13" s="61" t="s">
        <v>191</v>
      </c>
      <c r="D13" s="61" t="s">
        <v>416</v>
      </c>
      <c r="E13" s="62"/>
      <c r="F13" s="145" t="s">
        <v>696</v>
      </c>
      <c r="G13" s="145" t="s">
        <v>734</v>
      </c>
      <c r="H13" s="145" t="s">
        <v>739</v>
      </c>
      <c r="I13" s="145" t="s">
        <v>734</v>
      </c>
      <c r="J13" s="145" t="s">
        <v>734</v>
      </c>
      <c r="K13" s="145" t="s">
        <v>739</v>
      </c>
      <c r="L13" s="145" t="s">
        <v>734</v>
      </c>
      <c r="M13" s="145" t="s">
        <v>734</v>
      </c>
      <c r="N13" s="64" t="s">
        <v>735</v>
      </c>
      <c r="O13" s="64" t="s">
        <v>735</v>
      </c>
      <c r="P13" s="64"/>
      <c r="Q13" s="64"/>
      <c r="R13" s="64"/>
      <c r="S13" s="65"/>
      <c r="T13" s="66" t="s">
        <v>909</v>
      </c>
      <c r="U13" s="67" t="n">
        <v>45729</v>
      </c>
      <c r="V13" s="67" t="n">
        <v>45729</v>
      </c>
      <c r="W13" s="67" t="n">
        <v>45729</v>
      </c>
      <c r="X13" s="87" t="n">
        <v>10</v>
      </c>
      <c r="Y13" s="69"/>
      <c r="Z13" s="70" t="n">
        <v>4431</v>
      </c>
      <c r="AA13" s="67" t="n">
        <v>45757</v>
      </c>
      <c r="AB13" s="67" t="n">
        <v>45757</v>
      </c>
      <c r="AC13" s="67" t="n">
        <v>45757</v>
      </c>
      <c r="AD13" s="87" t="n">
        <v>10</v>
      </c>
      <c r="AE13" s="69"/>
      <c r="AF13" s="70" t="n">
        <v>4512</v>
      </c>
      <c r="AG13" s="106" t="n">
        <v>45771</v>
      </c>
      <c r="AH13" s="106" t="n">
        <v>45771</v>
      </c>
      <c r="AI13" s="106" t="n">
        <v>45771</v>
      </c>
      <c r="AJ13" s="87" t="n">
        <v>10</v>
      </c>
      <c r="AK13" s="69"/>
      <c r="AL13" s="70" t="n">
        <v>312</v>
      </c>
      <c r="AM13" s="106" t="n">
        <v>45799</v>
      </c>
      <c r="AN13" s="106" t="n">
        <v>45799</v>
      </c>
      <c r="AO13" s="106" t="n">
        <v>45799</v>
      </c>
      <c r="AP13" s="87" t="n">
        <v>10</v>
      </c>
      <c r="AQ13" s="69"/>
      <c r="AR13" s="70" t="n">
        <v>5128</v>
      </c>
      <c r="AS13" s="106" t="n">
        <v>45805</v>
      </c>
      <c r="AT13" s="106" t="n">
        <v>45805</v>
      </c>
      <c r="AU13" s="106" t="n">
        <v>45805</v>
      </c>
      <c r="AV13" s="87" t="n">
        <v>10</v>
      </c>
      <c r="AW13" s="69"/>
      <c r="AX13" s="68" t="n">
        <v>1</v>
      </c>
      <c r="AY13" s="68" t="n">
        <v>1.5</v>
      </c>
      <c r="AZ13" s="69"/>
      <c r="BA13" s="106" t="n">
        <v>45791</v>
      </c>
      <c r="BB13" s="87" t="n">
        <v>9.5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45822</v>
      </c>
      <c r="BG13" s="71" t="n">
        <v>7</v>
      </c>
      <c r="BH13" s="68"/>
      <c r="BI13" s="50"/>
      <c r="BJ13" s="107" t="n">
        <f aca="false">SUM(X13,AD13,AJ13,AP13,AV13,AX13:AY13,BH13,BB13,BG13)</f>
        <v>69</v>
      </c>
      <c r="BK13" s="73" t="str">
        <f aca="false">IF(BJ13&gt;90,"A",IF(BJ13&gt;83,"B",IF(BJ13&gt;74,"C",IF(BJ13&gt;67,"D",IF(BJ13&gt;=60,"E","FX")))))</f>
        <v>D</v>
      </c>
    </row>
    <row r="14" customFormat="false" ht="15.75" hidden="false" customHeight="false" outlineLevel="0" collapsed="false">
      <c r="A14" s="59" t="n">
        <f aca="false">A13+1</f>
        <v>12</v>
      </c>
      <c r="B14" s="60" t="s">
        <v>431</v>
      </c>
      <c r="C14" s="61" t="s">
        <v>191</v>
      </c>
      <c r="D14" s="61" t="s">
        <v>430</v>
      </c>
      <c r="E14" s="62"/>
      <c r="F14" s="145" t="s">
        <v>735</v>
      </c>
      <c r="G14" s="145" t="s">
        <v>735</v>
      </c>
      <c r="H14" s="145" t="s">
        <v>735</v>
      </c>
      <c r="I14" s="145" t="s">
        <v>734</v>
      </c>
      <c r="J14" s="145" t="s">
        <v>734</v>
      </c>
      <c r="K14" s="145" t="s">
        <v>696</v>
      </c>
      <c r="L14" s="145" t="s">
        <v>734</v>
      </c>
      <c r="M14" s="145" t="s">
        <v>735</v>
      </c>
      <c r="N14" s="64" t="s">
        <v>734</v>
      </c>
      <c r="O14" s="64" t="s">
        <v>735</v>
      </c>
      <c r="P14" s="64"/>
      <c r="Q14" s="64"/>
      <c r="R14" s="64"/>
      <c r="S14" s="65"/>
      <c r="T14" s="66" t="s">
        <v>910</v>
      </c>
      <c r="U14" s="67" t="n">
        <v>45799</v>
      </c>
      <c r="V14" s="67" t="n">
        <v>45799</v>
      </c>
      <c r="W14" s="67" t="n">
        <v>45799</v>
      </c>
      <c r="X14" s="87" t="n">
        <v>8</v>
      </c>
      <c r="Y14" s="69"/>
      <c r="Z14" s="70" t="n">
        <v>6524</v>
      </c>
      <c r="AA14" s="67" t="n">
        <v>45830</v>
      </c>
      <c r="AB14" s="67" t="n">
        <v>45830</v>
      </c>
      <c r="AC14" s="67" t="n">
        <v>45830</v>
      </c>
      <c r="AD14" s="87" t="n">
        <v>8</v>
      </c>
      <c r="AE14" s="69"/>
      <c r="AF14" s="70" t="n">
        <v>3695</v>
      </c>
      <c r="AG14" s="70"/>
      <c r="AH14" s="70"/>
      <c r="AI14" s="70"/>
      <c r="AJ14" s="87"/>
      <c r="AK14" s="69"/>
      <c r="AL14" s="70"/>
      <c r="AM14" s="70"/>
      <c r="AN14" s="70"/>
      <c r="AO14" s="70"/>
      <c r="AP14" s="87"/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87" t="n">
        <v>0</v>
      </c>
      <c r="AW14" s="69"/>
      <c r="AX14" s="68" t="n">
        <v>0</v>
      </c>
      <c r="AY14" s="68"/>
      <c r="AZ14" s="69"/>
      <c r="BA14" s="67" t="n">
        <v>45826</v>
      </c>
      <c r="BB14" s="87" t="n">
        <v>0.02</v>
      </c>
      <c r="BC14" s="72"/>
      <c r="BD14" s="73" t="str">
        <f aca="false">IF(AND(BB14&gt;=6,AP14&gt;=6,AJ14&gt;=6,AD14&gt;=6,X14&gt;=6),"да","нет")</f>
        <v>нет</v>
      </c>
      <c r="BE14" s="72"/>
      <c r="BF14" s="118"/>
      <c r="BG14" s="71"/>
      <c r="BH14" s="68"/>
      <c r="BI14" s="50"/>
      <c r="BJ14" s="107" t="n">
        <f aca="false">SUM(X14,AD14,AJ14,AP14,AV14,AX14:AY14,BH14,BB14,BG14)</f>
        <v>16.02</v>
      </c>
      <c r="BK14" s="73" t="str">
        <f aca="false">IF(BJ14&gt;90,"A",IF(BJ14&gt;83,"B",IF(BJ14&gt;74,"C",IF(BJ14&gt;67,"D",IF(BJ14&gt;=60,"E","FX")))))</f>
        <v>FX</v>
      </c>
    </row>
    <row r="15" customFormat="false" ht="15.75" hidden="false" customHeight="false" outlineLevel="0" collapsed="false">
      <c r="A15" s="59" t="n">
        <f aca="false">A14+1</f>
        <v>13</v>
      </c>
      <c r="B15" s="60" t="s">
        <v>441</v>
      </c>
      <c r="C15" s="61" t="s">
        <v>191</v>
      </c>
      <c r="D15" s="61" t="s">
        <v>440</v>
      </c>
      <c r="E15" s="62"/>
      <c r="F15" s="145" t="s">
        <v>696</v>
      </c>
      <c r="G15" s="145" t="s">
        <v>734</v>
      </c>
      <c r="H15" s="145" t="s">
        <v>734</v>
      </c>
      <c r="I15" s="145" t="s">
        <v>734</v>
      </c>
      <c r="J15" s="145" t="s">
        <v>735</v>
      </c>
      <c r="K15" s="145" t="s">
        <v>734</v>
      </c>
      <c r="L15" s="145" t="s">
        <v>734</v>
      </c>
      <c r="M15" s="145" t="s">
        <v>734</v>
      </c>
      <c r="N15" s="64" t="s">
        <v>734</v>
      </c>
      <c r="O15" s="64" t="s">
        <v>735</v>
      </c>
      <c r="P15" s="64"/>
      <c r="Q15" s="64"/>
      <c r="R15" s="64"/>
      <c r="S15" s="65"/>
      <c r="T15" s="66" t="s">
        <v>911</v>
      </c>
      <c r="U15" s="67" t="n">
        <v>45729</v>
      </c>
      <c r="V15" s="67" t="n">
        <v>45729</v>
      </c>
      <c r="W15" s="67" t="n">
        <v>45729</v>
      </c>
      <c r="X15" s="87" t="n">
        <v>10</v>
      </c>
      <c r="Y15" s="69"/>
      <c r="Z15" s="70" t="n">
        <v>8864</v>
      </c>
      <c r="AA15" s="106" t="n">
        <v>45771</v>
      </c>
      <c r="AB15" s="106" t="n">
        <v>45771</v>
      </c>
      <c r="AC15" s="106" t="n">
        <v>45771</v>
      </c>
      <c r="AD15" s="87" t="n">
        <v>10</v>
      </c>
      <c r="AE15" s="69"/>
      <c r="AF15" s="70" t="n">
        <v>7345</v>
      </c>
      <c r="AG15" s="106" t="n">
        <v>45805</v>
      </c>
      <c r="AH15" s="106" t="n">
        <v>45805</v>
      </c>
      <c r="AI15" s="106" t="n">
        <v>45805</v>
      </c>
      <c r="AJ15" s="87" t="n">
        <v>10</v>
      </c>
      <c r="AK15" s="69"/>
      <c r="AL15" s="70" t="n">
        <v>889</v>
      </c>
      <c r="AM15" s="106" t="n">
        <v>45817</v>
      </c>
      <c r="AN15" s="106" t="n">
        <v>45817</v>
      </c>
      <c r="AO15" s="106" t="n">
        <v>45817</v>
      </c>
      <c r="AP15" s="87" t="n">
        <v>10</v>
      </c>
      <c r="AQ15" s="69"/>
      <c r="AR15" s="70" t="n">
        <v>331</v>
      </c>
      <c r="AS15" s="70" t="s">
        <v>737</v>
      </c>
      <c r="AT15" s="70" t="s">
        <v>737</v>
      </c>
      <c r="AU15" s="70" t="s">
        <v>737</v>
      </c>
      <c r="AV15" s="87" t="n">
        <v>0</v>
      </c>
      <c r="AW15" s="69"/>
      <c r="AX15" s="68" t="n">
        <v>0</v>
      </c>
      <c r="AY15" s="68" t="n">
        <v>3</v>
      </c>
      <c r="AZ15" s="69"/>
      <c r="BA15" s="106" t="n">
        <v>45791</v>
      </c>
      <c r="BB15" s="87" t="n">
        <v>10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45822</v>
      </c>
      <c r="BG15" s="71" t="n">
        <v>20</v>
      </c>
      <c r="BH15" s="68" t="n">
        <v>2</v>
      </c>
      <c r="BI15" s="50"/>
      <c r="BJ15" s="107" t="n">
        <f aca="false">SUM(X15,AD15,AJ15,AP15,AV15,AX15:AY15,BH15,BB15,BG15)</f>
        <v>75</v>
      </c>
      <c r="BK15" s="73" t="str">
        <f aca="false">IF(BJ15&gt;90,"A",IF(BJ15&gt;83,"B",IF(BJ15&gt;74,"C",IF(BJ15&gt;67,"D",IF(BJ15&gt;=60,"E","FX")))))</f>
        <v>C</v>
      </c>
    </row>
    <row r="16" customFormat="false" ht="15.75" hidden="false" customHeight="false" outlineLevel="0" collapsed="false">
      <c r="A16" s="59" t="n">
        <f aca="false">A15+1</f>
        <v>14</v>
      </c>
      <c r="B16" s="60" t="s">
        <v>485</v>
      </c>
      <c r="C16" s="61" t="s">
        <v>191</v>
      </c>
      <c r="D16" s="61" t="s">
        <v>484</v>
      </c>
      <c r="E16" s="62"/>
      <c r="F16" s="145" t="s">
        <v>696</v>
      </c>
      <c r="G16" s="145" t="s">
        <v>734</v>
      </c>
      <c r="H16" s="145" t="s">
        <v>734</v>
      </c>
      <c r="I16" s="145" t="s">
        <v>734</v>
      </c>
      <c r="J16" s="145" t="s">
        <v>738</v>
      </c>
      <c r="K16" s="145" t="s">
        <v>696</v>
      </c>
      <c r="L16" s="145" t="s">
        <v>739</v>
      </c>
      <c r="M16" s="145" t="s">
        <v>734</v>
      </c>
      <c r="N16" s="64" t="s">
        <v>734</v>
      </c>
      <c r="O16" s="64" t="s">
        <v>735</v>
      </c>
      <c r="P16" s="64"/>
      <c r="Q16" s="64"/>
      <c r="R16" s="64"/>
      <c r="S16" s="65"/>
      <c r="T16" s="66" t="s">
        <v>912</v>
      </c>
      <c r="U16" s="67" t="n">
        <v>45729</v>
      </c>
      <c r="V16" s="67" t="n">
        <v>45729</v>
      </c>
      <c r="W16" s="67" t="n">
        <v>45743</v>
      </c>
      <c r="X16" s="87" t="n">
        <v>9</v>
      </c>
      <c r="Y16" s="69"/>
      <c r="Z16" s="70" t="n">
        <v>5552</v>
      </c>
      <c r="AA16" s="67" t="n">
        <v>45799</v>
      </c>
      <c r="AB16" s="67" t="n">
        <v>45799</v>
      </c>
      <c r="AC16" s="67" t="n">
        <v>45799</v>
      </c>
      <c r="AD16" s="87" t="n">
        <v>10</v>
      </c>
      <c r="AE16" s="69"/>
      <c r="AF16" s="70" t="n">
        <v>7763</v>
      </c>
      <c r="AG16" s="106" t="n">
        <v>45805</v>
      </c>
      <c r="AH16" s="106" t="n">
        <v>45805</v>
      </c>
      <c r="AI16" s="106" t="n">
        <v>45805</v>
      </c>
      <c r="AJ16" s="87" t="n">
        <v>9</v>
      </c>
      <c r="AK16" s="69"/>
      <c r="AL16" s="70" t="n">
        <v>123</v>
      </c>
      <c r="AM16" s="106" t="n">
        <v>45817</v>
      </c>
      <c r="AN16" s="106" t="n">
        <v>45817</v>
      </c>
      <c r="AO16" s="106" t="n">
        <v>45817</v>
      </c>
      <c r="AP16" s="87" t="n">
        <v>8.5</v>
      </c>
      <c r="AQ16" s="69"/>
      <c r="AR16" s="70" t="n">
        <v>871</v>
      </c>
      <c r="AS16" s="70" t="s">
        <v>737</v>
      </c>
      <c r="AT16" s="70" t="s">
        <v>737</v>
      </c>
      <c r="AU16" s="70" t="s">
        <v>737</v>
      </c>
      <c r="AV16" s="87" t="n">
        <v>0</v>
      </c>
      <c r="AW16" s="69"/>
      <c r="AX16" s="68" t="n">
        <v>0</v>
      </c>
      <c r="AY16" s="68"/>
      <c r="AZ16" s="69"/>
      <c r="BA16" s="106" t="n">
        <v>45791</v>
      </c>
      <c r="BB16" s="87" t="n">
        <v>6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45822</v>
      </c>
      <c r="BG16" s="71" t="n">
        <v>25</v>
      </c>
      <c r="BH16" s="68"/>
      <c r="BI16" s="50"/>
      <c r="BJ16" s="107" t="n">
        <f aca="false">SUM(X16,AD16,AJ16,AP16,AV16,AX16:AY16,BH16,BB16,BG16)</f>
        <v>67.5</v>
      </c>
      <c r="BK16" s="73" t="str">
        <f aca="false">IF(BJ16&gt;90,"A",IF(BJ16&gt;83,"B",IF(BJ16&gt;74,"C",IF(BJ16&gt;67,"D",IF(BJ16&gt;=60,"E","FX")))))</f>
        <v>D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527</v>
      </c>
      <c r="C17" s="61" t="s">
        <v>191</v>
      </c>
      <c r="D17" s="61" t="s">
        <v>526</v>
      </c>
      <c r="E17" s="62"/>
      <c r="F17" s="145" t="s">
        <v>735</v>
      </c>
      <c r="G17" s="145" t="s">
        <v>735</v>
      </c>
      <c r="H17" s="145" t="s">
        <v>734</v>
      </c>
      <c r="I17" s="145" t="s">
        <v>734</v>
      </c>
      <c r="J17" s="145" t="s">
        <v>735</v>
      </c>
      <c r="K17" s="145" t="s">
        <v>739</v>
      </c>
      <c r="L17" s="145" t="s">
        <v>739</v>
      </c>
      <c r="M17" s="145" t="s">
        <v>739</v>
      </c>
      <c r="N17" s="64" t="s">
        <v>734</v>
      </c>
      <c r="O17" s="64" t="s">
        <v>735</v>
      </c>
      <c r="P17" s="64"/>
      <c r="Q17" s="64"/>
      <c r="R17" s="64"/>
      <c r="S17" s="65"/>
      <c r="T17" s="66" t="s">
        <v>913</v>
      </c>
      <c r="U17" s="67" t="n">
        <v>45743</v>
      </c>
      <c r="V17" s="67" t="n">
        <v>45743</v>
      </c>
      <c r="W17" s="67" t="n">
        <v>45743</v>
      </c>
      <c r="X17" s="87" t="n">
        <v>10</v>
      </c>
      <c r="Y17" s="69"/>
      <c r="Z17" s="70" t="n">
        <v>4441</v>
      </c>
      <c r="AA17" s="106" t="n">
        <v>45771</v>
      </c>
      <c r="AB17" s="106" t="n">
        <v>45771</v>
      </c>
      <c r="AC17" s="106" t="n">
        <v>45771</v>
      </c>
      <c r="AD17" s="87" t="n">
        <v>10</v>
      </c>
      <c r="AE17" s="69"/>
      <c r="AF17" s="70" t="n">
        <v>5421</v>
      </c>
      <c r="AG17" s="106" t="n">
        <v>45799</v>
      </c>
      <c r="AH17" s="106" t="n">
        <v>45799</v>
      </c>
      <c r="AI17" s="106" t="n">
        <v>45799</v>
      </c>
      <c r="AJ17" s="87" t="n">
        <v>10</v>
      </c>
      <c r="AK17" s="69"/>
      <c r="AL17" s="70" t="n">
        <v>994</v>
      </c>
      <c r="AM17" s="106" t="n">
        <v>45805</v>
      </c>
      <c r="AN17" s="106" t="n">
        <v>45805</v>
      </c>
      <c r="AO17" s="106" t="n">
        <v>45805</v>
      </c>
      <c r="AP17" s="87" t="n">
        <v>10</v>
      </c>
      <c r="AQ17" s="69"/>
      <c r="AR17" s="70" t="n">
        <v>7400</v>
      </c>
      <c r="AS17" s="106" t="n">
        <v>45817</v>
      </c>
      <c r="AT17" s="106" t="n">
        <v>45817</v>
      </c>
      <c r="AU17" s="106" t="n">
        <v>45817</v>
      </c>
      <c r="AV17" s="87" t="n">
        <v>10</v>
      </c>
      <c r="AW17" s="69"/>
      <c r="AX17" s="68" t="n">
        <v>1</v>
      </c>
      <c r="AY17" s="68"/>
      <c r="AZ17" s="69"/>
      <c r="BA17" s="106" t="n">
        <v>45791</v>
      </c>
      <c r="BB17" s="87" t="n">
        <v>10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45822</v>
      </c>
      <c r="BG17" s="71" t="n">
        <v>20</v>
      </c>
      <c r="BH17" s="68"/>
      <c r="BI17" s="50"/>
      <c r="BJ17" s="107" t="n">
        <f aca="false">SUM(X17,AD17,AJ17,AP17,AV17,AX17:AY17,BH17,BB17,BG17)</f>
        <v>81</v>
      </c>
      <c r="BK17" s="73" t="str">
        <f aca="false">IF(BJ17&gt;90,"A",IF(BJ17&gt;83,"B",IF(BJ17&gt;74,"C",IF(BJ17&gt;67,"D",IF(BJ17&gt;=60,"E","FX")))))</f>
        <v>C</v>
      </c>
    </row>
    <row r="18" customFormat="false" ht="15.75" hidden="false" customHeight="false" outlineLevel="0" collapsed="false">
      <c r="A18" s="59" t="n">
        <f aca="false">A17+1</f>
        <v>16</v>
      </c>
      <c r="B18" s="60" t="s">
        <v>545</v>
      </c>
      <c r="C18" s="61" t="s">
        <v>191</v>
      </c>
      <c r="D18" s="61" t="s">
        <v>544</v>
      </c>
      <c r="E18" s="62"/>
      <c r="F18" s="145" t="s">
        <v>696</v>
      </c>
      <c r="G18" s="145" t="s">
        <v>734</v>
      </c>
      <c r="H18" s="145" t="s">
        <v>696</v>
      </c>
      <c r="I18" s="145" t="s">
        <v>734</v>
      </c>
      <c r="J18" s="145" t="s">
        <v>734</v>
      </c>
      <c r="K18" s="145" t="s">
        <v>734</v>
      </c>
      <c r="L18" s="145" t="s">
        <v>739</v>
      </c>
      <c r="M18" s="145" t="s">
        <v>734</v>
      </c>
      <c r="N18" s="64" t="s">
        <v>734</v>
      </c>
      <c r="O18" s="64" t="s">
        <v>734</v>
      </c>
      <c r="P18" s="64"/>
      <c r="Q18" s="64"/>
      <c r="R18" s="64"/>
      <c r="S18" s="65"/>
      <c r="T18" s="66" t="s">
        <v>914</v>
      </c>
      <c r="U18" s="67" t="n">
        <v>45771</v>
      </c>
      <c r="V18" s="67" t="n">
        <v>45771</v>
      </c>
      <c r="W18" s="67" t="n">
        <v>45771</v>
      </c>
      <c r="X18" s="87" t="n">
        <v>8</v>
      </c>
      <c r="Y18" s="69"/>
      <c r="Z18" s="70" t="n">
        <v>1235</v>
      </c>
      <c r="AA18" s="106" t="n">
        <v>45805</v>
      </c>
      <c r="AB18" s="106" t="n">
        <v>45805</v>
      </c>
      <c r="AC18" s="106" t="n">
        <v>45805</v>
      </c>
      <c r="AD18" s="87" t="n">
        <v>10</v>
      </c>
      <c r="AE18" s="69"/>
      <c r="AF18" s="70" t="n">
        <v>9576</v>
      </c>
      <c r="AG18" s="106" t="n">
        <v>45817</v>
      </c>
      <c r="AH18" s="106" t="n">
        <v>45817</v>
      </c>
      <c r="AI18" s="106" t="n">
        <v>45817</v>
      </c>
      <c r="AJ18" s="87" t="n">
        <v>8.5</v>
      </c>
      <c r="AK18" s="69"/>
      <c r="AL18" s="70" t="n">
        <v>311</v>
      </c>
      <c r="AM18" s="106" t="n">
        <v>45820</v>
      </c>
      <c r="AN18" s="106" t="n">
        <v>45820</v>
      </c>
      <c r="AO18" s="106" t="n">
        <v>45820</v>
      </c>
      <c r="AP18" s="87" t="n">
        <v>8</v>
      </c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87" t="n">
        <v>0</v>
      </c>
      <c r="AW18" s="69"/>
      <c r="AX18" s="68" t="n">
        <v>0</v>
      </c>
      <c r="AY18" s="68" t="n">
        <v>1</v>
      </c>
      <c r="AZ18" s="69"/>
      <c r="BA18" s="67" t="n">
        <v>45826</v>
      </c>
      <c r="BB18" s="87" t="n">
        <v>6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45822</v>
      </c>
      <c r="BG18" s="71" t="n">
        <v>20</v>
      </c>
      <c r="BH18" s="68"/>
      <c r="BI18" s="50"/>
      <c r="BJ18" s="107" t="n">
        <f aca="false">SUM(X18,AD18,AJ18,AP18,AV18,AX18:AY18,BH18,BB18,BG18)</f>
        <v>61.5</v>
      </c>
      <c r="BK18" s="73" t="str">
        <f aca="false">IF(BJ18&gt;90,"A",IF(BJ18&gt;83,"B",IF(BJ18&gt;74,"C",IF(BJ18&gt;67,"D",IF(BJ18&gt;=60,"E","FX")))))</f>
        <v>E</v>
      </c>
    </row>
    <row r="19" customFormat="false" ht="15.75" hidden="false" customHeight="false" outlineLevel="0" collapsed="false">
      <c r="A19" s="59" t="n">
        <f aca="false">A18+1</f>
        <v>17</v>
      </c>
      <c r="B19" s="60" t="s">
        <v>597</v>
      </c>
      <c r="C19" s="61" t="s">
        <v>191</v>
      </c>
      <c r="D19" s="61" t="s">
        <v>596</v>
      </c>
      <c r="E19" s="62"/>
      <c r="F19" s="145" t="s">
        <v>696</v>
      </c>
      <c r="G19" s="145" t="s">
        <v>739</v>
      </c>
      <c r="H19" s="145" t="s">
        <v>734</v>
      </c>
      <c r="I19" s="145" t="s">
        <v>696</v>
      </c>
      <c r="J19" s="145" t="s">
        <v>734</v>
      </c>
      <c r="K19" s="145" t="s">
        <v>739</v>
      </c>
      <c r="L19" s="145" t="s">
        <v>734</v>
      </c>
      <c r="M19" s="145" t="s">
        <v>734</v>
      </c>
      <c r="N19" s="64" t="s">
        <v>735</v>
      </c>
      <c r="O19" s="64" t="s">
        <v>735</v>
      </c>
      <c r="P19" s="64"/>
      <c r="Q19" s="64"/>
      <c r="R19" s="64"/>
      <c r="S19" s="65"/>
      <c r="T19" s="66" t="s">
        <v>915</v>
      </c>
      <c r="U19" s="67" t="n">
        <v>45715</v>
      </c>
      <c r="V19" s="67" t="n">
        <v>45715</v>
      </c>
      <c r="W19" s="67" t="n">
        <v>45729</v>
      </c>
      <c r="X19" s="87" t="n">
        <v>10</v>
      </c>
      <c r="Y19" s="69"/>
      <c r="Z19" s="70" t="n">
        <v>4341</v>
      </c>
      <c r="AA19" s="67" t="n">
        <v>45757</v>
      </c>
      <c r="AB19" s="67" t="n">
        <v>45757</v>
      </c>
      <c r="AC19" s="67" t="n">
        <v>45757</v>
      </c>
      <c r="AD19" s="87" t="n">
        <v>10</v>
      </c>
      <c r="AE19" s="69"/>
      <c r="AF19" s="70" t="n">
        <v>5512</v>
      </c>
      <c r="AG19" s="106" t="n">
        <v>45771</v>
      </c>
      <c r="AH19" s="106" t="n">
        <v>45771</v>
      </c>
      <c r="AI19" s="106" t="n">
        <v>45771</v>
      </c>
      <c r="AJ19" s="87" t="n">
        <v>10</v>
      </c>
      <c r="AK19" s="69"/>
      <c r="AL19" s="70" t="n">
        <v>452</v>
      </c>
      <c r="AM19" s="106" t="n">
        <v>45799</v>
      </c>
      <c r="AN19" s="106" t="n">
        <v>45799</v>
      </c>
      <c r="AO19" s="106" t="n">
        <v>45799</v>
      </c>
      <c r="AP19" s="87" t="n">
        <v>10</v>
      </c>
      <c r="AQ19" s="69"/>
      <c r="AR19" s="70" t="n">
        <v>3321</v>
      </c>
      <c r="AS19" s="106" t="n">
        <v>45805</v>
      </c>
      <c r="AT19" s="106" t="n">
        <v>45805</v>
      </c>
      <c r="AU19" s="106" t="n">
        <v>45805</v>
      </c>
      <c r="AV19" s="87" t="n">
        <v>10</v>
      </c>
      <c r="AW19" s="69"/>
      <c r="AX19" s="68" t="n">
        <v>0</v>
      </c>
      <c r="AY19" s="68" t="n">
        <v>2</v>
      </c>
      <c r="AZ19" s="69"/>
      <c r="BA19" s="106" t="n">
        <v>45791</v>
      </c>
      <c r="BB19" s="87" t="n">
        <v>10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45822</v>
      </c>
      <c r="BG19" s="71" t="n">
        <v>24</v>
      </c>
      <c r="BH19" s="68"/>
      <c r="BI19" s="50"/>
      <c r="BJ19" s="107" t="n">
        <f aca="false">SUM(X19,AD19,AJ19,AP19,AV19,AX19:AY19,BH19,BB19,BG19)</f>
        <v>86</v>
      </c>
      <c r="BK19" s="73" t="str">
        <f aca="false">IF(BJ19&gt;90,"A",IF(BJ19&gt;83,"B",IF(BJ19&gt;74,"C",IF(BJ19&gt;67,"D",IF(BJ19&gt;=60,"E","FX")))))</f>
        <v>B</v>
      </c>
    </row>
    <row r="20" customFormat="false" ht="15.75" hidden="false" customHeight="false" outlineLevel="0" collapsed="false">
      <c r="A20" s="59" t="n">
        <f aca="false">A19+1</f>
        <v>18</v>
      </c>
      <c r="B20" s="60" t="s">
        <v>657</v>
      </c>
      <c r="C20" s="61" t="s">
        <v>191</v>
      </c>
      <c r="D20" s="61" t="s">
        <v>656</v>
      </c>
      <c r="E20" s="62"/>
      <c r="F20" s="145" t="s">
        <v>696</v>
      </c>
      <c r="G20" s="145" t="s">
        <v>735</v>
      </c>
      <c r="H20" s="145" t="s">
        <v>734</v>
      </c>
      <c r="I20" s="145" t="s">
        <v>734</v>
      </c>
      <c r="J20" s="145" t="s">
        <v>734</v>
      </c>
      <c r="K20" s="145" t="s">
        <v>735</v>
      </c>
      <c r="L20" s="145" t="s">
        <v>735</v>
      </c>
      <c r="M20" s="145" t="s">
        <v>734</v>
      </c>
      <c r="N20" s="64" t="s">
        <v>734</v>
      </c>
      <c r="O20" s="64" t="s">
        <v>734</v>
      </c>
      <c r="P20" s="64"/>
      <c r="Q20" s="64"/>
      <c r="R20" s="64"/>
      <c r="S20" s="65"/>
      <c r="T20" s="66" t="s">
        <v>916</v>
      </c>
      <c r="U20" s="67" t="n">
        <v>45743</v>
      </c>
      <c r="V20" s="67" t="n">
        <v>45743</v>
      </c>
      <c r="W20" s="67" t="n">
        <v>45743</v>
      </c>
      <c r="X20" s="87" t="n">
        <v>10</v>
      </c>
      <c r="Y20" s="69"/>
      <c r="Z20" s="70" t="n">
        <v>7773</v>
      </c>
      <c r="AA20" s="106" t="n">
        <v>45771</v>
      </c>
      <c r="AB20" s="106" t="n">
        <v>45771</v>
      </c>
      <c r="AC20" s="106" t="n">
        <v>45771</v>
      </c>
      <c r="AD20" s="87" t="n">
        <v>9.5</v>
      </c>
      <c r="AE20" s="69"/>
      <c r="AF20" s="70" t="n">
        <v>3214</v>
      </c>
      <c r="AG20" s="106" t="n">
        <v>45817</v>
      </c>
      <c r="AH20" s="106" t="n">
        <v>45817</v>
      </c>
      <c r="AI20" s="106" t="n">
        <v>45817</v>
      </c>
      <c r="AJ20" s="87" t="n">
        <v>10</v>
      </c>
      <c r="AK20" s="69"/>
      <c r="AL20" s="70" t="n">
        <v>335</v>
      </c>
      <c r="AM20" s="106" t="n">
        <v>45820</v>
      </c>
      <c r="AN20" s="106" t="n">
        <v>45820</v>
      </c>
      <c r="AO20" s="106" t="n">
        <v>45820</v>
      </c>
      <c r="AP20" s="68" t="n">
        <v>9.5</v>
      </c>
      <c r="AQ20" s="69"/>
      <c r="AR20" s="70" t="s">
        <v>737</v>
      </c>
      <c r="AS20" s="70" t="s">
        <v>737</v>
      </c>
      <c r="AT20" s="70" t="s">
        <v>737</v>
      </c>
      <c r="AU20" s="70" t="s">
        <v>737</v>
      </c>
      <c r="AV20" s="87" t="n">
        <v>0</v>
      </c>
      <c r="AW20" s="69"/>
      <c r="AX20" s="68"/>
      <c r="AY20" s="68"/>
      <c r="AZ20" s="69"/>
      <c r="BA20" s="106" t="n">
        <v>45791</v>
      </c>
      <c r="BB20" s="87" t="n">
        <v>10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45822</v>
      </c>
      <c r="BG20" s="71" t="n">
        <v>18</v>
      </c>
      <c r="BH20" s="68"/>
      <c r="BI20" s="50"/>
      <c r="BJ20" s="107" t="n">
        <f aca="false">SUM(X20,AD20,AJ20,AP20,AV20,AX20:AY20,BH20,BB20,BG20)</f>
        <v>67</v>
      </c>
      <c r="BK20" s="73" t="str">
        <f aca="false">IF(BJ20&gt;90,"A",IF(BJ20&gt;83,"B",IF(BJ20&gt;74,"C",IF(BJ20&gt;67,"D",IF(BJ20&gt;=60,"E","FX")))))</f>
        <v>E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70"/>
      <c r="V23" s="70"/>
      <c r="W23" s="70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3.75" hidden="false" customHeight="true" outlineLevel="0" collapsed="false">
      <c r="A25" s="76"/>
      <c r="B25" s="76"/>
      <c r="C25" s="76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9"/>
      <c r="AN25" s="65"/>
      <c r="AO25" s="65"/>
      <c r="AP25" s="65"/>
      <c r="AQ25" s="65"/>
      <c r="AR25" s="65"/>
      <c r="AS25" s="65"/>
      <c r="AT25" s="65"/>
      <c r="AU25" s="65"/>
      <c r="AV25" s="65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80"/>
      <c r="BJ25" s="72"/>
      <c r="BK25" s="72"/>
    </row>
    <row r="26" customFormat="false" ht="15.75" hidden="false" customHeight="false" outlineLevel="0" collapsed="false">
      <c r="A26" s="81"/>
      <c r="B26" s="81" t="s">
        <v>678</v>
      </c>
      <c r="C26" s="81"/>
      <c r="D26" s="81"/>
      <c r="E26" s="69"/>
      <c r="F26" s="70" t="n">
        <f aca="false">COUNTIF(F$3:F$21, "~**")</f>
        <v>0</v>
      </c>
      <c r="G26" s="70" t="n">
        <f aca="false">COUNTIF(G$3:G$21, "~**")</f>
        <v>9</v>
      </c>
      <c r="H26" s="70" t="n">
        <f aca="false">COUNTIF(H$3:H$21, "~**")</f>
        <v>12</v>
      </c>
      <c r="I26" s="70" t="n">
        <f aca="false">COUNTIF(I$3:I$21, "~**")</f>
        <v>15</v>
      </c>
      <c r="J26" s="70" t="n">
        <f aca="false">COUNTIF(J$3:J$21, "~**")</f>
        <v>13</v>
      </c>
      <c r="K26" s="70" t="n">
        <f aca="false">COUNTIF(K$3:K$21, "~**")</f>
        <v>11</v>
      </c>
      <c r="L26" s="70" t="n">
        <f aca="false">COUNTIF(L$3:L$21, "~**")</f>
        <v>15</v>
      </c>
      <c r="M26" s="70" t="n">
        <f aca="false">COUNTIF(M$3:M$21, "~**")</f>
        <v>14</v>
      </c>
      <c r="N26" s="70" t="n">
        <f aca="false">COUNTIF(N$3:N$21, "~**")</f>
        <v>9</v>
      </c>
      <c r="O26" s="70"/>
      <c r="P26" s="70"/>
      <c r="Q26" s="70" t="n">
        <f aca="false">COUNTIF(Q$3:Q$21, "~**")</f>
        <v>0</v>
      </c>
      <c r="R26" s="70" t="n">
        <f aca="false">COUNTIF(R$3:R$21, "~**")</f>
        <v>0</v>
      </c>
      <c r="S26" s="82"/>
      <c r="T26" s="83" t="s">
        <v>679</v>
      </c>
      <c r="U26" s="84"/>
      <c r="V26" s="84"/>
      <c r="W26" s="84"/>
      <c r="X26" s="85" t="n">
        <v>44475</v>
      </c>
      <c r="Y26" s="69"/>
      <c r="Z26" s="70"/>
      <c r="AA26" s="85"/>
      <c r="AB26" s="85"/>
      <c r="AC26" s="85"/>
      <c r="AD26" s="85" t="n">
        <v>44475</v>
      </c>
      <c r="AE26" s="69"/>
      <c r="AF26" s="70"/>
      <c r="AG26" s="85"/>
      <c r="AH26" s="85"/>
      <c r="AI26" s="85"/>
      <c r="AJ26" s="85" t="n">
        <v>44475</v>
      </c>
      <c r="AK26" s="69"/>
      <c r="AL26" s="70"/>
      <c r="AM26" s="85"/>
      <c r="AN26" s="85"/>
      <c r="AO26" s="85"/>
      <c r="AP26" s="85" t="n">
        <v>45205</v>
      </c>
      <c r="AQ26" s="69"/>
      <c r="AR26" s="70"/>
      <c r="AS26" s="70"/>
      <c r="AT26" s="70"/>
      <c r="AU26" s="70"/>
      <c r="AV26" s="70" t="s">
        <v>680</v>
      </c>
      <c r="AW26" s="86"/>
      <c r="AX26" s="87" t="s">
        <v>681</v>
      </c>
      <c r="AY26" s="87" t="s">
        <v>681</v>
      </c>
      <c r="AZ26" s="86"/>
      <c r="BA26" s="87"/>
      <c r="BB26" s="85" t="n">
        <v>44840</v>
      </c>
      <c r="BC26" s="86"/>
      <c r="BD26" s="87"/>
      <c r="BE26" s="69"/>
      <c r="BF26" s="70"/>
      <c r="BG26" s="87" t="s">
        <v>682</v>
      </c>
      <c r="BH26" s="87" t="s">
        <v>683</v>
      </c>
      <c r="BI26" s="80"/>
      <c r="BJ26" s="74"/>
      <c r="BK26" s="74"/>
    </row>
    <row r="27" customFormat="false" ht="15.75" hidden="false" customHeight="false" outlineLevel="0" collapsed="false">
      <c r="A27" s="81"/>
      <c r="B27" s="81" t="s">
        <v>684</v>
      </c>
      <c r="C27" s="81"/>
      <c r="D27" s="81"/>
      <c r="E27" s="69"/>
      <c r="F27" s="70" t="n">
        <f aca="false">COUNTIF(F$3:F$21, "~**")+COUNTIF(F$3:F$21, "Y")</f>
        <v>12</v>
      </c>
      <c r="G27" s="70" t="n">
        <f aca="false">COUNTIF(G$3:G$21, "~**")+COUNTIF(G$3:G$21, "Y")</f>
        <v>11</v>
      </c>
      <c r="H27" s="70" t="n">
        <f aca="false">COUNTIF(H$3:H$21, "~**")+COUNTIF(H$3:H$21, "Y")</f>
        <v>14</v>
      </c>
      <c r="I27" s="70" t="n">
        <f aca="false">COUNTIF(I$3:I$21, "~**")+COUNTIF(I$3:I$21, "Y")</f>
        <v>16</v>
      </c>
      <c r="J27" s="70" t="n">
        <f aca="false">COUNTIF(J$3:J$21, "~**")+COUNTIF(J$3:J$21, "Y")</f>
        <v>13</v>
      </c>
      <c r="K27" s="70" t="n">
        <f aca="false">COUNTIF(K$3:K$21, "~**")+COUNTIF(K$3:K$21, "Y")</f>
        <v>13</v>
      </c>
      <c r="L27" s="70" t="n">
        <f aca="false">COUNTIF(L$3:L$21, "~**")+COUNTIF(L$3:L$21, "Y")</f>
        <v>15</v>
      </c>
      <c r="M27" s="70" t="n">
        <f aca="false">COUNTIF(M$3:M$21, "~**")+COUNTIF(M$3:M$21, "Y")</f>
        <v>14</v>
      </c>
      <c r="N27" s="70" t="n">
        <f aca="false">COUNTIF(N$3:N$21, "~**")+COUNTIF(N$3:N$21, "Y")</f>
        <v>9</v>
      </c>
      <c r="O27" s="70"/>
      <c r="P27" s="70"/>
      <c r="Q27" s="70" t="n">
        <f aca="false">COUNTIF(Q$3:Q$21, "~**")+COUNTIF(Q$3:Q$21, "Y")</f>
        <v>0</v>
      </c>
      <c r="R27" s="70" t="n">
        <f aca="false">COUNTIF(R$3:R$21, "~**")+COUNTIF(R$3:R$21, "Y")</f>
        <v>0</v>
      </c>
      <c r="S27" s="82"/>
      <c r="T27" s="83"/>
      <c r="U27" s="44"/>
      <c r="V27" s="44"/>
      <c r="W27" s="87"/>
      <c r="X27" s="88"/>
      <c r="Y27" s="78"/>
      <c r="Z27" s="88"/>
      <c r="AA27" s="88"/>
      <c r="AB27" s="88"/>
      <c r="AC27" s="87"/>
      <c r="AD27" s="87"/>
      <c r="AE27" s="86"/>
      <c r="AF27" s="87"/>
      <c r="AG27" s="89"/>
      <c r="AH27" s="87"/>
      <c r="AI27" s="87"/>
      <c r="AJ27" s="87"/>
      <c r="AK27" s="86"/>
      <c r="AL27" s="87"/>
      <c r="AM27" s="44"/>
      <c r="AN27" s="44"/>
      <c r="AO27" s="44"/>
      <c r="AP27" s="44"/>
      <c r="AQ27" s="77"/>
      <c r="AR27" s="44"/>
      <c r="AS27" s="44"/>
      <c r="AT27" s="44"/>
      <c r="AU27" s="70"/>
      <c r="AV27" s="90"/>
      <c r="AW27" s="72"/>
      <c r="AX27" s="74"/>
      <c r="AY27" s="74"/>
      <c r="AZ27" s="72"/>
      <c r="BA27" s="74"/>
      <c r="BB27" s="74"/>
      <c r="BC27" s="72"/>
      <c r="BD27" s="74"/>
      <c r="BE27" s="72"/>
      <c r="BF27" s="74"/>
      <c r="BG27" s="74"/>
      <c r="BH27" s="74"/>
      <c r="BI27" s="80"/>
      <c r="BJ27" s="74"/>
      <c r="BK27" s="74"/>
    </row>
    <row r="28" customFormat="false" ht="15.75" hidden="false" customHeight="false" outlineLevel="0" collapsed="false">
      <c r="A28" s="81"/>
      <c r="B28" s="81"/>
      <c r="C28" s="81"/>
      <c r="D28" s="81"/>
      <c r="E28" s="77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77"/>
      <c r="T28" s="44"/>
      <c r="U28" s="44"/>
      <c r="V28" s="44"/>
      <c r="W28" s="90"/>
      <c r="X28" s="44"/>
      <c r="Y28" s="77"/>
      <c r="Z28" s="44"/>
      <c r="AA28" s="44"/>
      <c r="AB28" s="44"/>
      <c r="AC28" s="90"/>
      <c r="AD28" s="90"/>
      <c r="AE28" s="91"/>
      <c r="AF28" s="90"/>
      <c r="AG28" s="44"/>
      <c r="AH28" s="90"/>
      <c r="AI28" s="44"/>
      <c r="AJ28" s="44"/>
      <c r="AK28" s="77"/>
      <c r="AL28" s="44"/>
      <c r="AM28" s="44"/>
      <c r="AN28" s="44"/>
      <c r="AO28" s="44"/>
      <c r="AP28" s="44"/>
      <c r="AQ28" s="77"/>
      <c r="AR28" s="44"/>
      <c r="AS28" s="44"/>
      <c r="AT28" s="44"/>
      <c r="AU28" s="9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 t="s">
        <v>685</v>
      </c>
      <c r="C29" s="81"/>
      <c r="D29" s="81"/>
      <c r="E29" s="77"/>
      <c r="F29" s="44" t="s">
        <v>686</v>
      </c>
      <c r="G29" s="44"/>
      <c r="H29" s="44"/>
      <c r="I29" s="44"/>
      <c r="J29" s="44"/>
      <c r="K29" s="44"/>
      <c r="L29" s="44"/>
      <c r="M29" s="44"/>
      <c r="N29" s="44"/>
      <c r="S29" s="76"/>
      <c r="T29" s="81" t="s">
        <v>687</v>
      </c>
      <c r="U29" s="44" t="n">
        <v>0</v>
      </c>
      <c r="V29" s="44" t="n">
        <f aca="false">COUNT(V3:V24)</f>
        <v>16</v>
      </c>
      <c r="W29" s="44" t="n">
        <f aca="false">COUNT(W3:W24)</f>
        <v>16</v>
      </c>
      <c r="X29" s="44" t="n">
        <f aca="false">COUNT(X3:X24)</f>
        <v>16</v>
      </c>
      <c r="Y29" s="77"/>
      <c r="Z29" s="44"/>
      <c r="AA29" s="44" t="n">
        <f aca="false">COUNT(AA3:AA24)</f>
        <v>16</v>
      </c>
      <c r="AB29" s="44" t="n">
        <f aca="false">COUNT(AB3:AB24)</f>
        <v>16</v>
      </c>
      <c r="AC29" s="44" t="n">
        <f aca="false">COUNT(AC3:AC24)</f>
        <v>16</v>
      </c>
      <c r="AD29" s="44" t="n">
        <f aca="false">COUNT(AD3:AD24)</f>
        <v>16</v>
      </c>
      <c r="AE29" s="77"/>
      <c r="AF29" s="44"/>
      <c r="AG29" s="44" t="n">
        <f aca="false">COUNT(AG3:AG24)</f>
        <v>15</v>
      </c>
      <c r="AH29" s="44" t="n">
        <f aca="false">COUNT(AH3:AH24)</f>
        <v>15</v>
      </c>
      <c r="AI29" s="44" t="n">
        <f aca="false">COUNT(AI3:AI24)</f>
        <v>15</v>
      </c>
      <c r="AJ29" s="44" t="n">
        <f aca="false">COUNT(AJ3:AJ24)</f>
        <v>15</v>
      </c>
      <c r="AK29" s="77"/>
      <c r="AL29" s="44"/>
      <c r="AM29" s="44" t="n">
        <f aca="false">COUNT(AM3:AM24)</f>
        <v>14</v>
      </c>
      <c r="AN29" s="44" t="n">
        <f aca="false">COUNT(AN3:AN24)</f>
        <v>14</v>
      </c>
      <c r="AO29" s="44" t="n">
        <f aca="false">COUNT(AO3:AO24)</f>
        <v>14</v>
      </c>
      <c r="AP29" s="44" t="n">
        <f aca="false">COUNT(AP3:AP24)</f>
        <v>14</v>
      </c>
      <c r="AQ29" s="77"/>
      <c r="AR29" s="44"/>
      <c r="AS29" s="44" t="n">
        <f aca="false">COUNT(AS3:AS24)</f>
        <v>7</v>
      </c>
      <c r="AT29" s="44" t="n">
        <f aca="false">COUNT(AT3:AT24)</f>
        <v>7</v>
      </c>
      <c r="AU29" s="44" t="n">
        <f aca="false">COUNT(AU3:AU24)</f>
        <v>7</v>
      </c>
      <c r="AV29" s="44" t="n">
        <f aca="false">COUNT(AV3:AV24)</f>
        <v>18</v>
      </c>
      <c r="AW29" s="77"/>
      <c r="AX29" s="44" t="n">
        <f aca="false">COUNT(AX3:AX24)</f>
        <v>14</v>
      </c>
      <c r="AY29" s="44" t="n">
        <f aca="false">COUNT(AY3:AY24)</f>
        <v>10</v>
      </c>
      <c r="AZ29" s="77"/>
      <c r="BA29" s="44"/>
      <c r="BB29" s="44" t="n">
        <f aca="false">COUNTIF(BB3:BB24, "&gt;=6")</f>
        <v>14</v>
      </c>
      <c r="BC29" s="77"/>
      <c r="BD29" s="44" t="n">
        <f aca="false">COUNTIF(BD3:BD24, "Да")</f>
        <v>14</v>
      </c>
      <c r="BE29" s="77"/>
      <c r="BF29" s="44"/>
      <c r="BG29" s="44" t="n">
        <f aca="false">COUNT(BG3:BG24)</f>
        <v>15</v>
      </c>
      <c r="BH29" s="44" t="n">
        <f aca="false">COUNT(BH3:BH24)</f>
        <v>2</v>
      </c>
      <c r="BI29" s="80"/>
      <c r="BJ29" s="74"/>
      <c r="BK29" s="74"/>
    </row>
    <row r="30" customFormat="false" ht="15.75" hidden="false" customHeight="false" outlineLevel="0" collapsed="false">
      <c r="A30" s="92"/>
      <c r="E30" s="77"/>
      <c r="F30" s="44" t="s">
        <v>688</v>
      </c>
      <c r="G30" s="44"/>
      <c r="H30" s="44"/>
      <c r="I30" s="44"/>
      <c r="J30" s="44"/>
      <c r="K30" s="44"/>
      <c r="L30" s="44"/>
      <c r="M30" s="44"/>
      <c r="N30" s="93"/>
      <c r="S30" s="94"/>
      <c r="T30" s="92" t="s">
        <v>689</v>
      </c>
      <c r="V30" s="93"/>
      <c r="W30" s="93"/>
      <c r="X30" s="95" t="n">
        <f aca="false">IF(COUNTA($B$3:$B$21)&gt;0,COUNTA(X$3:X$21)/COUNTA($B$3:$B$21), 0)</f>
        <v>0.8421052632</v>
      </c>
      <c r="Y30" s="96"/>
      <c r="Z30" s="93"/>
      <c r="AA30" s="93"/>
      <c r="AB30" s="93"/>
      <c r="AC30" s="93"/>
      <c r="AD30" s="95" t="n">
        <f aca="false">IF(COUNTA($B$3:$B$21)&gt;0,COUNTA(AD$3:AD$21)/COUNTA($B$3:$B$21), 0)</f>
        <v>0.8421052632</v>
      </c>
      <c r="AE30" s="97"/>
      <c r="AF30" s="98"/>
      <c r="AG30" s="93"/>
      <c r="AH30" s="98"/>
      <c r="AI30" s="93"/>
      <c r="AJ30" s="95" t="n">
        <f aca="false">IF(COUNTA($B$3:$B$21)&gt;0,COUNTA(AJ$3:AJ$21)/COUNTA($B$3:$B$21), 0)</f>
        <v>0.7894736842</v>
      </c>
      <c r="AK30" s="96"/>
      <c r="AL30" s="93"/>
      <c r="AM30" s="93"/>
      <c r="AN30" s="93"/>
      <c r="AO30" s="93"/>
      <c r="AP30" s="95" t="n">
        <f aca="false">IF(COUNTA($B$3:$B$21)&gt;0,COUNTA(AP$3:AP$21)/COUNTA($B$3:$B$21), 0)</f>
        <v>0.7368421053</v>
      </c>
      <c r="AQ30" s="96"/>
      <c r="AR30" s="93"/>
      <c r="AS30" s="93"/>
      <c r="AT30" s="93"/>
      <c r="AU30" s="93"/>
      <c r="AV30" s="95" t="n">
        <f aca="false">IF(COUNTA($B$3:$B$21)&gt;0,COUNTA(AV$3:AV$21)/COUNTA($B$3:$B$21), 0)</f>
        <v>0.9473684211</v>
      </c>
      <c r="AW30" s="99"/>
      <c r="AX30" s="100"/>
      <c r="AY30" s="100"/>
      <c r="AZ30" s="99"/>
      <c r="BA30" s="100"/>
      <c r="BB30" s="95" t="n">
        <f aca="false">IF(COUNTA($B$3:$B$21)&gt;0,COUNTA(BB$3:BB$21)/COUNTA($B$3:$B$21), 0)</f>
        <v>0.9473684211</v>
      </c>
      <c r="BC30" s="77"/>
      <c r="BD30" s="44" t="n">
        <f aca="false">COUNTIF(BD3:BD24, "Да")</f>
        <v>14</v>
      </c>
      <c r="BE30" s="101"/>
      <c r="BF30" s="102"/>
      <c r="BG30" s="102"/>
      <c r="BH30" s="100"/>
      <c r="BI30" s="103"/>
      <c r="BJ30" s="102"/>
      <c r="BK30" s="102"/>
    </row>
    <row r="31" customFormat="false" ht="15.75" hidden="false" customHeight="false" outlineLevel="0" collapsed="false">
      <c r="A31" s="92"/>
      <c r="B31" s="92"/>
      <c r="C31" s="92"/>
      <c r="D31" s="92"/>
      <c r="E31" s="77"/>
      <c r="F31" s="44" t="s">
        <v>690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77"/>
      <c r="T31" s="44"/>
      <c r="U31" s="44"/>
      <c r="V31" s="44"/>
      <c r="W31" s="44"/>
      <c r="X31" s="44"/>
      <c r="Y31" s="77"/>
      <c r="Z31" s="44"/>
      <c r="AA31" s="44"/>
      <c r="AB31" s="44"/>
      <c r="AC31" s="44"/>
      <c r="AD31" s="90"/>
      <c r="AE31" s="91"/>
      <c r="AF31" s="90"/>
      <c r="AG31" s="44"/>
      <c r="AH31" s="90"/>
      <c r="AI31" s="44"/>
      <c r="AJ31" s="44"/>
      <c r="AK31" s="77"/>
      <c r="AL31" s="44"/>
      <c r="AM31" s="44"/>
      <c r="AN31" s="44"/>
      <c r="AO31" s="44"/>
      <c r="AP31" s="44"/>
      <c r="AQ31" s="77"/>
      <c r="AR31" s="44"/>
      <c r="AS31" s="44"/>
      <c r="AT31" s="44"/>
      <c r="AU31" s="44"/>
      <c r="AV31" s="44"/>
      <c r="AW31" s="101"/>
      <c r="AX31" s="102"/>
      <c r="AY31" s="102"/>
      <c r="AZ31" s="101"/>
      <c r="BA31" s="102"/>
      <c r="BB31" s="102"/>
      <c r="BC31" s="101"/>
      <c r="BD31" s="102"/>
      <c r="BE31" s="101"/>
      <c r="BF31" s="102"/>
      <c r="BG31" s="102"/>
      <c r="BH31" s="102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691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true" customHeight="false" outlineLevel="0" collapsed="false">
      <c r="A33" s="92"/>
      <c r="B33" s="92"/>
      <c r="C33" s="92"/>
      <c r="D33" s="92"/>
      <c r="E33" s="10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4 AA3:AC24 AG3:AI24 AM3:AO24 AS3:AU24 BA14 BA18">
    <cfRule type="expression" priority="2" aboveAverage="0" equalAverage="0" bottom="0" percent="0" rank="0" text="" dxfId="2">
      <formula>U3&gt;45809</formula>
    </cfRule>
  </conditionalFormatting>
  <conditionalFormatting sqref="BC3:BD24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4">
    <cfRule type="cellIs" priority="5" operator="equal" aboveAverage="0" equalAverage="0" bottom="0" percent="0" rank="0" text="" dxfId="5">
      <formula>"N"</formula>
    </cfRule>
  </conditionalFormatting>
  <conditionalFormatting sqref="BK3:BK21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outlinePr summaryBelow="0"/>
    <pageSetUpPr fitToPage="false"/>
  </sheetPr>
  <dimension ref="A1:B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13.63"/>
    <col collapsed="false" customWidth="true" hidden="false" outlineLevel="0" max="4" min="4" style="0" width="6.63"/>
    <col collapsed="false" customWidth="true" hidden="false" outlineLevel="0" max="5" min="5" style="0" width="0.38"/>
    <col collapsed="false" customWidth="true" hidden="false" outlineLevel="0" max="12" min="6" style="0" width="3"/>
    <col collapsed="false" customWidth="true" hidden="false" outlineLevel="0" max="13" min="13" style="0" width="4.88"/>
    <col collapsed="false" customWidth="true" hidden="false" outlineLevel="0" max="18" min="14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9.38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3" min="53" style="0" width="6"/>
    <col collapsed="false" customWidth="true" hidden="false" outlineLevel="0" max="54" min="54" style="0" width="6.51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917</v>
      </c>
      <c r="C1" s="45" t="s">
        <v>918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130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45701</v>
      </c>
      <c r="G2" s="55" t="n">
        <f aca="false">F2+14</f>
        <v>45715</v>
      </c>
      <c r="H2" s="55" t="n">
        <f aca="false">G2+14</f>
        <v>45729</v>
      </c>
      <c r="I2" s="55" t="n">
        <f aca="false">H2+14</f>
        <v>45743</v>
      </c>
      <c r="J2" s="55" t="n">
        <f aca="false">I2+14</f>
        <v>45757</v>
      </c>
      <c r="K2" s="55" t="n">
        <f aca="false">J2+14</f>
        <v>45771</v>
      </c>
      <c r="L2" s="55" t="n">
        <v>45799</v>
      </c>
      <c r="M2" s="55" t="n">
        <v>45805</v>
      </c>
      <c r="N2" s="146" t="n">
        <v>45779</v>
      </c>
      <c r="O2" s="146" t="n">
        <v>45782</v>
      </c>
      <c r="P2" s="146" t="n">
        <v>45804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130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47" t="s">
        <v>243</v>
      </c>
      <c r="C3" s="61" t="s">
        <v>244</v>
      </c>
      <c r="D3" s="61" t="s">
        <v>242</v>
      </c>
      <c r="E3" s="62"/>
      <c r="F3" s="63" t="s">
        <v>919</v>
      </c>
      <c r="G3" s="63" t="s">
        <v>919</v>
      </c>
      <c r="H3" s="63" t="s">
        <v>919</v>
      </c>
      <c r="I3" s="63" t="s">
        <v>734</v>
      </c>
      <c r="J3" s="63" t="s">
        <v>920</v>
      </c>
      <c r="K3" s="63" t="s">
        <v>734</v>
      </c>
      <c r="L3" s="63" t="s">
        <v>920</v>
      </c>
      <c r="M3" s="63" t="s">
        <v>921</v>
      </c>
      <c r="N3" s="64" t="s">
        <v>920</v>
      </c>
      <c r="O3" s="64" t="s">
        <v>734</v>
      </c>
      <c r="P3" s="64" t="s">
        <v>734</v>
      </c>
      <c r="Q3" s="64" t="s">
        <v>920</v>
      </c>
      <c r="R3" s="64" t="s">
        <v>920</v>
      </c>
      <c r="S3" s="65"/>
      <c r="T3" s="66" t="s">
        <v>922</v>
      </c>
      <c r="U3" s="67" t="n">
        <v>45771</v>
      </c>
      <c r="V3" s="67" t="n">
        <v>45743</v>
      </c>
      <c r="W3" s="67" t="n">
        <v>45771</v>
      </c>
      <c r="X3" s="68" t="n">
        <v>6</v>
      </c>
      <c r="Y3" s="69"/>
      <c r="Z3" s="70" t="n">
        <v>999888777</v>
      </c>
      <c r="AA3" s="106" t="n">
        <v>45805</v>
      </c>
      <c r="AB3" s="106" t="n">
        <v>45782</v>
      </c>
      <c r="AC3" s="106" t="n">
        <v>45805</v>
      </c>
      <c r="AD3" s="68" t="n">
        <v>6</v>
      </c>
      <c r="AE3" s="69"/>
      <c r="AF3" s="70" t="n">
        <v>999888</v>
      </c>
      <c r="AG3" s="70"/>
      <c r="AH3" s="70"/>
      <c r="AI3" s="70"/>
      <c r="AJ3" s="68"/>
      <c r="AK3" s="69"/>
      <c r="AL3" s="70"/>
      <c r="AM3" s="70"/>
      <c r="AN3" s="70"/>
      <c r="AO3" s="70"/>
      <c r="AP3" s="68"/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87" t="n">
        <v>0</v>
      </c>
      <c r="AW3" s="69"/>
      <c r="AX3" s="68"/>
      <c r="AY3" s="68"/>
      <c r="AZ3" s="69"/>
      <c r="BA3" s="106" t="n">
        <v>45821</v>
      </c>
      <c r="BB3" s="148" t="n">
        <v>0.02</v>
      </c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12.02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60" t="s">
        <v>250</v>
      </c>
      <c r="C4" s="61" t="s">
        <v>244</v>
      </c>
      <c r="D4" s="61" t="s">
        <v>249</v>
      </c>
      <c r="E4" s="62"/>
      <c r="F4" s="63" t="s">
        <v>734</v>
      </c>
      <c r="G4" s="63" t="s">
        <v>734</v>
      </c>
      <c r="H4" s="63" t="s">
        <v>738</v>
      </c>
      <c r="I4" s="63" t="s">
        <v>738</v>
      </c>
      <c r="J4" s="63" t="s">
        <v>739</v>
      </c>
      <c r="K4" s="63" t="s">
        <v>734</v>
      </c>
      <c r="L4" s="63" t="s">
        <v>738</v>
      </c>
      <c r="M4" s="63" t="s">
        <v>920</v>
      </c>
      <c r="N4" s="64" t="s">
        <v>734</v>
      </c>
      <c r="O4" s="64" t="s">
        <v>734</v>
      </c>
      <c r="P4" s="64" t="s">
        <v>920</v>
      </c>
      <c r="Q4" s="64" t="s">
        <v>920</v>
      </c>
      <c r="R4" s="64" t="s">
        <v>920</v>
      </c>
      <c r="S4" s="65"/>
      <c r="T4" s="66" t="s">
        <v>923</v>
      </c>
      <c r="U4" s="106" t="n">
        <v>45715</v>
      </c>
      <c r="V4" s="106" t="n">
        <v>45701</v>
      </c>
      <c r="W4" s="106" t="n">
        <v>45715</v>
      </c>
      <c r="X4" s="68" t="n">
        <v>8.5</v>
      </c>
      <c r="Y4" s="69"/>
      <c r="Z4" s="70" t="n">
        <v>89233</v>
      </c>
      <c r="AA4" s="67" t="n">
        <v>45743</v>
      </c>
      <c r="AB4" s="122" t="n">
        <v>45729</v>
      </c>
      <c r="AC4" s="67" t="n">
        <v>45743</v>
      </c>
      <c r="AD4" s="68" t="n">
        <v>8.5</v>
      </c>
      <c r="AE4" s="69"/>
      <c r="AF4" s="70" t="n">
        <v>789878</v>
      </c>
      <c r="AG4" s="106" t="n">
        <v>45779</v>
      </c>
      <c r="AH4" s="106" t="n">
        <v>45757</v>
      </c>
      <c r="AI4" s="67" t="n">
        <v>45771</v>
      </c>
      <c r="AJ4" s="68" t="n">
        <v>9</v>
      </c>
      <c r="AK4" s="69"/>
      <c r="AL4" s="70" t="n">
        <v>666</v>
      </c>
      <c r="AM4" s="70"/>
      <c r="AN4" s="106" t="n">
        <v>45782</v>
      </c>
      <c r="AO4" s="106" t="n">
        <v>45782</v>
      </c>
      <c r="AP4" s="68" t="n">
        <v>8.8</v>
      </c>
      <c r="AQ4" s="69"/>
      <c r="AR4" s="70" t="n">
        <v>1339</v>
      </c>
      <c r="AS4" s="70"/>
      <c r="AT4" s="106" t="n">
        <v>45799</v>
      </c>
      <c r="AU4" s="106" t="n">
        <v>45799</v>
      </c>
      <c r="AV4" s="68" t="n">
        <v>8.5</v>
      </c>
      <c r="AW4" s="69"/>
      <c r="AX4" s="68" t="n">
        <v>1</v>
      </c>
      <c r="AY4" s="68" t="n">
        <v>1.5</v>
      </c>
      <c r="AZ4" s="69"/>
      <c r="BA4" s="106" t="n">
        <v>45792</v>
      </c>
      <c r="BB4" s="71" t="n">
        <v>7.5</v>
      </c>
      <c r="BC4" s="72"/>
      <c r="BD4" s="73" t="str">
        <f aca="false">IF(AND(BB4&gt;=6,AP4&gt;=6,AJ4&gt;=6,AD4&gt;=6,X4&gt;=6),"да","нет")</f>
        <v>да</v>
      </c>
      <c r="BE4" s="72"/>
      <c r="BF4" s="118" t="n">
        <v>45822</v>
      </c>
      <c r="BG4" s="71" t="n">
        <v>25</v>
      </c>
      <c r="BH4" s="68"/>
      <c r="BI4" s="50"/>
      <c r="BJ4" s="75" t="n">
        <f aca="false">SUM(X4,AD4,AJ4,AP4,AV4,AX4:AY4,BH4,BB4,BG4)</f>
        <v>78.3</v>
      </c>
      <c r="BK4" s="73" t="str">
        <f aca="false">IF(BJ4&gt;90,"A",IF(BJ4&gt;83,"B",IF(BJ4&gt;74,"C",IF(BJ4&gt;67,"D",IF(BJ4&gt;=60,"E","FX")))))</f>
        <v>C</v>
      </c>
    </row>
    <row r="5" customFormat="false" ht="15.75" hidden="false" customHeight="false" outlineLevel="0" collapsed="false">
      <c r="A5" s="59" t="n">
        <f aca="false">A4+1</f>
        <v>3</v>
      </c>
      <c r="B5" s="60" t="s">
        <v>297</v>
      </c>
      <c r="C5" s="61" t="s">
        <v>244</v>
      </c>
      <c r="D5" s="61" t="s">
        <v>296</v>
      </c>
      <c r="E5" s="62"/>
      <c r="F5" s="63" t="s">
        <v>739</v>
      </c>
      <c r="G5" s="63" t="s">
        <v>734</v>
      </c>
      <c r="H5" s="63" t="s">
        <v>739</v>
      </c>
      <c r="I5" s="63" t="s">
        <v>739</v>
      </c>
      <c r="J5" s="63" t="s">
        <v>920</v>
      </c>
      <c r="K5" s="63" t="s">
        <v>734</v>
      </c>
      <c r="L5" s="63" t="s">
        <v>738</v>
      </c>
      <c r="M5" s="63" t="s">
        <v>920</v>
      </c>
      <c r="N5" s="64" t="s">
        <v>734</v>
      </c>
      <c r="O5" s="64" t="s">
        <v>734</v>
      </c>
      <c r="P5" s="64" t="s">
        <v>920</v>
      </c>
      <c r="Q5" s="64" t="s">
        <v>920</v>
      </c>
      <c r="R5" s="64" t="s">
        <v>920</v>
      </c>
      <c r="S5" s="65"/>
      <c r="T5" s="66" t="s">
        <v>924</v>
      </c>
      <c r="U5" s="106" t="n">
        <v>45701</v>
      </c>
      <c r="V5" s="106" t="n">
        <v>45701</v>
      </c>
      <c r="W5" s="106" t="n">
        <v>45715</v>
      </c>
      <c r="X5" s="68" t="n">
        <v>9</v>
      </c>
      <c r="Y5" s="69"/>
      <c r="Z5" s="70" t="n">
        <v>435343</v>
      </c>
      <c r="AA5" s="67" t="n">
        <v>45743</v>
      </c>
      <c r="AB5" s="122" t="n">
        <v>45729</v>
      </c>
      <c r="AC5" s="67" t="n">
        <v>45743</v>
      </c>
      <c r="AD5" s="68" t="n">
        <v>8.5</v>
      </c>
      <c r="AE5" s="69"/>
      <c r="AF5" s="70" t="n">
        <v>56477</v>
      </c>
      <c r="AG5" s="106" t="n">
        <v>45782</v>
      </c>
      <c r="AH5" s="67" t="n">
        <v>45771</v>
      </c>
      <c r="AI5" s="106" t="n">
        <v>45779</v>
      </c>
      <c r="AJ5" s="68" t="n">
        <v>9</v>
      </c>
      <c r="AK5" s="69"/>
      <c r="AL5" s="70" t="n">
        <v>1244</v>
      </c>
      <c r="AM5" s="70"/>
      <c r="AN5" s="106" t="n">
        <v>45799</v>
      </c>
      <c r="AO5" s="106" t="n">
        <v>45799</v>
      </c>
      <c r="AP5" s="68" t="n">
        <v>8.7</v>
      </c>
      <c r="AQ5" s="69"/>
      <c r="AR5" s="70" t="s">
        <v>737</v>
      </c>
      <c r="AS5" s="70" t="s">
        <v>737</v>
      </c>
      <c r="AT5" s="70" t="s">
        <v>737</v>
      </c>
      <c r="AU5" s="70" t="s">
        <v>737</v>
      </c>
      <c r="AV5" s="87" t="n">
        <v>0</v>
      </c>
      <c r="AW5" s="69"/>
      <c r="AX5" s="68" t="n">
        <v>0</v>
      </c>
      <c r="AY5" s="68"/>
      <c r="AZ5" s="69"/>
      <c r="BA5" s="106" t="n">
        <v>45821</v>
      </c>
      <c r="BB5" s="89" t="n">
        <v>6</v>
      </c>
      <c r="BC5" s="72"/>
      <c r="BD5" s="73" t="str">
        <f aca="false">IF(AND(BB5&gt;=6,AP5&gt;=6,AJ5&gt;=6,AD5&gt;=6,X5&gt;=6),"да","нет")</f>
        <v>да</v>
      </c>
      <c r="BE5" s="72"/>
      <c r="BF5" s="118" t="n">
        <v>45822</v>
      </c>
      <c r="BG5" s="71" t="n">
        <v>27</v>
      </c>
      <c r="BH5" s="68"/>
      <c r="BI5" s="50"/>
      <c r="BJ5" s="75" t="n">
        <f aca="false">SUM(X5,AD5,AJ5,AP5,AV5,AX5:AY5,BH5,BB5,BG5)</f>
        <v>68.2</v>
      </c>
      <c r="BK5" s="73" t="str">
        <f aca="false">IF(BJ5&gt;90,"A",IF(BJ5&gt;83,"B",IF(BJ5&gt;74,"C",IF(BJ5&gt;67,"D",IF(BJ5&gt;=60,"E","FX")))))</f>
        <v>D</v>
      </c>
    </row>
    <row r="6" customFormat="false" ht="15.75" hidden="false" customHeight="false" outlineLevel="0" collapsed="false">
      <c r="A6" s="59" t="n">
        <f aca="false">A5+1</f>
        <v>4</v>
      </c>
      <c r="B6" s="60" t="s">
        <v>317</v>
      </c>
      <c r="C6" s="61" t="s">
        <v>244</v>
      </c>
      <c r="D6" s="61" t="s">
        <v>316</v>
      </c>
      <c r="E6" s="62"/>
      <c r="F6" s="63" t="s">
        <v>734</v>
      </c>
      <c r="G6" s="63" t="s">
        <v>734</v>
      </c>
      <c r="H6" s="63" t="s">
        <v>739</v>
      </c>
      <c r="I6" s="63" t="s">
        <v>734</v>
      </c>
      <c r="J6" s="63" t="s">
        <v>739</v>
      </c>
      <c r="K6" s="63" t="s">
        <v>734</v>
      </c>
      <c r="L6" s="63" t="s">
        <v>920</v>
      </c>
      <c r="M6" s="63" t="s">
        <v>920</v>
      </c>
      <c r="N6" s="64" t="s">
        <v>734</v>
      </c>
      <c r="O6" s="64" t="s">
        <v>734</v>
      </c>
      <c r="P6" s="64" t="s">
        <v>734</v>
      </c>
      <c r="Q6" s="64" t="s">
        <v>920</v>
      </c>
      <c r="R6" s="64" t="s">
        <v>920</v>
      </c>
      <c r="S6" s="65"/>
      <c r="T6" s="66" t="s">
        <v>925</v>
      </c>
      <c r="U6" s="106" t="n">
        <v>45715</v>
      </c>
      <c r="V6" s="106" t="n">
        <v>45701</v>
      </c>
      <c r="W6" s="122" t="n">
        <v>45729</v>
      </c>
      <c r="X6" s="68" t="n">
        <v>9</v>
      </c>
      <c r="Y6" s="69"/>
      <c r="Z6" s="70" t="n">
        <v>3211</v>
      </c>
      <c r="AA6" s="106" t="n">
        <v>45757</v>
      </c>
      <c r="AB6" s="67" t="n">
        <v>45743</v>
      </c>
      <c r="AC6" s="106" t="n">
        <v>45757</v>
      </c>
      <c r="AD6" s="68" t="n">
        <v>9</v>
      </c>
      <c r="AE6" s="69"/>
      <c r="AF6" s="70" t="n">
        <v>4754</v>
      </c>
      <c r="AG6" s="106" t="n">
        <v>45779</v>
      </c>
      <c r="AH6" s="67" t="n">
        <v>45771</v>
      </c>
      <c r="AI6" s="67" t="n">
        <v>45771</v>
      </c>
      <c r="AJ6" s="68" t="n">
        <v>9.5</v>
      </c>
      <c r="AK6" s="69"/>
      <c r="AL6" s="70" t="n">
        <v>9233</v>
      </c>
      <c r="AM6" s="70"/>
      <c r="AN6" s="106" t="n">
        <v>45782</v>
      </c>
      <c r="AO6" s="106" t="n">
        <v>45782</v>
      </c>
      <c r="AP6" s="68" t="n">
        <v>9</v>
      </c>
      <c r="AQ6" s="69"/>
      <c r="AR6" s="70" t="n">
        <v>1479</v>
      </c>
      <c r="AS6" s="70"/>
      <c r="AT6" s="106" t="n">
        <v>45804</v>
      </c>
      <c r="AU6" s="106" t="n">
        <v>45804</v>
      </c>
      <c r="AV6" s="68" t="n">
        <v>8.9</v>
      </c>
      <c r="AW6" s="69"/>
      <c r="AX6" s="68" t="n">
        <v>1</v>
      </c>
      <c r="AY6" s="68"/>
      <c r="AZ6" s="69"/>
      <c r="BA6" s="106" t="n">
        <v>45792</v>
      </c>
      <c r="BB6" s="71" t="n">
        <v>9.5</v>
      </c>
      <c r="BC6" s="72"/>
      <c r="BD6" s="73" t="str">
        <f aca="false">IF(AND(BB6&gt;=6,AP6&gt;=6,AJ6&gt;=6,AD6&gt;=6,X6&gt;=6),"да","нет")</f>
        <v>да</v>
      </c>
      <c r="BE6" s="72"/>
      <c r="BF6" s="118" t="n">
        <v>45822</v>
      </c>
      <c r="BG6" s="71" t="n">
        <v>0</v>
      </c>
      <c r="BH6" s="68"/>
      <c r="BI6" s="50"/>
      <c r="BJ6" s="75" t="n">
        <f aca="false">SUM(X6,AD6,AJ6,AP6,AV6,AX6:AY6,BH6,BB6,BG6)</f>
        <v>55.9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60" t="s">
        <v>329</v>
      </c>
      <c r="C7" s="61" t="s">
        <v>244</v>
      </c>
      <c r="D7" s="61" t="s">
        <v>328</v>
      </c>
      <c r="E7" s="62"/>
      <c r="F7" s="63" t="s">
        <v>920</v>
      </c>
      <c r="G7" s="63" t="s">
        <v>920</v>
      </c>
      <c r="H7" s="63" t="s">
        <v>920</v>
      </c>
      <c r="I7" s="63" t="s">
        <v>920</v>
      </c>
      <c r="J7" s="63" t="s">
        <v>919</v>
      </c>
      <c r="K7" s="63" t="s">
        <v>734</v>
      </c>
      <c r="L7" s="63" t="s">
        <v>738</v>
      </c>
      <c r="M7" s="63" t="s">
        <v>734</v>
      </c>
      <c r="N7" s="64" t="s">
        <v>734</v>
      </c>
      <c r="O7" s="64" t="s">
        <v>734</v>
      </c>
      <c r="P7" s="64" t="s">
        <v>734</v>
      </c>
      <c r="Q7" s="64" t="s">
        <v>920</v>
      </c>
      <c r="R7" s="64" t="s">
        <v>920</v>
      </c>
      <c r="S7" s="65"/>
      <c r="T7" s="66" t="s">
        <v>926</v>
      </c>
      <c r="U7" s="106" t="n">
        <v>45779</v>
      </c>
      <c r="V7" s="67" t="n">
        <v>45771</v>
      </c>
      <c r="W7" s="106" t="n">
        <v>45779</v>
      </c>
      <c r="X7" s="68" t="n">
        <v>7</v>
      </c>
      <c r="Y7" s="69"/>
      <c r="Z7" s="70" t="n">
        <v>54547888</v>
      </c>
      <c r="AA7" s="106" t="n">
        <v>45782</v>
      </c>
      <c r="AB7" s="106" t="n">
        <v>45782</v>
      </c>
      <c r="AC7" s="106" t="n">
        <v>45782</v>
      </c>
      <c r="AD7" s="68" t="n">
        <v>9</v>
      </c>
      <c r="AE7" s="69"/>
      <c r="AF7" s="70" t="n">
        <v>543333</v>
      </c>
      <c r="AG7" s="106" t="n">
        <v>45804</v>
      </c>
      <c r="AH7" s="106" t="n">
        <v>45799</v>
      </c>
      <c r="AI7" s="106" t="n">
        <v>45799</v>
      </c>
      <c r="AJ7" s="68" t="n">
        <v>8.7</v>
      </c>
      <c r="AK7" s="69"/>
      <c r="AL7" s="149" t="n">
        <v>56788</v>
      </c>
      <c r="AM7" s="70"/>
      <c r="AN7" s="106" t="n">
        <v>45805</v>
      </c>
      <c r="AO7" s="106" t="n">
        <v>45805</v>
      </c>
      <c r="AP7" s="68" t="n">
        <v>9</v>
      </c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87" t="n">
        <v>0</v>
      </c>
      <c r="AW7" s="69"/>
      <c r="AX7" s="68"/>
      <c r="AY7" s="68"/>
      <c r="AZ7" s="69"/>
      <c r="BA7" s="106" t="n">
        <v>45792</v>
      </c>
      <c r="BB7" s="71" t="n">
        <v>10</v>
      </c>
      <c r="BC7" s="72"/>
      <c r="BD7" s="73" t="str">
        <f aca="false">IF(AND(BB7&gt;=6,AP7&gt;=6,AJ7&gt;=6,AD7&gt;=6,X7&gt;=6),"да","нет")</f>
        <v>да</v>
      </c>
      <c r="BE7" s="72"/>
      <c r="BF7" s="118" t="n">
        <v>45822</v>
      </c>
      <c r="BG7" s="71" t="n">
        <v>0</v>
      </c>
      <c r="BH7" s="68"/>
      <c r="BI7" s="50"/>
      <c r="BJ7" s="75" t="n">
        <f aca="false">SUM(X7,AD7,AJ7,AP7,AV7,AX7:AY7,BH7,BB7,BG7)</f>
        <v>43.7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60" t="s">
        <v>349</v>
      </c>
      <c r="C8" s="61" t="s">
        <v>244</v>
      </c>
      <c r="D8" s="61" t="s">
        <v>348</v>
      </c>
      <c r="E8" s="62"/>
      <c r="F8" s="63" t="s">
        <v>920</v>
      </c>
      <c r="G8" s="63" t="s">
        <v>919</v>
      </c>
      <c r="H8" s="63" t="s">
        <v>739</v>
      </c>
      <c r="I8" s="63" t="s">
        <v>920</v>
      </c>
      <c r="J8" s="63" t="s">
        <v>734</v>
      </c>
      <c r="K8" s="63" t="s">
        <v>919</v>
      </c>
      <c r="L8" s="63" t="s">
        <v>738</v>
      </c>
      <c r="M8" s="63" t="s">
        <v>734</v>
      </c>
      <c r="N8" s="64" t="s">
        <v>734</v>
      </c>
      <c r="O8" s="64" t="s">
        <v>734</v>
      </c>
      <c r="P8" s="64" t="s">
        <v>738</v>
      </c>
      <c r="Q8" s="64" t="s">
        <v>920</v>
      </c>
      <c r="R8" s="64" t="s">
        <v>920</v>
      </c>
      <c r="S8" s="65"/>
      <c r="T8" s="66" t="s">
        <v>927</v>
      </c>
      <c r="U8" s="122" t="n">
        <v>45729</v>
      </c>
      <c r="V8" s="122" t="n">
        <v>45729</v>
      </c>
      <c r="W8" s="122" t="n">
        <v>45729</v>
      </c>
      <c r="X8" s="68" t="n">
        <v>8.5</v>
      </c>
      <c r="Y8" s="69"/>
      <c r="Z8" s="70" t="n">
        <v>381221</v>
      </c>
      <c r="AA8" s="106" t="n">
        <v>45779</v>
      </c>
      <c r="AB8" s="106" t="n">
        <v>45757</v>
      </c>
      <c r="AC8" s="106" t="n">
        <v>45779</v>
      </c>
      <c r="AD8" s="68" t="n">
        <v>8.5</v>
      </c>
      <c r="AE8" s="69"/>
      <c r="AF8" s="70" t="n">
        <v>56465</v>
      </c>
      <c r="AG8" s="106" t="n">
        <v>45805</v>
      </c>
      <c r="AH8" s="106" t="n">
        <v>45782</v>
      </c>
      <c r="AI8" s="106" t="n">
        <v>45799</v>
      </c>
      <c r="AJ8" s="68" t="n">
        <v>8.8</v>
      </c>
      <c r="AK8" s="69"/>
      <c r="AL8" s="70" t="n">
        <v>931112</v>
      </c>
      <c r="AM8" s="70"/>
      <c r="AN8" s="106" t="n">
        <v>45807</v>
      </c>
      <c r="AO8" s="106" t="n">
        <v>45807</v>
      </c>
      <c r="AP8" s="150" t="n">
        <v>8.8</v>
      </c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87" t="n">
        <v>0</v>
      </c>
      <c r="AW8" s="69"/>
      <c r="AX8" s="68"/>
      <c r="AY8" s="68" t="n">
        <v>1</v>
      </c>
      <c r="AZ8" s="69"/>
      <c r="BA8" s="106" t="n">
        <v>45792</v>
      </c>
      <c r="BB8" s="71" t="n">
        <v>9.5</v>
      </c>
      <c r="BC8" s="72"/>
      <c r="BD8" s="73" t="str">
        <f aca="false">IF(AND(BB8&gt;=6,AP8&gt;=6,AJ8&gt;=6,AD8&gt;=6,X8&gt;=6),"да","нет")</f>
        <v>да</v>
      </c>
      <c r="BE8" s="72"/>
      <c r="BF8" s="118" t="n">
        <v>45822</v>
      </c>
      <c r="BG8" s="71" t="n">
        <v>26</v>
      </c>
      <c r="BH8" s="68" t="n">
        <v>3</v>
      </c>
      <c r="BI8" s="50"/>
      <c r="BJ8" s="75" t="n">
        <f aca="false">SUM(X8,AD8,AJ8,AP8,AV8,AX8:AY8,BH8,BB8,BG8)</f>
        <v>74.1</v>
      </c>
      <c r="BK8" s="73" t="str">
        <f aca="false">IF(BJ8&gt;90,"A",IF(BJ8&gt;83,"B",IF(BJ8&gt;74,"C",IF(BJ8&gt;67,"D",IF(BJ8&gt;=60,"E","FX")))))</f>
        <v>C</v>
      </c>
    </row>
    <row r="9" customFormat="false" ht="15.75" hidden="false" customHeight="false" outlineLevel="0" collapsed="false">
      <c r="A9" s="59" t="n">
        <f aca="false">A8+1</f>
        <v>7</v>
      </c>
      <c r="B9" s="60" t="s">
        <v>385</v>
      </c>
      <c r="C9" s="61" t="s">
        <v>244</v>
      </c>
      <c r="D9" s="61" t="s">
        <v>384</v>
      </c>
      <c r="E9" s="62"/>
      <c r="F9" s="63" t="s">
        <v>920</v>
      </c>
      <c r="G9" s="63" t="s">
        <v>739</v>
      </c>
      <c r="H9" s="63" t="s">
        <v>739</v>
      </c>
      <c r="I9" s="63" t="s">
        <v>734</v>
      </c>
      <c r="J9" s="63" t="s">
        <v>734</v>
      </c>
      <c r="K9" s="63" t="s">
        <v>920</v>
      </c>
      <c r="L9" s="63" t="s">
        <v>734</v>
      </c>
      <c r="M9" s="63" t="s">
        <v>739</v>
      </c>
      <c r="N9" s="64" t="s">
        <v>734</v>
      </c>
      <c r="O9" s="64" t="s">
        <v>920</v>
      </c>
      <c r="P9" s="64" t="s">
        <v>920</v>
      </c>
      <c r="Q9" s="64" t="s">
        <v>920</v>
      </c>
      <c r="R9" s="64" t="s">
        <v>920</v>
      </c>
      <c r="S9" s="65"/>
      <c r="T9" s="66" t="s">
        <v>928</v>
      </c>
      <c r="U9" s="122" t="n">
        <v>45729</v>
      </c>
      <c r="V9" s="106" t="n">
        <v>45715</v>
      </c>
      <c r="W9" s="122" t="n">
        <v>45729</v>
      </c>
      <c r="X9" s="68" t="n">
        <v>8.5</v>
      </c>
      <c r="Y9" s="69"/>
      <c r="Z9" s="70" t="n">
        <v>4343</v>
      </c>
      <c r="AA9" s="106" t="n">
        <v>45757</v>
      </c>
      <c r="AB9" s="67" t="n">
        <v>45743</v>
      </c>
      <c r="AC9" s="106" t="n">
        <v>45757</v>
      </c>
      <c r="AD9" s="68" t="n">
        <v>9.5</v>
      </c>
      <c r="AE9" s="69"/>
      <c r="AF9" s="70" t="n">
        <v>6674</v>
      </c>
      <c r="AG9" s="106" t="n">
        <v>45799</v>
      </c>
      <c r="AH9" s="106" t="n">
        <v>45779</v>
      </c>
      <c r="AI9" s="106" t="n">
        <v>45779</v>
      </c>
      <c r="AJ9" s="68" t="n">
        <v>9</v>
      </c>
      <c r="AK9" s="69"/>
      <c r="AL9" s="70" t="n">
        <v>8896</v>
      </c>
      <c r="AM9" s="70"/>
      <c r="AN9" s="106" t="n">
        <v>45805</v>
      </c>
      <c r="AO9" s="106" t="n">
        <v>45805</v>
      </c>
      <c r="AP9" s="68" t="n">
        <v>8.2</v>
      </c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87" t="n">
        <v>0</v>
      </c>
      <c r="AW9" s="69"/>
      <c r="AX9" s="68" t="n">
        <v>1</v>
      </c>
      <c r="AY9" s="68"/>
      <c r="AZ9" s="69"/>
      <c r="BA9" s="106" t="n">
        <v>45821</v>
      </c>
      <c r="BB9" s="89" t="n">
        <v>6</v>
      </c>
      <c r="BC9" s="72"/>
      <c r="BD9" s="73" t="str">
        <f aca="false">IF(AND(BB9&gt;=6,AP9&gt;=6,AJ9&gt;=6,AD9&gt;=6,X9&gt;=6),"да","нет")</f>
        <v>да</v>
      </c>
      <c r="BE9" s="72"/>
      <c r="BF9" s="118" t="n">
        <v>45822</v>
      </c>
      <c r="BG9" s="71" t="n">
        <v>29</v>
      </c>
      <c r="BH9" s="68" t="n">
        <v>3</v>
      </c>
      <c r="BI9" s="50"/>
      <c r="BJ9" s="75" t="n">
        <f aca="false">SUM(X9,AD9,AJ9,AP9,AV9,AX9:AY9,BH9,BB9,BG9)</f>
        <v>74.2</v>
      </c>
      <c r="BK9" s="73" t="str">
        <f aca="false">IF(BJ9&gt;90,"A",IF(BJ9&gt;83,"B",IF(BJ9&gt;74,"C",IF(BJ9&gt;67,"D",IF(BJ9&gt;=60,"E","FX")))))</f>
        <v>C</v>
      </c>
    </row>
    <row r="10" customFormat="false" ht="15.75" hidden="false" customHeight="false" outlineLevel="0" collapsed="false">
      <c r="A10" s="59" t="n">
        <f aca="false">A9+1</f>
        <v>8</v>
      </c>
      <c r="B10" s="60" t="s">
        <v>387</v>
      </c>
      <c r="C10" s="61" t="s">
        <v>244</v>
      </c>
      <c r="D10" s="61" t="s">
        <v>386</v>
      </c>
      <c r="E10" s="62"/>
      <c r="F10" s="63" t="s">
        <v>734</v>
      </c>
      <c r="G10" s="63" t="s">
        <v>734</v>
      </c>
      <c r="H10" s="63" t="s">
        <v>919</v>
      </c>
      <c r="I10" s="63" t="s">
        <v>734</v>
      </c>
      <c r="J10" s="63" t="s">
        <v>734</v>
      </c>
      <c r="K10" s="63" t="s">
        <v>919</v>
      </c>
      <c r="L10" s="63" t="s">
        <v>739</v>
      </c>
      <c r="M10" s="63" t="s">
        <v>734</v>
      </c>
      <c r="N10" s="64" t="s">
        <v>734</v>
      </c>
      <c r="O10" s="64" t="s">
        <v>734</v>
      </c>
      <c r="P10" s="64" t="s">
        <v>734</v>
      </c>
      <c r="Q10" s="64" t="s">
        <v>920</v>
      </c>
      <c r="R10" s="64" t="s">
        <v>920</v>
      </c>
      <c r="S10" s="65"/>
      <c r="T10" s="66" t="s">
        <v>929</v>
      </c>
      <c r="U10" s="106" t="n">
        <v>45715</v>
      </c>
      <c r="V10" s="106" t="n">
        <v>45701</v>
      </c>
      <c r="W10" s="106" t="n">
        <v>45715</v>
      </c>
      <c r="X10" s="68" t="n">
        <v>10</v>
      </c>
      <c r="Y10" s="69"/>
      <c r="Z10" s="70" t="n">
        <v>5343</v>
      </c>
      <c r="AA10" s="106" t="n">
        <v>45757</v>
      </c>
      <c r="AB10" s="67" t="n">
        <v>45743</v>
      </c>
      <c r="AC10" s="106" t="n">
        <v>45757</v>
      </c>
      <c r="AD10" s="68" t="n">
        <v>9</v>
      </c>
      <c r="AE10" s="69"/>
      <c r="AF10" s="70" t="n">
        <v>4454</v>
      </c>
      <c r="AG10" s="106" t="n">
        <v>45782</v>
      </c>
      <c r="AH10" s="106" t="n">
        <v>45779</v>
      </c>
      <c r="AI10" s="106" t="n">
        <v>45779</v>
      </c>
      <c r="AJ10" s="68" t="n">
        <v>9</v>
      </c>
      <c r="AK10" s="69"/>
      <c r="AL10" s="70" t="n">
        <v>7745</v>
      </c>
      <c r="AM10" s="70"/>
      <c r="AN10" s="106" t="n">
        <v>45799</v>
      </c>
      <c r="AO10" s="106" t="n">
        <v>45799</v>
      </c>
      <c r="AP10" s="68" t="n">
        <v>9.5</v>
      </c>
      <c r="AQ10" s="69"/>
      <c r="AR10" s="70" t="n">
        <v>4322</v>
      </c>
      <c r="AS10" s="70"/>
      <c r="AT10" s="106" t="n">
        <v>45805</v>
      </c>
      <c r="AU10" s="106" t="n">
        <v>45805</v>
      </c>
      <c r="AV10" s="68" t="n">
        <v>8.9</v>
      </c>
      <c r="AW10" s="69"/>
      <c r="AX10" s="68" t="n">
        <v>0</v>
      </c>
      <c r="AY10" s="68" t="n">
        <v>0</v>
      </c>
      <c r="AZ10" s="69"/>
      <c r="BA10" s="106" t="n">
        <v>45792</v>
      </c>
      <c r="BB10" s="71" t="n">
        <v>6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45822</v>
      </c>
      <c r="BG10" s="71" t="n">
        <v>25</v>
      </c>
      <c r="BH10" s="68"/>
      <c r="BI10" s="50"/>
      <c r="BJ10" s="75" t="n">
        <f aca="false">SUM(X10,AD10,AJ10,AP10,AV10,AX10:AY10,BH10,BB10,BG10)</f>
        <v>77.4</v>
      </c>
      <c r="BK10" s="73" t="str">
        <f aca="false">IF(BJ10&gt;90,"A",IF(BJ10&gt;83,"B",IF(BJ10&gt;74,"C",IF(BJ10&gt;67,"D",IF(BJ10&gt;=60,"E","FX")))))</f>
        <v>C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473</v>
      </c>
      <c r="C11" s="61" t="s">
        <v>244</v>
      </c>
      <c r="D11" s="61" t="s">
        <v>472</v>
      </c>
      <c r="E11" s="62"/>
      <c r="F11" s="63" t="s">
        <v>919</v>
      </c>
      <c r="G11" s="63" t="s">
        <v>734</v>
      </c>
      <c r="H11" s="63" t="s">
        <v>734</v>
      </c>
      <c r="I11" s="63" t="s">
        <v>739</v>
      </c>
      <c r="J11" s="63" t="s">
        <v>739</v>
      </c>
      <c r="K11" s="63" t="s">
        <v>734</v>
      </c>
      <c r="L11" s="63" t="s">
        <v>919</v>
      </c>
      <c r="M11" s="63" t="s">
        <v>734</v>
      </c>
      <c r="N11" s="64" t="s">
        <v>739</v>
      </c>
      <c r="O11" s="64" t="s">
        <v>739</v>
      </c>
      <c r="P11" s="64" t="s">
        <v>734</v>
      </c>
      <c r="Q11" s="64" t="s">
        <v>920</v>
      </c>
      <c r="R11" s="64" t="s">
        <v>920</v>
      </c>
      <c r="S11" s="65"/>
      <c r="T11" s="66" t="s">
        <v>930</v>
      </c>
      <c r="U11" s="106" t="n">
        <v>45715</v>
      </c>
      <c r="V11" s="106" t="n">
        <v>45715</v>
      </c>
      <c r="W11" s="122" t="n">
        <v>45729</v>
      </c>
      <c r="X11" s="68" t="n">
        <v>9</v>
      </c>
      <c r="Y11" s="69"/>
      <c r="Z11" s="70" t="n">
        <v>12233</v>
      </c>
      <c r="AA11" s="106" t="n">
        <v>45757</v>
      </c>
      <c r="AB11" s="67" t="n">
        <v>45743</v>
      </c>
      <c r="AC11" s="67" t="n">
        <v>45771</v>
      </c>
      <c r="AD11" s="68" t="n">
        <v>8.5</v>
      </c>
      <c r="AE11" s="69"/>
      <c r="AF11" s="70" t="n">
        <v>77889</v>
      </c>
      <c r="AG11" s="106" t="n">
        <v>45804</v>
      </c>
      <c r="AH11" s="106" t="n">
        <v>45779</v>
      </c>
      <c r="AI11" s="106" t="n">
        <v>45782</v>
      </c>
      <c r="AJ11" s="68" t="n">
        <v>8.8</v>
      </c>
      <c r="AK11" s="69"/>
      <c r="AL11" s="149" t="n">
        <v>79394</v>
      </c>
      <c r="AM11" s="70"/>
      <c r="AN11" s="106" t="n">
        <v>45805</v>
      </c>
      <c r="AO11" s="106" t="n">
        <v>45805</v>
      </c>
      <c r="AP11" s="68" t="n">
        <v>9</v>
      </c>
      <c r="AQ11" s="69"/>
      <c r="AR11" s="70" t="s">
        <v>737</v>
      </c>
      <c r="AS11" s="70" t="s">
        <v>737</v>
      </c>
      <c r="AT11" s="70" t="s">
        <v>737</v>
      </c>
      <c r="AU11" s="70" t="s">
        <v>737</v>
      </c>
      <c r="AV11" s="87" t="n">
        <v>0</v>
      </c>
      <c r="AW11" s="69"/>
      <c r="AX11" s="68" t="n">
        <v>0</v>
      </c>
      <c r="AY11" s="68" t="n">
        <v>0</v>
      </c>
      <c r="AZ11" s="69"/>
      <c r="BA11" s="106" t="n">
        <v>45821</v>
      </c>
      <c r="BB11" s="89" t="n">
        <v>6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45822</v>
      </c>
      <c r="BG11" s="71" t="n">
        <v>24</v>
      </c>
      <c r="BH11" s="68" t="n">
        <v>2</v>
      </c>
      <c r="BI11" s="50"/>
      <c r="BJ11" s="75" t="n">
        <f aca="false">SUM(X11,AD11,AJ11,AP11,AV11,AX11:AY11,BH11,BB11,BG11)</f>
        <v>67.3</v>
      </c>
      <c r="BK11" s="73" t="str">
        <f aca="false">IF(BJ11&gt;90,"A",IF(BJ11&gt;83,"B",IF(BJ11&gt;74,"C",IF(BJ11&gt;67,"D",IF(BJ11&gt;=60,"E","FX")))))</f>
        <v>D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483</v>
      </c>
      <c r="C12" s="61" t="s">
        <v>244</v>
      </c>
      <c r="D12" s="61" t="s">
        <v>482</v>
      </c>
      <c r="E12" s="62"/>
      <c r="F12" s="63" t="s">
        <v>739</v>
      </c>
      <c r="G12" s="63" t="s">
        <v>734</v>
      </c>
      <c r="H12" s="63" t="s">
        <v>734</v>
      </c>
      <c r="I12" s="63" t="s">
        <v>920</v>
      </c>
      <c r="J12" s="63" t="s">
        <v>734</v>
      </c>
      <c r="K12" s="63" t="s">
        <v>734</v>
      </c>
      <c r="L12" s="63" t="s">
        <v>734</v>
      </c>
      <c r="M12" s="63" t="s">
        <v>734</v>
      </c>
      <c r="N12" s="64" t="s">
        <v>920</v>
      </c>
      <c r="O12" s="64" t="s">
        <v>919</v>
      </c>
      <c r="P12" s="64" t="s">
        <v>920</v>
      </c>
      <c r="Q12" s="64" t="s">
        <v>920</v>
      </c>
      <c r="R12" s="64" t="s">
        <v>920</v>
      </c>
      <c r="S12" s="65"/>
      <c r="T12" s="66" t="s">
        <v>931</v>
      </c>
      <c r="U12" s="106" t="n">
        <v>45701</v>
      </c>
      <c r="V12" s="106" t="n">
        <v>45701</v>
      </c>
      <c r="W12" s="106" t="n">
        <v>45715</v>
      </c>
      <c r="X12" s="68" t="n">
        <v>10</v>
      </c>
      <c r="Y12" s="69"/>
      <c r="Z12" s="70" t="n">
        <v>43223</v>
      </c>
      <c r="AA12" s="122" t="n">
        <v>45729</v>
      </c>
      <c r="AB12" s="122" t="n">
        <v>45729</v>
      </c>
      <c r="AC12" s="122" t="n">
        <v>45729</v>
      </c>
      <c r="AD12" s="68" t="n">
        <v>9.5</v>
      </c>
      <c r="AE12" s="69"/>
      <c r="AF12" s="70" t="n">
        <v>9842</v>
      </c>
      <c r="AG12" s="67" t="n">
        <v>45771</v>
      </c>
      <c r="AH12" s="106" t="n">
        <v>45757</v>
      </c>
      <c r="AI12" s="106" t="n">
        <v>45758</v>
      </c>
      <c r="AJ12" s="68" t="n">
        <v>10</v>
      </c>
      <c r="AK12" s="69"/>
      <c r="AL12" s="70" t="n">
        <v>7885</v>
      </c>
      <c r="AM12" s="70"/>
      <c r="AN12" s="106" t="n">
        <v>45799</v>
      </c>
      <c r="AO12" s="106" t="n">
        <v>45799</v>
      </c>
      <c r="AP12" s="68" t="n">
        <v>9.5</v>
      </c>
      <c r="AQ12" s="69"/>
      <c r="AR12" s="70" t="n">
        <v>8322</v>
      </c>
      <c r="AS12" s="70"/>
      <c r="AT12" s="106" t="n">
        <v>45805</v>
      </c>
      <c r="AU12" s="106" t="n">
        <v>45805</v>
      </c>
      <c r="AV12" s="68" t="n">
        <v>10</v>
      </c>
      <c r="AW12" s="69"/>
      <c r="AX12" s="68" t="n">
        <v>2</v>
      </c>
      <c r="AY12" s="68"/>
      <c r="AZ12" s="69"/>
      <c r="BA12" s="106" t="n">
        <v>45792</v>
      </c>
      <c r="BB12" s="71" t="n">
        <v>9.5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45822</v>
      </c>
      <c r="BG12" s="71" t="n">
        <v>28</v>
      </c>
      <c r="BH12" s="68" t="n">
        <v>2</v>
      </c>
      <c r="BI12" s="50"/>
      <c r="BJ12" s="75" t="n">
        <f aca="false">SUM(X12,AD12,AJ12,AP12,AV12,AX12:AY12,BH12,BB12,BG12)</f>
        <v>90.5</v>
      </c>
      <c r="BK12" s="73" t="str">
        <f aca="false">IF(BJ12&gt;90,"A",IF(BJ12&gt;83,"B",IF(BJ12&gt;74,"C",IF(BJ12&gt;67,"D",IF(BJ12&gt;=60,"E","FX")))))</f>
        <v>A</v>
      </c>
    </row>
    <row r="13" customFormat="false" ht="15.75" hidden="false" customHeight="false" outlineLevel="0" collapsed="false">
      <c r="A13" s="59" t="n">
        <f aca="false">A12+1</f>
        <v>11</v>
      </c>
      <c r="B13" s="151" t="s">
        <v>505</v>
      </c>
      <c r="C13" s="61" t="s">
        <v>244</v>
      </c>
      <c r="D13" s="61" t="s">
        <v>504</v>
      </c>
      <c r="E13" s="62"/>
      <c r="F13" s="63" t="s">
        <v>919</v>
      </c>
      <c r="G13" s="63" t="s">
        <v>919</v>
      </c>
      <c r="H13" s="63" t="s">
        <v>734</v>
      </c>
      <c r="I13" s="63" t="s">
        <v>734</v>
      </c>
      <c r="J13" s="63" t="s">
        <v>920</v>
      </c>
      <c r="K13" s="63" t="s">
        <v>734</v>
      </c>
      <c r="L13" s="63" t="s">
        <v>734</v>
      </c>
      <c r="M13" s="63" t="s">
        <v>738</v>
      </c>
      <c r="N13" s="64" t="s">
        <v>920</v>
      </c>
      <c r="O13" s="64" t="s">
        <v>920</v>
      </c>
      <c r="P13" s="64" t="s">
        <v>734</v>
      </c>
      <c r="Q13" s="64" t="s">
        <v>920</v>
      </c>
      <c r="R13" s="64" t="s">
        <v>920</v>
      </c>
      <c r="S13" s="65"/>
      <c r="T13" s="66" t="s">
        <v>932</v>
      </c>
      <c r="U13" s="67" t="n">
        <v>45743</v>
      </c>
      <c r="V13" s="122" t="n">
        <v>45729</v>
      </c>
      <c r="W13" s="67" t="n">
        <v>45743</v>
      </c>
      <c r="X13" s="68" t="n">
        <v>8.5</v>
      </c>
      <c r="Y13" s="69"/>
      <c r="Z13" s="70" t="n">
        <v>16357</v>
      </c>
      <c r="AA13" s="106" t="n">
        <v>45779</v>
      </c>
      <c r="AB13" s="67" t="n">
        <v>45771</v>
      </c>
      <c r="AC13" s="106" t="n">
        <v>45779</v>
      </c>
      <c r="AD13" s="68" t="n">
        <v>8.5</v>
      </c>
      <c r="AE13" s="69"/>
      <c r="AF13" s="70" t="n">
        <v>65454</v>
      </c>
      <c r="AG13" s="70"/>
      <c r="AH13" s="106" t="n">
        <v>45804</v>
      </c>
      <c r="AI13" s="106" t="n">
        <v>45805</v>
      </c>
      <c r="AJ13" s="68" t="n">
        <v>5.9</v>
      </c>
      <c r="AK13" s="69"/>
      <c r="AL13" s="70"/>
      <c r="AM13" s="70"/>
      <c r="AN13" s="70"/>
      <c r="AO13" s="70"/>
      <c r="AP13" s="68"/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87" t="n">
        <v>0</v>
      </c>
      <c r="AW13" s="69"/>
      <c r="AX13" s="68" t="n">
        <v>0</v>
      </c>
      <c r="AY13" s="68" t="n">
        <v>1</v>
      </c>
      <c r="AZ13" s="69"/>
      <c r="BA13" s="106" t="n">
        <v>45792</v>
      </c>
      <c r="BB13" s="89" t="n">
        <v>0.01</v>
      </c>
      <c r="BC13" s="72"/>
      <c r="BD13" s="73" t="str">
        <f aca="false">IF(AND(BB13&gt;=6,AP13&gt;=6,AJ13&gt;=6,AD13&gt;=6,X13&gt;=6),"да","нет")</f>
        <v>нет</v>
      </c>
      <c r="BE13" s="72"/>
      <c r="BF13" s="118"/>
      <c r="BG13" s="71"/>
      <c r="BH13" s="68"/>
      <c r="BI13" s="50"/>
      <c r="BJ13" s="75" t="n">
        <f aca="false">SUM(X13,AD13,AJ13,AP13,AV13,AX13:AY13,BH13,BB13,BG13)</f>
        <v>23.91</v>
      </c>
      <c r="BK13" s="73" t="str">
        <f aca="false">IF(BJ13&gt;90,"A",IF(BJ13&gt;83,"B",IF(BJ13&gt;74,"C",IF(BJ13&gt;67,"D",IF(BJ13&gt;=60,"E","FX")))))</f>
        <v>FX</v>
      </c>
    </row>
    <row r="14" customFormat="false" ht="15.75" hidden="false" customHeight="false" outlineLevel="0" collapsed="false">
      <c r="A14" s="59" t="n">
        <f aca="false">A13+1</f>
        <v>12</v>
      </c>
      <c r="B14" s="60" t="s">
        <v>515</v>
      </c>
      <c r="C14" s="61" t="s">
        <v>244</v>
      </c>
      <c r="D14" s="61" t="s">
        <v>514</v>
      </c>
      <c r="E14" s="62"/>
      <c r="F14" s="63" t="s">
        <v>734</v>
      </c>
      <c r="G14" s="63" t="s">
        <v>734</v>
      </c>
      <c r="H14" s="63" t="s">
        <v>734</v>
      </c>
      <c r="I14" s="63" t="s">
        <v>734</v>
      </c>
      <c r="J14" s="63" t="s">
        <v>734</v>
      </c>
      <c r="K14" s="63" t="s">
        <v>919</v>
      </c>
      <c r="L14" s="63" t="s">
        <v>739</v>
      </c>
      <c r="M14" s="63" t="s">
        <v>734</v>
      </c>
      <c r="N14" s="64" t="s">
        <v>734</v>
      </c>
      <c r="O14" s="64" t="s">
        <v>739</v>
      </c>
      <c r="P14" s="64" t="s">
        <v>920</v>
      </c>
      <c r="Q14" s="64" t="s">
        <v>920</v>
      </c>
      <c r="R14" s="64" t="s">
        <v>920</v>
      </c>
      <c r="S14" s="65"/>
      <c r="T14" s="66" t="s">
        <v>933</v>
      </c>
      <c r="U14" s="106" t="n">
        <v>45715</v>
      </c>
      <c r="V14" s="106" t="n">
        <v>45701</v>
      </c>
      <c r="W14" s="106" t="n">
        <v>45715</v>
      </c>
      <c r="X14" s="68" t="n">
        <v>9</v>
      </c>
      <c r="Y14" s="69"/>
      <c r="Z14" s="70" t="n">
        <v>7754</v>
      </c>
      <c r="AA14" s="67" t="n">
        <v>45743</v>
      </c>
      <c r="AB14" s="122" t="n">
        <v>45729</v>
      </c>
      <c r="AC14" s="106" t="n">
        <v>45757</v>
      </c>
      <c r="AD14" s="68" t="n">
        <v>9</v>
      </c>
      <c r="AE14" s="69"/>
      <c r="AF14" s="70" t="n">
        <v>7445</v>
      </c>
      <c r="AG14" s="106" t="n">
        <v>45782</v>
      </c>
      <c r="AH14" s="106" t="n">
        <v>45779</v>
      </c>
      <c r="AI14" s="106" t="n">
        <v>45779</v>
      </c>
      <c r="AJ14" s="68" t="n">
        <v>9.3</v>
      </c>
      <c r="AK14" s="69"/>
      <c r="AL14" s="70" t="n">
        <v>1357</v>
      </c>
      <c r="AM14" s="70"/>
      <c r="AN14" s="106" t="n">
        <v>45799</v>
      </c>
      <c r="AO14" s="106" t="n">
        <v>45799</v>
      </c>
      <c r="AP14" s="68" t="n">
        <v>9</v>
      </c>
      <c r="AQ14" s="69"/>
      <c r="AR14" s="70" t="n">
        <v>7753</v>
      </c>
      <c r="AS14" s="70"/>
      <c r="AT14" s="106" t="n">
        <v>45805</v>
      </c>
      <c r="AU14" s="106" t="n">
        <v>45805</v>
      </c>
      <c r="AV14" s="68" t="n">
        <v>8.5</v>
      </c>
      <c r="AW14" s="69"/>
      <c r="AX14" s="68" t="n">
        <v>0</v>
      </c>
      <c r="AY14" s="68" t="n">
        <v>0</v>
      </c>
      <c r="AZ14" s="69"/>
      <c r="BA14" s="106" t="n">
        <v>45792</v>
      </c>
      <c r="BB14" s="71" t="n">
        <v>7.5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45822</v>
      </c>
      <c r="BG14" s="71" t="n">
        <v>27</v>
      </c>
      <c r="BH14" s="68"/>
      <c r="BI14" s="50"/>
      <c r="BJ14" s="75" t="n">
        <f aca="false">SUM(X14,AD14,AJ14,AP14,AV14,AX14:AY14,BH14,BB14,BG14)</f>
        <v>79.3</v>
      </c>
      <c r="BK14" s="73" t="str">
        <f aca="false">IF(BJ14&gt;90,"A",IF(BJ14&gt;83,"B",IF(BJ14&gt;74,"C",IF(BJ14&gt;67,"D",IF(BJ14&gt;=60,"E","FX")))))</f>
        <v>C</v>
      </c>
    </row>
    <row r="15" customFormat="false" ht="15.75" hidden="false" customHeight="false" outlineLevel="0" collapsed="false">
      <c r="A15" s="59" t="n">
        <f aca="false">A14+1</f>
        <v>13</v>
      </c>
      <c r="B15" s="60" t="s">
        <v>533</v>
      </c>
      <c r="C15" s="61" t="s">
        <v>244</v>
      </c>
      <c r="D15" s="61" t="s">
        <v>532</v>
      </c>
      <c r="E15" s="62"/>
      <c r="F15" s="63" t="s">
        <v>739</v>
      </c>
      <c r="G15" s="63" t="s">
        <v>734</v>
      </c>
      <c r="H15" s="63" t="s">
        <v>739</v>
      </c>
      <c r="I15" s="63" t="s">
        <v>739</v>
      </c>
      <c r="J15" s="63" t="s">
        <v>919</v>
      </c>
      <c r="K15" s="63" t="s">
        <v>734</v>
      </c>
      <c r="L15" s="63" t="s">
        <v>920</v>
      </c>
      <c r="M15" s="63" t="s">
        <v>920</v>
      </c>
      <c r="N15" s="64" t="s">
        <v>734</v>
      </c>
      <c r="O15" s="64" t="s">
        <v>734</v>
      </c>
      <c r="P15" s="64" t="s">
        <v>920</v>
      </c>
      <c r="Q15" s="64" t="s">
        <v>920</v>
      </c>
      <c r="R15" s="64" t="s">
        <v>920</v>
      </c>
      <c r="S15" s="65"/>
      <c r="T15" s="66" t="s">
        <v>934</v>
      </c>
      <c r="U15" s="106" t="n">
        <v>45701</v>
      </c>
      <c r="V15" s="106" t="n">
        <v>45701</v>
      </c>
      <c r="W15" s="106" t="n">
        <v>45701</v>
      </c>
      <c r="X15" s="68" t="n">
        <v>10</v>
      </c>
      <c r="Y15" s="69"/>
      <c r="Z15" s="70" t="n">
        <v>784371</v>
      </c>
      <c r="AA15" s="122" t="n">
        <v>45729</v>
      </c>
      <c r="AB15" s="106" t="n">
        <v>45715</v>
      </c>
      <c r="AC15" s="122" t="n">
        <v>45729</v>
      </c>
      <c r="AD15" s="68" t="n">
        <v>9.5</v>
      </c>
      <c r="AE15" s="69"/>
      <c r="AF15" s="70" t="n">
        <v>33775</v>
      </c>
      <c r="AG15" s="67" t="n">
        <v>45771</v>
      </c>
      <c r="AH15" s="106" t="n">
        <v>45743</v>
      </c>
      <c r="AI15" s="106" t="n">
        <v>45757</v>
      </c>
      <c r="AJ15" s="68" t="n">
        <v>9.5</v>
      </c>
      <c r="AK15" s="69"/>
      <c r="AL15" s="70" t="n">
        <v>7654</v>
      </c>
      <c r="AM15" s="70"/>
      <c r="AN15" s="106" t="n">
        <v>45779</v>
      </c>
      <c r="AO15" s="106" t="n">
        <v>45779</v>
      </c>
      <c r="AP15" s="68" t="n">
        <v>9</v>
      </c>
      <c r="AQ15" s="69"/>
      <c r="AR15" s="70" t="n">
        <v>4333</v>
      </c>
      <c r="AS15" s="70"/>
      <c r="AT15" s="106" t="n">
        <v>45782</v>
      </c>
      <c r="AU15" s="106" t="n">
        <v>45782</v>
      </c>
      <c r="AV15" s="68" t="n">
        <v>9</v>
      </c>
      <c r="AW15" s="69"/>
      <c r="AX15" s="68" t="n">
        <v>2</v>
      </c>
      <c r="AY15" s="68" t="n">
        <v>2</v>
      </c>
      <c r="AZ15" s="69"/>
      <c r="BA15" s="106" t="n">
        <v>45792</v>
      </c>
      <c r="BB15" s="71" t="n">
        <v>10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45822</v>
      </c>
      <c r="BG15" s="71" t="n">
        <v>29</v>
      </c>
      <c r="BH15" s="68" t="n">
        <v>1</v>
      </c>
      <c r="BI15" s="50"/>
      <c r="BJ15" s="75" t="n">
        <f aca="false">SUM(X15,AD15,AJ15,AP15,AV15,AX15:AY15,BH15,BB15,BG15)</f>
        <v>91</v>
      </c>
      <c r="BK15" s="73" t="str">
        <f aca="false">IF(BJ15&gt;90,"A",IF(BJ15&gt;83,"B",IF(BJ15&gt;74,"C",IF(BJ15&gt;67,"D",IF(BJ15&gt;=60,"E","FX")))))</f>
        <v>A</v>
      </c>
    </row>
    <row r="16" customFormat="false" ht="15.75" hidden="false" customHeight="false" outlineLevel="0" collapsed="false">
      <c r="A16" s="59" t="n">
        <f aca="false">A15+1</f>
        <v>14</v>
      </c>
      <c r="B16" s="60" t="s">
        <v>557</v>
      </c>
      <c r="C16" s="61" t="s">
        <v>244</v>
      </c>
      <c r="D16" s="61" t="s">
        <v>556</v>
      </c>
      <c r="E16" s="62"/>
      <c r="F16" s="63" t="s">
        <v>738</v>
      </c>
      <c r="G16" s="63" t="s">
        <v>734</v>
      </c>
      <c r="H16" s="63" t="s">
        <v>734</v>
      </c>
      <c r="I16" s="63" t="s">
        <v>734</v>
      </c>
      <c r="J16" s="63" t="s">
        <v>734</v>
      </c>
      <c r="K16" s="63" t="s">
        <v>734</v>
      </c>
      <c r="L16" s="63" t="s">
        <v>920</v>
      </c>
      <c r="M16" s="63" t="s">
        <v>920</v>
      </c>
      <c r="N16" s="64" t="s">
        <v>739</v>
      </c>
      <c r="O16" s="64" t="s">
        <v>920</v>
      </c>
      <c r="P16" s="64" t="s">
        <v>920</v>
      </c>
      <c r="Q16" s="64" t="s">
        <v>920</v>
      </c>
      <c r="R16" s="64" t="s">
        <v>920</v>
      </c>
      <c r="S16" s="65"/>
      <c r="T16" s="66" t="s">
        <v>935</v>
      </c>
      <c r="U16" s="106" t="n">
        <v>45701</v>
      </c>
      <c r="V16" s="106" t="n">
        <v>45701</v>
      </c>
      <c r="W16" s="106" t="n">
        <v>45701</v>
      </c>
      <c r="X16" s="68" t="n">
        <v>10</v>
      </c>
      <c r="Y16" s="69"/>
      <c r="Z16" s="70" t="n">
        <v>423422</v>
      </c>
      <c r="AA16" s="122" t="n">
        <v>45729</v>
      </c>
      <c r="AB16" s="106" t="n">
        <v>45715</v>
      </c>
      <c r="AC16" s="122" t="n">
        <v>45729</v>
      </c>
      <c r="AD16" s="68" t="n">
        <v>10</v>
      </c>
      <c r="AE16" s="69"/>
      <c r="AF16" s="70" t="n">
        <v>44272</v>
      </c>
      <c r="AG16" s="106" t="n">
        <v>45757</v>
      </c>
      <c r="AH16" s="106" t="n">
        <v>45743</v>
      </c>
      <c r="AI16" s="106" t="n">
        <v>45743</v>
      </c>
      <c r="AJ16" s="68" t="n">
        <v>10</v>
      </c>
      <c r="AK16" s="69"/>
      <c r="AL16" s="70" t="n">
        <v>4383</v>
      </c>
      <c r="AM16" s="70"/>
      <c r="AN16" s="67" t="n">
        <v>45771</v>
      </c>
      <c r="AO16" s="67" t="n">
        <v>45771</v>
      </c>
      <c r="AP16" s="68" t="n">
        <v>10</v>
      </c>
      <c r="AQ16" s="69"/>
      <c r="AR16" s="70" t="n">
        <v>7433</v>
      </c>
      <c r="AS16" s="70"/>
      <c r="AT16" s="106" t="n">
        <v>45779</v>
      </c>
      <c r="AU16" s="106" t="n">
        <v>45779</v>
      </c>
      <c r="AV16" s="68" t="n">
        <v>10</v>
      </c>
      <c r="AW16" s="69"/>
      <c r="AX16" s="68" t="n">
        <v>4</v>
      </c>
      <c r="AY16" s="68" t="n">
        <v>1</v>
      </c>
      <c r="AZ16" s="69"/>
      <c r="BA16" s="106" t="n">
        <v>45792</v>
      </c>
      <c r="BB16" s="71" t="n">
        <v>9.5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45822</v>
      </c>
      <c r="BG16" s="71" t="n">
        <v>26</v>
      </c>
      <c r="BH16" s="68"/>
      <c r="BI16" s="50"/>
      <c r="BJ16" s="75" t="n">
        <f aca="false">SUM(X16,AD16,AJ16,AP16,AV16,AX16:AY16,BH16,BB16,BG16)</f>
        <v>90.5</v>
      </c>
      <c r="BK16" s="73" t="str">
        <f aca="false">IF(BJ16&gt;90,"A",IF(BJ16&gt;83,"B",IF(BJ16&gt;74,"C",IF(BJ16&gt;67,"D",IF(BJ16&gt;=60,"E","FX")))))</f>
        <v>A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571</v>
      </c>
      <c r="C17" s="61" t="s">
        <v>244</v>
      </c>
      <c r="D17" s="61" t="s">
        <v>570</v>
      </c>
      <c r="E17" s="62"/>
      <c r="F17" s="63" t="s">
        <v>919</v>
      </c>
      <c r="G17" s="63" t="s">
        <v>734</v>
      </c>
      <c r="H17" s="63" t="s">
        <v>734</v>
      </c>
      <c r="I17" s="63" t="s">
        <v>734</v>
      </c>
      <c r="J17" s="63" t="s">
        <v>734</v>
      </c>
      <c r="K17" s="63" t="s">
        <v>734</v>
      </c>
      <c r="L17" s="63" t="s">
        <v>920</v>
      </c>
      <c r="M17" s="63" t="s">
        <v>920</v>
      </c>
      <c r="N17" s="64" t="s">
        <v>734</v>
      </c>
      <c r="O17" s="64" t="s">
        <v>734</v>
      </c>
      <c r="P17" s="64" t="s">
        <v>920</v>
      </c>
      <c r="Q17" s="64" t="s">
        <v>920</v>
      </c>
      <c r="R17" s="64" t="s">
        <v>920</v>
      </c>
      <c r="S17" s="65"/>
      <c r="T17" s="66" t="s">
        <v>936</v>
      </c>
      <c r="U17" s="106" t="n">
        <v>45715</v>
      </c>
      <c r="V17" s="106" t="n">
        <v>45701</v>
      </c>
      <c r="W17" s="106" t="n">
        <v>45715</v>
      </c>
      <c r="X17" s="68" t="n">
        <v>9.5</v>
      </c>
      <c r="Y17" s="69"/>
      <c r="Z17" s="70" t="n">
        <v>76</v>
      </c>
      <c r="AA17" s="106" t="n">
        <v>45743</v>
      </c>
      <c r="AB17" s="122" t="n">
        <v>45729</v>
      </c>
      <c r="AC17" s="106" t="n">
        <v>45743</v>
      </c>
      <c r="AD17" s="68" t="n">
        <v>9</v>
      </c>
      <c r="AE17" s="69"/>
      <c r="AF17" s="70" t="n">
        <v>432232</v>
      </c>
      <c r="AG17" s="67" t="n">
        <v>45771</v>
      </c>
      <c r="AH17" s="106" t="n">
        <v>45758</v>
      </c>
      <c r="AI17" s="106" t="n">
        <v>45758</v>
      </c>
      <c r="AJ17" s="68" t="n">
        <v>10</v>
      </c>
      <c r="AK17" s="69"/>
      <c r="AL17" s="70" t="n">
        <v>8766</v>
      </c>
      <c r="AM17" s="70"/>
      <c r="AN17" s="106" t="n">
        <v>45779</v>
      </c>
      <c r="AO17" s="106" t="n">
        <v>45779</v>
      </c>
      <c r="AP17" s="68" t="n">
        <v>10</v>
      </c>
      <c r="AQ17" s="69"/>
      <c r="AR17" s="70" t="n">
        <v>8989</v>
      </c>
      <c r="AS17" s="70"/>
      <c r="AT17" s="106" t="n">
        <v>45782</v>
      </c>
      <c r="AU17" s="106" t="n">
        <v>45782</v>
      </c>
      <c r="AV17" s="68" t="n">
        <v>9.5</v>
      </c>
      <c r="AW17" s="69"/>
      <c r="AX17" s="68" t="n">
        <v>4</v>
      </c>
      <c r="AY17" s="68" t="n">
        <v>1</v>
      </c>
      <c r="AZ17" s="69"/>
      <c r="BA17" s="106" t="n">
        <v>45792</v>
      </c>
      <c r="BB17" s="71" t="n">
        <v>6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45822</v>
      </c>
      <c r="BG17" s="71" t="n">
        <v>29</v>
      </c>
      <c r="BH17" s="68" t="n">
        <v>3</v>
      </c>
      <c r="BI17" s="50"/>
      <c r="BJ17" s="75" t="n">
        <f aca="false">SUM(X17,AD17,AJ17,AP17,AV17,AX17:AY17,BH17,BB17,BG17)</f>
        <v>91</v>
      </c>
      <c r="BK17" s="73" t="str">
        <f aca="false">IF(BJ17&gt;90,"A",IF(BJ17&gt;83,"B",IF(BJ17&gt;74,"C",IF(BJ17&gt;67,"D",IF(BJ17&gt;=60,"E","FX")))))</f>
        <v>A</v>
      </c>
    </row>
    <row r="18" customFormat="false" ht="15.75" hidden="false" customHeight="false" outlineLevel="0" collapsed="false">
      <c r="A18" s="59" t="n">
        <f aca="false">A17+1</f>
        <v>16</v>
      </c>
      <c r="B18" s="60" t="s">
        <v>659</v>
      </c>
      <c r="C18" s="61" t="s">
        <v>244</v>
      </c>
      <c r="D18" s="61" t="s">
        <v>658</v>
      </c>
      <c r="E18" s="62"/>
      <c r="F18" s="63" t="s">
        <v>734</v>
      </c>
      <c r="G18" s="63" t="s">
        <v>919</v>
      </c>
      <c r="H18" s="63" t="s">
        <v>734</v>
      </c>
      <c r="I18" s="63" t="s">
        <v>739</v>
      </c>
      <c r="J18" s="63" t="s">
        <v>734</v>
      </c>
      <c r="K18" s="63" t="s">
        <v>734</v>
      </c>
      <c r="L18" s="63" t="s">
        <v>739</v>
      </c>
      <c r="M18" s="63" t="s">
        <v>920</v>
      </c>
      <c r="N18" s="64" t="s">
        <v>920</v>
      </c>
      <c r="O18" s="64" t="s">
        <v>734</v>
      </c>
      <c r="P18" s="64" t="s">
        <v>734</v>
      </c>
      <c r="Q18" s="64" t="s">
        <v>920</v>
      </c>
      <c r="R18" s="64" t="s">
        <v>920</v>
      </c>
      <c r="S18" s="65"/>
      <c r="T18" s="66" t="s">
        <v>937</v>
      </c>
      <c r="U18" s="106" t="n">
        <v>45715</v>
      </c>
      <c r="V18" s="106" t="n">
        <v>45701</v>
      </c>
      <c r="W18" s="106" t="n">
        <v>45715</v>
      </c>
      <c r="X18" s="68" t="n">
        <v>8.5</v>
      </c>
      <c r="Y18" s="69"/>
      <c r="Z18" s="70" t="n">
        <v>51123</v>
      </c>
      <c r="AA18" s="122" t="n">
        <v>45729</v>
      </c>
      <c r="AB18" s="122" t="n">
        <v>45729</v>
      </c>
      <c r="AC18" s="67" t="n">
        <v>45743</v>
      </c>
      <c r="AD18" s="68" t="n">
        <v>8</v>
      </c>
      <c r="AE18" s="69"/>
      <c r="AF18" s="70" t="n">
        <v>34223</v>
      </c>
      <c r="AG18" s="106" t="n">
        <v>45782</v>
      </c>
      <c r="AH18" s="106" t="n">
        <v>45758</v>
      </c>
      <c r="AI18" s="67" t="n">
        <v>45771</v>
      </c>
      <c r="AJ18" s="68" t="n">
        <v>8.3</v>
      </c>
      <c r="AK18" s="69"/>
      <c r="AL18" s="70" t="n">
        <v>3998</v>
      </c>
      <c r="AM18" s="70"/>
      <c r="AN18" s="106" t="n">
        <v>45799</v>
      </c>
      <c r="AO18" s="106" t="n">
        <v>45799</v>
      </c>
      <c r="AP18" s="68" t="n">
        <v>8.8</v>
      </c>
      <c r="AQ18" s="69"/>
      <c r="AR18" s="70" t="n">
        <v>8756</v>
      </c>
      <c r="AS18" s="70"/>
      <c r="AT18" s="106" t="n">
        <v>45804</v>
      </c>
      <c r="AU18" s="106" t="n">
        <v>45804</v>
      </c>
      <c r="AV18" s="68" t="n">
        <v>7</v>
      </c>
      <c r="AW18" s="69"/>
      <c r="AX18" s="68" t="n">
        <v>3</v>
      </c>
      <c r="AY18" s="68" t="n">
        <v>3</v>
      </c>
      <c r="AZ18" s="69"/>
      <c r="BA18" s="106" t="n">
        <v>45792</v>
      </c>
      <c r="BB18" s="71" t="n">
        <v>9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45822</v>
      </c>
      <c r="BG18" s="71" t="n">
        <v>25</v>
      </c>
      <c r="BH18" s="68"/>
      <c r="BI18" s="50"/>
      <c r="BJ18" s="75" t="n">
        <f aca="false">SUM(X18,AD18,AJ18,AP18,AV18,AX18:AY18,BH18,BB18,BG18)</f>
        <v>80.6</v>
      </c>
      <c r="BK18" s="73" t="str">
        <f aca="false">IF(BJ18&gt;90,"A",IF(BJ18&gt;83,"B",IF(BJ18&gt;74,"C",IF(BJ18&gt;67,"D",IF(BJ18&gt;=60,"E","FX")))))</f>
        <v>C</v>
      </c>
    </row>
    <row r="19" customFormat="false" ht="15.75" hidden="false" customHeight="false" outlineLevel="0" collapsed="false">
      <c r="A19" s="59" t="n">
        <f aca="false">A18+1</f>
        <v>17</v>
      </c>
      <c r="B19" s="60" t="s">
        <v>401</v>
      </c>
      <c r="C19" s="61" t="s">
        <v>244</v>
      </c>
      <c r="D19" s="61" t="s">
        <v>400</v>
      </c>
      <c r="E19" s="62"/>
      <c r="F19" s="63" t="s">
        <v>919</v>
      </c>
      <c r="G19" s="63" t="s">
        <v>919</v>
      </c>
      <c r="H19" s="63" t="s">
        <v>734</v>
      </c>
      <c r="I19" s="63" t="s">
        <v>734</v>
      </c>
      <c r="J19" s="63" t="s">
        <v>734</v>
      </c>
      <c r="K19" s="63" t="s">
        <v>734</v>
      </c>
      <c r="L19" s="63" t="s">
        <v>739</v>
      </c>
      <c r="M19" s="63" t="s">
        <v>739</v>
      </c>
      <c r="N19" s="64" t="s">
        <v>920</v>
      </c>
      <c r="O19" s="64" t="s">
        <v>734</v>
      </c>
      <c r="P19" s="64" t="s">
        <v>919</v>
      </c>
      <c r="Q19" s="64" t="s">
        <v>920</v>
      </c>
      <c r="R19" s="64" t="s">
        <v>920</v>
      </c>
      <c r="S19" s="65"/>
      <c r="T19" s="66" t="s">
        <v>938</v>
      </c>
      <c r="U19" s="67" t="n">
        <v>45743</v>
      </c>
      <c r="V19" s="122" t="n">
        <v>45729</v>
      </c>
      <c r="W19" s="67" t="n">
        <v>45743</v>
      </c>
      <c r="X19" s="68" t="n">
        <v>8.5</v>
      </c>
      <c r="Y19" s="69"/>
      <c r="Z19" s="70" t="n">
        <v>3447</v>
      </c>
      <c r="AA19" s="67" t="n">
        <v>45771</v>
      </c>
      <c r="AB19" s="106" t="n">
        <v>45757</v>
      </c>
      <c r="AC19" s="67" t="n">
        <v>45771</v>
      </c>
      <c r="AD19" s="68" t="n">
        <v>8</v>
      </c>
      <c r="AE19" s="69"/>
      <c r="AF19" s="70" t="n">
        <v>765766</v>
      </c>
      <c r="AG19" s="106" t="n">
        <v>45782</v>
      </c>
      <c r="AH19" s="106" t="n">
        <v>45779</v>
      </c>
      <c r="AI19" s="106" t="n">
        <v>45782</v>
      </c>
      <c r="AJ19" s="68" t="n">
        <v>8.8</v>
      </c>
      <c r="AK19" s="69"/>
      <c r="AL19" s="70" t="n">
        <v>65657</v>
      </c>
      <c r="AM19" s="70"/>
      <c r="AN19" s="106" t="n">
        <v>45799</v>
      </c>
      <c r="AO19" s="106" t="n">
        <v>45799</v>
      </c>
      <c r="AP19" s="68" t="n">
        <v>9</v>
      </c>
      <c r="AQ19" s="69"/>
      <c r="AR19" s="70" t="n">
        <v>9843</v>
      </c>
      <c r="AS19" s="70"/>
      <c r="AT19" s="106" t="n">
        <v>45805</v>
      </c>
      <c r="AU19" s="106" t="n">
        <v>45805</v>
      </c>
      <c r="AV19" s="68" t="n">
        <v>8.5</v>
      </c>
      <c r="AW19" s="69"/>
      <c r="AX19" s="68" t="n">
        <v>0</v>
      </c>
      <c r="AY19" s="68"/>
      <c r="AZ19" s="69"/>
      <c r="BA19" s="106" t="n">
        <v>45792</v>
      </c>
      <c r="BB19" s="89" t="n">
        <v>8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45822</v>
      </c>
      <c r="BG19" s="71" t="n">
        <v>25</v>
      </c>
      <c r="BH19" s="68"/>
      <c r="BI19" s="50"/>
      <c r="BJ19" s="75" t="n">
        <f aca="false">SUM(X19,AD19,AJ19,AP19,AV19,AX19:AY19,BH19,BB19,BG19)</f>
        <v>75.8</v>
      </c>
      <c r="BK19" s="73" t="str">
        <f aca="false">IF(BJ19&gt;90,"A",IF(BJ19&gt;83,"B",IF(BJ19&gt;74,"C",IF(BJ19&gt;67,"D",IF(BJ19&gt;=60,"E","FX")))))</f>
        <v>C</v>
      </c>
    </row>
    <row r="20" customFormat="false" ht="15.75" hidden="false" customHeight="false" outlineLevel="0" collapsed="false">
      <c r="A20" s="59" t="n">
        <f aca="false">A19+1</f>
        <v>18</v>
      </c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/>
      <c r="H20" s="63"/>
      <c r="I20" s="63"/>
      <c r="J20" s="63"/>
      <c r="K20" s="63"/>
      <c r="L20" s="63"/>
      <c r="M20" s="63"/>
      <c r="N20" s="64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70"/>
      <c r="V22" s="70"/>
      <c r="W22" s="70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70"/>
      <c r="V23" s="70"/>
      <c r="W23" s="70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3.75" hidden="false" customHeight="true" outlineLevel="0" collapsed="false">
      <c r="A24" s="76"/>
      <c r="B24" s="76"/>
      <c r="C24" s="76"/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9"/>
      <c r="AN24" s="65"/>
      <c r="AO24" s="65"/>
      <c r="AP24" s="65"/>
      <c r="AQ24" s="65"/>
      <c r="AR24" s="65"/>
      <c r="AS24" s="65"/>
      <c r="AT24" s="65"/>
      <c r="AU24" s="65"/>
      <c r="AV24" s="65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80"/>
      <c r="BJ24" s="72"/>
      <c r="BK24" s="72"/>
    </row>
    <row r="25" customFormat="false" ht="15.75" hidden="false" customHeight="false" outlineLevel="0" collapsed="false">
      <c r="A25" s="81"/>
      <c r="B25" s="81" t="s">
        <v>678</v>
      </c>
      <c r="C25" s="81"/>
      <c r="D25" s="81"/>
      <c r="E25" s="69"/>
      <c r="F25" s="70" t="n">
        <f aca="false">COUNTIF(F$3:F$20, "~**")</f>
        <v>9</v>
      </c>
      <c r="G25" s="70" t="n">
        <f aca="false">COUNTIF(G$3:G$20, "~**")</f>
        <v>11</v>
      </c>
      <c r="H25" s="70" t="n">
        <f aca="false">COUNTIF(H$3:H$20, "~**")</f>
        <v>14</v>
      </c>
      <c r="I25" s="70" t="n">
        <f aca="false">COUNTIF(I$3:I$20, "~**")</f>
        <v>14</v>
      </c>
      <c r="J25" s="70" t="n">
        <f aca="false">COUNTIF(J$3:J$20, "~**")</f>
        <v>12</v>
      </c>
      <c r="K25" s="70" t="n">
        <f aca="false">COUNTIF(K$3:K$20, "~**")</f>
        <v>13</v>
      </c>
      <c r="L25" s="70" t="n">
        <f aca="false">COUNTIF(L$3:L$20, "~**")</f>
        <v>11</v>
      </c>
      <c r="M25" s="70" t="n">
        <f aca="false">COUNTIF(M$3:M$20, "~**")</f>
        <v>10</v>
      </c>
      <c r="N25" s="70" t="n">
        <f aca="false">COUNTIF(N$3:N$20, "~**")</f>
        <v>12</v>
      </c>
      <c r="O25" s="70"/>
      <c r="P25" s="70"/>
      <c r="Q25" s="70" t="n">
        <f aca="false">COUNTIF(Q$3:Q$20, "~**")</f>
        <v>0</v>
      </c>
      <c r="R25" s="70" t="n">
        <f aca="false">COUNTIF(R$3:R$20, "~**")</f>
        <v>0</v>
      </c>
      <c r="S25" s="82"/>
      <c r="T25" s="83" t="s">
        <v>679</v>
      </c>
      <c r="U25" s="84"/>
      <c r="V25" s="84"/>
      <c r="W25" s="84"/>
      <c r="X25" s="85" t="n">
        <v>44475</v>
      </c>
      <c r="Y25" s="69"/>
      <c r="Z25" s="70"/>
      <c r="AA25" s="85"/>
      <c r="AB25" s="85"/>
      <c r="AC25" s="85"/>
      <c r="AD25" s="85" t="n">
        <v>44475</v>
      </c>
      <c r="AE25" s="69"/>
      <c r="AF25" s="70"/>
      <c r="AG25" s="85"/>
      <c r="AH25" s="85"/>
      <c r="AI25" s="85"/>
      <c r="AJ25" s="85" t="n">
        <v>44475</v>
      </c>
      <c r="AK25" s="69"/>
      <c r="AL25" s="70"/>
      <c r="AM25" s="85"/>
      <c r="AN25" s="85"/>
      <c r="AO25" s="85"/>
      <c r="AP25" s="85" t="n">
        <v>45205</v>
      </c>
      <c r="AQ25" s="69"/>
      <c r="AR25" s="70"/>
      <c r="AS25" s="70"/>
      <c r="AT25" s="70"/>
      <c r="AU25" s="70"/>
      <c r="AV25" s="70" t="s">
        <v>680</v>
      </c>
      <c r="AW25" s="86"/>
      <c r="AX25" s="87" t="s">
        <v>681</v>
      </c>
      <c r="AY25" s="87" t="s">
        <v>681</v>
      </c>
      <c r="AZ25" s="86"/>
      <c r="BA25" s="87"/>
      <c r="BB25" s="85" t="n">
        <v>44840</v>
      </c>
      <c r="BC25" s="86"/>
      <c r="BD25" s="87"/>
      <c r="BE25" s="69"/>
      <c r="BF25" s="70"/>
      <c r="BG25" s="87" t="s">
        <v>682</v>
      </c>
      <c r="BH25" s="87" t="s">
        <v>683</v>
      </c>
      <c r="BI25" s="80"/>
      <c r="BJ25" s="74"/>
      <c r="BK25" s="74"/>
    </row>
    <row r="26" customFormat="false" ht="15.75" hidden="false" customHeight="false" outlineLevel="0" collapsed="false">
      <c r="A26" s="81"/>
      <c r="B26" s="81" t="s">
        <v>684</v>
      </c>
      <c r="C26" s="81"/>
      <c r="D26" s="81"/>
      <c r="E26" s="69"/>
      <c r="F26" s="70" t="n">
        <f aca="false">COUNTIF(F$3:F$20, "~**")+COUNTIF(F$3:F$20, "Y")</f>
        <v>14</v>
      </c>
      <c r="G26" s="70" t="n">
        <f aca="false">COUNTIF(G$3:G$20, "~**")+COUNTIF(G$3:G$20, "Y")</f>
        <v>16</v>
      </c>
      <c r="H26" s="70" t="n">
        <f aca="false">COUNTIF(H$3:H$20, "~**")+COUNTIF(H$3:H$20, "Y")</f>
        <v>16</v>
      </c>
      <c r="I26" s="70" t="n">
        <f aca="false">COUNTIF(I$3:I$20, "~**")+COUNTIF(I$3:I$20, "Y")</f>
        <v>14</v>
      </c>
      <c r="J26" s="70" t="n">
        <f aca="false">COUNTIF(J$3:J$20, "~**")+COUNTIF(J$3:J$20, "Y")</f>
        <v>14</v>
      </c>
      <c r="K26" s="70" t="n">
        <f aca="false">COUNTIF(K$3:K$20, "~**")+COUNTIF(K$3:K$20, "Y")</f>
        <v>16</v>
      </c>
      <c r="L26" s="70" t="n">
        <f aca="false">COUNTIF(L$3:L$20, "~**")+COUNTIF(L$3:L$20, "Y")</f>
        <v>12</v>
      </c>
      <c r="M26" s="70" t="n">
        <f aca="false">COUNTIF(M$3:M$20, "~**")+COUNTIF(M$3:M$20, "Y")</f>
        <v>10</v>
      </c>
      <c r="N26" s="70" t="n">
        <f aca="false">COUNTIF(N$3:N$20, "~**")+COUNTIF(N$3:N$20, "Y")</f>
        <v>12</v>
      </c>
      <c r="O26" s="70"/>
      <c r="P26" s="70"/>
      <c r="Q26" s="70" t="n">
        <f aca="false">COUNTIF(Q$3:Q$20, "~**")+COUNTIF(Q$3:Q$20, "Y")</f>
        <v>0</v>
      </c>
      <c r="R26" s="70" t="n">
        <f aca="false">COUNTIF(R$3:R$20, "~**")+COUNTIF(R$3:R$20, "Y")</f>
        <v>0</v>
      </c>
      <c r="S26" s="82"/>
      <c r="T26" s="83"/>
      <c r="U26" s="44"/>
      <c r="V26" s="44"/>
      <c r="W26" s="87"/>
      <c r="X26" s="88"/>
      <c r="Y26" s="78"/>
      <c r="Z26" s="88"/>
      <c r="AA26" s="88"/>
      <c r="AB26" s="88"/>
      <c r="AC26" s="87"/>
      <c r="AD26" s="87"/>
      <c r="AE26" s="86"/>
      <c r="AF26" s="87"/>
      <c r="AG26" s="89"/>
      <c r="AH26" s="87"/>
      <c r="AI26" s="87"/>
      <c r="AJ26" s="87"/>
      <c r="AK26" s="86"/>
      <c r="AL26" s="87"/>
      <c r="AM26" s="44"/>
      <c r="AN26" s="44"/>
      <c r="AO26" s="44"/>
      <c r="AP26" s="44"/>
      <c r="AQ26" s="77"/>
      <c r="AR26" s="44"/>
      <c r="AS26" s="44"/>
      <c r="AT26" s="44"/>
      <c r="AU26" s="70"/>
      <c r="AV26" s="90"/>
      <c r="AW26" s="72"/>
      <c r="AX26" s="74"/>
      <c r="AY26" s="74"/>
      <c r="AZ26" s="72"/>
      <c r="BA26" s="74"/>
      <c r="BB26" s="74"/>
      <c r="BC26" s="72"/>
      <c r="BD26" s="74"/>
      <c r="BE26" s="72"/>
      <c r="BF26" s="74"/>
      <c r="BG26" s="74"/>
      <c r="BH26" s="74"/>
      <c r="BI26" s="80"/>
      <c r="BJ26" s="74"/>
      <c r="BK26" s="74"/>
    </row>
    <row r="27" customFormat="false" ht="15.75" hidden="false" customHeight="false" outlineLevel="0" collapsed="false">
      <c r="A27" s="81"/>
      <c r="B27" s="81"/>
      <c r="C27" s="81"/>
      <c r="D27" s="81"/>
      <c r="E27" s="77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77"/>
      <c r="T27" s="44"/>
      <c r="U27" s="44"/>
      <c r="V27" s="44"/>
      <c r="W27" s="90"/>
      <c r="X27" s="44"/>
      <c r="Y27" s="77"/>
      <c r="Z27" s="44"/>
      <c r="AA27" s="44"/>
      <c r="AB27" s="44"/>
      <c r="AC27" s="90"/>
      <c r="AD27" s="90"/>
      <c r="AE27" s="91"/>
      <c r="AF27" s="90"/>
      <c r="AG27" s="44"/>
      <c r="AH27" s="90"/>
      <c r="AI27" s="44"/>
      <c r="AJ27" s="44"/>
      <c r="AK27" s="77"/>
      <c r="AL27" s="44"/>
      <c r="AM27" s="44"/>
      <c r="AN27" s="44"/>
      <c r="AO27" s="44"/>
      <c r="AP27" s="44"/>
      <c r="AQ27" s="77"/>
      <c r="AR27" s="44"/>
      <c r="AS27" s="44"/>
      <c r="AT27" s="44"/>
      <c r="AU27" s="90"/>
      <c r="AV27" s="90"/>
      <c r="AW27" s="72"/>
      <c r="AX27" s="74"/>
      <c r="AY27" s="74"/>
      <c r="AZ27" s="72"/>
      <c r="BA27" s="74"/>
      <c r="BB27" s="74"/>
      <c r="BC27" s="72"/>
      <c r="BD27" s="74"/>
      <c r="BE27" s="72"/>
      <c r="BF27" s="74"/>
      <c r="BG27" s="74"/>
      <c r="BH27" s="74"/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685</v>
      </c>
      <c r="C28" s="81"/>
      <c r="D28" s="81"/>
      <c r="E28" s="77"/>
      <c r="F28" s="44" t="s">
        <v>686</v>
      </c>
      <c r="G28" s="44"/>
      <c r="H28" s="44"/>
      <c r="I28" s="44"/>
      <c r="J28" s="44"/>
      <c r="K28" s="44"/>
      <c r="L28" s="44"/>
      <c r="M28" s="44"/>
      <c r="N28" s="44"/>
      <c r="S28" s="76"/>
      <c r="T28" s="81" t="s">
        <v>687</v>
      </c>
      <c r="U28" s="44" t="n">
        <v>0</v>
      </c>
      <c r="V28" s="44" t="n">
        <f aca="false">COUNT(V3:V23)</f>
        <v>17</v>
      </c>
      <c r="W28" s="44" t="n">
        <f aca="false">COUNT(W3:W23)</f>
        <v>17</v>
      </c>
      <c r="X28" s="44" t="n">
        <f aca="false">COUNT(X3:X23)</f>
        <v>17</v>
      </c>
      <c r="Y28" s="77"/>
      <c r="Z28" s="44"/>
      <c r="AA28" s="44" t="n">
        <f aca="false">COUNT(AA3:AA23)</f>
        <v>17</v>
      </c>
      <c r="AB28" s="44" t="n">
        <f aca="false">COUNT(AB3:AB23)</f>
        <v>17</v>
      </c>
      <c r="AC28" s="44" t="n">
        <f aca="false">COUNT(AC3:AC23)</f>
        <v>17</v>
      </c>
      <c r="AD28" s="44" t="n">
        <f aca="false">COUNT(AD3:AD23)</f>
        <v>17</v>
      </c>
      <c r="AE28" s="77"/>
      <c r="AF28" s="44"/>
      <c r="AG28" s="44" t="n">
        <f aca="false">COUNT(AG3:AG23)</f>
        <v>15</v>
      </c>
      <c r="AH28" s="44" t="n">
        <f aca="false">COUNT(AH3:AH23)</f>
        <v>16</v>
      </c>
      <c r="AI28" s="44" t="n">
        <f aca="false">COUNT(AI3:AI23)</f>
        <v>16</v>
      </c>
      <c r="AJ28" s="44" t="n">
        <f aca="false">COUNT(AJ3:AJ23)</f>
        <v>16</v>
      </c>
      <c r="AK28" s="77"/>
      <c r="AL28" s="44"/>
      <c r="AM28" s="44" t="n">
        <f aca="false">COUNT(AM3:AM23)</f>
        <v>0</v>
      </c>
      <c r="AN28" s="44" t="n">
        <f aca="false">COUNT(AN3:AN23)</f>
        <v>15</v>
      </c>
      <c r="AO28" s="44" t="n">
        <f aca="false">COUNT(AO3:AO23)</f>
        <v>15</v>
      </c>
      <c r="AP28" s="44" t="n">
        <f aca="false">COUNT(AP3:AP23)</f>
        <v>15</v>
      </c>
      <c r="AQ28" s="77"/>
      <c r="AR28" s="44"/>
      <c r="AS28" s="44" t="n">
        <f aca="false">COUNT(AS3:AS23)</f>
        <v>0</v>
      </c>
      <c r="AT28" s="44" t="n">
        <f aca="false">COUNT(AT3:AT23)</f>
        <v>10</v>
      </c>
      <c r="AU28" s="44" t="n">
        <f aca="false">COUNT(AU3:AU23)</f>
        <v>10</v>
      </c>
      <c r="AV28" s="44" t="n">
        <f aca="false">COUNT(AV3:AV23)</f>
        <v>17</v>
      </c>
      <c r="AW28" s="77"/>
      <c r="AX28" s="44" t="n">
        <f aca="false">COUNT(AX3:AX23)</f>
        <v>14</v>
      </c>
      <c r="AY28" s="44" t="n">
        <f aca="false">COUNT(AY3:AY23)</f>
        <v>10</v>
      </c>
      <c r="AZ28" s="77"/>
      <c r="BA28" s="44"/>
      <c r="BB28" s="44" t="n">
        <f aca="false">COUNTIF(BB3:BB23, "&gt;=6")</f>
        <v>15</v>
      </c>
      <c r="BC28" s="77"/>
      <c r="BD28" s="44" t="n">
        <f aca="false">COUNTIF(BD3:BD23, "Да")</f>
        <v>15</v>
      </c>
      <c r="BE28" s="77"/>
      <c r="BF28" s="44"/>
      <c r="BG28" s="44" t="n">
        <f aca="false">COUNT(BG3:BG23)</f>
        <v>15</v>
      </c>
      <c r="BH28" s="44" t="n">
        <f aca="false">COUNT(BH3:BH23)</f>
        <v>6</v>
      </c>
      <c r="BI28" s="80"/>
      <c r="BJ28" s="74"/>
      <c r="BK28" s="74"/>
    </row>
    <row r="29" customFormat="false" ht="15.75" hidden="false" customHeight="false" outlineLevel="0" collapsed="false">
      <c r="A29" s="92"/>
      <c r="E29" s="77"/>
      <c r="F29" s="44" t="s">
        <v>688</v>
      </c>
      <c r="G29" s="44"/>
      <c r="H29" s="44"/>
      <c r="I29" s="44"/>
      <c r="J29" s="44"/>
      <c r="K29" s="44"/>
      <c r="L29" s="44"/>
      <c r="M29" s="44"/>
      <c r="N29" s="93"/>
      <c r="S29" s="94"/>
      <c r="T29" s="92" t="s">
        <v>689</v>
      </c>
      <c r="V29" s="93"/>
      <c r="W29" s="93"/>
      <c r="X29" s="95" t="n">
        <f aca="false">IF(COUNTA($B$3:$B$20)&gt;0,COUNTA(X$3:X$20)/COUNTA($B$3:$B$20), 0)</f>
        <v>0.9444444444</v>
      </c>
      <c r="Y29" s="96"/>
      <c r="Z29" s="93"/>
      <c r="AA29" s="93"/>
      <c r="AB29" s="93"/>
      <c r="AC29" s="93"/>
      <c r="AD29" s="95" t="n">
        <f aca="false">IF(COUNTA($B$3:$B$20)&gt;0,COUNTA(AD$3:AD$20)/COUNTA($B$3:$B$20), 0)</f>
        <v>0.9444444444</v>
      </c>
      <c r="AE29" s="97"/>
      <c r="AF29" s="98"/>
      <c r="AG29" s="93"/>
      <c r="AH29" s="98"/>
      <c r="AI29" s="93"/>
      <c r="AJ29" s="95" t="n">
        <f aca="false">IF(COUNTA($B$3:$B$20)&gt;0,COUNTA(AJ$3:AJ$20)/COUNTA($B$3:$B$20), 0)</f>
        <v>0.8888888889</v>
      </c>
      <c r="AK29" s="96"/>
      <c r="AL29" s="93"/>
      <c r="AM29" s="93"/>
      <c r="AN29" s="93"/>
      <c r="AO29" s="93"/>
      <c r="AP29" s="95" t="n">
        <f aca="false">IF(COUNTA($B$3:$B$20)&gt;0,COUNTA(AP$3:AP$20)/COUNTA($B$3:$B$20), 0)</f>
        <v>0.8333333333</v>
      </c>
      <c r="AQ29" s="96"/>
      <c r="AR29" s="93"/>
      <c r="AS29" s="93"/>
      <c r="AT29" s="93"/>
      <c r="AU29" s="93"/>
      <c r="AV29" s="95" t="n">
        <f aca="false">IF(COUNTA($B$3:$B$20)&gt;0,COUNTA(AV$3:AV$20)/COUNTA($B$3:$B$20), 0)</f>
        <v>0.9444444444</v>
      </c>
      <c r="AW29" s="99"/>
      <c r="AX29" s="100"/>
      <c r="AY29" s="100"/>
      <c r="AZ29" s="99"/>
      <c r="BA29" s="100"/>
      <c r="BB29" s="95" t="n">
        <f aca="false">IF(COUNTA($B$3:$B$20)&gt;0,COUNTA(BB$3:BB$20)/COUNTA($B$3:$B$20), 0)</f>
        <v>0.9444444444</v>
      </c>
      <c r="BC29" s="77"/>
      <c r="BD29" s="44" t="n">
        <f aca="false">COUNTIF(BD3:BD23, "Да")</f>
        <v>15</v>
      </c>
      <c r="BE29" s="101"/>
      <c r="BF29" s="102"/>
      <c r="BG29" s="102"/>
      <c r="BH29" s="100"/>
      <c r="BI29" s="103"/>
      <c r="BJ29" s="102"/>
      <c r="BK29" s="102"/>
    </row>
    <row r="30" customFormat="false" ht="15.75" hidden="false" customHeight="false" outlineLevel="0" collapsed="false">
      <c r="A30" s="92"/>
      <c r="B30" s="92"/>
      <c r="C30" s="92"/>
      <c r="D30" s="92"/>
      <c r="E30" s="77"/>
      <c r="F30" s="44" t="s">
        <v>690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77"/>
      <c r="T30" s="44"/>
      <c r="U30" s="44"/>
      <c r="V30" s="44"/>
      <c r="W30" s="44"/>
      <c r="X30" s="44"/>
      <c r="Y30" s="77"/>
      <c r="Z30" s="44"/>
      <c r="AA30" s="44"/>
      <c r="AB30" s="44"/>
      <c r="AC30" s="44"/>
      <c r="AD30" s="90"/>
      <c r="AE30" s="91"/>
      <c r="AF30" s="90"/>
      <c r="AG30" s="44"/>
      <c r="AH30" s="90"/>
      <c r="AI30" s="44"/>
      <c r="AJ30" s="44"/>
      <c r="AK30" s="77"/>
      <c r="AL30" s="44"/>
      <c r="AM30" s="44"/>
      <c r="AN30" s="44"/>
      <c r="AO30" s="44"/>
      <c r="AP30" s="44"/>
      <c r="AQ30" s="77"/>
      <c r="AR30" s="44"/>
      <c r="AS30" s="44"/>
      <c r="AT30" s="44"/>
      <c r="AU30" s="44"/>
      <c r="AV30" s="44"/>
      <c r="AW30" s="101"/>
      <c r="AX30" s="102"/>
      <c r="AY30" s="102"/>
      <c r="AZ30" s="101"/>
      <c r="BA30" s="102"/>
      <c r="BB30" s="102"/>
      <c r="BC30" s="101"/>
      <c r="BD30" s="102"/>
      <c r="BE30" s="101"/>
      <c r="BF30" s="102"/>
      <c r="BG30" s="102"/>
      <c r="BH30" s="102"/>
      <c r="BI30" s="103"/>
      <c r="BJ30" s="102"/>
      <c r="BK30" s="102"/>
    </row>
    <row r="31" customFormat="false" ht="15.75" hidden="false" customHeight="false" outlineLevel="0" collapsed="false">
      <c r="A31" s="92"/>
      <c r="B31" s="92"/>
      <c r="C31" s="92"/>
      <c r="D31" s="92"/>
      <c r="E31" s="77"/>
      <c r="F31" s="44" t="s">
        <v>691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77"/>
      <c r="T31" s="44"/>
      <c r="U31" s="44"/>
      <c r="V31" s="44"/>
      <c r="W31" s="44"/>
      <c r="X31" s="44"/>
      <c r="Y31" s="77"/>
      <c r="Z31" s="44"/>
      <c r="AA31" s="44"/>
      <c r="AB31" s="44"/>
      <c r="AC31" s="44"/>
      <c r="AD31" s="90"/>
      <c r="AE31" s="91"/>
      <c r="AF31" s="90"/>
      <c r="AG31" s="44"/>
      <c r="AH31" s="90"/>
      <c r="AI31" s="44"/>
      <c r="AJ31" s="44"/>
      <c r="AK31" s="77"/>
      <c r="AL31" s="44"/>
      <c r="AM31" s="44"/>
      <c r="AN31" s="44"/>
      <c r="AO31" s="44"/>
      <c r="AP31" s="44"/>
      <c r="AQ31" s="77"/>
      <c r="AR31" s="44"/>
      <c r="AS31" s="44"/>
      <c r="AT31" s="44"/>
      <c r="AU31" s="44"/>
      <c r="AV31" s="44"/>
      <c r="AW31" s="101"/>
      <c r="AX31" s="102"/>
      <c r="AY31" s="102"/>
      <c r="AZ31" s="101"/>
      <c r="BA31" s="102"/>
      <c r="BB31" s="102"/>
      <c r="BC31" s="101"/>
      <c r="BD31" s="102"/>
      <c r="BE31" s="101"/>
      <c r="BF31" s="102"/>
      <c r="BG31" s="102"/>
      <c r="BH31" s="102"/>
      <c r="BI31" s="103"/>
      <c r="BJ31" s="102"/>
      <c r="BK31" s="102"/>
    </row>
    <row r="32" customFormat="false" ht="15.75" hidden="true" customHeight="false" outlineLevel="0" collapsed="false">
      <c r="A32" s="92"/>
      <c r="B32" s="92"/>
      <c r="C32" s="92"/>
      <c r="D32" s="92"/>
      <c r="E32" s="10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true" customHeight="false" outlineLevel="0" collapsed="false">
      <c r="A33" s="92"/>
      <c r="B33" s="92"/>
      <c r="C33" s="92"/>
      <c r="D33" s="92"/>
      <c r="E33" s="10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</sheetData>
  <autoFilter ref="T1:X19"/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3 AA3:AC23 AG3:AI23 AM3:AO23 AS3:AU23">
    <cfRule type="expression" priority="2" aboveAverage="0" equalAverage="0" bottom="0" percent="0" rank="0" text="" dxfId="2">
      <formula>U3&gt;45809</formula>
    </cfRule>
  </conditionalFormatting>
  <conditionalFormatting sqref="BC3:BD23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3">
    <cfRule type="cellIs" priority="5" operator="equal" aboveAverage="0" equalAverage="0" bottom="0" percent="0" rank="0" text="" dxfId="5">
      <formula>"N"</formula>
    </cfRule>
  </conditionalFormatting>
  <conditionalFormatting sqref="BK3:BK20">
    <cfRule type="notContainsText" priority="6" operator="notContains" aboveAverage="0" equalAverage="0" bottom="0" percent="0" rank="0" text="FX" dxfId="6">
      <formula>ISERROR(SEARCH("FX",BK3))</formula>
    </cfRule>
  </conditionalFormatting>
  <conditionalFormatting sqref="X3:X19 AD3:AD19 AJ3:AJ19 AP3:AP19">
    <cfRule type="cellIs" priority="7" operator="greaterThanOrEqual" aboveAverage="0" equalAverage="0" bottom="0" percent="0" rank="0" text="" dxfId="11">
      <formula>6</formula>
    </cfRule>
    <cfRule type="cellIs" priority="8" operator="lessThan" aboveAverage="0" equalAverage="0" bottom="0" percent="0" rank="0" text="" dxfId="12">
      <formula>6</formula>
    </cfRule>
    <cfRule type="expression" priority="9" aboveAverage="0" equalAverage="0" bottom="0" percent="0" rank="0" text="" dxfId="12">
      <formula>LEN(TRIM(X3))=0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FA775"/>
    <outlinePr summaryBelow="0"/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768</v>
      </c>
      <c r="C1" s="45" t="s">
        <v>939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45706</v>
      </c>
      <c r="G2" s="55" t="n">
        <f aca="false">F2+14</f>
        <v>45720</v>
      </c>
      <c r="H2" s="55" t="n">
        <f aca="false">G2+14</f>
        <v>45734</v>
      </c>
      <c r="I2" s="55" t="n">
        <f aca="false">H2+14</f>
        <v>45748</v>
      </c>
      <c r="J2" s="55" t="n">
        <f aca="false">I2+14</f>
        <v>45762</v>
      </c>
      <c r="K2" s="55" t="n">
        <f aca="false">J2+14</f>
        <v>45776</v>
      </c>
      <c r="L2" s="55" t="n">
        <f aca="false">K2+14</f>
        <v>45790</v>
      </c>
      <c r="M2" s="55" t="n">
        <f aca="false">L2+14</f>
        <v>45804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21" t="s">
        <v>182</v>
      </c>
      <c r="C3" s="61" t="s">
        <v>183</v>
      </c>
      <c r="D3" s="45" t="s">
        <v>181</v>
      </c>
      <c r="E3" s="62"/>
      <c r="F3" s="63"/>
      <c r="G3" s="63"/>
      <c r="H3" s="63" t="s">
        <v>734</v>
      </c>
      <c r="I3" s="63" t="s">
        <v>734</v>
      </c>
      <c r="J3" s="63" t="s">
        <v>735</v>
      </c>
      <c r="K3" s="63" t="s">
        <v>734</v>
      </c>
      <c r="L3" s="63" t="s">
        <v>734</v>
      </c>
      <c r="M3" s="63" t="s">
        <v>734</v>
      </c>
      <c r="N3" s="64" t="s">
        <v>734</v>
      </c>
      <c r="O3" s="64"/>
      <c r="P3" s="64"/>
      <c r="Q3" s="64"/>
      <c r="R3" s="64"/>
      <c r="S3" s="65"/>
      <c r="T3" s="66" t="s">
        <v>940</v>
      </c>
      <c r="U3" s="122" t="n">
        <v>45734</v>
      </c>
      <c r="V3" s="67" t="n">
        <v>45737</v>
      </c>
      <c r="W3" s="67" t="n">
        <v>45828</v>
      </c>
      <c r="X3" s="68" t="n">
        <v>7.5</v>
      </c>
      <c r="Y3" s="69"/>
      <c r="Z3" s="70" t="n">
        <v>28856</v>
      </c>
      <c r="AA3" s="122" t="n">
        <v>45748</v>
      </c>
      <c r="AB3" s="67" t="n">
        <v>45790</v>
      </c>
      <c r="AC3" s="67" t="n">
        <v>45828</v>
      </c>
      <c r="AD3" s="68" t="n">
        <v>8</v>
      </c>
      <c r="AE3" s="69"/>
      <c r="AF3" s="70" t="n">
        <v>57558</v>
      </c>
      <c r="AG3" s="106" t="n">
        <v>45776</v>
      </c>
      <c r="AH3" s="106" t="n">
        <v>45828</v>
      </c>
      <c r="AI3" s="122" t="n">
        <v>45828</v>
      </c>
      <c r="AJ3" s="68" t="n">
        <v>7</v>
      </c>
      <c r="AK3" s="69"/>
      <c r="AL3" s="70" t="n">
        <v>9</v>
      </c>
      <c r="AM3" s="122" t="n">
        <v>45828</v>
      </c>
      <c r="AN3" s="122" t="n">
        <v>45828</v>
      </c>
      <c r="AO3" s="122" t="n">
        <v>45828</v>
      </c>
      <c r="AP3" s="68" t="n">
        <v>6</v>
      </c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87" t="n">
        <v>0</v>
      </c>
      <c r="AW3" s="69"/>
      <c r="AX3" s="68"/>
      <c r="AY3" s="68" t="n">
        <v>1</v>
      </c>
      <c r="AZ3" s="69"/>
      <c r="BA3" s="122" t="n">
        <v>45813</v>
      </c>
      <c r="BB3" s="71" t="n">
        <v>7</v>
      </c>
      <c r="BC3" s="72"/>
      <c r="BD3" s="73" t="str">
        <f aca="false">IF(AND(BB3&gt;=6,AP3&gt;=6,AJ3&gt;=6,AD3&gt;=6,X3&gt;=6),"да","нет")</f>
        <v>да</v>
      </c>
      <c r="BE3" s="72"/>
      <c r="BF3" s="118" t="n">
        <v>45836</v>
      </c>
      <c r="BG3" s="71" t="n">
        <v>27</v>
      </c>
      <c r="BH3" s="68"/>
      <c r="BI3" s="50"/>
      <c r="BJ3" s="75" t="n">
        <f aca="false">SUM(X3,AD3,AJ3,AP3,AV3,AX3:AY3,BH3,BB3,BG3)</f>
        <v>63.5</v>
      </c>
      <c r="BK3" s="73" t="str">
        <f aca="false">IF(BJ3&gt;90,"A",IF(BJ3&gt;83,"B",IF(BJ3&gt;74,"C",IF(BJ3&gt;67,"D",IF(BJ3&gt;=60,"E","FX")))))</f>
        <v>E</v>
      </c>
    </row>
    <row r="4" customFormat="false" ht="15.75" hidden="false" customHeight="false" outlineLevel="0" collapsed="false">
      <c r="A4" s="59" t="n">
        <f aca="false">A3+1</f>
        <v>2</v>
      </c>
      <c r="B4" s="125" t="s">
        <v>941</v>
      </c>
      <c r="C4" s="61" t="s">
        <v>183</v>
      </c>
      <c r="D4" s="45" t="s">
        <v>187</v>
      </c>
      <c r="E4" s="62"/>
      <c r="F4" s="63"/>
      <c r="G4" s="63" t="s">
        <v>734</v>
      </c>
      <c r="H4" s="63" t="s">
        <v>734</v>
      </c>
      <c r="I4" s="63" t="s">
        <v>734</v>
      </c>
      <c r="J4" s="63" t="s">
        <v>734</v>
      </c>
      <c r="K4" s="63" t="s">
        <v>734</v>
      </c>
      <c r="L4" s="63" t="s">
        <v>734</v>
      </c>
      <c r="M4" s="63" t="s">
        <v>734</v>
      </c>
      <c r="N4" s="64"/>
      <c r="O4" s="64"/>
      <c r="P4" s="64"/>
      <c r="Q4" s="64"/>
      <c r="R4" s="64"/>
      <c r="S4" s="65"/>
      <c r="T4" s="66" t="s">
        <v>942</v>
      </c>
      <c r="U4" s="122" t="n">
        <v>45720</v>
      </c>
      <c r="V4" s="122" t="n">
        <v>45720</v>
      </c>
      <c r="W4" s="106" t="n">
        <v>45762</v>
      </c>
      <c r="X4" s="68" t="n">
        <v>10</v>
      </c>
      <c r="Y4" s="69"/>
      <c r="Z4" s="70" t="n">
        <v>45865</v>
      </c>
      <c r="AA4" s="122" t="n">
        <v>45748</v>
      </c>
      <c r="AB4" s="67" t="n">
        <v>45748</v>
      </c>
      <c r="AC4" s="67" t="n">
        <v>45790</v>
      </c>
      <c r="AD4" s="70" t="n">
        <v>9.5</v>
      </c>
      <c r="AE4" s="69"/>
      <c r="AF4" s="70" t="n">
        <v>57757</v>
      </c>
      <c r="AG4" s="106" t="n">
        <v>45762</v>
      </c>
      <c r="AH4" s="106" t="n">
        <v>45828</v>
      </c>
      <c r="AI4" s="122" t="n">
        <v>45828</v>
      </c>
      <c r="AJ4" s="68" t="n">
        <v>7.5</v>
      </c>
      <c r="AK4" s="69"/>
      <c r="AL4" s="70" t="n">
        <v>76543</v>
      </c>
      <c r="AM4" s="106" t="n">
        <v>45776</v>
      </c>
      <c r="AN4" s="122" t="n">
        <v>45828</v>
      </c>
      <c r="AO4" s="122" t="n">
        <v>45828</v>
      </c>
      <c r="AP4" s="68" t="n">
        <v>6</v>
      </c>
      <c r="AQ4" s="69"/>
      <c r="AR4" s="70" t="n">
        <v>865456</v>
      </c>
      <c r="AS4" s="122" t="n">
        <v>45828</v>
      </c>
      <c r="AT4" s="122" t="n">
        <v>45828</v>
      </c>
      <c r="AU4" s="122" t="n">
        <v>45828</v>
      </c>
      <c r="AV4" s="68" t="n">
        <v>6</v>
      </c>
      <c r="AW4" s="69"/>
      <c r="AX4" s="68" t="n">
        <v>0</v>
      </c>
      <c r="AY4" s="68"/>
      <c r="AZ4" s="69"/>
      <c r="BA4" s="122" t="n">
        <v>45813</v>
      </c>
      <c r="BB4" s="71" t="n">
        <v>7</v>
      </c>
      <c r="BC4" s="72"/>
      <c r="BD4" s="73" t="str">
        <f aca="false">IF(AND(BB4&gt;=6,AP4&gt;=6,AJ4&gt;=6,AD4&gt;=6,X4&gt;=6),"да","нет")</f>
        <v>да</v>
      </c>
      <c r="BE4" s="72"/>
      <c r="BF4" s="118" t="n">
        <v>45822</v>
      </c>
      <c r="BG4" s="71" t="n">
        <v>0</v>
      </c>
      <c r="BH4" s="68"/>
      <c r="BI4" s="50"/>
      <c r="BJ4" s="75" t="n">
        <f aca="false">SUM(X4,AD4,AJ4,AP4,AV4,AX4:AY4,BH4,BB4,BG4)</f>
        <v>46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121" t="s">
        <v>229</v>
      </c>
      <c r="C5" s="61" t="s">
        <v>183</v>
      </c>
      <c r="D5" s="45" t="s">
        <v>228</v>
      </c>
      <c r="E5" s="62"/>
      <c r="F5" s="63"/>
      <c r="G5" s="63" t="s">
        <v>734</v>
      </c>
      <c r="H5" s="63" t="s">
        <v>734</v>
      </c>
      <c r="I5" s="63" t="s">
        <v>734</v>
      </c>
      <c r="J5" s="63" t="s">
        <v>734</v>
      </c>
      <c r="K5" s="63" t="s">
        <v>735</v>
      </c>
      <c r="L5" s="63" t="s">
        <v>734</v>
      </c>
      <c r="M5" s="63" t="s">
        <v>734</v>
      </c>
      <c r="N5" s="64"/>
      <c r="O5" s="64"/>
      <c r="P5" s="64"/>
      <c r="Q5" s="64"/>
      <c r="R5" s="64"/>
      <c r="S5" s="65"/>
      <c r="T5" s="66" t="s">
        <v>943</v>
      </c>
      <c r="U5" s="122" t="n">
        <v>45720</v>
      </c>
      <c r="V5" s="122" t="n">
        <v>45720</v>
      </c>
      <c r="W5" s="67" t="n">
        <v>45828</v>
      </c>
      <c r="X5" s="68" t="n">
        <v>7</v>
      </c>
      <c r="Y5" s="69"/>
      <c r="Z5" s="70" t="n">
        <v>75817</v>
      </c>
      <c r="AA5" s="122" t="n">
        <v>45734</v>
      </c>
      <c r="AB5" s="67" t="n">
        <v>45748</v>
      </c>
      <c r="AC5" s="67" t="n">
        <v>45828</v>
      </c>
      <c r="AD5" s="68" t="n">
        <v>7</v>
      </c>
      <c r="AE5" s="69"/>
      <c r="AF5" s="70" t="n">
        <v>46846</v>
      </c>
      <c r="AG5" s="106" t="n">
        <v>45762</v>
      </c>
      <c r="AH5" s="122" t="n">
        <v>45828</v>
      </c>
      <c r="AI5" s="122" t="n">
        <v>45828</v>
      </c>
      <c r="AJ5" s="68" t="n">
        <v>6</v>
      </c>
      <c r="AK5" s="69"/>
      <c r="AL5" s="70" t="n">
        <v>6785567</v>
      </c>
      <c r="AM5" s="122" t="n">
        <v>45804</v>
      </c>
      <c r="AN5" s="122" t="n">
        <v>45828</v>
      </c>
      <c r="AO5" s="122" t="n">
        <v>45828</v>
      </c>
      <c r="AP5" s="68" t="n">
        <v>6</v>
      </c>
      <c r="AQ5" s="69"/>
      <c r="AR5" s="70" t="s">
        <v>737</v>
      </c>
      <c r="AS5" s="70" t="s">
        <v>737</v>
      </c>
      <c r="AT5" s="70" t="s">
        <v>737</v>
      </c>
      <c r="AU5" s="70" t="s">
        <v>737</v>
      </c>
      <c r="AV5" s="87" t="n">
        <v>0</v>
      </c>
      <c r="AW5" s="69"/>
      <c r="AX5" s="68"/>
      <c r="AY5" s="68"/>
      <c r="AZ5" s="69"/>
      <c r="BA5" s="122" t="n">
        <v>45813</v>
      </c>
      <c r="BB5" s="71" t="n">
        <v>6</v>
      </c>
      <c r="BC5" s="72"/>
      <c r="BD5" s="73" t="str">
        <f aca="false">IF(AND(BB5&gt;=6,AP5&gt;=6,AJ5&gt;=6,AD5&gt;=6,X5&gt;=6),"да","нет")</f>
        <v>да</v>
      </c>
      <c r="BE5" s="72"/>
      <c r="BF5" s="118" t="n">
        <v>45822</v>
      </c>
      <c r="BG5" s="71" t="n">
        <v>28</v>
      </c>
      <c r="BH5" s="68"/>
      <c r="BI5" s="50"/>
      <c r="BJ5" s="75" t="n">
        <f aca="false">SUM(X5,AD5,AJ5,AP5,AV5,AX5:AY5,BH5,BB5,BG5)</f>
        <v>60</v>
      </c>
      <c r="BK5" s="73" t="str">
        <f aca="false">IF(BJ5&gt;90,"A",IF(BJ5&gt;83,"B",IF(BJ5&gt;74,"C",IF(BJ5&gt;67,"D",IF(BJ5&gt;=60,"E","FX")))))</f>
        <v>E</v>
      </c>
    </row>
    <row r="6" customFormat="false" ht="15.75" hidden="false" customHeight="false" outlineLevel="0" collapsed="false">
      <c r="A6" s="59" t="n">
        <f aca="false">A5+1</f>
        <v>4</v>
      </c>
      <c r="B6" s="121" t="s">
        <v>299</v>
      </c>
      <c r="C6" s="61" t="s">
        <v>183</v>
      </c>
      <c r="D6" s="45" t="s">
        <v>298</v>
      </c>
      <c r="E6" s="62"/>
      <c r="F6" s="63"/>
      <c r="G6" s="63" t="s">
        <v>734</v>
      </c>
      <c r="H6" s="63" t="s">
        <v>734</v>
      </c>
      <c r="I6" s="63" t="s">
        <v>734</v>
      </c>
      <c r="J6" s="63" t="s">
        <v>734</v>
      </c>
      <c r="K6" s="63" t="s">
        <v>734</v>
      </c>
      <c r="L6" s="63" t="s">
        <v>734</v>
      </c>
      <c r="M6" s="63" t="s">
        <v>734</v>
      </c>
      <c r="N6" s="64"/>
      <c r="O6" s="64"/>
      <c r="P6" s="64"/>
      <c r="Q6" s="64"/>
      <c r="R6" s="64"/>
      <c r="S6" s="65"/>
      <c r="T6" s="66" t="s">
        <v>944</v>
      </c>
      <c r="U6" s="67" t="n">
        <v>45734</v>
      </c>
      <c r="V6" s="67" t="n">
        <v>45734</v>
      </c>
      <c r="W6" s="67" t="n">
        <v>45748</v>
      </c>
      <c r="X6" s="68" t="n">
        <v>10</v>
      </c>
      <c r="Y6" s="69"/>
      <c r="Z6" s="70" t="n">
        <v>52668</v>
      </c>
      <c r="AA6" s="67" t="n">
        <v>45762</v>
      </c>
      <c r="AB6" s="67" t="n">
        <v>45776</v>
      </c>
      <c r="AC6" s="67" t="n">
        <v>45776</v>
      </c>
      <c r="AD6" s="68" t="n">
        <v>10</v>
      </c>
      <c r="AE6" s="69"/>
      <c r="AF6" s="70" t="n">
        <v>234567890</v>
      </c>
      <c r="AG6" s="122" t="n">
        <v>45790</v>
      </c>
      <c r="AH6" s="122" t="n">
        <v>45828</v>
      </c>
      <c r="AI6" s="122" t="n">
        <v>45828</v>
      </c>
      <c r="AJ6" s="68" t="n">
        <v>8</v>
      </c>
      <c r="AK6" s="69"/>
      <c r="AL6" s="70" t="n">
        <v>24674</v>
      </c>
      <c r="AM6" s="122" t="n">
        <v>45804</v>
      </c>
      <c r="AN6" s="122" t="n">
        <v>45828</v>
      </c>
      <c r="AO6" s="122" t="n">
        <v>45828</v>
      </c>
      <c r="AP6" s="68" t="n">
        <v>6</v>
      </c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87" t="n">
        <v>0</v>
      </c>
      <c r="AW6" s="69"/>
      <c r="AX6" s="68" t="n">
        <v>0</v>
      </c>
      <c r="AY6" s="68" t="n">
        <v>1</v>
      </c>
      <c r="AZ6" s="69"/>
      <c r="BA6" s="122" t="n">
        <v>45813</v>
      </c>
      <c r="BB6" s="71" t="n">
        <v>6</v>
      </c>
      <c r="BC6" s="72"/>
      <c r="BD6" s="73" t="str">
        <f aca="false">IF(AND(BB6&gt;=6,AP6&gt;=6,AJ6&gt;=6,AD6&gt;=6,X6&gt;=6),"да","нет")</f>
        <v>да</v>
      </c>
      <c r="BE6" s="72"/>
      <c r="BF6" s="118" t="n">
        <v>45822</v>
      </c>
      <c r="BG6" s="71" t="n">
        <v>24</v>
      </c>
      <c r="BH6" s="68"/>
      <c r="BI6" s="50"/>
      <c r="BJ6" s="75" t="n">
        <f aca="false">SUM(X6,AD6,AJ6,AP6,AV6,AX6:AY6,BH6,BB6,BG6)</f>
        <v>65</v>
      </c>
      <c r="BK6" s="73" t="str">
        <f aca="false">IF(BJ6&gt;90,"A",IF(BJ6&gt;83,"B",IF(BJ6&gt;74,"C",IF(BJ6&gt;67,"D",IF(BJ6&gt;=60,"E","FX")))))</f>
        <v>E</v>
      </c>
    </row>
    <row r="7" customFormat="false" ht="15.75" hidden="false" customHeight="false" outlineLevel="0" collapsed="false">
      <c r="A7" s="59" t="n">
        <f aca="false">A6+1</f>
        <v>5</v>
      </c>
      <c r="B7" s="121" t="s">
        <v>331</v>
      </c>
      <c r="C7" s="61" t="s">
        <v>183</v>
      </c>
      <c r="D7" s="45" t="s">
        <v>330</v>
      </c>
      <c r="E7" s="62"/>
      <c r="F7" s="63"/>
      <c r="G7" s="63"/>
      <c r="H7" s="63" t="s">
        <v>734</v>
      </c>
      <c r="I7" s="63" t="s">
        <v>734</v>
      </c>
      <c r="J7" s="63" t="s">
        <v>696</v>
      </c>
      <c r="K7" s="63" t="s">
        <v>735</v>
      </c>
      <c r="L7" s="63"/>
      <c r="M7" s="63"/>
      <c r="N7" s="64"/>
      <c r="O7" s="64"/>
      <c r="P7" s="64"/>
      <c r="Q7" s="64"/>
      <c r="R7" s="64"/>
      <c r="S7" s="65"/>
      <c r="T7" s="66" t="s">
        <v>945</v>
      </c>
      <c r="U7" s="122" t="n">
        <v>45748</v>
      </c>
      <c r="V7" s="67"/>
      <c r="W7" s="67"/>
      <c r="X7" s="68"/>
      <c r="Y7" s="69"/>
      <c r="Z7" s="70" t="n">
        <v>56836</v>
      </c>
      <c r="AA7" s="67"/>
      <c r="AB7" s="67"/>
      <c r="AC7" s="67"/>
      <c r="AD7" s="68"/>
      <c r="AE7" s="69"/>
      <c r="AF7" s="70"/>
      <c r="AG7" s="70"/>
      <c r="AH7" s="70"/>
      <c r="AI7" s="70"/>
      <c r="AJ7" s="68"/>
      <c r="AK7" s="69"/>
      <c r="AL7" s="70"/>
      <c r="AM7" s="70"/>
      <c r="AN7" s="70"/>
      <c r="AO7" s="70"/>
      <c r="AP7" s="68"/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87" t="n">
        <v>0</v>
      </c>
      <c r="AW7" s="69"/>
      <c r="AX7" s="68" t="n">
        <v>1</v>
      </c>
      <c r="AY7" s="68"/>
      <c r="AZ7" s="69"/>
      <c r="BA7" s="70"/>
      <c r="BB7" s="71"/>
      <c r="BC7" s="72"/>
      <c r="BD7" s="73" t="str">
        <f aca="false">IF(AND(BB7&gt;=6,AP7&gt;=6,AJ7&gt;=6,AD7&gt;=6,X7&gt;=6),"да","нет")</f>
        <v>нет</v>
      </c>
      <c r="BE7" s="72"/>
      <c r="BF7" s="74"/>
      <c r="BG7" s="71"/>
      <c r="BH7" s="68"/>
      <c r="BI7" s="50"/>
      <c r="BJ7" s="75" t="n">
        <f aca="false">SUM(X7,AD7,AJ7,AP7,AV7,AX7:AY7,BH7,BB7,BG7)</f>
        <v>1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121" t="s">
        <v>375</v>
      </c>
      <c r="C8" s="61" t="s">
        <v>183</v>
      </c>
      <c r="D8" s="45" t="s">
        <v>374</v>
      </c>
      <c r="E8" s="62"/>
      <c r="F8" s="63"/>
      <c r="G8" s="63" t="s">
        <v>696</v>
      </c>
      <c r="H8" s="63" t="s">
        <v>696</v>
      </c>
      <c r="I8" s="63" t="s">
        <v>734</v>
      </c>
      <c r="J8" s="63" t="s">
        <v>696</v>
      </c>
      <c r="K8" s="63" t="s">
        <v>734</v>
      </c>
      <c r="L8" s="63" t="s">
        <v>734</v>
      </c>
      <c r="M8" s="63"/>
      <c r="N8" s="64"/>
      <c r="O8" s="64"/>
      <c r="P8" s="64"/>
      <c r="Q8" s="64"/>
      <c r="R8" s="64"/>
      <c r="S8" s="65"/>
      <c r="T8" s="66" t="s">
        <v>946</v>
      </c>
      <c r="U8" s="122" t="n">
        <v>45790</v>
      </c>
      <c r="V8" s="67" t="n">
        <v>45790</v>
      </c>
      <c r="W8" s="122" t="n">
        <v>45828</v>
      </c>
      <c r="X8" s="68" t="n">
        <v>7</v>
      </c>
      <c r="Y8" s="69"/>
      <c r="Z8" s="70" t="n">
        <v>86348</v>
      </c>
      <c r="AA8" s="67" t="n">
        <v>45776</v>
      </c>
      <c r="AB8" s="122" t="n">
        <v>45828</v>
      </c>
      <c r="AC8" s="122" t="n">
        <v>45828</v>
      </c>
      <c r="AD8" s="68" t="n">
        <v>6</v>
      </c>
      <c r="AE8" s="69"/>
      <c r="AF8" s="70" t="n">
        <v>5</v>
      </c>
      <c r="AG8" s="122" t="n">
        <v>45828</v>
      </c>
      <c r="AH8" s="122" t="n">
        <v>45828</v>
      </c>
      <c r="AI8" s="122" t="n">
        <v>45828</v>
      </c>
      <c r="AJ8" s="68" t="n">
        <v>6</v>
      </c>
      <c r="AK8" s="69"/>
      <c r="AL8" s="70" t="n">
        <v>56839</v>
      </c>
      <c r="AM8" s="70" t="s">
        <v>734</v>
      </c>
      <c r="AN8" s="70"/>
      <c r="AO8" s="70"/>
      <c r="AP8" s="68"/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87" t="n">
        <v>0</v>
      </c>
      <c r="AW8" s="69"/>
      <c r="AX8" s="68" t="n">
        <v>0</v>
      </c>
      <c r="AY8" s="68" t="n">
        <v>1</v>
      </c>
      <c r="AZ8" s="69"/>
      <c r="BA8" s="122" t="n">
        <v>45828</v>
      </c>
      <c r="BB8" s="71" t="n">
        <v>7</v>
      </c>
      <c r="BC8" s="72"/>
      <c r="BD8" s="73" t="str">
        <f aca="false">IF(AND(BB8&gt;=6,AP8&gt;=6,AJ8&gt;=6,AD8&gt;=6,X8&gt;=6),"да","нет")</f>
        <v>нет</v>
      </c>
      <c r="BE8" s="72"/>
      <c r="BF8" s="74"/>
      <c r="BG8" s="71"/>
      <c r="BH8" s="68"/>
      <c r="BI8" s="50"/>
      <c r="BJ8" s="75" t="n">
        <f aca="false">SUM(X8,AD8,AJ8,AP8,AV8,AX8:AY8,BH8,BB8,BG8)</f>
        <v>27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125" t="s">
        <v>947</v>
      </c>
      <c r="C9" s="61" t="s">
        <v>183</v>
      </c>
      <c r="D9" s="45" t="s">
        <v>388</v>
      </c>
      <c r="E9" s="62"/>
      <c r="F9" s="63"/>
      <c r="G9" s="63"/>
      <c r="H9" s="63" t="s">
        <v>734</v>
      </c>
      <c r="I9" s="63" t="s">
        <v>734</v>
      </c>
      <c r="J9" s="63" t="s">
        <v>735</v>
      </c>
      <c r="K9" s="63" t="s">
        <v>734</v>
      </c>
      <c r="L9" s="63" t="s">
        <v>734</v>
      </c>
      <c r="M9" s="63" t="s">
        <v>734</v>
      </c>
      <c r="N9" s="64"/>
      <c r="O9" s="64"/>
      <c r="P9" s="64"/>
      <c r="Q9" s="64"/>
      <c r="R9" s="64"/>
      <c r="S9" s="65"/>
      <c r="T9" s="66" t="s">
        <v>948</v>
      </c>
      <c r="U9" s="122" t="n">
        <v>45734</v>
      </c>
      <c r="V9" s="67" t="n">
        <v>45734</v>
      </c>
      <c r="W9" s="67" t="n">
        <v>45734</v>
      </c>
      <c r="X9" s="68" t="n">
        <v>10</v>
      </c>
      <c r="Y9" s="69"/>
      <c r="Z9" s="70" t="n">
        <v>15985</v>
      </c>
      <c r="AA9" s="67" t="n">
        <v>45748</v>
      </c>
      <c r="AB9" s="67" t="n">
        <v>45748</v>
      </c>
      <c r="AC9" s="67" t="n">
        <v>45790</v>
      </c>
      <c r="AD9" s="68" t="n">
        <v>10</v>
      </c>
      <c r="AE9" s="69"/>
      <c r="AF9" s="70" t="n">
        <v>55069</v>
      </c>
      <c r="AG9" s="106" t="n">
        <v>45776</v>
      </c>
      <c r="AH9" s="122" t="n">
        <v>45828</v>
      </c>
      <c r="AI9" s="122" t="n">
        <v>45828</v>
      </c>
      <c r="AJ9" s="68" t="n">
        <v>6</v>
      </c>
      <c r="AK9" s="69"/>
      <c r="AL9" s="70" t="n">
        <v>1</v>
      </c>
      <c r="AM9" s="122" t="n">
        <v>45790</v>
      </c>
      <c r="AN9" s="122" t="n">
        <v>45804</v>
      </c>
      <c r="AO9" s="122" t="n">
        <v>45804</v>
      </c>
      <c r="AP9" s="68" t="n">
        <v>10</v>
      </c>
      <c r="AQ9" s="69"/>
      <c r="AR9" s="70" t="n">
        <v>54685</v>
      </c>
      <c r="AS9" s="122" t="n">
        <v>45804</v>
      </c>
      <c r="AT9" s="122" t="n">
        <v>45828</v>
      </c>
      <c r="AU9" s="122" t="n">
        <v>45828</v>
      </c>
      <c r="AV9" s="68" t="n">
        <v>6</v>
      </c>
      <c r="AW9" s="69"/>
      <c r="AX9" s="68" t="n">
        <v>0</v>
      </c>
      <c r="AY9" s="68" t="n">
        <v>1</v>
      </c>
      <c r="AZ9" s="69"/>
      <c r="BA9" s="122" t="n">
        <v>45813</v>
      </c>
      <c r="BB9" s="71" t="n">
        <v>7</v>
      </c>
      <c r="BC9" s="72"/>
      <c r="BD9" s="73" t="str">
        <f aca="false">IF(AND(BB9&gt;=6,AP9&gt;=6,AJ9&gt;=6,AD9&gt;=6,X9&gt;=6),"да","нет")</f>
        <v>да</v>
      </c>
      <c r="BE9" s="72"/>
      <c r="BF9" s="118" t="n">
        <v>45822</v>
      </c>
      <c r="BG9" s="71" t="n">
        <v>25</v>
      </c>
      <c r="BH9" s="68"/>
      <c r="BI9" s="50"/>
      <c r="BJ9" s="75" t="n">
        <f aca="false">SUM(X9,AD9,AJ9,AP9,AV9,AX9:AY9,BH9,BB9,BG9)</f>
        <v>75</v>
      </c>
      <c r="BK9" s="73" t="str">
        <f aca="false">IF(BJ9&gt;90,"A",IF(BJ9&gt;83,"B",IF(BJ9&gt;74,"C",IF(BJ9&gt;67,"D",IF(BJ9&gt;=60,"E","FX")))))</f>
        <v>C</v>
      </c>
    </row>
    <row r="10" customFormat="false" ht="15.75" hidden="false" customHeight="false" outlineLevel="0" collapsed="false">
      <c r="A10" s="59" t="n">
        <f aca="false">A9+1</f>
        <v>8</v>
      </c>
      <c r="B10" s="121" t="s">
        <v>403</v>
      </c>
      <c r="C10" s="61" t="s">
        <v>183</v>
      </c>
      <c r="D10" s="45" t="s">
        <v>402</v>
      </c>
      <c r="E10" s="62"/>
      <c r="F10" s="63"/>
      <c r="G10" s="63"/>
      <c r="H10" s="63" t="s">
        <v>734</v>
      </c>
      <c r="I10" s="63" t="s">
        <v>696</v>
      </c>
      <c r="J10" s="63" t="s">
        <v>735</v>
      </c>
      <c r="K10" s="63" t="s">
        <v>735</v>
      </c>
      <c r="L10" s="63" t="s">
        <v>734</v>
      </c>
      <c r="M10" s="63" t="s">
        <v>734</v>
      </c>
      <c r="N10" s="64"/>
      <c r="O10" s="64"/>
      <c r="P10" s="64"/>
      <c r="Q10" s="64"/>
      <c r="R10" s="64"/>
      <c r="S10" s="65"/>
      <c r="T10" s="66" t="s">
        <v>949</v>
      </c>
      <c r="U10" s="122" t="n">
        <v>45734</v>
      </c>
      <c r="V10" s="67" t="n">
        <v>45828</v>
      </c>
      <c r="W10" s="67" t="n">
        <v>45828</v>
      </c>
      <c r="X10" s="68" t="n">
        <v>6</v>
      </c>
      <c r="Y10" s="69"/>
      <c r="Z10" s="70" t="n">
        <v>35784</v>
      </c>
      <c r="AA10" s="67" t="n">
        <v>45748</v>
      </c>
      <c r="AB10" s="67" t="n">
        <v>45828</v>
      </c>
      <c r="AC10" s="67" t="n">
        <v>45828</v>
      </c>
      <c r="AD10" s="68" t="n">
        <v>6</v>
      </c>
      <c r="AE10" s="69"/>
      <c r="AF10" s="70" t="n">
        <v>38757</v>
      </c>
      <c r="AG10" s="122" t="n">
        <v>45790</v>
      </c>
      <c r="AH10" s="122" t="n">
        <v>45828</v>
      </c>
      <c r="AI10" s="122" t="n">
        <v>45828</v>
      </c>
      <c r="AJ10" s="68" t="n">
        <v>6</v>
      </c>
      <c r="AK10" s="69"/>
      <c r="AL10" s="70" t="n">
        <v>47638</v>
      </c>
      <c r="AM10" s="122" t="n">
        <v>45828</v>
      </c>
      <c r="AN10" s="122" t="n">
        <v>45828</v>
      </c>
      <c r="AO10" s="122" t="n">
        <v>45828</v>
      </c>
      <c r="AP10" s="68" t="n">
        <v>6</v>
      </c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87" t="n">
        <v>0</v>
      </c>
      <c r="AW10" s="69"/>
      <c r="AX10" s="68" t="n">
        <v>0</v>
      </c>
      <c r="AY10" s="68"/>
      <c r="AZ10" s="69"/>
      <c r="BA10" s="122" t="n">
        <v>45828</v>
      </c>
      <c r="BB10" s="71" t="n">
        <v>6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45836</v>
      </c>
      <c r="BG10" s="71" t="n">
        <v>30</v>
      </c>
      <c r="BH10" s="68"/>
      <c r="BI10" s="50"/>
      <c r="BJ10" s="75" t="n">
        <f aca="false">SUM(X10,AD10,AJ10,AP10,AV10,AX10:AY10,BH10,BB10,BG10)</f>
        <v>60</v>
      </c>
      <c r="BK10" s="73" t="str">
        <f aca="false">IF(BJ10&gt;90,"A",IF(BJ10&gt;83,"B",IF(BJ10&gt;74,"C",IF(BJ10&gt;67,"D",IF(BJ10&gt;=60,"E","FX")))))</f>
        <v>E</v>
      </c>
    </row>
    <row r="11" customFormat="false" ht="15.75" hidden="false" customHeight="false" outlineLevel="0" collapsed="false">
      <c r="A11" s="59" t="n">
        <f aca="false">A10+1</f>
        <v>9</v>
      </c>
      <c r="B11" s="121" t="s">
        <v>449</v>
      </c>
      <c r="C11" s="61" t="s">
        <v>183</v>
      </c>
      <c r="D11" s="45" t="s">
        <v>448</v>
      </c>
      <c r="E11" s="62"/>
      <c r="F11" s="63"/>
      <c r="G11" s="63" t="s">
        <v>734</v>
      </c>
      <c r="H11" s="63" t="s">
        <v>734</v>
      </c>
      <c r="I11" s="63" t="s">
        <v>735</v>
      </c>
      <c r="J11" s="63" t="s">
        <v>734</v>
      </c>
      <c r="K11" s="63" t="s">
        <v>734</v>
      </c>
      <c r="L11" s="63"/>
      <c r="M11" s="63"/>
      <c r="N11" s="64" t="s">
        <v>734</v>
      </c>
      <c r="O11" s="64"/>
      <c r="P11" s="64"/>
      <c r="Q11" s="64"/>
      <c r="R11" s="64"/>
      <c r="S11" s="65"/>
      <c r="T11" s="66" t="s">
        <v>950</v>
      </c>
      <c r="U11" s="122" t="n">
        <v>45720</v>
      </c>
      <c r="V11" s="122" t="n">
        <v>45734</v>
      </c>
      <c r="W11" s="67" t="n">
        <v>45828</v>
      </c>
      <c r="X11" s="68" t="n">
        <v>8</v>
      </c>
      <c r="Y11" s="69"/>
      <c r="Z11" s="70" t="n">
        <v>55681</v>
      </c>
      <c r="AA11" s="67" t="n">
        <v>45762</v>
      </c>
      <c r="AB11" s="67" t="n">
        <v>45762</v>
      </c>
      <c r="AC11" s="67" t="n">
        <v>45828</v>
      </c>
      <c r="AD11" s="68" t="n">
        <v>8</v>
      </c>
      <c r="AE11" s="69"/>
      <c r="AF11" s="70" t="n">
        <v>99764</v>
      </c>
      <c r="AG11" s="106" t="n">
        <v>45776</v>
      </c>
      <c r="AH11" s="106" t="n">
        <v>45776</v>
      </c>
      <c r="AI11" s="122" t="n">
        <v>45828</v>
      </c>
      <c r="AJ11" s="68" t="n">
        <v>8</v>
      </c>
      <c r="AK11" s="69"/>
      <c r="AL11" s="70" t="n">
        <v>889974</v>
      </c>
      <c r="AM11" s="122" t="n">
        <v>45828</v>
      </c>
      <c r="AN11" s="122" t="n">
        <v>45828</v>
      </c>
      <c r="AO11" s="122" t="n">
        <v>45828</v>
      </c>
      <c r="AP11" s="68" t="n">
        <v>6</v>
      </c>
      <c r="AQ11" s="69"/>
      <c r="AR11" s="70" t="s">
        <v>737</v>
      </c>
      <c r="AS11" s="70" t="s">
        <v>737</v>
      </c>
      <c r="AT11" s="70" t="s">
        <v>737</v>
      </c>
      <c r="AU11" s="70" t="s">
        <v>737</v>
      </c>
      <c r="AV11" s="87" t="n">
        <v>0</v>
      </c>
      <c r="AW11" s="69"/>
      <c r="AX11" s="68"/>
      <c r="AY11" s="68" t="n">
        <v>2</v>
      </c>
      <c r="AZ11" s="69"/>
      <c r="BA11" s="122" t="n">
        <v>45828</v>
      </c>
      <c r="BB11" s="71" t="n">
        <v>7</v>
      </c>
      <c r="BC11" s="72"/>
      <c r="BD11" s="73" t="str">
        <f aca="false">IF(AND(BB11&gt;=6,AP11&gt;=6,AJ11&gt;=6,AD11&gt;=6,X11&gt;=6),"да","нет")</f>
        <v>да</v>
      </c>
      <c r="BE11" s="72"/>
      <c r="BF11" s="74"/>
      <c r="BG11" s="71"/>
      <c r="BH11" s="68"/>
      <c r="BI11" s="50"/>
      <c r="BJ11" s="75" t="n">
        <f aca="false">SUM(X11,AD11,AJ11,AP11,AV11,AX11:AY11,BH11,BB11,BG11)</f>
        <v>39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121" t="s">
        <v>951</v>
      </c>
      <c r="C12" s="61" t="s">
        <v>183</v>
      </c>
      <c r="D12" s="45" t="s">
        <v>952</v>
      </c>
      <c r="E12" s="62"/>
      <c r="F12" s="63"/>
      <c r="G12" s="63"/>
      <c r="H12" s="63"/>
      <c r="I12" s="63"/>
      <c r="J12" s="63"/>
      <c r="K12" s="63"/>
      <c r="L12" s="63"/>
      <c r="M12" s="63"/>
      <c r="N12" s="64"/>
      <c r="O12" s="64"/>
      <c r="P12" s="64"/>
      <c r="Q12" s="64"/>
      <c r="R12" s="64"/>
      <c r="S12" s="65"/>
      <c r="T12" s="66"/>
      <c r="U12" s="67"/>
      <c r="V12" s="67"/>
      <c r="W12" s="67"/>
      <c r="X12" s="68"/>
      <c r="Y12" s="69"/>
      <c r="Z12" s="70"/>
      <c r="AA12" s="67"/>
      <c r="AB12" s="67"/>
      <c r="AC12" s="67"/>
      <c r="AD12" s="68"/>
      <c r="AE12" s="69"/>
      <c r="AF12" s="70"/>
      <c r="AG12" s="70"/>
      <c r="AH12" s="70"/>
      <c r="AI12" s="70"/>
      <c r="AJ12" s="68"/>
      <c r="AK12" s="69"/>
      <c r="AL12" s="70"/>
      <c r="AM12" s="70"/>
      <c r="AN12" s="70"/>
      <c r="AO12" s="70"/>
      <c r="AP12" s="68"/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87" t="n">
        <v>0</v>
      </c>
      <c r="AW12" s="69"/>
      <c r="AX12" s="68" t="n">
        <v>0</v>
      </c>
      <c r="AY12" s="68"/>
      <c r="AZ12" s="69"/>
      <c r="BA12" s="70"/>
      <c r="BB12" s="71"/>
      <c r="BC12" s="72"/>
      <c r="BD12" s="73" t="str">
        <f aca="false">IF(AND(BB12&gt;=6,AP12&gt;=6,AJ12&gt;=6,AD12&gt;=6,X12&gt;=6),"да","нет")</f>
        <v>нет</v>
      </c>
      <c r="BE12" s="72"/>
      <c r="BF12" s="74"/>
      <c r="BG12" s="71"/>
      <c r="BH12" s="68"/>
      <c r="BI12" s="50"/>
      <c r="BJ12" s="75" t="n">
        <f aca="false">SUM(X12,AD12,AJ12,AP12,AV12,AX12:AY12,BH12,BB12,BG12)</f>
        <v>0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152" t="s">
        <v>469</v>
      </c>
      <c r="C13" s="61" t="s">
        <v>183</v>
      </c>
      <c r="D13" s="45" t="s">
        <v>468</v>
      </c>
      <c r="E13" s="62"/>
      <c r="F13" s="63"/>
      <c r="G13" s="63" t="s">
        <v>734</v>
      </c>
      <c r="H13" s="63" t="s">
        <v>734</v>
      </c>
      <c r="I13" s="63" t="s">
        <v>734</v>
      </c>
      <c r="J13" s="63" t="s">
        <v>734</v>
      </c>
      <c r="K13" s="63" t="s">
        <v>735</v>
      </c>
      <c r="L13" s="63" t="s">
        <v>734</v>
      </c>
      <c r="M13" s="63" t="s">
        <v>734</v>
      </c>
      <c r="N13" s="64"/>
      <c r="O13" s="64"/>
      <c r="P13" s="64"/>
      <c r="Q13" s="64"/>
      <c r="R13" s="64"/>
      <c r="S13" s="65"/>
      <c r="T13" s="66" t="s">
        <v>953</v>
      </c>
      <c r="U13" s="122" t="n">
        <v>45720</v>
      </c>
      <c r="V13" s="67" t="n">
        <v>45734</v>
      </c>
      <c r="W13" s="106" t="n">
        <v>45762</v>
      </c>
      <c r="X13" s="68" t="n">
        <v>10</v>
      </c>
      <c r="Y13" s="69"/>
      <c r="Z13" s="70" t="n">
        <v>55486</v>
      </c>
      <c r="AA13" s="122" t="n">
        <v>45734</v>
      </c>
      <c r="AB13" s="67" t="n">
        <v>45828</v>
      </c>
      <c r="AC13" s="122" t="n">
        <v>45828</v>
      </c>
      <c r="AD13" s="68" t="n">
        <v>7</v>
      </c>
      <c r="AE13" s="69"/>
      <c r="AF13" s="70" t="n">
        <v>55969</v>
      </c>
      <c r="AG13" s="122" t="n">
        <v>45748</v>
      </c>
      <c r="AH13" s="122" t="n">
        <v>45828</v>
      </c>
      <c r="AI13" s="122" t="n">
        <v>45828</v>
      </c>
      <c r="AJ13" s="68" t="n">
        <v>6</v>
      </c>
      <c r="AK13" s="69"/>
      <c r="AL13" s="70" t="n">
        <v>88788</v>
      </c>
      <c r="AM13" s="122" t="n">
        <v>45790</v>
      </c>
      <c r="AN13" s="122" t="n">
        <v>45828</v>
      </c>
      <c r="AO13" s="122" t="n">
        <v>45828</v>
      </c>
      <c r="AP13" s="68" t="n">
        <v>6</v>
      </c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87" t="n">
        <v>0</v>
      </c>
      <c r="AW13" s="69"/>
      <c r="AX13" s="68"/>
      <c r="AY13" s="68"/>
      <c r="AZ13" s="69"/>
      <c r="BA13" s="122" t="n">
        <v>45813</v>
      </c>
      <c r="BB13" s="71" t="n">
        <v>7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45822</v>
      </c>
      <c r="BG13" s="71" t="n">
        <v>26</v>
      </c>
      <c r="BH13" s="68"/>
      <c r="BI13" s="50"/>
      <c r="BJ13" s="75" t="n">
        <f aca="false">SUM(X13,AD13,AJ13,AP13,AV13,AX13:AY13,BH13,BB13,BG13)</f>
        <v>62</v>
      </c>
      <c r="BK13" s="73" t="str">
        <f aca="false">IF(BJ13&gt;90,"A",IF(BJ13&gt;83,"B",IF(BJ13&gt;74,"C",IF(BJ13&gt;67,"D",IF(BJ13&gt;=60,"E","FX")))))</f>
        <v>E</v>
      </c>
    </row>
    <row r="14" customFormat="false" ht="15.75" hidden="false" customHeight="false" outlineLevel="0" collapsed="false">
      <c r="A14" s="59" t="n">
        <f aca="false">A13+1</f>
        <v>12</v>
      </c>
      <c r="B14" s="121" t="s">
        <v>535</v>
      </c>
      <c r="C14" s="61" t="s">
        <v>183</v>
      </c>
      <c r="D14" s="45" t="s">
        <v>534</v>
      </c>
      <c r="E14" s="62"/>
      <c r="F14" s="63"/>
      <c r="G14" s="63"/>
      <c r="H14" s="63"/>
      <c r="I14" s="63"/>
      <c r="J14" s="63"/>
      <c r="K14" s="63"/>
      <c r="L14" s="63"/>
      <c r="M14" s="63"/>
      <c r="N14" s="64"/>
      <c r="O14" s="64"/>
      <c r="P14" s="64"/>
      <c r="Q14" s="64"/>
      <c r="R14" s="64"/>
      <c r="S14" s="65"/>
      <c r="T14" s="66"/>
      <c r="U14" s="67"/>
      <c r="V14" s="67"/>
      <c r="X14" s="68"/>
      <c r="Y14" s="69"/>
      <c r="Z14" s="70"/>
      <c r="AA14" s="67"/>
      <c r="AB14" s="67"/>
      <c r="AC14" s="67"/>
      <c r="AD14" s="68"/>
      <c r="AE14" s="69"/>
      <c r="AF14" s="70"/>
      <c r="AG14" s="70"/>
      <c r="AH14" s="70"/>
      <c r="AI14" s="70"/>
      <c r="AJ14" s="68"/>
      <c r="AK14" s="69"/>
      <c r="AL14" s="70"/>
      <c r="AM14" s="70"/>
      <c r="AN14" s="70"/>
      <c r="AO14" s="70"/>
      <c r="AP14" s="68"/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87" t="n">
        <v>0</v>
      </c>
      <c r="AW14" s="69"/>
      <c r="AX14" s="68"/>
      <c r="AY14" s="68"/>
      <c r="AZ14" s="69"/>
      <c r="BA14" s="70"/>
      <c r="BB14" s="71"/>
      <c r="BC14" s="72"/>
      <c r="BD14" s="73" t="str">
        <f aca="false">IF(AND(BB14&gt;=6,AP14&gt;=6,AJ14&gt;=6,AD14&gt;=6,X14&gt;=6),"да","нет")</f>
        <v>нет</v>
      </c>
      <c r="BE14" s="72"/>
      <c r="BF14" s="74"/>
      <c r="BG14" s="71"/>
      <c r="BH14" s="68"/>
      <c r="BI14" s="50"/>
      <c r="BJ14" s="75" t="n">
        <f aca="false">SUM(X14,AD14,AJ14,AP14,AV14,AX14:AY14,BH14,BB14,BG14)</f>
        <v>0</v>
      </c>
      <c r="BK14" s="73" t="str">
        <f aca="false">IF(BJ14&gt;90,"A",IF(BJ14&gt;83,"B",IF(BJ14&gt;74,"C",IF(BJ14&gt;67,"D",IF(BJ14&gt;=60,"E","FX")))))</f>
        <v>FX</v>
      </c>
    </row>
    <row r="15" customFormat="false" ht="15.75" hidden="false" customHeight="false" outlineLevel="0" collapsed="false">
      <c r="A15" s="59" t="n">
        <f aca="false">A14+1</f>
        <v>13</v>
      </c>
      <c r="B15" s="121" t="s">
        <v>551</v>
      </c>
      <c r="C15" s="61" t="s">
        <v>183</v>
      </c>
      <c r="D15" s="45" t="s">
        <v>550</v>
      </c>
      <c r="E15" s="62"/>
      <c r="F15" s="63"/>
      <c r="G15" s="63" t="s">
        <v>696</v>
      </c>
      <c r="H15" s="63" t="s">
        <v>734</v>
      </c>
      <c r="I15" s="63" t="s">
        <v>734</v>
      </c>
      <c r="J15" s="63" t="s">
        <v>696</v>
      </c>
      <c r="K15" s="63" t="s">
        <v>734</v>
      </c>
      <c r="L15" s="63" t="s">
        <v>734</v>
      </c>
      <c r="M15" s="63"/>
      <c r="N15" s="64"/>
      <c r="O15" s="64"/>
      <c r="P15" s="64"/>
      <c r="Q15" s="64"/>
      <c r="R15" s="64"/>
      <c r="S15" s="65"/>
      <c r="T15" s="66" t="s">
        <v>954</v>
      </c>
      <c r="U15" s="122" t="n">
        <v>45748</v>
      </c>
      <c r="V15" s="67" t="n">
        <v>45828</v>
      </c>
      <c r="W15" s="67" t="n">
        <v>45828</v>
      </c>
      <c r="X15" s="68" t="n">
        <v>6</v>
      </c>
      <c r="Y15" s="69"/>
      <c r="Z15" s="70" t="n">
        <v>58606</v>
      </c>
      <c r="AA15" s="122" t="n">
        <v>45790</v>
      </c>
      <c r="AB15" s="122" t="n">
        <v>45828</v>
      </c>
      <c r="AC15" s="122" t="n">
        <v>45828</v>
      </c>
      <c r="AD15" s="68" t="n">
        <v>6</v>
      </c>
      <c r="AE15" s="69"/>
      <c r="AF15" s="70" t="n">
        <v>36757</v>
      </c>
      <c r="AG15" s="122" t="n">
        <v>45828</v>
      </c>
      <c r="AH15" s="122" t="n">
        <v>45828</v>
      </c>
      <c r="AI15" s="122" t="n">
        <v>45828</v>
      </c>
      <c r="AJ15" s="68" t="n">
        <v>6</v>
      </c>
      <c r="AK15" s="69"/>
      <c r="AL15" s="70" t="n">
        <v>37747</v>
      </c>
      <c r="AM15" s="70" t="s">
        <v>734</v>
      </c>
      <c r="AN15" s="70"/>
      <c r="AO15" s="70"/>
      <c r="AP15" s="68"/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87" t="n">
        <v>0</v>
      </c>
      <c r="AW15" s="69"/>
      <c r="AX15" s="68" t="n">
        <v>0</v>
      </c>
      <c r="AY15" s="68" t="n">
        <v>1</v>
      </c>
      <c r="AZ15" s="69"/>
      <c r="BA15" s="122" t="n">
        <v>45828</v>
      </c>
      <c r="BB15" s="71" t="n">
        <v>6</v>
      </c>
      <c r="BC15" s="72"/>
      <c r="BD15" s="73" t="str">
        <f aca="false">IF(AND(BB15&gt;=6,AP15&gt;=6,AJ15&gt;=6,AD15&gt;=6,X15&gt;=6),"да","нет")</f>
        <v>нет</v>
      </c>
      <c r="BE15" s="72"/>
      <c r="BF15" s="74"/>
      <c r="BG15" s="71"/>
      <c r="BH15" s="68"/>
      <c r="BI15" s="50"/>
      <c r="BJ15" s="75" t="n">
        <f aca="false">SUM(X15,AD15,AJ15,AP15,AV15,AX15:AY15,BH15,BB15,BG15)</f>
        <v>25</v>
      </c>
      <c r="BK15" s="73" t="str">
        <f aca="false">IF(BJ15&gt;90,"A",IF(BJ15&gt;83,"B",IF(BJ15&gt;74,"C",IF(BJ15&gt;67,"D",IF(BJ15&gt;=60,"E","FX")))))</f>
        <v>FX</v>
      </c>
    </row>
    <row r="16" customFormat="false" ht="15.75" hidden="false" customHeight="false" outlineLevel="0" collapsed="false">
      <c r="A16" s="59" t="n">
        <f aca="false">A15+1</f>
        <v>14</v>
      </c>
      <c r="B16" s="121" t="s">
        <v>599</v>
      </c>
      <c r="C16" s="61" t="s">
        <v>183</v>
      </c>
      <c r="D16" s="45" t="s">
        <v>598</v>
      </c>
      <c r="E16" s="62"/>
      <c r="F16" s="63"/>
      <c r="G16" s="63" t="s">
        <v>734</v>
      </c>
      <c r="H16" s="63" t="s">
        <v>734</v>
      </c>
      <c r="I16" s="63" t="s">
        <v>734</v>
      </c>
      <c r="J16" s="63" t="s">
        <v>735</v>
      </c>
      <c r="K16" s="63" t="s">
        <v>735</v>
      </c>
      <c r="L16" s="63" t="s">
        <v>696</v>
      </c>
      <c r="M16" s="63"/>
      <c r="N16" s="64"/>
      <c r="O16" s="64"/>
      <c r="P16" s="64"/>
      <c r="Q16" s="64"/>
      <c r="R16" s="64"/>
      <c r="S16" s="65"/>
      <c r="T16" s="66" t="s">
        <v>955</v>
      </c>
      <c r="U16" s="122" t="n">
        <v>45720</v>
      </c>
      <c r="V16" s="67"/>
      <c r="X16" s="68"/>
      <c r="Y16" s="69"/>
      <c r="Z16" s="70" t="n">
        <v>46872</v>
      </c>
      <c r="AA16" s="67" t="n">
        <v>45748</v>
      </c>
      <c r="AB16" s="67"/>
      <c r="AC16" s="67"/>
      <c r="AD16" s="68"/>
      <c r="AE16" s="69"/>
      <c r="AF16" s="70" t="n">
        <v>46855</v>
      </c>
      <c r="AG16" s="70"/>
      <c r="AH16" s="70"/>
      <c r="AI16" s="70"/>
      <c r="AJ16" s="68"/>
      <c r="AK16" s="69"/>
      <c r="AL16" s="70"/>
      <c r="AM16" s="70"/>
      <c r="AN16" s="70"/>
      <c r="AO16" s="70"/>
      <c r="AP16" s="68"/>
      <c r="AQ16" s="69"/>
      <c r="AR16" s="70" t="s">
        <v>737</v>
      </c>
      <c r="AS16" s="70" t="s">
        <v>737</v>
      </c>
      <c r="AT16" s="70" t="s">
        <v>737</v>
      </c>
      <c r="AU16" s="70" t="s">
        <v>737</v>
      </c>
      <c r="AV16" s="87" t="n">
        <v>0</v>
      </c>
      <c r="AW16" s="69"/>
      <c r="AX16" s="68"/>
      <c r="AY16" s="68" t="n">
        <v>0</v>
      </c>
      <c r="AZ16" s="69"/>
      <c r="BA16" s="122" t="n">
        <v>45813</v>
      </c>
      <c r="BB16" s="71" t="n">
        <v>0</v>
      </c>
      <c r="BC16" s="72"/>
      <c r="BD16" s="73" t="str">
        <f aca="false">IF(AND(BB16&gt;=6,AP16&gt;=6,AJ16&gt;=6,AD16&gt;=6,X16&gt;=6),"да","нет")</f>
        <v>нет</v>
      </c>
      <c r="BE16" s="72"/>
      <c r="BF16" s="74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f aca="false">A16+1</f>
        <v>15</v>
      </c>
      <c r="B17" s="121" t="s">
        <v>639</v>
      </c>
      <c r="C17" s="61" t="s">
        <v>183</v>
      </c>
      <c r="D17" s="45" t="s">
        <v>638</v>
      </c>
      <c r="E17" s="62"/>
      <c r="F17" s="63"/>
      <c r="G17" s="63" t="s">
        <v>734</v>
      </c>
      <c r="H17" s="63" t="s">
        <v>734</v>
      </c>
      <c r="I17" s="63" t="s">
        <v>734</v>
      </c>
      <c r="J17" s="63" t="s">
        <v>734</v>
      </c>
      <c r="K17" s="63" t="s">
        <v>734</v>
      </c>
      <c r="L17" s="63" t="s">
        <v>734</v>
      </c>
      <c r="M17" s="63"/>
      <c r="N17" s="64"/>
      <c r="O17" s="64"/>
      <c r="P17" s="64"/>
      <c r="Q17" s="64"/>
      <c r="R17" s="64"/>
      <c r="S17" s="65"/>
      <c r="T17" s="66" t="s">
        <v>956</v>
      </c>
      <c r="U17" s="122" t="n">
        <v>45720</v>
      </c>
      <c r="V17" s="122" t="n">
        <v>45720</v>
      </c>
      <c r="W17" s="67" t="n">
        <v>45828</v>
      </c>
      <c r="X17" s="68" t="n">
        <v>8</v>
      </c>
      <c r="Y17" s="69"/>
      <c r="Z17" s="70" t="n">
        <v>56856</v>
      </c>
      <c r="AA17" s="67" t="n">
        <v>45748</v>
      </c>
      <c r="AB17" s="67" t="n">
        <v>45762</v>
      </c>
      <c r="AC17" s="67" t="n">
        <v>45828</v>
      </c>
      <c r="AD17" s="68" t="n">
        <v>8</v>
      </c>
      <c r="AE17" s="69"/>
      <c r="AF17" s="70" t="n">
        <v>53853</v>
      </c>
      <c r="AG17" s="106" t="n">
        <v>45776</v>
      </c>
      <c r="AH17" s="122" t="n">
        <v>45828</v>
      </c>
      <c r="AI17" s="122" t="n">
        <v>45828</v>
      </c>
      <c r="AJ17" s="68" t="n">
        <v>6</v>
      </c>
      <c r="AK17" s="69"/>
      <c r="AL17" s="70" t="n">
        <v>25842</v>
      </c>
      <c r="AM17" s="122" t="n">
        <v>45790</v>
      </c>
      <c r="AN17" s="122" t="n">
        <v>45828</v>
      </c>
      <c r="AO17" s="122" t="n">
        <v>45828</v>
      </c>
      <c r="AP17" s="68" t="n">
        <v>6</v>
      </c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87" t="n">
        <v>0</v>
      </c>
      <c r="AW17" s="69"/>
      <c r="AX17" s="68" t="n">
        <v>0</v>
      </c>
      <c r="AY17" s="68"/>
      <c r="AZ17" s="69"/>
      <c r="BA17" s="122" t="n">
        <v>45813</v>
      </c>
      <c r="BB17" s="71" t="n">
        <v>7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45822</v>
      </c>
      <c r="BG17" s="71" t="n">
        <v>25</v>
      </c>
      <c r="BH17" s="68"/>
      <c r="BI17" s="50"/>
      <c r="BJ17" s="75" t="n">
        <f aca="false">SUM(X17,AD17,AJ17,AP17,AV17,AX17:AY17,BH17,BB17,BG17)</f>
        <v>60</v>
      </c>
      <c r="BK17" s="73" t="str">
        <f aca="false">IF(BJ17&gt;90,"A",IF(BJ17&gt;83,"B",IF(BJ17&gt;74,"C",IF(BJ17&gt;67,"D",IF(BJ17&gt;=60,"E","FX")))))</f>
        <v>E</v>
      </c>
    </row>
    <row r="18" customFormat="false" ht="15.75" hidden="false" customHeight="false" outlineLevel="0" collapsed="false">
      <c r="A18" s="59" t="n">
        <f aca="false">A17+1</f>
        <v>16</v>
      </c>
      <c r="B18" s="109" t="s">
        <v>729</v>
      </c>
      <c r="C18" s="61" t="s">
        <v>183</v>
      </c>
      <c r="D18" s="61" t="s">
        <v>294</v>
      </c>
      <c r="E18" s="62"/>
      <c r="F18" s="63"/>
      <c r="G18" s="63"/>
      <c r="H18" s="63"/>
      <c r="I18" s="63"/>
      <c r="J18" s="63" t="s">
        <v>696</v>
      </c>
      <c r="K18" s="63" t="s">
        <v>735</v>
      </c>
      <c r="L18" s="63" t="s">
        <v>734</v>
      </c>
      <c r="M18" s="63"/>
      <c r="N18" s="64"/>
      <c r="O18" s="64"/>
      <c r="P18" s="64"/>
      <c r="Q18" s="64"/>
      <c r="R18" s="64"/>
      <c r="S18" s="65"/>
      <c r="T18" s="66"/>
      <c r="U18" s="67"/>
      <c r="V18" s="67"/>
      <c r="W18" s="67"/>
      <c r="X18" s="68"/>
      <c r="Y18" s="69"/>
      <c r="Z18" s="70"/>
      <c r="AA18" s="67"/>
      <c r="AB18" s="67"/>
      <c r="AC18" s="67"/>
      <c r="AD18" s="68"/>
      <c r="AE18" s="69"/>
      <c r="AF18" s="70"/>
      <c r="AG18" s="70"/>
      <c r="AH18" s="70"/>
      <c r="AI18" s="70"/>
      <c r="AJ18" s="68"/>
      <c r="AK18" s="69"/>
      <c r="AL18" s="70"/>
      <c r="AM18" s="70"/>
      <c r="AN18" s="70"/>
      <c r="AO18" s="70"/>
      <c r="AP18" s="68"/>
      <c r="AQ18" s="69"/>
      <c r="AR18" s="70"/>
      <c r="AS18" s="70"/>
      <c r="AT18" s="70"/>
      <c r="AU18" s="70"/>
      <c r="AV18" s="68"/>
      <c r="AW18" s="69"/>
      <c r="AX18" s="68"/>
      <c r="AY18" s="68"/>
      <c r="AZ18" s="69"/>
      <c r="BA18" s="70"/>
      <c r="BB18" s="71"/>
      <c r="BC18" s="72"/>
      <c r="BD18" s="73" t="str">
        <f aca="false">IF(AND(BB18&gt;=6,AP18&gt;=6,AJ18&gt;=6,AD18&gt;=6,X18&gt;=6),"да","нет")</f>
        <v>нет</v>
      </c>
      <c r="BE18" s="72"/>
      <c r="BF18" s="74"/>
      <c r="BG18" s="71"/>
      <c r="BH18" s="68"/>
      <c r="BI18" s="50"/>
      <c r="BJ18" s="75" t="n">
        <f aca="false">SUM(X18,AD18,AJ18,AP18,AV18,AX18:AY18,BH18,BB18,BG18)</f>
        <v>0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f aca="false">A18+1</f>
        <v>17</v>
      </c>
      <c r="B19" s="60" t="str">
        <f aca="false">IFERROR(__xludf.dummyfunction("IFERROR(QUERY('Общий список'!$B:$C, ""SELECT C WHERE B = '""&amp;C19&amp;""' AND B &lt;&gt; '' AND D = '""&amp;$C$1&amp;""'"", 0), """")"),"")</f>
        <v/>
      </c>
      <c r="C19" s="61"/>
      <c r="D19" s="61"/>
      <c r="E19" s="62"/>
      <c r="F19" s="63"/>
      <c r="G19" s="63"/>
      <c r="H19" s="63"/>
      <c r="I19" s="63"/>
      <c r="J19" s="63"/>
      <c r="K19" s="63"/>
      <c r="L19" s="63"/>
      <c r="M19" s="63"/>
      <c r="N19" s="64"/>
      <c r="O19" s="64"/>
      <c r="P19" s="64"/>
      <c r="Q19" s="64"/>
      <c r="R19" s="64"/>
      <c r="S19" s="65"/>
      <c r="T19" s="66"/>
      <c r="U19" s="67"/>
      <c r="V19" s="67"/>
      <c r="W19" s="67"/>
      <c r="X19" s="68"/>
      <c r="Y19" s="69"/>
      <c r="Z19" s="70"/>
      <c r="AA19" s="67"/>
      <c r="AB19" s="67"/>
      <c r="AC19" s="67"/>
      <c r="AD19" s="68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/>
      <c r="AS19" s="70"/>
      <c r="AT19" s="70"/>
      <c r="AU19" s="70"/>
      <c r="AV19" s="68"/>
      <c r="AW19" s="69"/>
      <c r="AX19" s="68"/>
      <c r="AY19" s="68"/>
      <c r="AZ19" s="69"/>
      <c r="BA19" s="70"/>
      <c r="BB19" s="71"/>
      <c r="BC19" s="72"/>
      <c r="BD19" s="73" t="str">
        <f aca="false">IF(AND(BB19&gt;=6,AP19&gt;=6,AJ19&gt;=6,AD19&gt;=6,X19&gt;=6),"да","нет")</f>
        <v>нет</v>
      </c>
      <c r="BE19" s="72"/>
      <c r="BF19" s="74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18</v>
      </c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/>
      <c r="H20" s="63"/>
      <c r="I20" s="63"/>
      <c r="J20" s="63"/>
      <c r="K20" s="63"/>
      <c r="L20" s="63"/>
      <c r="M20" s="63"/>
      <c r="N20" s="64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67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COUNTIF(F$3:F$22, "~**")</f>
        <v>0</v>
      </c>
      <c r="G27" s="70" t="n">
        <f aca="false">COUNTIF(G$3:G$22, "~**")</f>
        <v>7</v>
      </c>
      <c r="H27" s="70" t="n">
        <f aca="false">COUNTIF(H$3:H$22, "~**")</f>
        <v>12</v>
      </c>
      <c r="I27" s="70" t="n">
        <f aca="false">COUNTIF(I$3:I$22, "~**")</f>
        <v>11</v>
      </c>
      <c r="J27" s="70" t="n">
        <f aca="false">COUNTIF(J$3:J$22, "~**")</f>
        <v>6</v>
      </c>
      <c r="K27" s="70" t="n">
        <f aca="false">COUNTIF(K$3:K$22, "~**")</f>
        <v>8</v>
      </c>
      <c r="L27" s="70" t="n">
        <f aca="false">COUNTIF(L$3:L$22, "~**")</f>
        <v>11</v>
      </c>
      <c r="M27" s="70" t="n">
        <f aca="false">COUNTIF(M$3:M$22, "~**")</f>
        <v>7</v>
      </c>
      <c r="N27" s="70" t="n">
        <f aca="false">COUNTIF(N$3:N$22, "~**")</f>
        <v>2</v>
      </c>
      <c r="O27" s="70"/>
      <c r="P27" s="70"/>
      <c r="Q27" s="70" t="n">
        <f aca="false">COUNTIF(Q$3:Q$22, "~**")</f>
        <v>0</v>
      </c>
      <c r="R27" s="70" t="n">
        <f aca="false">COUNTIF(R$3:R$22,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COUNTIF(F$3:F$22, "~**")+COUNTIF(F$3:F$22, "Y")</f>
        <v>0</v>
      </c>
      <c r="G28" s="70" t="n">
        <f aca="false">COUNTIF(G$3:G$22, "~**")+COUNTIF(G$3:G$22, "Y")</f>
        <v>9</v>
      </c>
      <c r="H28" s="70" t="n">
        <f aca="false">COUNTIF(H$3:H$22, "~**")+COUNTIF(H$3:H$22, "Y")</f>
        <v>13</v>
      </c>
      <c r="I28" s="70" t="n">
        <f aca="false">COUNTIF(I$3:I$22, "~**")+COUNTIF(I$3:I$22, "Y")</f>
        <v>12</v>
      </c>
      <c r="J28" s="70" t="n">
        <f aca="false">COUNTIF(J$3:J$22, "~**")+COUNTIF(J$3:J$22, "Y")</f>
        <v>10</v>
      </c>
      <c r="K28" s="70" t="n">
        <f aca="false">COUNTIF(K$3:K$22, "~**")+COUNTIF(K$3:K$22, "Y")</f>
        <v>8</v>
      </c>
      <c r="L28" s="70" t="n">
        <f aca="false">COUNTIF(L$3:L$22, "~**")+COUNTIF(L$3:L$22, "Y")</f>
        <v>12</v>
      </c>
      <c r="M28" s="70" t="n">
        <f aca="false">COUNTIF(M$3:M$22, "~**")+COUNTIF(M$3:M$22, "Y")</f>
        <v>7</v>
      </c>
      <c r="N28" s="70" t="n">
        <f aca="false">COUNTIF(N$3:N$22, "~**")+COUNTIF(N$3:N$22, "Y")</f>
        <v>2</v>
      </c>
      <c r="O28" s="70"/>
      <c r="P28" s="70"/>
      <c r="Q28" s="70" t="n">
        <f aca="false">COUNTIF(Q$3:Q$22, "~**")+COUNTIF(Q$3:Q$22, "Y")</f>
        <v>0</v>
      </c>
      <c r="R28" s="70" t="n">
        <f aca="false">COUNTIF(R$3:R$22, "~**")+COUNTIF(R$3:R$22,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11</v>
      </c>
      <c r="W30" s="44" t="n">
        <f aca="false">COUNT(W3:W25)</f>
        <v>11</v>
      </c>
      <c r="X30" s="44" t="n">
        <f aca="false">COUNT(X3:X25)</f>
        <v>11</v>
      </c>
      <c r="Y30" s="77"/>
      <c r="Z30" s="44"/>
      <c r="AA30" s="44" t="n">
        <f aca="false">COUNT(AA3:AA25)</f>
        <v>12</v>
      </c>
      <c r="AB30" s="44" t="n">
        <f aca="false">COUNT(AB3:AB25)</f>
        <v>11</v>
      </c>
      <c r="AC30" s="44" t="n">
        <f aca="false">COUNT(AC3:AC25)</f>
        <v>11</v>
      </c>
      <c r="AD30" s="44" t="n">
        <f aca="false">COUNT(AD3:AD25)</f>
        <v>11</v>
      </c>
      <c r="AE30" s="77"/>
      <c r="AF30" s="44"/>
      <c r="AG30" s="44" t="n">
        <f aca="false">COUNT(AG3:AG25)</f>
        <v>11</v>
      </c>
      <c r="AH30" s="44" t="n">
        <f aca="false">COUNT(AH3:AH25)</f>
        <v>11</v>
      </c>
      <c r="AI30" s="44" t="n">
        <f aca="false">COUNT(AI3:AI25)</f>
        <v>11</v>
      </c>
      <c r="AJ30" s="44" t="n">
        <f aca="false">COUNT(AJ3:AJ25)</f>
        <v>11</v>
      </c>
      <c r="AK30" s="77"/>
      <c r="AL30" s="44"/>
      <c r="AM30" s="44" t="n">
        <f aca="false">COUNT(AM3:AM25)</f>
        <v>9</v>
      </c>
      <c r="AN30" s="44" t="n">
        <f aca="false">COUNT(AN3:AN25)</f>
        <v>9</v>
      </c>
      <c r="AO30" s="44" t="n">
        <f aca="false">COUNT(AO3:AO25)</f>
        <v>9</v>
      </c>
      <c r="AP30" s="44" t="n">
        <f aca="false">COUNT(AP3:AP25)</f>
        <v>9</v>
      </c>
      <c r="AQ30" s="77"/>
      <c r="AR30" s="44"/>
      <c r="AS30" s="44" t="n">
        <f aca="false">COUNT(AS3:AS25)</f>
        <v>2</v>
      </c>
      <c r="AT30" s="44" t="n">
        <f aca="false">COUNT(AT3:AT25)</f>
        <v>2</v>
      </c>
      <c r="AU30" s="44" t="n">
        <f aca="false">COUNT(AU3:AU25)</f>
        <v>2</v>
      </c>
      <c r="AV30" s="44" t="n">
        <f aca="false">COUNT(AV3:AV25)</f>
        <v>15</v>
      </c>
      <c r="AW30" s="77"/>
      <c r="AX30" s="44" t="n">
        <f aca="false">COUNT(AX3:AX25)</f>
        <v>9</v>
      </c>
      <c r="AY30" s="44" t="n">
        <f aca="false">COUNT(AY3:AY25)</f>
        <v>7</v>
      </c>
      <c r="AZ30" s="77"/>
      <c r="BA30" s="44"/>
      <c r="BB30" s="44" t="n">
        <f aca="false">COUNTIF(BB3:BB25, "&gt;=6")</f>
        <v>11</v>
      </c>
      <c r="BC30" s="77"/>
      <c r="BD30" s="44" t="n">
        <f aca="false">COUNTIF(BD3:BD25, "Да")</f>
        <v>9</v>
      </c>
      <c r="BE30" s="77"/>
      <c r="BF30" s="44"/>
      <c r="BG30" s="44" t="n">
        <f aca="false">COUNT(BG3:BG25)</f>
        <v>8</v>
      </c>
      <c r="BH30" s="44" t="n">
        <f aca="false">COUNT(BH3:BH25)</f>
        <v>0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95" t="n">
        <f aca="false">IF(COUNTA($B$3:$B$22)&gt;0,COUNTA(X$3:X$22)/COUNTA($B$3:$B$22), 0)</f>
        <v>0.55</v>
      </c>
      <c r="Y31" s="96"/>
      <c r="Z31" s="93"/>
      <c r="AA31" s="93"/>
      <c r="AB31" s="93"/>
      <c r="AC31" s="93"/>
      <c r="AD31" s="95" t="n">
        <f aca="false">IF(COUNTA($B$3:$B$22)&gt;0,COUNTA(AD$3:AD$22)/COUNTA($B$3:$B$22), 0)</f>
        <v>0.55</v>
      </c>
      <c r="AE31" s="97"/>
      <c r="AF31" s="98"/>
      <c r="AG31" s="93"/>
      <c r="AH31" s="98"/>
      <c r="AI31" s="93"/>
      <c r="AJ31" s="95" t="n">
        <f aca="false">IF(COUNTA($B$3:$B$22)&gt;0,COUNTA(AJ$3:AJ$22)/COUNTA($B$3:$B$22), 0)</f>
        <v>0.55</v>
      </c>
      <c r="AK31" s="96"/>
      <c r="AL31" s="93"/>
      <c r="AM31" s="93"/>
      <c r="AN31" s="93"/>
      <c r="AO31" s="93"/>
      <c r="AP31" s="95" t="n">
        <f aca="false">IF(COUNTA($B$3:$B$22)&gt;0,COUNTA(AP$3:AP$22)/COUNTA($B$3:$B$22), 0)</f>
        <v>0.45</v>
      </c>
      <c r="AQ31" s="96"/>
      <c r="AR31" s="93"/>
      <c r="AS31" s="93"/>
      <c r="AT31" s="93"/>
      <c r="AU31" s="93"/>
      <c r="AV31" s="95" t="n">
        <f aca="false">IF(COUNTA($B$3:$B$22)&gt;0,COUNTA(AV$3:AV$22)/COUNTA($B$3:$B$22), 0)</f>
        <v>0.75</v>
      </c>
      <c r="AW31" s="99"/>
      <c r="AX31" s="100"/>
      <c r="AY31" s="100"/>
      <c r="AZ31" s="99"/>
      <c r="BA31" s="100"/>
      <c r="BB31" s="95" t="n">
        <f aca="false">IF(COUNTA($B$3:$B$22)&gt;0,COUNTA(BB$3:BB$22)/COUNTA($B$3:$B$22), 0)</f>
        <v>0.6</v>
      </c>
      <c r="BC31" s="77"/>
      <c r="BD31" s="44" t="n">
        <f aca="false">COUNTIF(BD3:BD25, "Да")</f>
        <v>9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">
    <cfRule type="expression" priority="2" aboveAverage="0" equalAverage="0" bottom="0" percent="0" rank="0" text="" dxfId="2">
      <formula>U3&gt;45809</formula>
    </cfRule>
  </conditionalFormatting>
  <conditionalFormatting sqref="BC3:BD25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hyperlinks>
    <hyperlink ref="B3" r:id="rId2" display="Авдеев Владислав Александрович"/>
    <hyperlink ref="B5" r:id="rId3" display="Васильев Александр Георгиевич"/>
    <hyperlink ref="B6" r:id="rId4" display="Захарченко Андрей Сергеевич"/>
    <hyperlink ref="B7" r:id="rId5" display="Касимов Аскар Маратович"/>
    <hyperlink ref="B8" r:id="rId6" display="Курагина Анастасия Романовна"/>
    <hyperlink ref="B10" r:id="rId7" display="Макаров Матвей Романович"/>
    <hyperlink ref="B11" r:id="rId8" display="Никитенко Матвей Олегович"/>
    <hyperlink ref="B12" r:id="rId9" display="Орлов Игорь Юрьевич"/>
    <hyperlink ref="B13" r:id="rId10" display="Паршуков Семён Алексеевич"/>
    <hyperlink ref="B14" r:id="rId11" display="Светлов Илья Александрович"/>
    <hyperlink ref="B15" r:id="rId12" display="Симакова Алёна Александровна"/>
    <hyperlink ref="B16" r:id="rId13" display="Тонков Николай Павлович"/>
    <hyperlink ref="B17" r:id="rId14" display="Чупров Иван Андреевич"/>
    <hyperlink ref="B18" r:id="rId15" display="Зайцев Дмтрий Владимирович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FF"/>
    <outlinePr summaryBelow="0"/>
    <pageSetUpPr fitToPage="false"/>
  </sheetPr>
  <dimension ref="A1:B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5" min="6" style="0" width="3"/>
    <col collapsed="false" customWidth="true" hidden="true" outlineLevel="0" max="18" min="1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846</v>
      </c>
      <c r="C1" s="114" t="s">
        <v>957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/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43.2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45699</v>
      </c>
      <c r="G2" s="55" t="n">
        <f aca="false">F2+14</f>
        <v>45713</v>
      </c>
      <c r="H2" s="55" t="n">
        <f aca="false">G2+14</f>
        <v>45727</v>
      </c>
      <c r="I2" s="55" t="n">
        <f aca="false">H2+14</f>
        <v>45741</v>
      </c>
      <c r="J2" s="55" t="n">
        <f aca="false">I2+14</f>
        <v>45755</v>
      </c>
      <c r="K2" s="55" t="n">
        <f aca="false">J2+14</f>
        <v>45769</v>
      </c>
      <c r="L2" s="55" t="n">
        <f aca="false">K2+14</f>
        <v>45783</v>
      </c>
      <c r="M2" s="55" t="n">
        <f aca="false">L2+14</f>
        <v>45797</v>
      </c>
      <c r="N2" s="153" t="n">
        <v>45803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36" t="s">
        <v>217</v>
      </c>
      <c r="C3" s="114" t="s">
        <v>958</v>
      </c>
      <c r="D3" s="154" t="s">
        <v>216</v>
      </c>
      <c r="E3" s="62"/>
      <c r="F3" s="63" t="s">
        <v>696</v>
      </c>
      <c r="G3" s="63" t="s">
        <v>791</v>
      </c>
      <c r="H3" s="63" t="s">
        <v>791</v>
      </c>
      <c r="I3" s="63" t="s">
        <v>791</v>
      </c>
      <c r="J3" s="63" t="s">
        <v>791</v>
      </c>
      <c r="K3" s="63" t="s">
        <v>791</v>
      </c>
      <c r="L3" s="63" t="s">
        <v>791</v>
      </c>
      <c r="M3" s="63" t="s">
        <v>791</v>
      </c>
      <c r="N3" s="64" t="s">
        <v>791</v>
      </c>
      <c r="O3" s="64" t="s">
        <v>737</v>
      </c>
      <c r="P3" s="64"/>
      <c r="Q3" s="64"/>
      <c r="R3" s="64"/>
      <c r="S3" s="65"/>
      <c r="T3" s="155" t="s">
        <v>959</v>
      </c>
      <c r="U3" s="156" t="n">
        <v>45713</v>
      </c>
      <c r="V3" s="156" t="n">
        <v>45727</v>
      </c>
      <c r="W3" s="156" t="n">
        <v>45727</v>
      </c>
      <c r="X3" s="157" t="n">
        <v>9</v>
      </c>
      <c r="Y3" s="158"/>
      <c r="Z3" s="159" t="n">
        <v>1550</v>
      </c>
      <c r="AA3" s="160" t="n">
        <v>45741</v>
      </c>
      <c r="AB3" s="156" t="n">
        <v>45755</v>
      </c>
      <c r="AC3" s="156" t="n">
        <v>45755</v>
      </c>
      <c r="AD3" s="157" t="n">
        <v>9.8</v>
      </c>
      <c r="AE3" s="158"/>
      <c r="AF3" s="159" t="n">
        <v>15505</v>
      </c>
      <c r="AG3" s="156" t="n">
        <v>45769</v>
      </c>
      <c r="AH3" s="156" t="n">
        <v>45783</v>
      </c>
      <c r="AI3" s="156" t="n">
        <v>45783</v>
      </c>
      <c r="AJ3" s="157" t="n">
        <v>8</v>
      </c>
      <c r="AK3" s="158"/>
      <c r="AL3" s="159" t="n">
        <v>1550</v>
      </c>
      <c r="AM3" s="161" t="n">
        <v>45803</v>
      </c>
      <c r="AN3" s="161" t="n">
        <v>45803</v>
      </c>
      <c r="AO3" s="161" t="n">
        <v>45803</v>
      </c>
      <c r="AP3" s="157" t="n">
        <v>9</v>
      </c>
      <c r="AQ3" s="158"/>
      <c r="AR3" s="159" t="s">
        <v>737</v>
      </c>
      <c r="AS3" s="159" t="s">
        <v>737</v>
      </c>
      <c r="AT3" s="159" t="s">
        <v>737</v>
      </c>
      <c r="AU3" s="159" t="s">
        <v>737</v>
      </c>
      <c r="AV3" s="159" t="n">
        <v>0</v>
      </c>
      <c r="AW3" s="69"/>
      <c r="AX3" s="68" t="n">
        <v>2</v>
      </c>
      <c r="AY3" s="68" t="n">
        <v>1</v>
      </c>
      <c r="AZ3" s="69"/>
      <c r="BA3" s="135" t="n">
        <v>45818</v>
      </c>
      <c r="BB3" s="71" t="n">
        <v>9</v>
      </c>
      <c r="BC3" s="72"/>
      <c r="BD3" s="73" t="str">
        <f aca="false">IF(AND(BB3&gt;=6,AP3&gt;=6,AJ3&gt;=6,AD3&gt;=6,X3&gt;=6),"да","нет")</f>
        <v>да</v>
      </c>
      <c r="BE3" s="72"/>
      <c r="BF3" s="118" t="n">
        <v>45822</v>
      </c>
      <c r="BG3" s="71" t="n">
        <v>25</v>
      </c>
      <c r="BH3" s="68" t="n">
        <v>2</v>
      </c>
      <c r="BI3" s="50"/>
      <c r="BJ3" s="75" t="n">
        <f aca="false">SUM(X3,AD3,AJ3,AP3,AV3,AX3:AY3,BH3,BB3,BG3)</f>
        <v>74.8</v>
      </c>
      <c r="BK3" s="73" t="str">
        <f aca="false">IF(BJ3&gt;90,"A",IF(BJ3&gt;83,"B",IF(BJ3&gt;74,"C",IF(BJ3&gt;67,"D",IF(BJ3&gt;=60,"E","FX")))))</f>
        <v>C</v>
      </c>
    </row>
    <row r="4" customFormat="false" ht="15.75" hidden="false" customHeight="false" outlineLevel="0" collapsed="false">
      <c r="A4" s="59" t="n">
        <f aca="false">A3+1</f>
        <v>2</v>
      </c>
      <c r="B4" s="136" t="s">
        <v>248</v>
      </c>
      <c r="C4" s="114" t="s">
        <v>958</v>
      </c>
      <c r="D4" s="154" t="s">
        <v>247</v>
      </c>
      <c r="E4" s="62"/>
      <c r="F4" s="63" t="s">
        <v>696</v>
      </c>
      <c r="G4" s="63" t="s">
        <v>791</v>
      </c>
      <c r="H4" s="63" t="s">
        <v>791</v>
      </c>
      <c r="I4" s="63" t="s">
        <v>791</v>
      </c>
      <c r="J4" s="63" t="s">
        <v>791</v>
      </c>
      <c r="K4" s="63" t="s">
        <v>791</v>
      </c>
      <c r="L4" s="63" t="s">
        <v>696</v>
      </c>
      <c r="M4" s="63" t="s">
        <v>791</v>
      </c>
      <c r="N4" s="64" t="s">
        <v>791</v>
      </c>
      <c r="O4" s="64" t="s">
        <v>737</v>
      </c>
      <c r="P4" s="64"/>
      <c r="Q4" s="64"/>
      <c r="R4" s="64"/>
      <c r="S4" s="65"/>
      <c r="T4" s="155" t="s">
        <v>960</v>
      </c>
      <c r="U4" s="156" t="n">
        <v>45699</v>
      </c>
      <c r="V4" s="156" t="n">
        <v>45713</v>
      </c>
      <c r="W4" s="156" t="n">
        <v>45713</v>
      </c>
      <c r="X4" s="157" t="n">
        <v>8.5</v>
      </c>
      <c r="Y4" s="158"/>
      <c r="Z4" s="159" t="n">
        <v>1551</v>
      </c>
      <c r="AA4" s="160" t="n">
        <v>45727</v>
      </c>
      <c r="AB4" s="156" t="n">
        <v>45741</v>
      </c>
      <c r="AC4" s="156" t="n">
        <v>45741</v>
      </c>
      <c r="AD4" s="157" t="n">
        <v>8.8</v>
      </c>
      <c r="AE4" s="158"/>
      <c r="AF4" s="159" t="n">
        <v>15515</v>
      </c>
      <c r="AG4" s="156" t="n">
        <v>45755</v>
      </c>
      <c r="AH4" s="156" t="n">
        <v>45769</v>
      </c>
      <c r="AI4" s="156" t="n">
        <v>45769</v>
      </c>
      <c r="AJ4" s="157" t="n">
        <v>8</v>
      </c>
      <c r="AK4" s="158"/>
      <c r="AL4" s="159" t="n">
        <v>15516</v>
      </c>
      <c r="AM4" s="161" t="n">
        <v>45797</v>
      </c>
      <c r="AN4" s="161" t="n">
        <v>45797</v>
      </c>
      <c r="AO4" s="161" t="n">
        <v>45797</v>
      </c>
      <c r="AP4" s="157" t="n">
        <v>8</v>
      </c>
      <c r="AQ4" s="158"/>
      <c r="AR4" s="159" t="n">
        <v>15517</v>
      </c>
      <c r="AS4" s="161" t="n">
        <v>45803</v>
      </c>
      <c r="AT4" s="161" t="n">
        <v>45803</v>
      </c>
      <c r="AU4" s="161" t="n">
        <v>45803</v>
      </c>
      <c r="AV4" s="68" t="n">
        <v>9.8</v>
      </c>
      <c r="AW4" s="69"/>
      <c r="AX4" s="68" t="n">
        <v>1</v>
      </c>
      <c r="AY4" s="68" t="n">
        <v>1</v>
      </c>
      <c r="AZ4" s="69"/>
      <c r="BA4" s="135" t="n">
        <v>45818</v>
      </c>
      <c r="BB4" s="71" t="n">
        <v>10</v>
      </c>
      <c r="BC4" s="72"/>
      <c r="BD4" s="73" t="str">
        <f aca="false">IF(AND(BB4&gt;=6,AP4&gt;=6,AJ4&gt;=6,AD4&gt;=6,X4&gt;=6),"да","нет")</f>
        <v>да</v>
      </c>
      <c r="BE4" s="72"/>
      <c r="BF4" s="118" t="n">
        <v>45822</v>
      </c>
      <c r="BG4" s="71" t="n">
        <v>20</v>
      </c>
      <c r="BH4" s="68"/>
      <c r="BI4" s="50"/>
      <c r="BJ4" s="75" t="n">
        <f aca="false">SUM(X4,AD4,AJ4,AP4,AV4,AX4:AY4,BH4,BB4,BG4)</f>
        <v>75.1</v>
      </c>
      <c r="BK4" s="73" t="str">
        <f aca="false">IF(BJ4&gt;90,"A",IF(BJ4&gt;83,"B",IF(BJ4&gt;74,"C",IF(BJ4&gt;67,"D",IF(BJ4&gt;=60,"E","FX")))))</f>
        <v>C</v>
      </c>
    </row>
    <row r="5" customFormat="false" ht="15.75" hidden="false" customHeight="false" outlineLevel="0" collapsed="false">
      <c r="A5" s="59" t="n">
        <f aca="false">A4+1</f>
        <v>3</v>
      </c>
      <c r="B5" s="136" t="s">
        <v>301</v>
      </c>
      <c r="C5" s="114" t="s">
        <v>958</v>
      </c>
      <c r="D5" s="154" t="s">
        <v>300</v>
      </c>
      <c r="E5" s="62"/>
      <c r="F5" s="63" t="s">
        <v>696</v>
      </c>
      <c r="G5" s="63" t="s">
        <v>791</v>
      </c>
      <c r="H5" s="63" t="s">
        <v>791</v>
      </c>
      <c r="I5" s="63" t="s">
        <v>791</v>
      </c>
      <c r="J5" s="63" t="s">
        <v>791</v>
      </c>
      <c r="K5" s="63" t="s">
        <v>791</v>
      </c>
      <c r="L5" s="63" t="s">
        <v>791</v>
      </c>
      <c r="M5" s="63" t="s">
        <v>791</v>
      </c>
      <c r="N5" s="64" t="s">
        <v>737</v>
      </c>
      <c r="O5" s="64" t="s">
        <v>737</v>
      </c>
      <c r="P5" s="64"/>
      <c r="Q5" s="64"/>
      <c r="R5" s="64"/>
      <c r="S5" s="65"/>
      <c r="T5" s="155" t="s">
        <v>961</v>
      </c>
      <c r="U5" s="156" t="n">
        <v>45699</v>
      </c>
      <c r="V5" s="156" t="n">
        <v>45713</v>
      </c>
      <c r="W5" s="156" t="n">
        <v>45713</v>
      </c>
      <c r="X5" s="157" t="n">
        <v>9</v>
      </c>
      <c r="Y5" s="158"/>
      <c r="Z5" s="159" t="n">
        <v>1552</v>
      </c>
      <c r="AA5" s="160" t="n">
        <v>45727</v>
      </c>
      <c r="AB5" s="156" t="n">
        <v>45741</v>
      </c>
      <c r="AC5" s="156" t="n">
        <v>45741</v>
      </c>
      <c r="AD5" s="157" t="n">
        <v>9.3</v>
      </c>
      <c r="AE5" s="158"/>
      <c r="AF5" s="159" t="n">
        <v>15522</v>
      </c>
      <c r="AG5" s="156" t="n">
        <v>45769</v>
      </c>
      <c r="AH5" s="156" t="n">
        <v>45769</v>
      </c>
      <c r="AI5" s="156" t="n">
        <v>45769</v>
      </c>
      <c r="AJ5" s="157" t="n">
        <v>9.7</v>
      </c>
      <c r="AK5" s="158"/>
      <c r="AL5" s="159" t="n">
        <v>1552</v>
      </c>
      <c r="AM5" s="156" t="n">
        <v>45783</v>
      </c>
      <c r="AN5" s="156" t="n">
        <v>45783</v>
      </c>
      <c r="AO5" s="156" t="n">
        <v>45783</v>
      </c>
      <c r="AP5" s="157" t="n">
        <v>9</v>
      </c>
      <c r="AQ5" s="158"/>
      <c r="AR5" s="159" t="n">
        <v>15525</v>
      </c>
      <c r="AS5" s="137" t="n">
        <v>45797</v>
      </c>
      <c r="AT5" s="137" t="n">
        <v>45797</v>
      </c>
      <c r="AU5" s="137" t="n">
        <v>45797</v>
      </c>
      <c r="AV5" s="68" t="n">
        <v>10</v>
      </c>
      <c r="AW5" s="69"/>
      <c r="AX5" s="68" t="n">
        <v>0</v>
      </c>
      <c r="AY5" s="68" t="n">
        <v>1</v>
      </c>
      <c r="AZ5" s="69"/>
      <c r="BA5" s="135" t="n">
        <v>45818</v>
      </c>
      <c r="BB5" s="71" t="n">
        <v>10</v>
      </c>
      <c r="BC5" s="72"/>
      <c r="BD5" s="73" t="str">
        <f aca="false">IF(AND(BB5&gt;=6,AP5&gt;=6,AJ5&gt;=6,AD5&gt;=6,X5&gt;=6),"да","нет")</f>
        <v>да</v>
      </c>
      <c r="BE5" s="72"/>
      <c r="BF5" s="118" t="n">
        <v>45822</v>
      </c>
      <c r="BG5" s="71" t="n">
        <v>30</v>
      </c>
      <c r="BH5" s="68" t="n">
        <v>3</v>
      </c>
      <c r="BI5" s="50"/>
      <c r="BJ5" s="75" t="n">
        <f aca="false">SUM(X5,AD5,AJ5,AP5,AV5,AX5:AY5,BH5,BB5,BG5)</f>
        <v>91</v>
      </c>
      <c r="BK5" s="73" t="str">
        <f aca="false">IF(BJ5&gt;90,"A",IF(BJ5&gt;83,"B",IF(BJ5&gt;74,"C",IF(BJ5&gt;67,"D",IF(BJ5&gt;=60,"E","FX")))))</f>
        <v>A</v>
      </c>
    </row>
    <row r="6" customFormat="false" ht="15.75" hidden="false" customHeight="false" outlineLevel="0" collapsed="false">
      <c r="A6" s="59" t="n">
        <f aca="false">A5+1</f>
        <v>4</v>
      </c>
      <c r="B6" s="136" t="s">
        <v>333</v>
      </c>
      <c r="C6" s="114" t="s">
        <v>958</v>
      </c>
      <c r="D6" s="154" t="s">
        <v>332</v>
      </c>
      <c r="E6" s="62"/>
      <c r="F6" s="63" t="s">
        <v>696</v>
      </c>
      <c r="G6" s="63" t="s">
        <v>791</v>
      </c>
      <c r="H6" s="63" t="s">
        <v>791</v>
      </c>
      <c r="I6" s="63" t="s">
        <v>791</v>
      </c>
      <c r="J6" s="63" t="s">
        <v>791</v>
      </c>
      <c r="K6" s="63" t="s">
        <v>791</v>
      </c>
      <c r="L6" s="63" t="s">
        <v>791</v>
      </c>
      <c r="M6" s="63" t="s">
        <v>696</v>
      </c>
      <c r="N6" s="64" t="s">
        <v>791</v>
      </c>
      <c r="O6" s="64" t="s">
        <v>791</v>
      </c>
      <c r="P6" s="64"/>
      <c r="Q6" s="64"/>
      <c r="R6" s="64"/>
      <c r="S6" s="65"/>
      <c r="T6" s="155" t="s">
        <v>962</v>
      </c>
      <c r="U6" s="156" t="n">
        <v>45713</v>
      </c>
      <c r="V6" s="156" t="n">
        <v>45741</v>
      </c>
      <c r="W6" s="156" t="n">
        <v>45741</v>
      </c>
      <c r="X6" s="157" t="n">
        <v>8.5</v>
      </c>
      <c r="Y6" s="158"/>
      <c r="Z6" s="159" t="n">
        <v>15533</v>
      </c>
      <c r="AA6" s="160" t="n">
        <v>45755</v>
      </c>
      <c r="AB6" s="156" t="n">
        <v>45769</v>
      </c>
      <c r="AC6" s="156" t="n">
        <v>45769</v>
      </c>
      <c r="AD6" s="157" t="n">
        <v>9</v>
      </c>
      <c r="AE6" s="158"/>
      <c r="AF6" s="159" t="n">
        <v>15535</v>
      </c>
      <c r="AG6" s="156" t="n">
        <v>45783</v>
      </c>
      <c r="AH6" s="161" t="n">
        <v>45803</v>
      </c>
      <c r="AI6" s="161" t="n">
        <v>45803</v>
      </c>
      <c r="AJ6" s="157" t="n">
        <v>8.7</v>
      </c>
      <c r="AK6" s="158"/>
      <c r="AL6" s="159" t="n">
        <v>15536</v>
      </c>
      <c r="AM6" s="137" t="n">
        <v>45811</v>
      </c>
      <c r="AN6" s="137" t="n">
        <v>45811</v>
      </c>
      <c r="AO6" s="137" t="n">
        <v>45811</v>
      </c>
      <c r="AP6" s="157" t="n">
        <v>8.3</v>
      </c>
      <c r="AQ6" s="158"/>
      <c r="AR6" s="159" t="s">
        <v>737</v>
      </c>
      <c r="AS6" s="159" t="s">
        <v>737</v>
      </c>
      <c r="AT6" s="159" t="s">
        <v>737</v>
      </c>
      <c r="AU6" s="159" t="s">
        <v>737</v>
      </c>
      <c r="AV6" s="159" t="n">
        <v>0</v>
      </c>
      <c r="AW6" s="69"/>
      <c r="AX6" s="68"/>
      <c r="AY6" s="68"/>
      <c r="AZ6" s="69"/>
      <c r="BA6" s="135" t="n">
        <v>45818</v>
      </c>
      <c r="BB6" s="71" t="n">
        <v>10</v>
      </c>
      <c r="BC6" s="72"/>
      <c r="BD6" s="73" t="str">
        <f aca="false">IF(AND(BB6&gt;=6,AP6&gt;=6,AJ6&gt;=6,AD6&gt;=6,X6&gt;=6),"да","нет")</f>
        <v>да</v>
      </c>
      <c r="BE6" s="72"/>
      <c r="BF6" s="118" t="n">
        <v>45822</v>
      </c>
      <c r="BG6" s="71" t="n">
        <v>0</v>
      </c>
      <c r="BH6" s="68"/>
      <c r="BI6" s="50"/>
      <c r="BJ6" s="75" t="n">
        <f aca="false">SUM(X6,AD6,AJ6,AP6,AV6,AX6:AY6,BH6,BB6,BG6)</f>
        <v>44.5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136" t="s">
        <v>369</v>
      </c>
      <c r="C7" s="114" t="s">
        <v>958</v>
      </c>
      <c r="D7" s="154" t="s">
        <v>368</v>
      </c>
      <c r="E7" s="62"/>
      <c r="F7" s="63" t="s">
        <v>696</v>
      </c>
      <c r="G7" s="63" t="s">
        <v>791</v>
      </c>
      <c r="H7" s="63" t="s">
        <v>791</v>
      </c>
      <c r="I7" s="63" t="s">
        <v>791</v>
      </c>
      <c r="J7" s="63" t="s">
        <v>791</v>
      </c>
      <c r="K7" s="63" t="s">
        <v>791</v>
      </c>
      <c r="L7" s="63" t="s">
        <v>791</v>
      </c>
      <c r="M7" s="63" t="s">
        <v>791</v>
      </c>
      <c r="N7" s="64" t="s">
        <v>791</v>
      </c>
      <c r="O7" s="64" t="s">
        <v>791</v>
      </c>
      <c r="P7" s="64"/>
      <c r="Q7" s="64"/>
      <c r="R7" s="64"/>
      <c r="S7" s="65"/>
      <c r="T7" s="155" t="s">
        <v>963</v>
      </c>
      <c r="U7" s="156" t="n">
        <v>45727</v>
      </c>
      <c r="V7" s="156" t="n">
        <v>45741</v>
      </c>
      <c r="W7" s="156" t="n">
        <v>45755</v>
      </c>
      <c r="X7" s="157" t="n">
        <v>7.4</v>
      </c>
      <c r="Y7" s="158"/>
      <c r="Z7" s="159" t="n">
        <v>41554</v>
      </c>
      <c r="AA7" s="160" t="n">
        <v>45768</v>
      </c>
      <c r="AB7" s="156" t="n">
        <v>45769</v>
      </c>
      <c r="AC7" s="156" t="n">
        <v>45783</v>
      </c>
      <c r="AD7" s="157" t="n">
        <v>8.1</v>
      </c>
      <c r="AE7" s="158"/>
      <c r="AF7" s="159" t="n">
        <v>15545</v>
      </c>
      <c r="AG7" s="137" t="n">
        <v>45797</v>
      </c>
      <c r="AH7" s="161" t="n">
        <v>45803</v>
      </c>
      <c r="AI7" s="161" t="n">
        <v>45803</v>
      </c>
      <c r="AJ7" s="157" t="n">
        <v>8</v>
      </c>
      <c r="AK7" s="158"/>
      <c r="AL7" s="159" t="n">
        <v>16554</v>
      </c>
      <c r="AM7" s="137" t="n">
        <v>45811</v>
      </c>
      <c r="AN7" s="137" t="n">
        <v>45811</v>
      </c>
      <c r="AO7" s="137" t="n">
        <v>45811</v>
      </c>
      <c r="AP7" s="157" t="n">
        <v>8</v>
      </c>
      <c r="AQ7" s="158"/>
      <c r="AR7" s="159" t="s">
        <v>737</v>
      </c>
      <c r="AS7" s="159" t="s">
        <v>737</v>
      </c>
      <c r="AT7" s="159" t="s">
        <v>737</v>
      </c>
      <c r="AU7" s="159" t="s">
        <v>737</v>
      </c>
      <c r="AV7" s="159" t="n">
        <v>0</v>
      </c>
      <c r="AW7" s="69"/>
      <c r="AX7" s="68" t="n">
        <v>0</v>
      </c>
      <c r="AY7" s="68" t="n">
        <v>1</v>
      </c>
      <c r="AZ7" s="69"/>
      <c r="BA7" s="135" t="n">
        <v>45818</v>
      </c>
      <c r="BB7" s="71" t="n">
        <v>10</v>
      </c>
      <c r="BC7" s="72"/>
      <c r="BD7" s="73" t="str">
        <f aca="false">IF(AND(BB7&gt;=6,AP7&gt;=6,AJ7&gt;=6,AD7&gt;=6,X7&gt;=6),"да","нет")</f>
        <v>да</v>
      </c>
      <c r="BE7" s="72"/>
      <c r="BF7" s="118" t="n">
        <v>45822</v>
      </c>
      <c r="BG7" s="71" t="n">
        <v>0</v>
      </c>
      <c r="BH7" s="68"/>
      <c r="BI7" s="50"/>
      <c r="BJ7" s="75" t="n">
        <f aca="false">SUM(X7,AD7,AJ7,AP7,AV7,AX7:AY7,BH7,BB7,BG7)</f>
        <v>42.5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136" t="s">
        <v>391</v>
      </c>
      <c r="C8" s="114" t="s">
        <v>958</v>
      </c>
      <c r="D8" s="154" t="s">
        <v>390</v>
      </c>
      <c r="E8" s="62"/>
      <c r="F8" s="63" t="s">
        <v>696</v>
      </c>
      <c r="G8" s="63" t="s">
        <v>791</v>
      </c>
      <c r="H8" s="63" t="s">
        <v>791</v>
      </c>
      <c r="I8" s="63" t="s">
        <v>791</v>
      </c>
      <c r="J8" s="63" t="s">
        <v>791</v>
      </c>
      <c r="K8" s="63" t="s">
        <v>791</v>
      </c>
      <c r="L8" s="63" t="s">
        <v>791</v>
      </c>
      <c r="M8" s="63" t="s">
        <v>791</v>
      </c>
      <c r="N8" s="64" t="s">
        <v>791</v>
      </c>
      <c r="O8" s="64" t="s">
        <v>737</v>
      </c>
      <c r="P8" s="64"/>
      <c r="Q8" s="64"/>
      <c r="R8" s="64"/>
      <c r="S8" s="65"/>
      <c r="T8" s="155" t="s">
        <v>964</v>
      </c>
      <c r="U8" s="156" t="n">
        <v>45699</v>
      </c>
      <c r="V8" s="156" t="n">
        <v>45713</v>
      </c>
      <c r="W8" s="156" t="n">
        <v>45727</v>
      </c>
      <c r="X8" s="157" t="n">
        <v>8.3</v>
      </c>
      <c r="Y8" s="158"/>
      <c r="Z8" s="159" t="n">
        <v>15551</v>
      </c>
      <c r="AA8" s="160" t="n">
        <v>45741</v>
      </c>
      <c r="AB8" s="156" t="n">
        <v>45755</v>
      </c>
      <c r="AC8" s="156" t="n">
        <v>45769</v>
      </c>
      <c r="AD8" s="157" t="n">
        <v>9.1</v>
      </c>
      <c r="AE8" s="158"/>
      <c r="AF8" s="159" t="n">
        <v>1555</v>
      </c>
      <c r="AG8" s="156" t="n">
        <v>45783</v>
      </c>
      <c r="AH8" s="161" t="n">
        <v>45797</v>
      </c>
      <c r="AI8" s="161" t="n">
        <v>45797</v>
      </c>
      <c r="AJ8" s="157" t="n">
        <v>8.5</v>
      </c>
      <c r="AK8" s="158"/>
      <c r="AL8" s="159" t="n">
        <v>61555</v>
      </c>
      <c r="AM8" s="161" t="n">
        <v>45803</v>
      </c>
      <c r="AN8" s="161" t="n">
        <v>45803</v>
      </c>
      <c r="AO8" s="161" t="n">
        <v>45803</v>
      </c>
      <c r="AP8" s="157" t="n">
        <v>8.2</v>
      </c>
      <c r="AQ8" s="158"/>
      <c r="AR8" s="159" t="s">
        <v>737</v>
      </c>
      <c r="AS8" s="159" t="s">
        <v>737</v>
      </c>
      <c r="AT8" s="159" t="s">
        <v>737</v>
      </c>
      <c r="AU8" s="159" t="s">
        <v>737</v>
      </c>
      <c r="AV8" s="159" t="n">
        <v>0</v>
      </c>
      <c r="AW8" s="69"/>
      <c r="AX8" s="68" t="n">
        <v>1</v>
      </c>
      <c r="AY8" s="68" t="n">
        <v>1</v>
      </c>
      <c r="AZ8" s="69"/>
      <c r="BA8" s="135" t="n">
        <v>45818</v>
      </c>
      <c r="BB8" s="71" t="n">
        <v>10</v>
      </c>
      <c r="BC8" s="72"/>
      <c r="BD8" s="73" t="str">
        <f aca="false">IF(AND(BB8&gt;=6,AP8&gt;=6,AJ8&gt;=6,AD8&gt;=6,X8&gt;=6),"да","нет")</f>
        <v>да</v>
      </c>
      <c r="BE8" s="72"/>
      <c r="BF8" s="118" t="n">
        <v>45822</v>
      </c>
      <c r="BG8" s="71" t="n">
        <v>28</v>
      </c>
      <c r="BH8" s="68"/>
      <c r="BI8" s="50"/>
      <c r="BJ8" s="75" t="n">
        <f aca="false">SUM(X8,AD8,AJ8,AP8,AV8,AX8:AY8,BH8,BB8,BG8)</f>
        <v>74.1</v>
      </c>
      <c r="BK8" s="73" t="str">
        <f aca="false">IF(BJ8&gt;90,"A",IF(BJ8&gt;83,"B",IF(BJ8&gt;74,"C",IF(BJ8&gt;67,"D",IF(BJ8&gt;=60,"E","FX")))))</f>
        <v>C</v>
      </c>
    </row>
    <row r="9" customFormat="false" ht="15.75" hidden="false" customHeight="false" outlineLevel="0" collapsed="false">
      <c r="A9" s="59" t="n">
        <f aca="false">A8+1</f>
        <v>7</v>
      </c>
      <c r="B9" s="60" t="s">
        <v>399</v>
      </c>
      <c r="C9" s="114" t="s">
        <v>958</v>
      </c>
      <c r="D9" s="61" t="s">
        <v>398</v>
      </c>
      <c r="E9" s="62"/>
      <c r="F9" s="63" t="s">
        <v>735</v>
      </c>
      <c r="G9" s="63" t="s">
        <v>735</v>
      </c>
      <c r="H9" s="63" t="s">
        <v>735</v>
      </c>
      <c r="I9" s="63" t="s">
        <v>735</v>
      </c>
      <c r="J9" s="63" t="s">
        <v>735</v>
      </c>
      <c r="K9" s="63" t="s">
        <v>735</v>
      </c>
      <c r="L9" s="63" t="s">
        <v>735</v>
      </c>
      <c r="M9" s="63" t="s">
        <v>735</v>
      </c>
      <c r="N9" s="64" t="s">
        <v>791</v>
      </c>
      <c r="O9" s="64" t="s">
        <v>791</v>
      </c>
      <c r="P9" s="64"/>
      <c r="Q9" s="64"/>
      <c r="R9" s="64"/>
      <c r="S9" s="65"/>
      <c r="T9" s="66" t="s">
        <v>965</v>
      </c>
      <c r="U9" s="67"/>
      <c r="V9" s="67"/>
      <c r="W9" s="67"/>
      <c r="X9" s="68"/>
      <c r="Y9" s="69"/>
      <c r="Z9" s="70"/>
      <c r="AA9" s="67"/>
      <c r="AB9" s="67"/>
      <c r="AC9" s="67"/>
      <c r="AD9" s="68"/>
      <c r="AE9" s="69"/>
      <c r="AF9" s="70"/>
      <c r="AG9" s="70"/>
      <c r="AH9" s="70"/>
      <c r="AI9" s="70"/>
      <c r="AJ9" s="68"/>
      <c r="AK9" s="69"/>
      <c r="AL9" s="70"/>
      <c r="AM9" s="70"/>
      <c r="AN9" s="70"/>
      <c r="AO9" s="70"/>
      <c r="AP9" s="68"/>
      <c r="AQ9" s="69"/>
      <c r="AR9" s="159" t="s">
        <v>737</v>
      </c>
      <c r="AS9" s="159" t="s">
        <v>737</v>
      </c>
      <c r="AT9" s="159" t="s">
        <v>737</v>
      </c>
      <c r="AU9" s="159" t="s">
        <v>737</v>
      </c>
      <c r="AV9" s="159" t="n">
        <v>0</v>
      </c>
      <c r="AW9" s="69"/>
      <c r="AX9" s="68"/>
      <c r="AY9" s="68"/>
      <c r="AZ9" s="69"/>
      <c r="BA9" s="135" t="n">
        <v>45818</v>
      </c>
      <c r="BB9" s="71" t="n">
        <v>0.1</v>
      </c>
      <c r="BC9" s="72"/>
      <c r="BD9" s="73" t="str">
        <f aca="false">IF(AND(BB9&gt;=6,AP9&gt;=6,AJ9&gt;=6,AD9&gt;=6,X9&gt;=6),"да","нет")</f>
        <v>нет</v>
      </c>
      <c r="BE9" s="72"/>
      <c r="BF9" s="118"/>
      <c r="BG9" s="71"/>
      <c r="BH9" s="68"/>
      <c r="BI9" s="50"/>
      <c r="BJ9" s="75" t="n">
        <f aca="false">SUM(X9,AD9,AJ9,AP9,AV9,AX9:AY9,BH9,BB9,BG9)</f>
        <v>0.1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136" t="s">
        <v>419</v>
      </c>
      <c r="C10" s="114" t="s">
        <v>958</v>
      </c>
      <c r="D10" s="154" t="s">
        <v>418</v>
      </c>
      <c r="E10" s="62"/>
      <c r="F10" s="63" t="s">
        <v>696</v>
      </c>
      <c r="G10" s="63" t="s">
        <v>791</v>
      </c>
      <c r="H10" s="63" t="s">
        <v>791</v>
      </c>
      <c r="I10" s="63" t="s">
        <v>791</v>
      </c>
      <c r="J10" s="63" t="s">
        <v>791</v>
      </c>
      <c r="K10" s="63" t="s">
        <v>791</v>
      </c>
      <c r="L10" s="63" t="s">
        <v>791</v>
      </c>
      <c r="M10" s="63" t="s">
        <v>791</v>
      </c>
      <c r="N10" s="64" t="s">
        <v>791</v>
      </c>
      <c r="O10" s="64" t="s">
        <v>737</v>
      </c>
      <c r="P10" s="64"/>
      <c r="Q10" s="64"/>
      <c r="R10" s="64"/>
      <c r="S10" s="65"/>
      <c r="T10" s="155" t="s">
        <v>966</v>
      </c>
      <c r="U10" s="156" t="n">
        <v>45713</v>
      </c>
      <c r="V10" s="156" t="n">
        <v>45741</v>
      </c>
      <c r="W10" s="156" t="n">
        <v>45755</v>
      </c>
      <c r="X10" s="157" t="n">
        <v>7.8</v>
      </c>
      <c r="Y10" s="158"/>
      <c r="Z10" s="159" t="n">
        <v>15564</v>
      </c>
      <c r="AA10" s="160" t="n">
        <v>45768</v>
      </c>
      <c r="AB10" s="156" t="n">
        <v>45769</v>
      </c>
      <c r="AC10" s="156" t="n">
        <v>45769</v>
      </c>
      <c r="AD10" s="157" t="n">
        <v>9</v>
      </c>
      <c r="AE10" s="158"/>
      <c r="AF10" s="159" t="n">
        <v>1556</v>
      </c>
      <c r="AG10" s="161" t="n">
        <v>45783</v>
      </c>
      <c r="AH10" s="161" t="n">
        <v>45783</v>
      </c>
      <c r="AI10" s="161" t="n">
        <v>45783</v>
      </c>
      <c r="AJ10" s="157" t="n">
        <v>7</v>
      </c>
      <c r="AK10" s="158"/>
      <c r="AL10" s="159" t="n">
        <v>15566</v>
      </c>
      <c r="AM10" s="137" t="n">
        <v>45797</v>
      </c>
      <c r="AN10" s="137" t="n">
        <v>45797</v>
      </c>
      <c r="AO10" s="137" t="n">
        <v>45797</v>
      </c>
      <c r="AP10" s="157" t="n">
        <v>7.5</v>
      </c>
      <c r="AQ10" s="158"/>
      <c r="AR10" s="159" t="n">
        <v>15567</v>
      </c>
      <c r="AS10" s="161" t="n">
        <v>45803</v>
      </c>
      <c r="AT10" s="161" t="n">
        <v>45803</v>
      </c>
      <c r="AU10" s="161" t="n">
        <v>45803</v>
      </c>
      <c r="AV10" s="68" t="n">
        <v>7</v>
      </c>
      <c r="AW10" s="69"/>
      <c r="AX10" s="68" t="n">
        <v>1</v>
      </c>
      <c r="AY10" s="68" t="n">
        <v>0</v>
      </c>
      <c r="AZ10" s="69"/>
      <c r="BA10" s="135" t="n">
        <v>45818</v>
      </c>
      <c r="BB10" s="71" t="n">
        <v>10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45822</v>
      </c>
      <c r="BG10" s="71" t="n">
        <v>0</v>
      </c>
      <c r="BH10" s="68"/>
      <c r="BI10" s="50"/>
      <c r="BJ10" s="75" t="n">
        <f aca="false">SUM(X10,AD10,AJ10,AP10,AV10,AX10:AY10,BH10,BB10,BG10)</f>
        <v>49.3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136" t="s">
        <v>453</v>
      </c>
      <c r="C11" s="114" t="s">
        <v>958</v>
      </c>
      <c r="D11" s="154" t="s">
        <v>452</v>
      </c>
      <c r="E11" s="62"/>
      <c r="F11" s="63" t="s">
        <v>696</v>
      </c>
      <c r="G11" s="63" t="s">
        <v>791</v>
      </c>
      <c r="H11" s="63" t="s">
        <v>791</v>
      </c>
      <c r="I11" s="63" t="s">
        <v>791</v>
      </c>
      <c r="J11" s="63" t="s">
        <v>791</v>
      </c>
      <c r="K11" s="63" t="s">
        <v>791</v>
      </c>
      <c r="L11" s="63" t="s">
        <v>791</v>
      </c>
      <c r="M11" s="63" t="s">
        <v>791</v>
      </c>
      <c r="N11" s="64" t="s">
        <v>791</v>
      </c>
      <c r="O11" s="64" t="s">
        <v>791</v>
      </c>
      <c r="P11" s="64"/>
      <c r="Q11" s="64"/>
      <c r="R11" s="64"/>
      <c r="S11" s="65"/>
      <c r="T11" s="155" t="s">
        <v>967</v>
      </c>
      <c r="U11" s="156" t="n">
        <v>45713</v>
      </c>
      <c r="V11" s="156" t="n">
        <v>45727</v>
      </c>
      <c r="W11" s="156" t="n">
        <v>45727</v>
      </c>
      <c r="X11" s="157" t="n">
        <v>7.8</v>
      </c>
      <c r="Y11" s="158"/>
      <c r="Z11" s="159" t="n">
        <v>15571</v>
      </c>
      <c r="AA11" s="160" t="n">
        <v>45741</v>
      </c>
      <c r="AB11" s="156" t="n">
        <v>45755</v>
      </c>
      <c r="AC11" s="156" t="n">
        <v>45783</v>
      </c>
      <c r="AD11" s="157" t="n">
        <v>8.9</v>
      </c>
      <c r="AE11" s="158"/>
      <c r="AF11" s="155" t="s">
        <v>967</v>
      </c>
      <c r="AG11" s="137" t="n">
        <v>45797</v>
      </c>
      <c r="AH11" s="161" t="n">
        <v>45803</v>
      </c>
      <c r="AI11" s="161" t="n">
        <v>45803</v>
      </c>
      <c r="AJ11" s="157" t="n">
        <v>8</v>
      </c>
      <c r="AK11" s="158"/>
      <c r="AL11" s="159" t="n">
        <v>155777</v>
      </c>
      <c r="AM11" s="137" t="n">
        <v>45811</v>
      </c>
      <c r="AN11" s="137" t="n">
        <v>45811</v>
      </c>
      <c r="AO11" s="137" t="n">
        <v>45811</v>
      </c>
      <c r="AP11" s="157" t="n">
        <v>8</v>
      </c>
      <c r="AQ11" s="158"/>
      <c r="AR11" s="159" t="s">
        <v>737</v>
      </c>
      <c r="AS11" s="159" t="s">
        <v>737</v>
      </c>
      <c r="AT11" s="159" t="s">
        <v>737</v>
      </c>
      <c r="AU11" s="159" t="s">
        <v>737</v>
      </c>
      <c r="AV11" s="159" t="n">
        <v>0</v>
      </c>
      <c r="AW11" s="69"/>
      <c r="AX11" s="68" t="n">
        <v>0</v>
      </c>
      <c r="AY11" s="68"/>
      <c r="AZ11" s="69"/>
      <c r="BA11" s="135" t="n">
        <v>45818</v>
      </c>
      <c r="BB11" s="71" t="n">
        <v>10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45822</v>
      </c>
      <c r="BG11" s="71" t="n">
        <v>25</v>
      </c>
      <c r="BH11" s="68"/>
      <c r="BI11" s="50"/>
      <c r="BJ11" s="75" t="n">
        <f aca="false">SUM(X11,AD11,AJ11,AP11,AV11,AX11:AY11,BH11,BB11,BG11)</f>
        <v>67.7</v>
      </c>
      <c r="BK11" s="73" t="str">
        <f aca="false">IF(BJ11&gt;90,"A",IF(BJ11&gt;83,"B",IF(BJ11&gt;74,"C",IF(BJ11&gt;67,"D",IF(BJ11&gt;=60,"E","FX")))))</f>
        <v>D</v>
      </c>
    </row>
    <row r="12" customFormat="false" ht="15.75" hidden="false" customHeight="false" outlineLevel="0" collapsed="false">
      <c r="A12" s="59" t="n">
        <f aca="false">A11+1</f>
        <v>10</v>
      </c>
      <c r="B12" s="136" t="s">
        <v>467</v>
      </c>
      <c r="C12" s="114" t="s">
        <v>958</v>
      </c>
      <c r="D12" s="154" t="s">
        <v>466</v>
      </c>
      <c r="E12" s="62"/>
      <c r="F12" s="63" t="s">
        <v>696</v>
      </c>
      <c r="G12" s="63" t="s">
        <v>791</v>
      </c>
      <c r="H12" s="63" t="s">
        <v>791</v>
      </c>
      <c r="I12" s="63" t="s">
        <v>791</v>
      </c>
      <c r="J12" s="63" t="s">
        <v>791</v>
      </c>
      <c r="K12" s="63" t="s">
        <v>791</v>
      </c>
      <c r="L12" s="63" t="s">
        <v>791</v>
      </c>
      <c r="M12" s="63" t="s">
        <v>791</v>
      </c>
      <c r="N12" s="64" t="s">
        <v>791</v>
      </c>
      <c r="O12" s="64" t="s">
        <v>791</v>
      </c>
      <c r="P12" s="64"/>
      <c r="Q12" s="64"/>
      <c r="R12" s="64"/>
      <c r="S12" s="65"/>
      <c r="T12" s="155" t="s">
        <v>968</v>
      </c>
      <c r="U12" s="156" t="n">
        <v>45699</v>
      </c>
      <c r="V12" s="156" t="n">
        <v>45727</v>
      </c>
      <c r="W12" s="156" t="n">
        <v>45727</v>
      </c>
      <c r="X12" s="157" t="n">
        <v>8</v>
      </c>
      <c r="Y12" s="158"/>
      <c r="Z12" s="159" t="n">
        <v>15582</v>
      </c>
      <c r="AA12" s="156" t="n">
        <v>45755</v>
      </c>
      <c r="AB12" s="156" t="n">
        <v>45769</v>
      </c>
      <c r="AC12" s="156" t="n">
        <v>45783</v>
      </c>
      <c r="AD12" s="157" t="n">
        <v>8.6</v>
      </c>
      <c r="AE12" s="158"/>
      <c r="AF12" s="159" t="n">
        <v>1558</v>
      </c>
      <c r="AG12" s="137" t="n">
        <v>45797</v>
      </c>
      <c r="AH12" s="161" t="n">
        <v>45803</v>
      </c>
      <c r="AI12" s="161" t="n">
        <v>45803</v>
      </c>
      <c r="AJ12" s="157" t="n">
        <v>8</v>
      </c>
      <c r="AK12" s="158"/>
      <c r="AL12" s="159" t="n">
        <v>155866</v>
      </c>
      <c r="AM12" s="137" t="n">
        <v>45811</v>
      </c>
      <c r="AN12" s="137" t="n">
        <v>45811</v>
      </c>
      <c r="AO12" s="137" t="n">
        <v>45811</v>
      </c>
      <c r="AP12" s="157" t="n">
        <v>8</v>
      </c>
      <c r="AQ12" s="158"/>
      <c r="AR12" s="159" t="s">
        <v>737</v>
      </c>
      <c r="AS12" s="159" t="s">
        <v>737</v>
      </c>
      <c r="AT12" s="159" t="s">
        <v>737</v>
      </c>
      <c r="AU12" s="159" t="s">
        <v>737</v>
      </c>
      <c r="AV12" s="159" t="n">
        <v>0</v>
      </c>
      <c r="AW12" s="69"/>
      <c r="AX12" s="68" t="n">
        <v>2</v>
      </c>
      <c r="AY12" s="68"/>
      <c r="AZ12" s="69"/>
      <c r="BA12" s="135" t="n">
        <v>45818</v>
      </c>
      <c r="BB12" s="71" t="n">
        <v>10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45822</v>
      </c>
      <c r="BG12" s="71" t="n">
        <v>0</v>
      </c>
      <c r="BH12" s="68"/>
      <c r="BI12" s="50"/>
      <c r="BJ12" s="75" t="n">
        <f aca="false">SUM(X12,AD12,AJ12,AP12,AV12,AX12:AY12,BH12,BB12,BG12)</f>
        <v>44.6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136" t="s">
        <v>503</v>
      </c>
      <c r="C13" s="114" t="s">
        <v>958</v>
      </c>
      <c r="D13" s="154" t="s">
        <v>502</v>
      </c>
      <c r="E13" s="62"/>
      <c r="F13" s="63" t="s">
        <v>696</v>
      </c>
      <c r="G13" s="63" t="s">
        <v>791</v>
      </c>
      <c r="H13" s="63" t="s">
        <v>791</v>
      </c>
      <c r="I13" s="63" t="s">
        <v>791</v>
      </c>
      <c r="J13" s="63" t="s">
        <v>791</v>
      </c>
      <c r="K13" s="63" t="s">
        <v>791</v>
      </c>
      <c r="L13" s="63" t="s">
        <v>791</v>
      </c>
      <c r="M13" s="63" t="s">
        <v>791</v>
      </c>
      <c r="N13" s="64" t="s">
        <v>791</v>
      </c>
      <c r="O13" s="64" t="s">
        <v>737</v>
      </c>
      <c r="P13" s="64"/>
      <c r="Q13" s="64"/>
      <c r="R13" s="64"/>
      <c r="S13" s="65"/>
      <c r="T13" s="155" t="s">
        <v>969</v>
      </c>
      <c r="U13" s="156" t="n">
        <v>45727</v>
      </c>
      <c r="V13" s="156" t="n">
        <v>45741</v>
      </c>
      <c r="W13" s="156" t="n">
        <v>45741</v>
      </c>
      <c r="X13" s="157" t="n">
        <v>9</v>
      </c>
      <c r="Y13" s="158"/>
      <c r="Z13" s="159" t="n">
        <v>15599</v>
      </c>
      <c r="AA13" s="162" t="n">
        <v>45754</v>
      </c>
      <c r="AB13" s="156" t="n">
        <v>45755</v>
      </c>
      <c r="AC13" s="156" t="n">
        <v>45755</v>
      </c>
      <c r="AD13" s="157" t="n">
        <v>9.6</v>
      </c>
      <c r="AE13" s="158"/>
      <c r="AF13" s="159" t="n">
        <v>1559</v>
      </c>
      <c r="AG13" s="156" t="n">
        <v>45783</v>
      </c>
      <c r="AH13" s="156" t="n">
        <v>45783</v>
      </c>
      <c r="AI13" s="156" t="n">
        <v>45783</v>
      </c>
      <c r="AJ13" s="157" t="n">
        <v>9</v>
      </c>
      <c r="AK13" s="158"/>
      <c r="AL13" s="159" t="n">
        <v>15596</v>
      </c>
      <c r="AM13" s="137" t="n">
        <v>45797</v>
      </c>
      <c r="AN13" s="137" t="n">
        <v>45797</v>
      </c>
      <c r="AO13" s="137" t="n">
        <v>45797</v>
      </c>
      <c r="AP13" s="157" t="n">
        <v>9.7</v>
      </c>
      <c r="AQ13" s="158"/>
      <c r="AR13" s="155" t="s">
        <v>970</v>
      </c>
      <c r="AS13" s="161" t="n">
        <v>45803</v>
      </c>
      <c r="AT13" s="161" t="n">
        <v>45803</v>
      </c>
      <c r="AU13" s="161" t="n">
        <v>45803</v>
      </c>
      <c r="AV13" s="68" t="n">
        <v>8.5</v>
      </c>
      <c r="AW13" s="69"/>
      <c r="AX13" s="68" t="n">
        <v>2</v>
      </c>
      <c r="AY13" s="68"/>
      <c r="AZ13" s="69"/>
      <c r="BA13" s="135" t="n">
        <v>45818</v>
      </c>
      <c r="BB13" s="71" t="n">
        <v>10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45822</v>
      </c>
      <c r="BG13" s="71" t="n">
        <v>27</v>
      </c>
      <c r="BH13" s="68"/>
      <c r="BI13" s="50"/>
      <c r="BJ13" s="75" t="n">
        <f aca="false">SUM(X13,AD13,AJ13,AP13,AV13,AX13:AY13,BH13,BB13,BG13)</f>
        <v>84.8</v>
      </c>
      <c r="BK13" s="73" t="str">
        <f aca="false">IF(BJ13&gt;90,"A",IF(BJ13&gt;83,"B",IF(BJ13&gt;74,"C",IF(BJ13&gt;67,"D",IF(BJ13&gt;=60,"E","FX")))))</f>
        <v>B</v>
      </c>
    </row>
    <row r="14" customFormat="false" ht="15.75" hidden="false" customHeight="false" outlineLevel="0" collapsed="false">
      <c r="A14" s="59" t="n">
        <f aca="false">A13+1</f>
        <v>12</v>
      </c>
      <c r="B14" s="136" t="s">
        <v>541</v>
      </c>
      <c r="C14" s="114" t="s">
        <v>958</v>
      </c>
      <c r="D14" s="154" t="s">
        <v>540</v>
      </c>
      <c r="E14" s="62"/>
      <c r="F14" s="63" t="s">
        <v>735</v>
      </c>
      <c r="G14" s="63" t="s">
        <v>791</v>
      </c>
      <c r="H14" s="63" t="s">
        <v>791</v>
      </c>
      <c r="I14" s="63" t="s">
        <v>791</v>
      </c>
      <c r="J14" s="63" t="s">
        <v>735</v>
      </c>
      <c r="K14" s="63" t="s">
        <v>791</v>
      </c>
      <c r="L14" s="63" t="s">
        <v>791</v>
      </c>
      <c r="M14" s="63" t="s">
        <v>791</v>
      </c>
      <c r="N14" s="64" t="s">
        <v>791</v>
      </c>
      <c r="O14" s="64" t="s">
        <v>791</v>
      </c>
      <c r="P14" s="64"/>
      <c r="Q14" s="64"/>
      <c r="R14" s="64"/>
      <c r="S14" s="65"/>
      <c r="T14" s="155" t="s">
        <v>971</v>
      </c>
      <c r="U14" s="156" t="n">
        <v>45713</v>
      </c>
      <c r="V14" s="156" t="n">
        <v>45727</v>
      </c>
      <c r="W14" s="156" t="n">
        <v>45727</v>
      </c>
      <c r="X14" s="157" t="n">
        <v>8.8</v>
      </c>
      <c r="Y14" s="158"/>
      <c r="Z14" s="159" t="n">
        <v>15702</v>
      </c>
      <c r="AA14" s="160" t="n">
        <v>45751</v>
      </c>
      <c r="AB14" s="156" t="n">
        <v>45769</v>
      </c>
      <c r="AC14" s="156" t="n">
        <v>45783</v>
      </c>
      <c r="AD14" s="157" t="n">
        <v>8</v>
      </c>
      <c r="AE14" s="158"/>
      <c r="AF14" s="159" t="n">
        <v>1570</v>
      </c>
      <c r="AG14" s="137" t="n">
        <v>45797</v>
      </c>
      <c r="AH14" s="161" t="n">
        <v>45803</v>
      </c>
      <c r="AI14" s="161" t="n">
        <v>45803</v>
      </c>
      <c r="AJ14" s="157" t="n">
        <v>8</v>
      </c>
      <c r="AK14" s="158"/>
      <c r="AL14" s="159" t="n">
        <v>157066</v>
      </c>
      <c r="AM14" s="137" t="n">
        <v>45811</v>
      </c>
      <c r="AN14" s="137" t="n">
        <v>45811</v>
      </c>
      <c r="AO14" s="137" t="n">
        <v>45811</v>
      </c>
      <c r="AP14" s="157" t="n">
        <v>8</v>
      </c>
      <c r="AQ14" s="158"/>
      <c r="AR14" s="159" t="s">
        <v>737</v>
      </c>
      <c r="AS14" s="159" t="s">
        <v>737</v>
      </c>
      <c r="AT14" s="159" t="s">
        <v>737</v>
      </c>
      <c r="AU14" s="159" t="s">
        <v>737</v>
      </c>
      <c r="AV14" s="159" t="n">
        <v>0</v>
      </c>
      <c r="AW14" s="69"/>
      <c r="AX14" s="68"/>
      <c r="AY14" s="68"/>
      <c r="AZ14" s="69"/>
      <c r="BA14" s="135" t="n">
        <v>45818</v>
      </c>
      <c r="BB14" s="71" t="n">
        <v>10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45822</v>
      </c>
      <c r="BG14" s="71" t="n">
        <v>25</v>
      </c>
      <c r="BH14" s="68"/>
      <c r="BI14" s="50"/>
      <c r="BJ14" s="75" t="n">
        <f aca="false">SUM(X14,AD14,AJ14,AP14,AV14,AX14:AY14,BH14,BB14,BG14)</f>
        <v>67.8</v>
      </c>
      <c r="BK14" s="73" t="str">
        <f aca="false">IF(BJ14&gt;90,"A",IF(BJ14&gt;83,"B",IF(BJ14&gt;74,"C",IF(BJ14&gt;67,"D",IF(BJ14&gt;=60,"E","FX")))))</f>
        <v>D</v>
      </c>
    </row>
    <row r="15" customFormat="false" ht="15.75" hidden="false" customHeight="false" outlineLevel="0" collapsed="false">
      <c r="A15" s="59" t="n">
        <f aca="false">A14+1</f>
        <v>13</v>
      </c>
      <c r="B15" s="136" t="s">
        <v>561</v>
      </c>
      <c r="C15" s="114" t="s">
        <v>958</v>
      </c>
      <c r="D15" s="163" t="s">
        <v>972</v>
      </c>
      <c r="E15" s="62"/>
      <c r="F15" s="63" t="s">
        <v>696</v>
      </c>
      <c r="G15" s="63" t="s">
        <v>791</v>
      </c>
      <c r="H15" s="63" t="s">
        <v>791</v>
      </c>
      <c r="I15" s="63" t="s">
        <v>791</v>
      </c>
      <c r="J15" s="63" t="s">
        <v>791</v>
      </c>
      <c r="K15" s="63" t="s">
        <v>791</v>
      </c>
      <c r="L15" s="63" t="s">
        <v>791</v>
      </c>
      <c r="M15" s="63" t="s">
        <v>791</v>
      </c>
      <c r="N15" s="64" t="s">
        <v>791</v>
      </c>
      <c r="O15" s="64" t="s">
        <v>791</v>
      </c>
      <c r="P15" s="64"/>
      <c r="Q15" s="64"/>
      <c r="R15" s="64"/>
      <c r="S15" s="65"/>
      <c r="T15" s="155" t="s">
        <v>973</v>
      </c>
      <c r="U15" s="156" t="n">
        <v>45699</v>
      </c>
      <c r="V15" s="156" t="n">
        <v>45713</v>
      </c>
      <c r="W15" s="156" t="n">
        <v>45727</v>
      </c>
      <c r="X15" s="157" t="n">
        <v>9</v>
      </c>
      <c r="Y15" s="158"/>
      <c r="Z15" s="159" t="n">
        <v>15601</v>
      </c>
      <c r="AA15" s="160" t="n">
        <v>45751</v>
      </c>
      <c r="AB15" s="156" t="n">
        <v>45755</v>
      </c>
      <c r="AC15" s="156" t="n">
        <v>45769</v>
      </c>
      <c r="AD15" s="157" t="n">
        <v>9</v>
      </c>
      <c r="AE15" s="158"/>
      <c r="AF15" s="159" t="n">
        <v>15602</v>
      </c>
      <c r="AG15" s="156" t="n">
        <v>45783</v>
      </c>
      <c r="AH15" s="137" t="n">
        <v>45797</v>
      </c>
      <c r="AI15" s="137" t="n">
        <v>45797</v>
      </c>
      <c r="AJ15" s="157" t="n">
        <v>9</v>
      </c>
      <c r="AK15" s="158"/>
      <c r="AL15" s="159" t="n">
        <v>15666</v>
      </c>
      <c r="AM15" s="161" t="n">
        <v>45803</v>
      </c>
      <c r="AN15" s="161" t="n">
        <v>45803</v>
      </c>
      <c r="AO15" s="161" t="n">
        <v>45803</v>
      </c>
      <c r="AP15" s="157" t="n">
        <v>7.9</v>
      </c>
      <c r="AQ15" s="158"/>
      <c r="AR15" s="159" t="s">
        <v>737</v>
      </c>
      <c r="AS15" s="159" t="s">
        <v>737</v>
      </c>
      <c r="AT15" s="159" t="s">
        <v>737</v>
      </c>
      <c r="AU15" s="159" t="s">
        <v>737</v>
      </c>
      <c r="AV15" s="159" t="n">
        <v>0</v>
      </c>
      <c r="AW15" s="69"/>
      <c r="AX15" s="68" t="n">
        <v>1</v>
      </c>
      <c r="AY15" s="68"/>
      <c r="AZ15" s="69"/>
      <c r="BA15" s="135" t="n">
        <v>45818</v>
      </c>
      <c r="BB15" s="71" t="n">
        <v>9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45822</v>
      </c>
      <c r="BG15" s="71" t="n">
        <v>29</v>
      </c>
      <c r="BH15" s="68" t="n">
        <v>1</v>
      </c>
      <c r="BI15" s="50"/>
      <c r="BJ15" s="75" t="n">
        <f aca="false">SUM(X15,AD15,AJ15,AP15,AV15,AX15:AY15,BH15,BB15,BG15)</f>
        <v>74.9</v>
      </c>
      <c r="BK15" s="73" t="str">
        <f aca="false">IF(BJ15&gt;90,"A",IF(BJ15&gt;83,"B",IF(BJ15&gt;74,"C",IF(BJ15&gt;67,"D",IF(BJ15&gt;=60,"E","FX")))))</f>
        <v>C</v>
      </c>
    </row>
    <row r="16" customFormat="false" ht="15.75" hidden="false" customHeight="false" outlineLevel="0" collapsed="false">
      <c r="A16" s="59" t="n">
        <f aca="false">A15+1</f>
        <v>14</v>
      </c>
      <c r="B16" s="136" t="s">
        <v>573</v>
      </c>
      <c r="C16" s="114" t="s">
        <v>958</v>
      </c>
      <c r="D16" s="154" t="s">
        <v>572</v>
      </c>
      <c r="E16" s="62"/>
      <c r="F16" s="63" t="s">
        <v>696</v>
      </c>
      <c r="G16" s="63" t="s">
        <v>791</v>
      </c>
      <c r="H16" s="63" t="s">
        <v>696</v>
      </c>
      <c r="I16" s="63" t="s">
        <v>791</v>
      </c>
      <c r="J16" s="63" t="s">
        <v>791</v>
      </c>
      <c r="K16" s="63" t="s">
        <v>791</v>
      </c>
      <c r="L16" s="63" t="s">
        <v>791</v>
      </c>
      <c r="M16" s="63" t="s">
        <v>791</v>
      </c>
      <c r="N16" s="64" t="s">
        <v>791</v>
      </c>
      <c r="O16" s="64" t="s">
        <v>737</v>
      </c>
      <c r="P16" s="64"/>
      <c r="Q16" s="64"/>
      <c r="R16" s="64"/>
      <c r="S16" s="65"/>
      <c r="T16" s="155" t="s">
        <v>974</v>
      </c>
      <c r="U16" s="156" t="n">
        <v>45699</v>
      </c>
      <c r="V16" s="156" t="n">
        <v>45713</v>
      </c>
      <c r="W16" s="156" t="n">
        <v>45713</v>
      </c>
      <c r="X16" s="157" t="n">
        <v>9.5</v>
      </c>
      <c r="Y16" s="158"/>
      <c r="Z16" s="159" t="n">
        <v>1561</v>
      </c>
      <c r="AA16" s="160" t="n">
        <v>45741</v>
      </c>
      <c r="AB16" s="156" t="n">
        <v>45755</v>
      </c>
      <c r="AC16" s="156" t="n">
        <v>45783</v>
      </c>
      <c r="AD16" s="157" t="n">
        <v>8.6</v>
      </c>
      <c r="AE16" s="158"/>
      <c r="AF16" s="159" t="n">
        <v>15615</v>
      </c>
      <c r="AG16" s="161" t="n">
        <v>45783</v>
      </c>
      <c r="AH16" s="137" t="n">
        <v>45797</v>
      </c>
      <c r="AI16" s="137" t="n">
        <v>45797</v>
      </c>
      <c r="AJ16" s="157" t="n">
        <v>7</v>
      </c>
      <c r="AK16" s="158"/>
      <c r="AL16" s="159" t="n">
        <v>15616</v>
      </c>
      <c r="AM16" s="161" t="n">
        <v>45803</v>
      </c>
      <c r="AN16" s="161" t="n">
        <v>45803</v>
      </c>
      <c r="AO16" s="161" t="n">
        <v>45803</v>
      </c>
      <c r="AP16" s="157" t="n">
        <v>8</v>
      </c>
      <c r="AQ16" s="158"/>
      <c r="AR16" s="159" t="s">
        <v>737</v>
      </c>
      <c r="AS16" s="159" t="s">
        <v>737</v>
      </c>
      <c r="AT16" s="159" t="s">
        <v>737</v>
      </c>
      <c r="AU16" s="159" t="s">
        <v>737</v>
      </c>
      <c r="AV16" s="159" t="n">
        <v>0</v>
      </c>
      <c r="AW16" s="69"/>
      <c r="AX16" s="68" t="n">
        <v>0</v>
      </c>
      <c r="AY16" s="68"/>
      <c r="AZ16" s="69"/>
      <c r="BA16" s="135" t="n">
        <v>45818</v>
      </c>
      <c r="BB16" s="71" t="n">
        <v>10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45822</v>
      </c>
      <c r="BG16" s="71" t="n">
        <v>18</v>
      </c>
      <c r="BH16" s="68"/>
      <c r="BI16" s="50"/>
      <c r="BJ16" s="75" t="n">
        <f aca="false">SUM(X16,AD16,AJ16,AP16,AV16,AX16:AY16,BH16,BB16,BG16)</f>
        <v>61.1</v>
      </c>
      <c r="BK16" s="73" t="str">
        <f aca="false">IF(BJ16&gt;90,"A",IF(BJ16&gt;83,"B",IF(BJ16&gt;74,"C",IF(BJ16&gt;67,"D",IF(BJ16&gt;=60,"E","FX")))))</f>
        <v>E</v>
      </c>
    </row>
    <row r="17" customFormat="false" ht="15.75" hidden="false" customHeight="false" outlineLevel="0" collapsed="false">
      <c r="A17" s="59" t="n">
        <f aca="false">A16+1</f>
        <v>15</v>
      </c>
      <c r="B17" s="136" t="s">
        <v>579</v>
      </c>
      <c r="C17" s="114" t="s">
        <v>958</v>
      </c>
      <c r="D17" s="154" t="s">
        <v>578</v>
      </c>
      <c r="E17" s="62"/>
      <c r="F17" s="63" t="s">
        <v>696</v>
      </c>
      <c r="G17" s="63" t="s">
        <v>791</v>
      </c>
      <c r="H17" s="63" t="s">
        <v>791</v>
      </c>
      <c r="I17" s="63" t="s">
        <v>791</v>
      </c>
      <c r="J17" s="63" t="s">
        <v>791</v>
      </c>
      <c r="K17" s="63" t="s">
        <v>791</v>
      </c>
      <c r="L17" s="63" t="s">
        <v>791</v>
      </c>
      <c r="M17" s="63" t="s">
        <v>791</v>
      </c>
      <c r="N17" s="64" t="s">
        <v>791</v>
      </c>
      <c r="O17" s="64" t="s">
        <v>791</v>
      </c>
      <c r="P17" s="64"/>
      <c r="Q17" s="64"/>
      <c r="R17" s="64"/>
      <c r="S17" s="65"/>
      <c r="T17" s="155" t="s">
        <v>975</v>
      </c>
      <c r="U17" s="156" t="n">
        <v>45727</v>
      </c>
      <c r="V17" s="156" t="n">
        <v>45741</v>
      </c>
      <c r="W17" s="156" t="n">
        <v>45755</v>
      </c>
      <c r="X17" s="157" t="n">
        <v>7.6</v>
      </c>
      <c r="Y17" s="158"/>
      <c r="Z17" s="159" t="n">
        <v>15622</v>
      </c>
      <c r="AA17" s="156" t="n">
        <v>45769</v>
      </c>
      <c r="AB17" s="137" t="n">
        <v>45797</v>
      </c>
      <c r="AC17" s="137" t="n">
        <v>45797</v>
      </c>
      <c r="AD17" s="157" t="n">
        <v>9</v>
      </c>
      <c r="AE17" s="158"/>
      <c r="AF17" s="159" t="n">
        <v>15625</v>
      </c>
      <c r="AG17" s="137" t="n">
        <v>45797</v>
      </c>
      <c r="AH17" s="161" t="n">
        <v>45803</v>
      </c>
      <c r="AI17" s="161" t="n">
        <v>45803</v>
      </c>
      <c r="AJ17" s="157" t="n">
        <v>6</v>
      </c>
      <c r="AK17" s="158"/>
      <c r="AL17" s="159" t="n">
        <v>156266</v>
      </c>
      <c r="AM17" s="137" t="n">
        <v>45811</v>
      </c>
      <c r="AN17" s="137" t="n">
        <v>45811</v>
      </c>
      <c r="AO17" s="137" t="n">
        <v>45811</v>
      </c>
      <c r="AP17" s="157" t="n">
        <v>8</v>
      </c>
      <c r="AQ17" s="158"/>
      <c r="AR17" s="159" t="s">
        <v>737</v>
      </c>
      <c r="AS17" s="159" t="s">
        <v>737</v>
      </c>
      <c r="AT17" s="159" t="s">
        <v>737</v>
      </c>
      <c r="AU17" s="159" t="s">
        <v>737</v>
      </c>
      <c r="AV17" s="159" t="n">
        <v>0</v>
      </c>
      <c r="AW17" s="69"/>
      <c r="AX17" s="68"/>
      <c r="AY17" s="68" t="n">
        <v>0</v>
      </c>
      <c r="AZ17" s="69"/>
      <c r="BA17" s="135" t="n">
        <v>45818</v>
      </c>
      <c r="BB17" s="71" t="n">
        <v>10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45822</v>
      </c>
      <c r="BG17" s="71" t="n">
        <v>0</v>
      </c>
      <c r="BH17" s="68"/>
      <c r="BI17" s="50"/>
      <c r="BJ17" s="75" t="n">
        <f aca="false">SUM(X17,AD17,AJ17,AP17,AV17,AX17:AY17,BH17,BB17,BG17)</f>
        <v>40.6</v>
      </c>
      <c r="BK17" s="73" t="str">
        <f aca="false">IF(BJ17&gt;90,"A",IF(BJ17&gt;83,"B",IF(BJ17&gt;74,"C",IF(BJ17&gt;67,"D",IF(BJ17&gt;=60,"E","FX")))))</f>
        <v>FX</v>
      </c>
    </row>
    <row r="18" customFormat="false" ht="15.75" hidden="false" customHeight="false" outlineLevel="0" collapsed="false">
      <c r="A18" s="59" t="n">
        <f aca="false">A17+1</f>
        <v>16</v>
      </c>
      <c r="B18" s="136" t="s">
        <v>601</v>
      </c>
      <c r="C18" s="114" t="s">
        <v>958</v>
      </c>
      <c r="D18" s="154" t="s">
        <v>600</v>
      </c>
      <c r="E18" s="62"/>
      <c r="F18" s="63" t="s">
        <v>696</v>
      </c>
      <c r="G18" s="63" t="s">
        <v>791</v>
      </c>
      <c r="H18" s="63" t="s">
        <v>791</v>
      </c>
      <c r="I18" s="63" t="s">
        <v>791</v>
      </c>
      <c r="J18" s="63" t="s">
        <v>791</v>
      </c>
      <c r="K18" s="63" t="s">
        <v>791</v>
      </c>
      <c r="L18" s="63" t="s">
        <v>791</v>
      </c>
      <c r="M18" s="63" t="s">
        <v>791</v>
      </c>
      <c r="N18" s="64" t="s">
        <v>737</v>
      </c>
      <c r="O18" s="64" t="s">
        <v>737</v>
      </c>
      <c r="P18" s="64"/>
      <c r="Q18" s="64"/>
      <c r="R18" s="64"/>
      <c r="S18" s="65"/>
      <c r="T18" s="155" t="s">
        <v>976</v>
      </c>
      <c r="U18" s="156" t="n">
        <v>45699</v>
      </c>
      <c r="V18" s="156" t="n">
        <v>45713</v>
      </c>
      <c r="W18" s="156" t="n">
        <v>45727</v>
      </c>
      <c r="X18" s="157" t="n">
        <v>8.5</v>
      </c>
      <c r="Y18" s="158"/>
      <c r="Z18" s="159" t="n">
        <v>15632</v>
      </c>
      <c r="AA18" s="160" t="n">
        <v>45741</v>
      </c>
      <c r="AB18" s="156" t="n">
        <v>45741</v>
      </c>
      <c r="AC18" s="156" t="n">
        <v>45741</v>
      </c>
      <c r="AD18" s="157" t="n">
        <v>9</v>
      </c>
      <c r="AE18" s="158"/>
      <c r="AF18" s="159" t="n">
        <v>15633</v>
      </c>
      <c r="AG18" s="156" t="n">
        <v>45755</v>
      </c>
      <c r="AH18" s="156" t="n">
        <v>45769</v>
      </c>
      <c r="AI18" s="156" t="n">
        <v>45769</v>
      </c>
      <c r="AJ18" s="157" t="n">
        <v>8.5</v>
      </c>
      <c r="AK18" s="158"/>
      <c r="AL18" s="159" t="n">
        <v>156366</v>
      </c>
      <c r="AM18" s="156" t="n">
        <v>45783</v>
      </c>
      <c r="AN18" s="156" t="n">
        <v>45783</v>
      </c>
      <c r="AO18" s="156" t="n">
        <v>45783</v>
      </c>
      <c r="AP18" s="157" t="n">
        <v>10</v>
      </c>
      <c r="AQ18" s="158"/>
      <c r="AR18" s="159" t="n">
        <v>15637</v>
      </c>
      <c r="AS18" s="137" t="n">
        <v>45797</v>
      </c>
      <c r="AT18" s="137" t="n">
        <v>45797</v>
      </c>
      <c r="AU18" s="137" t="n">
        <v>45797</v>
      </c>
      <c r="AV18" s="68" t="n">
        <v>9.9</v>
      </c>
      <c r="AW18" s="69"/>
      <c r="AX18" s="68" t="n">
        <v>1</v>
      </c>
      <c r="AY18" s="68" t="n">
        <v>2</v>
      </c>
      <c r="AZ18" s="69"/>
      <c r="BA18" s="135" t="n">
        <v>45818</v>
      </c>
      <c r="BB18" s="71" t="n">
        <v>10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45822</v>
      </c>
      <c r="BG18" s="71" t="n">
        <v>27</v>
      </c>
      <c r="BH18" s="68"/>
      <c r="BI18" s="50"/>
      <c r="BJ18" s="75" t="n">
        <f aca="false">SUM(X18,AD18,AJ18,AP18,AV18,AX18:AY18,BH18,BB18,BG18)</f>
        <v>85.9</v>
      </c>
      <c r="BK18" s="73" t="str">
        <f aca="false">IF(BJ18&gt;90,"A",IF(BJ18&gt;83,"B",IF(BJ18&gt;74,"C",IF(BJ18&gt;67,"D",IF(BJ18&gt;=60,"E","FX")))))</f>
        <v>B</v>
      </c>
    </row>
    <row r="19" customFormat="false" ht="15.75" hidden="false" customHeight="false" outlineLevel="0" collapsed="false">
      <c r="A19" s="59" t="n">
        <f aca="false">A18+1</f>
        <v>17</v>
      </c>
      <c r="B19" s="136" t="s">
        <v>621</v>
      </c>
      <c r="C19" s="114" t="s">
        <v>958</v>
      </c>
      <c r="D19" s="154" t="s">
        <v>620</v>
      </c>
      <c r="E19" s="62"/>
      <c r="F19" s="63" t="s">
        <v>696</v>
      </c>
      <c r="G19" s="63" t="s">
        <v>791</v>
      </c>
      <c r="H19" s="63" t="s">
        <v>791</v>
      </c>
      <c r="I19" s="63" t="s">
        <v>791</v>
      </c>
      <c r="J19" s="63" t="s">
        <v>791</v>
      </c>
      <c r="K19" s="63" t="s">
        <v>791</v>
      </c>
      <c r="L19" s="63" t="s">
        <v>791</v>
      </c>
      <c r="M19" s="63" t="s">
        <v>791</v>
      </c>
      <c r="N19" s="64" t="s">
        <v>791</v>
      </c>
      <c r="O19" s="64" t="s">
        <v>737</v>
      </c>
      <c r="P19" s="64"/>
      <c r="Q19" s="64"/>
      <c r="R19" s="64"/>
      <c r="S19" s="65"/>
      <c r="T19" s="155" t="s">
        <v>977</v>
      </c>
      <c r="U19" s="156" t="n">
        <v>45726</v>
      </c>
      <c r="V19" s="156" t="n">
        <v>45741</v>
      </c>
      <c r="W19" s="156" t="n">
        <v>45741</v>
      </c>
      <c r="X19" s="157" t="n">
        <v>8.5</v>
      </c>
      <c r="Y19" s="158"/>
      <c r="Z19" s="159" t="n">
        <v>15644</v>
      </c>
      <c r="AA19" s="162" t="n">
        <v>45754</v>
      </c>
      <c r="AB19" s="156" t="n">
        <v>45755</v>
      </c>
      <c r="AC19" s="156" t="n">
        <v>45769</v>
      </c>
      <c r="AD19" s="157" t="n">
        <v>9</v>
      </c>
      <c r="AE19" s="158"/>
      <c r="AF19" s="159" t="n">
        <v>1564</v>
      </c>
      <c r="AG19" s="156" t="n">
        <v>45783</v>
      </c>
      <c r="AH19" s="156" t="n">
        <v>45783</v>
      </c>
      <c r="AI19" s="156" t="n">
        <v>45783</v>
      </c>
      <c r="AJ19" s="157" t="n">
        <v>8</v>
      </c>
      <c r="AK19" s="158"/>
      <c r="AL19" s="159" t="n">
        <v>1566</v>
      </c>
      <c r="AM19" s="137" t="n">
        <v>45797</v>
      </c>
      <c r="AN19" s="137" t="n">
        <v>45797</v>
      </c>
      <c r="AO19" s="137" t="n">
        <v>45797</v>
      </c>
      <c r="AP19" s="157" t="n">
        <v>9</v>
      </c>
      <c r="AQ19" s="158"/>
      <c r="AR19" s="159" t="n">
        <v>1566</v>
      </c>
      <c r="AS19" s="161" t="n">
        <v>45803</v>
      </c>
      <c r="AT19" s="161" t="n">
        <v>45803</v>
      </c>
      <c r="AU19" s="161" t="n">
        <v>45803</v>
      </c>
      <c r="AV19" s="68" t="n">
        <v>8</v>
      </c>
      <c r="AW19" s="69"/>
      <c r="AX19" s="68" t="n">
        <v>0</v>
      </c>
      <c r="AY19" s="68" t="n">
        <v>1</v>
      </c>
      <c r="AZ19" s="69"/>
      <c r="BA19" s="135" t="n">
        <v>45818</v>
      </c>
      <c r="BB19" s="71" t="n">
        <v>8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45822</v>
      </c>
      <c r="BG19" s="71" t="n">
        <v>18</v>
      </c>
      <c r="BH19" s="68"/>
      <c r="BI19" s="50"/>
      <c r="BJ19" s="75" t="n">
        <f aca="false">SUM(X19,AD19,AJ19,AP19,AV19,AX19:AY19,BH19,BB19,BG19)</f>
        <v>69.5</v>
      </c>
      <c r="BK19" s="73" t="str">
        <f aca="false">IF(BJ19&gt;90,"A",IF(BJ19&gt;83,"B",IF(BJ19&gt;74,"C",IF(BJ19&gt;67,"D",IF(BJ19&gt;=60,"E","FX")))))</f>
        <v>D</v>
      </c>
    </row>
    <row r="20" customFormat="false" ht="15.75" hidden="false" customHeight="false" outlineLevel="0" collapsed="false">
      <c r="A20" s="59" t="n">
        <f aca="false">A19+1</f>
        <v>18</v>
      </c>
      <c r="B20" s="136" t="s">
        <v>635</v>
      </c>
      <c r="C20" s="114" t="s">
        <v>958</v>
      </c>
      <c r="D20" s="154" t="s">
        <v>634</v>
      </c>
      <c r="E20" s="62"/>
      <c r="F20" s="63" t="s">
        <v>696</v>
      </c>
      <c r="G20" s="63" t="s">
        <v>791</v>
      </c>
      <c r="H20" s="63" t="s">
        <v>791</v>
      </c>
      <c r="I20" s="63" t="s">
        <v>791</v>
      </c>
      <c r="J20" s="63" t="s">
        <v>791</v>
      </c>
      <c r="K20" s="63" t="s">
        <v>791</v>
      </c>
      <c r="L20" s="63" t="s">
        <v>791</v>
      </c>
      <c r="M20" s="63" t="s">
        <v>791</v>
      </c>
      <c r="N20" s="64" t="s">
        <v>791</v>
      </c>
      <c r="O20" s="64" t="s">
        <v>791</v>
      </c>
      <c r="P20" s="64"/>
      <c r="Q20" s="64"/>
      <c r="R20" s="64"/>
      <c r="S20" s="65"/>
      <c r="T20" s="155" t="s">
        <v>978</v>
      </c>
      <c r="U20" s="156" t="n">
        <v>45713</v>
      </c>
      <c r="V20" s="156" t="n">
        <v>45727</v>
      </c>
      <c r="W20" s="156" t="n">
        <v>45755</v>
      </c>
      <c r="X20" s="157" t="n">
        <v>7.6</v>
      </c>
      <c r="Y20" s="158"/>
      <c r="Z20" s="159" t="n">
        <v>15654</v>
      </c>
      <c r="AA20" s="160" t="n">
        <v>45755</v>
      </c>
      <c r="AB20" s="156" t="n">
        <v>45769</v>
      </c>
      <c r="AC20" s="156" t="n">
        <v>45783</v>
      </c>
      <c r="AD20" s="157" t="n">
        <v>9</v>
      </c>
      <c r="AE20" s="158"/>
      <c r="AF20" s="159" t="n">
        <v>1565</v>
      </c>
      <c r="AG20" s="137" t="n">
        <v>45797</v>
      </c>
      <c r="AH20" s="161" t="n">
        <v>45803</v>
      </c>
      <c r="AI20" s="161" t="n">
        <v>45803</v>
      </c>
      <c r="AJ20" s="157" t="n">
        <v>8</v>
      </c>
      <c r="AK20" s="158"/>
      <c r="AL20" s="159" t="n">
        <v>15666</v>
      </c>
      <c r="AM20" s="137" t="n">
        <v>45811</v>
      </c>
      <c r="AN20" s="137" t="n">
        <v>45811</v>
      </c>
      <c r="AO20" s="137" t="n">
        <v>45811</v>
      </c>
      <c r="AP20" s="157" t="n">
        <v>7.5</v>
      </c>
      <c r="AQ20" s="158"/>
      <c r="AR20" s="159" t="s">
        <v>737</v>
      </c>
      <c r="AS20" s="159" t="s">
        <v>737</v>
      </c>
      <c r="AT20" s="159" t="s">
        <v>737</v>
      </c>
      <c r="AU20" s="159" t="s">
        <v>737</v>
      </c>
      <c r="AV20" s="159" t="n">
        <v>0</v>
      </c>
      <c r="AW20" s="69"/>
      <c r="AX20" s="68"/>
      <c r="AY20" s="68"/>
      <c r="AZ20" s="69"/>
      <c r="BA20" s="135" t="n">
        <v>45818</v>
      </c>
      <c r="BB20" s="71" t="n">
        <v>7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45822</v>
      </c>
      <c r="BG20" s="71" t="n">
        <v>29</v>
      </c>
      <c r="BH20" s="68"/>
      <c r="BI20" s="50"/>
      <c r="BJ20" s="75" t="n">
        <f aca="false">SUM(X20,AD20,AJ20,AP20,AV20,AX20:AY20,BH20,BB20,BG20)</f>
        <v>68.1</v>
      </c>
      <c r="BK20" s="73" t="str">
        <f aca="false">IF(BJ20&gt;90,"A",IF(BJ20&gt;83,"B",IF(BJ20&gt;74,"C",IF(BJ20&gt;67,"D",IF(BJ20&gt;=60,"E","FX")))))</f>
        <v>D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70"/>
      <c r="V23" s="70"/>
      <c r="W23" s="70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3.75" hidden="false" customHeight="true" outlineLevel="0" collapsed="false">
      <c r="A25" s="76"/>
      <c r="B25" s="76"/>
      <c r="C25" s="76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9"/>
      <c r="AN25" s="65"/>
      <c r="AO25" s="65"/>
      <c r="AP25" s="65"/>
      <c r="AQ25" s="65"/>
      <c r="AR25" s="65"/>
      <c r="AS25" s="65"/>
      <c r="AT25" s="65"/>
      <c r="AU25" s="65"/>
      <c r="AV25" s="65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80"/>
      <c r="BJ25" s="72"/>
      <c r="BK25" s="72"/>
    </row>
    <row r="26" customFormat="false" ht="15.75" hidden="false" customHeight="false" outlineLevel="0" collapsed="false">
      <c r="A26" s="81"/>
      <c r="B26" s="81" t="s">
        <v>678</v>
      </c>
      <c r="C26" s="81"/>
      <c r="D26" s="81"/>
      <c r="E26" s="69"/>
      <c r="F26" s="70" t="n">
        <f aca="false">COUNTIF(F$3:F$21, "~**")</f>
        <v>0</v>
      </c>
      <c r="G26" s="70" t="n">
        <f aca="false">COUNTIF(G$3:G$21, "~**")</f>
        <v>0</v>
      </c>
      <c r="H26" s="70" t="n">
        <f aca="false">COUNTIF(H$3:H$21, "~**")</f>
        <v>0</v>
      </c>
      <c r="I26" s="70" t="n">
        <f aca="false">COUNTIF(I$3:I$21, "~**")</f>
        <v>0</v>
      </c>
      <c r="J26" s="70" t="n">
        <f aca="false">COUNTIF(J$3:J$21, "~**")</f>
        <v>0</v>
      </c>
      <c r="K26" s="70" t="n">
        <f aca="false">COUNTIF(K$3:K$21, "~**")</f>
        <v>0</v>
      </c>
      <c r="L26" s="70" t="n">
        <f aca="false">COUNTIF(L$3:L$21, "~**")</f>
        <v>0</v>
      </c>
      <c r="M26" s="70" t="n">
        <f aca="false">COUNTIF(M$3:M$21, "~**")</f>
        <v>0</v>
      </c>
      <c r="N26" s="70" t="n">
        <f aca="false">COUNTIF(N$3:N$21, "~**")</f>
        <v>0</v>
      </c>
      <c r="O26" s="70"/>
      <c r="P26" s="70"/>
      <c r="Q26" s="70" t="n">
        <f aca="false">COUNTIF(Q$3:Q$21, "~**")</f>
        <v>0</v>
      </c>
      <c r="R26" s="70" t="n">
        <f aca="false">COUNTIF(R$3:R$21, "~**")</f>
        <v>0</v>
      </c>
      <c r="S26" s="82"/>
      <c r="T26" s="83" t="s">
        <v>679</v>
      </c>
      <c r="U26" s="84"/>
      <c r="V26" s="84"/>
      <c r="W26" s="84"/>
      <c r="X26" s="85" t="n">
        <v>44475</v>
      </c>
      <c r="Y26" s="69"/>
      <c r="Z26" s="70"/>
      <c r="AA26" s="85"/>
      <c r="AB26" s="85"/>
      <c r="AC26" s="85"/>
      <c r="AD26" s="85" t="n">
        <v>44475</v>
      </c>
      <c r="AE26" s="69"/>
      <c r="AF26" s="70"/>
      <c r="AG26" s="85"/>
      <c r="AH26" s="85"/>
      <c r="AI26" s="85"/>
      <c r="AJ26" s="85" t="n">
        <v>44475</v>
      </c>
      <c r="AK26" s="69"/>
      <c r="AL26" s="70"/>
      <c r="AM26" s="85"/>
      <c r="AN26" s="85"/>
      <c r="AO26" s="85"/>
      <c r="AP26" s="85" t="n">
        <v>45205</v>
      </c>
      <c r="AQ26" s="69"/>
      <c r="AR26" s="70"/>
      <c r="AS26" s="70"/>
      <c r="AT26" s="70"/>
      <c r="AU26" s="70"/>
      <c r="AV26" s="70" t="s">
        <v>680</v>
      </c>
      <c r="AW26" s="86"/>
      <c r="AX26" s="87" t="s">
        <v>681</v>
      </c>
      <c r="AY26" s="87" t="s">
        <v>681</v>
      </c>
      <c r="AZ26" s="86"/>
      <c r="BA26" s="87"/>
      <c r="BB26" s="85" t="n">
        <v>44840</v>
      </c>
      <c r="BC26" s="86"/>
      <c r="BD26" s="87"/>
      <c r="BE26" s="69"/>
      <c r="BF26" s="70"/>
      <c r="BG26" s="87" t="s">
        <v>682</v>
      </c>
      <c r="BH26" s="87" t="s">
        <v>683</v>
      </c>
      <c r="BI26" s="80"/>
      <c r="BJ26" s="74"/>
      <c r="BK26" s="74"/>
    </row>
    <row r="27" customFormat="false" ht="15.75" hidden="false" customHeight="false" outlineLevel="0" collapsed="false">
      <c r="A27" s="81"/>
      <c r="B27" s="81" t="s">
        <v>684</v>
      </c>
      <c r="C27" s="81"/>
      <c r="D27" s="81"/>
      <c r="E27" s="69"/>
      <c r="F27" s="70" t="n">
        <f aca="false">COUNTIF(F$3:F$21, "~**")+COUNTIF(F$3:F$21, "Y")</f>
        <v>16</v>
      </c>
      <c r="G27" s="70" t="n">
        <f aca="false">COUNTIF(G$3:G$21, "~**")+COUNTIF(G$3:G$21, "Y")</f>
        <v>0</v>
      </c>
      <c r="H27" s="70" t="n">
        <f aca="false">COUNTIF(H$3:H$21, "~**")+COUNTIF(H$3:H$21, "Y")</f>
        <v>1</v>
      </c>
      <c r="I27" s="70" t="n">
        <f aca="false">COUNTIF(I$3:I$21, "~**")+COUNTIF(I$3:I$21, "Y")</f>
        <v>0</v>
      </c>
      <c r="J27" s="70" t="n">
        <f aca="false">COUNTIF(J$3:J$21, "~**")+COUNTIF(J$3:J$21, "Y")</f>
        <v>0</v>
      </c>
      <c r="K27" s="70" t="n">
        <f aca="false">COUNTIF(K$3:K$21, "~**")+COUNTIF(K$3:K$21, "Y")</f>
        <v>0</v>
      </c>
      <c r="L27" s="70" t="n">
        <f aca="false">COUNTIF(L$3:L$21, "~**")+COUNTIF(L$3:L$21, "Y")</f>
        <v>1</v>
      </c>
      <c r="M27" s="70" t="n">
        <f aca="false">COUNTIF(M$3:M$21, "~**")+COUNTIF(M$3:M$21, "Y")</f>
        <v>1</v>
      </c>
      <c r="N27" s="70" t="n">
        <f aca="false">COUNTIF(N$3:N$21, "~**")+COUNTIF(N$3:N$21, "Y")</f>
        <v>0</v>
      </c>
      <c r="O27" s="70"/>
      <c r="P27" s="70"/>
      <c r="Q27" s="70" t="n">
        <f aca="false">COUNTIF(Q$3:Q$21, "~**")+COUNTIF(Q$3:Q$21, "Y")</f>
        <v>0</v>
      </c>
      <c r="R27" s="70" t="n">
        <f aca="false">COUNTIF(R$3:R$21, "~**")+COUNTIF(R$3:R$21, "Y")</f>
        <v>0</v>
      </c>
      <c r="S27" s="82"/>
      <c r="T27" s="83"/>
      <c r="U27" s="44"/>
      <c r="V27" s="44"/>
      <c r="W27" s="87"/>
      <c r="X27" s="88"/>
      <c r="Y27" s="78"/>
      <c r="Z27" s="88"/>
      <c r="AA27" s="88"/>
      <c r="AB27" s="88"/>
      <c r="AC27" s="87"/>
      <c r="AD27" s="87"/>
      <c r="AE27" s="86"/>
      <c r="AF27" s="87"/>
      <c r="AG27" s="89"/>
      <c r="AH27" s="87"/>
      <c r="AI27" s="87"/>
      <c r="AJ27" s="87"/>
      <c r="AK27" s="86"/>
      <c r="AL27" s="87"/>
      <c r="AM27" s="44"/>
      <c r="AN27" s="44"/>
      <c r="AO27" s="44"/>
      <c r="AP27" s="44"/>
      <c r="AQ27" s="77"/>
      <c r="AR27" s="44"/>
      <c r="AS27" s="44"/>
      <c r="AT27" s="44"/>
      <c r="AU27" s="70"/>
      <c r="AV27" s="90"/>
      <c r="AW27" s="72"/>
      <c r="AX27" s="74"/>
      <c r="AY27" s="74"/>
      <c r="AZ27" s="72"/>
      <c r="BA27" s="74"/>
      <c r="BB27" s="74"/>
      <c r="BC27" s="72"/>
      <c r="BD27" s="74"/>
      <c r="BE27" s="72"/>
      <c r="BF27" s="74"/>
      <c r="BG27" s="74"/>
      <c r="BH27" s="74"/>
      <c r="BI27" s="80"/>
      <c r="BJ27" s="74"/>
      <c r="BK27" s="74"/>
    </row>
    <row r="28" customFormat="false" ht="15.75" hidden="false" customHeight="false" outlineLevel="0" collapsed="false">
      <c r="A28" s="81"/>
      <c r="B28" s="81"/>
      <c r="C28" s="81"/>
      <c r="D28" s="81"/>
      <c r="E28" s="77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77"/>
      <c r="T28" s="44"/>
      <c r="U28" s="44"/>
      <c r="V28" s="44"/>
      <c r="W28" s="90"/>
      <c r="X28" s="44"/>
      <c r="Y28" s="77"/>
      <c r="Z28" s="44"/>
      <c r="AA28" s="44"/>
      <c r="AB28" s="44"/>
      <c r="AC28" s="90"/>
      <c r="AD28" s="90"/>
      <c r="AE28" s="91"/>
      <c r="AF28" s="90"/>
      <c r="AG28" s="44"/>
      <c r="AH28" s="90"/>
      <c r="AI28" s="44"/>
      <c r="AJ28" s="44"/>
      <c r="AK28" s="77"/>
      <c r="AL28" s="44"/>
      <c r="AM28" s="44"/>
      <c r="AN28" s="44"/>
      <c r="AO28" s="44"/>
      <c r="AP28" s="44"/>
      <c r="AQ28" s="77"/>
      <c r="AR28" s="44"/>
      <c r="AS28" s="44"/>
      <c r="AT28" s="44"/>
      <c r="AU28" s="9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 t="s">
        <v>685</v>
      </c>
      <c r="C29" s="81"/>
      <c r="D29" s="81"/>
      <c r="E29" s="77"/>
      <c r="F29" s="44" t="s">
        <v>686</v>
      </c>
      <c r="G29" s="44"/>
      <c r="H29" s="44"/>
      <c r="I29" s="44"/>
      <c r="J29" s="44"/>
      <c r="K29" s="44"/>
      <c r="L29" s="44"/>
      <c r="M29" s="44"/>
      <c r="N29" s="44"/>
      <c r="S29" s="76"/>
      <c r="T29" s="81" t="s">
        <v>687</v>
      </c>
      <c r="U29" s="44" t="n">
        <v>0</v>
      </c>
      <c r="V29" s="44" t="n">
        <f aca="false">COUNT(V3:V24)</f>
        <v>17</v>
      </c>
      <c r="W29" s="44" t="n">
        <f aca="false">COUNT(W3:W24)</f>
        <v>17</v>
      </c>
      <c r="X29" s="44" t="n">
        <f aca="false">COUNT(X3:X24)</f>
        <v>17</v>
      </c>
      <c r="Y29" s="77"/>
      <c r="Z29" s="44"/>
      <c r="AA29" s="44" t="n">
        <f aca="false">COUNT(AA3:AA24)</f>
        <v>17</v>
      </c>
      <c r="AB29" s="44" t="n">
        <f aca="false">COUNT(AB3:AB24)</f>
        <v>17</v>
      </c>
      <c r="AC29" s="44" t="n">
        <f aca="false">COUNT(AC3:AC24)</f>
        <v>17</v>
      </c>
      <c r="AD29" s="44" t="n">
        <f aca="false">COUNT(AD3:AD24)</f>
        <v>17</v>
      </c>
      <c r="AE29" s="77"/>
      <c r="AF29" s="44"/>
      <c r="AG29" s="44" t="n">
        <f aca="false">COUNT(AG3:AG24)</f>
        <v>17</v>
      </c>
      <c r="AH29" s="44" t="n">
        <f aca="false">COUNT(AH3:AH24)</f>
        <v>17</v>
      </c>
      <c r="AI29" s="44" t="n">
        <f aca="false">COUNT(AI3:AI24)</f>
        <v>17</v>
      </c>
      <c r="AJ29" s="44" t="n">
        <f aca="false">COUNT(AJ3:AJ24)</f>
        <v>17</v>
      </c>
      <c r="AK29" s="77"/>
      <c r="AL29" s="44"/>
      <c r="AM29" s="44" t="n">
        <f aca="false">COUNT(AM3:AM24)</f>
        <v>17</v>
      </c>
      <c r="AN29" s="44" t="n">
        <f aca="false">COUNT(AN3:AN24)</f>
        <v>17</v>
      </c>
      <c r="AO29" s="44" t="n">
        <f aca="false">COUNT(AO3:AO24)</f>
        <v>17</v>
      </c>
      <c r="AP29" s="44" t="n">
        <f aca="false">COUNT(AP3:AP24)</f>
        <v>17</v>
      </c>
      <c r="AQ29" s="77"/>
      <c r="AR29" s="44"/>
      <c r="AS29" s="44" t="n">
        <f aca="false">COUNT(AS3:AS24)</f>
        <v>6</v>
      </c>
      <c r="AT29" s="44" t="n">
        <f aca="false">COUNT(AT3:AT24)</f>
        <v>6</v>
      </c>
      <c r="AU29" s="44" t="n">
        <f aca="false">COUNT(AU3:AU24)</f>
        <v>6</v>
      </c>
      <c r="AV29" s="44" t="n">
        <f aca="false">COUNT(AV3:AV24)</f>
        <v>18</v>
      </c>
      <c r="AW29" s="77"/>
      <c r="AX29" s="44" t="n">
        <f aca="false">COUNT(AX3:AX24)</f>
        <v>13</v>
      </c>
      <c r="AY29" s="44" t="n">
        <f aca="false">COUNT(AY3:AY24)</f>
        <v>9</v>
      </c>
      <c r="AZ29" s="77"/>
      <c r="BA29" s="44"/>
      <c r="BB29" s="44" t="n">
        <f aca="false">COUNTIF(BB3:BB24, "&gt;=6")</f>
        <v>17</v>
      </c>
      <c r="BC29" s="77"/>
      <c r="BD29" s="44" t="n">
        <f aca="false">COUNTIF(BD3:BD24, "Да")</f>
        <v>17</v>
      </c>
      <c r="BE29" s="77"/>
      <c r="BF29" s="44"/>
      <c r="BG29" s="44" t="n">
        <f aca="false">COUNT(BG3:BG24)</f>
        <v>17</v>
      </c>
      <c r="BH29" s="44" t="n">
        <f aca="false">COUNT(BH3:BH24)</f>
        <v>3</v>
      </c>
      <c r="BI29" s="80"/>
      <c r="BJ29" s="74"/>
      <c r="BK29" s="74"/>
    </row>
    <row r="30" customFormat="false" ht="15.75" hidden="false" customHeight="false" outlineLevel="0" collapsed="false">
      <c r="A30" s="92"/>
      <c r="E30" s="77"/>
      <c r="F30" s="44" t="s">
        <v>688</v>
      </c>
      <c r="G30" s="44"/>
      <c r="H30" s="44"/>
      <c r="I30" s="44"/>
      <c r="J30" s="44"/>
      <c r="K30" s="44"/>
      <c r="L30" s="44"/>
      <c r="M30" s="44"/>
      <c r="N30" s="93"/>
      <c r="S30" s="94"/>
      <c r="T30" s="92" t="s">
        <v>689</v>
      </c>
      <c r="V30" s="93"/>
      <c r="W30" s="93"/>
      <c r="X30" s="95" t="n">
        <f aca="false">IF(COUNTA($B$3:$B$21)&gt;0,COUNTA(X$3:X$21)/COUNTA($B$3:$B$21), 0)</f>
        <v>0.8947368421</v>
      </c>
      <c r="Y30" s="96"/>
      <c r="Z30" s="93"/>
      <c r="AA30" s="93"/>
      <c r="AB30" s="93"/>
      <c r="AC30" s="93"/>
      <c r="AD30" s="95" t="n">
        <f aca="false">IF(COUNTA($B$3:$B$21)&gt;0,COUNTA(AD$3:AD$21)/COUNTA($B$3:$B$21), 0)</f>
        <v>0.8947368421</v>
      </c>
      <c r="AE30" s="97"/>
      <c r="AF30" s="98"/>
      <c r="AG30" s="93"/>
      <c r="AH30" s="98"/>
      <c r="AI30" s="93"/>
      <c r="AJ30" s="95" t="n">
        <f aca="false">IF(COUNTA($B$3:$B$21)&gt;0,COUNTA(AJ$3:AJ$21)/COUNTA($B$3:$B$21), 0)</f>
        <v>0.8947368421</v>
      </c>
      <c r="AK30" s="96"/>
      <c r="AL30" s="93"/>
      <c r="AM30" s="93"/>
      <c r="AN30" s="93"/>
      <c r="AO30" s="93"/>
      <c r="AP30" s="95" t="n">
        <f aca="false">IF(COUNTA($B$3:$B$21)&gt;0,COUNTA(AP$3:AP$21)/COUNTA($B$3:$B$21), 0)</f>
        <v>0.8947368421</v>
      </c>
      <c r="AQ30" s="96"/>
      <c r="AR30" s="93"/>
      <c r="AS30" s="93"/>
      <c r="AT30" s="93"/>
      <c r="AU30" s="93"/>
      <c r="AV30" s="95" t="n">
        <f aca="false">IF(COUNTA($B$3:$B$21)&gt;0,COUNTA(AV$3:AV$21)/COUNTA($B$3:$B$21), 0)</f>
        <v>0.9473684211</v>
      </c>
      <c r="AW30" s="99"/>
      <c r="AX30" s="100"/>
      <c r="AY30" s="100"/>
      <c r="AZ30" s="99"/>
      <c r="BA30" s="100"/>
      <c r="BB30" s="95" t="n">
        <f aca="false">IF(COUNTA($B$3:$B$21)&gt;0,COUNTA(BB$3:BB$21)/COUNTA($B$3:$B$21), 0)</f>
        <v>0.9473684211</v>
      </c>
      <c r="BC30" s="77"/>
      <c r="BD30" s="44" t="n">
        <f aca="false">COUNTIF(BD3:BD24, "Да")</f>
        <v>17</v>
      </c>
      <c r="BE30" s="101"/>
      <c r="BF30" s="102"/>
      <c r="BG30" s="102"/>
      <c r="BH30" s="100"/>
      <c r="BI30" s="103"/>
      <c r="BJ30" s="102"/>
      <c r="BK30" s="102"/>
    </row>
    <row r="31" customFormat="false" ht="15.75" hidden="false" customHeight="false" outlineLevel="0" collapsed="false">
      <c r="A31" s="92"/>
      <c r="B31" s="92"/>
      <c r="C31" s="92"/>
      <c r="D31" s="92"/>
      <c r="E31" s="77"/>
      <c r="F31" s="44" t="s">
        <v>690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77"/>
      <c r="T31" s="44"/>
      <c r="U31" s="44"/>
      <c r="V31" s="44"/>
      <c r="W31" s="44"/>
      <c r="X31" s="44"/>
      <c r="Y31" s="77"/>
      <c r="Z31" s="44"/>
      <c r="AA31" s="44"/>
      <c r="AB31" s="44"/>
      <c r="AC31" s="44"/>
      <c r="AD31" s="90"/>
      <c r="AE31" s="91"/>
      <c r="AF31" s="90"/>
      <c r="AG31" s="44"/>
      <c r="AH31" s="90"/>
      <c r="AI31" s="44"/>
      <c r="AJ31" s="44"/>
      <c r="AK31" s="77"/>
      <c r="AL31" s="44"/>
      <c r="AM31" s="44"/>
      <c r="AN31" s="44"/>
      <c r="AO31" s="44"/>
      <c r="AP31" s="44"/>
      <c r="AQ31" s="77"/>
      <c r="AR31" s="44"/>
      <c r="AS31" s="44"/>
      <c r="AT31" s="44"/>
      <c r="AU31" s="44"/>
      <c r="AV31" s="44"/>
      <c r="AW31" s="101"/>
      <c r="AX31" s="102"/>
      <c r="AY31" s="102"/>
      <c r="AZ31" s="101"/>
      <c r="BA31" s="102"/>
      <c r="BB31" s="102"/>
      <c r="BC31" s="101"/>
      <c r="BD31" s="102"/>
      <c r="BE31" s="101"/>
      <c r="BF31" s="102"/>
      <c r="BG31" s="102"/>
      <c r="BH31" s="102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691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true" customHeight="false" outlineLevel="0" collapsed="false">
      <c r="A33" s="92"/>
      <c r="B33" s="92"/>
      <c r="C33" s="92"/>
      <c r="D33" s="92"/>
      <c r="E33" s="10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164" t="s">
        <v>979</v>
      </c>
      <c r="C35" s="92"/>
      <c r="D35" s="164" t="s">
        <v>560</v>
      </c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165" t="n">
        <v>10</v>
      </c>
      <c r="Y35" s="77"/>
      <c r="Z35" s="44"/>
      <c r="AA35" s="44"/>
      <c r="AB35" s="44"/>
      <c r="AC35" s="44"/>
      <c r="AD35" s="165" t="n">
        <v>10</v>
      </c>
      <c r="AE35" s="91"/>
      <c r="AF35" s="90"/>
      <c r="AG35" s="44"/>
      <c r="AH35" s="90"/>
      <c r="AI35" s="44"/>
      <c r="AJ35" s="165" t="n">
        <v>10</v>
      </c>
      <c r="AK35" s="77"/>
      <c r="AL35" s="44"/>
      <c r="AM35" s="44"/>
      <c r="AN35" s="44"/>
      <c r="AO35" s="44"/>
      <c r="AP35" s="165" t="n">
        <v>10</v>
      </c>
      <c r="AQ35" s="77"/>
      <c r="AR35" s="44"/>
      <c r="AS35" s="44"/>
      <c r="AT35" s="44"/>
      <c r="AU35" s="44"/>
      <c r="AV35" s="165" t="n">
        <v>10</v>
      </c>
      <c r="AW35" s="101"/>
      <c r="AX35" s="166" t="n">
        <f aca="false">IF(AX15,2,"")</f>
        <v>2</v>
      </c>
      <c r="AY35" s="166" t="str">
        <f aca="false">IF(AY15,1,"")</f>
        <v/>
      </c>
      <c r="AZ35" s="101"/>
      <c r="BA35" s="102"/>
      <c r="BB35" s="165" t="n">
        <v>10</v>
      </c>
      <c r="BC35" s="101"/>
      <c r="BD35" s="102"/>
      <c r="BE35" s="101"/>
      <c r="BF35" s="102"/>
      <c r="BG35" s="166" t="n">
        <f aca="false">IF(BG15,28,"")</f>
        <v>28</v>
      </c>
      <c r="BH35" s="166" t="n">
        <f aca="false">IF(BH15,2,"")</f>
        <v>2</v>
      </c>
      <c r="BI35" s="103"/>
      <c r="BJ35" s="167" t="n">
        <f aca="false">SUM(X35,AD35,AJ35,AP35,AV35,AX35:AY35,BH35,BB35,BG35)</f>
        <v>92</v>
      </c>
      <c r="BK35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4 AA3:AC24 AG3:AI24 AM3:AO24 AS4:AU5 AS10:AU10 AS13:AU13 AS18:AU19 AS21:AU24">
    <cfRule type="expression" priority="2" aboveAverage="0" equalAverage="0" bottom="0" percent="0" rank="0" text="" dxfId="2">
      <formula>U3&gt;45901</formula>
    </cfRule>
  </conditionalFormatting>
  <conditionalFormatting sqref="BC3:BD24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4">
    <cfRule type="cellIs" priority="5" operator="equal" aboveAverage="0" equalAverage="0" bottom="0" percent="0" rank="0" text="" dxfId="5">
      <formula>"N"</formula>
    </cfRule>
  </conditionalFormatting>
  <conditionalFormatting sqref="BK3:BK21">
    <cfRule type="notContainsText" priority="6" operator="notContains" aboveAverage="0" equalAverage="0" bottom="0" percent="0" rank="0" text="FX" dxfId="6">
      <formula>ISERROR(SEARCH("FX",BK3))</formula>
    </cfRule>
  </conditionalFormatting>
  <conditionalFormatting sqref="BB3:BB20">
    <cfRule type="cellIs" priority="7" operator="lessThan" aboveAverage="0" equalAverage="0" bottom="0" percent="0" rank="0" text="" dxfId="5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9138"/>
    <outlinePr summaryBelow="0"/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730</v>
      </c>
      <c r="C1" s="110" t="s">
        <v>980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45701</v>
      </c>
      <c r="G2" s="55" t="n">
        <f aca="false">F2+14</f>
        <v>45715</v>
      </c>
      <c r="H2" s="55" t="n">
        <f aca="false">G2+14</f>
        <v>45729</v>
      </c>
      <c r="I2" s="55" t="n">
        <f aca="false">H2+14</f>
        <v>45743</v>
      </c>
      <c r="J2" s="55" t="n">
        <f aca="false">I2+14</f>
        <v>45757</v>
      </c>
      <c r="K2" s="55" t="n">
        <f aca="false">J2+14</f>
        <v>45771</v>
      </c>
      <c r="L2" s="55" t="n">
        <v>45799</v>
      </c>
      <c r="M2" s="55" t="n">
        <v>45805</v>
      </c>
      <c r="N2" s="111" t="n">
        <v>45806</v>
      </c>
      <c r="O2" s="111" t="n">
        <v>45811</v>
      </c>
      <c r="P2" s="111" t="n">
        <v>45813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60" t="s">
        <v>212</v>
      </c>
      <c r="C3" s="113" t="s">
        <v>981</v>
      </c>
      <c r="D3" s="113" t="s">
        <v>211</v>
      </c>
      <c r="E3" s="62"/>
      <c r="F3" s="63" t="s">
        <v>696</v>
      </c>
      <c r="G3" s="63" t="s">
        <v>734</v>
      </c>
      <c r="H3" s="63" t="s">
        <v>696</v>
      </c>
      <c r="I3" s="63" t="s">
        <v>735</v>
      </c>
      <c r="J3" s="63" t="s">
        <v>734</v>
      </c>
      <c r="K3" s="63" t="s">
        <v>734</v>
      </c>
      <c r="L3" s="63" t="s">
        <v>734</v>
      </c>
      <c r="M3" s="63" t="s">
        <v>734</v>
      </c>
      <c r="N3" s="64" t="s">
        <v>734</v>
      </c>
      <c r="O3" s="64"/>
      <c r="P3" s="64" t="s">
        <v>734</v>
      </c>
      <c r="Q3" s="64"/>
      <c r="R3" s="64"/>
      <c r="S3" s="65"/>
      <c r="T3" s="70" t="n">
        <v>1601</v>
      </c>
      <c r="U3" s="67" t="n">
        <v>45715</v>
      </c>
      <c r="V3" s="67" t="n">
        <v>45757</v>
      </c>
      <c r="W3" s="67" t="n">
        <v>45771</v>
      </c>
      <c r="X3" s="68" t="n">
        <v>8</v>
      </c>
      <c r="Y3" s="69"/>
      <c r="Z3" s="70" t="n">
        <v>16418</v>
      </c>
      <c r="AA3" s="67" t="n">
        <v>45799</v>
      </c>
      <c r="AB3" s="67" t="n">
        <v>45805</v>
      </c>
      <c r="AC3" s="67" t="n">
        <v>45806</v>
      </c>
      <c r="AD3" s="68" t="n">
        <v>7</v>
      </c>
      <c r="AE3" s="69"/>
      <c r="AF3" s="70" t="n">
        <v>16517</v>
      </c>
      <c r="AG3" s="70"/>
      <c r="AH3" s="70"/>
      <c r="AI3" s="70"/>
      <c r="AJ3" s="68"/>
      <c r="AK3" s="69"/>
      <c r="AL3" s="70"/>
      <c r="AM3" s="70"/>
      <c r="AN3" s="70"/>
      <c r="AO3" s="70"/>
      <c r="AP3" s="68"/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68" t="n">
        <v>0</v>
      </c>
      <c r="AW3" s="69"/>
      <c r="AX3" s="68"/>
      <c r="AY3" s="68"/>
      <c r="AZ3" s="69"/>
      <c r="BA3" s="67" t="n">
        <v>45826</v>
      </c>
      <c r="BB3" s="71" t="n">
        <v>6</v>
      </c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21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v>2</v>
      </c>
      <c r="B4" s="60" t="s">
        <v>215</v>
      </c>
      <c r="C4" s="113" t="s">
        <v>981</v>
      </c>
      <c r="D4" s="113" t="s">
        <v>214</v>
      </c>
      <c r="E4" s="62"/>
      <c r="F4" s="63" t="s">
        <v>738</v>
      </c>
      <c r="G4" s="63" t="s">
        <v>739</v>
      </c>
      <c r="H4" s="63" t="s">
        <v>734</v>
      </c>
      <c r="I4" s="63" t="s">
        <v>734</v>
      </c>
      <c r="J4" s="63" t="s">
        <v>734</v>
      </c>
      <c r="K4" s="63" t="s">
        <v>734</v>
      </c>
      <c r="L4" s="63" t="s">
        <v>734</v>
      </c>
      <c r="M4" s="63" t="s">
        <v>735</v>
      </c>
      <c r="N4" s="64"/>
      <c r="O4" s="64"/>
      <c r="P4" s="64"/>
      <c r="Q4" s="64"/>
      <c r="R4" s="64"/>
      <c r="S4" s="65"/>
      <c r="T4" s="70" t="n">
        <v>1602</v>
      </c>
      <c r="U4" s="67" t="n">
        <v>45701</v>
      </c>
      <c r="V4" s="67" t="n">
        <v>45701</v>
      </c>
      <c r="W4" s="67" t="n">
        <v>45701</v>
      </c>
      <c r="X4" s="68" t="n">
        <v>10</v>
      </c>
      <c r="Y4" s="69"/>
      <c r="Z4" s="70" t="n">
        <v>1640</v>
      </c>
      <c r="AA4" s="67" t="n">
        <v>45715</v>
      </c>
      <c r="AB4" s="67" t="n">
        <v>45715</v>
      </c>
      <c r="AC4" s="67" t="n">
        <v>45715</v>
      </c>
      <c r="AD4" s="68" t="n">
        <v>9</v>
      </c>
      <c r="AE4" s="69"/>
      <c r="AF4" s="70" t="n">
        <v>16500</v>
      </c>
      <c r="AG4" s="67" t="n">
        <v>45729</v>
      </c>
      <c r="AH4" s="67" t="n">
        <v>45743</v>
      </c>
      <c r="AI4" s="67" t="n">
        <v>45757</v>
      </c>
      <c r="AJ4" s="68" t="n">
        <v>10</v>
      </c>
      <c r="AK4" s="69"/>
      <c r="AL4" s="70" t="n">
        <v>16600</v>
      </c>
      <c r="AM4" s="67" t="n">
        <v>45771</v>
      </c>
      <c r="AN4" s="67" t="n">
        <v>45771</v>
      </c>
      <c r="AO4" s="67" t="n">
        <v>45771</v>
      </c>
      <c r="AP4" s="68" t="n">
        <v>10</v>
      </c>
      <c r="AQ4" s="69"/>
      <c r="AR4" s="70" t="n">
        <v>16701</v>
      </c>
      <c r="AS4" s="67" t="n">
        <v>45799</v>
      </c>
      <c r="AT4" s="67" t="n">
        <v>45799</v>
      </c>
      <c r="AU4" s="67" t="n">
        <v>45799</v>
      </c>
      <c r="AV4" s="68" t="n">
        <v>10</v>
      </c>
      <c r="AW4" s="69"/>
      <c r="AX4" s="70" t="n">
        <v>1</v>
      </c>
      <c r="AY4" s="70" t="n">
        <v>2</v>
      </c>
      <c r="AZ4" s="69"/>
      <c r="BA4" s="67" t="n">
        <v>45792</v>
      </c>
      <c r="BB4" s="71" t="n">
        <v>10</v>
      </c>
      <c r="BC4" s="72"/>
      <c r="BD4" s="73" t="str">
        <f aca="false">IF(AND(BB4&gt;=6,AP4&gt;=6,AJ4&gt;=6,AD4&gt;=6,X4&gt;=6),"да","нет")</f>
        <v>да</v>
      </c>
      <c r="BE4" s="72"/>
      <c r="BF4" s="118" t="n">
        <v>45834</v>
      </c>
      <c r="BG4" s="71" t="n">
        <v>29</v>
      </c>
      <c r="BH4" s="68"/>
      <c r="BI4" s="50"/>
      <c r="BJ4" s="75" t="n">
        <f aca="false">SUM(X4,AD4,AJ4,AP4,AV4,AX4:AY4,BH4,BB4,BG4)</f>
        <v>91</v>
      </c>
      <c r="BK4" s="73" t="str">
        <f aca="false">IF(BJ4&gt;90,"A",IF(BJ4&gt;83,"B",IF(BJ4&gt;74,"C",IF(BJ4&gt;67,"D",IF(BJ4&gt;=60,"E","FX")))))</f>
        <v>A</v>
      </c>
    </row>
    <row r="5" customFormat="false" ht="15.75" hidden="false" customHeight="false" outlineLevel="0" collapsed="false">
      <c r="A5" s="59" t="n">
        <v>3</v>
      </c>
      <c r="B5" s="60" t="s">
        <v>220</v>
      </c>
      <c r="C5" s="113" t="s">
        <v>981</v>
      </c>
      <c r="D5" s="113" t="s">
        <v>219</v>
      </c>
      <c r="E5" s="62"/>
      <c r="F5" s="63" t="s">
        <v>739</v>
      </c>
      <c r="G5" s="63" t="s">
        <v>734</v>
      </c>
      <c r="H5" s="63" t="s">
        <v>735</v>
      </c>
      <c r="I5" s="63" t="s">
        <v>739</v>
      </c>
      <c r="J5" s="63" t="s">
        <v>735</v>
      </c>
      <c r="K5" s="63" t="s">
        <v>735</v>
      </c>
      <c r="L5" s="63" t="s">
        <v>696</v>
      </c>
      <c r="M5" s="63" t="s">
        <v>735</v>
      </c>
      <c r="N5" s="119"/>
      <c r="O5" s="119"/>
      <c r="P5" s="119"/>
      <c r="Q5" s="119"/>
      <c r="R5" s="119"/>
      <c r="S5" s="65"/>
      <c r="T5" s="70" t="n">
        <v>1603</v>
      </c>
      <c r="U5" s="67" t="n">
        <v>45701</v>
      </c>
      <c r="V5" s="67" t="n">
        <v>45701</v>
      </c>
      <c r="W5" s="67" t="n">
        <v>45715</v>
      </c>
      <c r="X5" s="68" t="n">
        <v>9.5</v>
      </c>
      <c r="Y5" s="69"/>
      <c r="Z5" s="70" t="n">
        <v>16403</v>
      </c>
      <c r="AA5" s="67" t="n">
        <v>45743</v>
      </c>
      <c r="AB5" s="67" t="n">
        <v>45743</v>
      </c>
      <c r="AC5" s="67" t="n">
        <v>45743</v>
      </c>
      <c r="AD5" s="68" t="n">
        <v>10</v>
      </c>
      <c r="AE5" s="69"/>
      <c r="AF5" s="70" t="n">
        <v>16506</v>
      </c>
      <c r="AG5" s="67"/>
      <c r="AH5" s="67"/>
      <c r="AI5" s="67"/>
      <c r="AJ5" s="68"/>
      <c r="AK5" s="69"/>
      <c r="AL5" s="70"/>
      <c r="AM5" s="70"/>
      <c r="AN5" s="70"/>
      <c r="AO5" s="70"/>
      <c r="AP5" s="68"/>
      <c r="AQ5" s="69"/>
      <c r="AR5" s="70" t="s">
        <v>737</v>
      </c>
      <c r="AS5" s="70" t="s">
        <v>737</v>
      </c>
      <c r="AT5" s="70" t="s">
        <v>737</v>
      </c>
      <c r="AU5" s="70" t="s">
        <v>737</v>
      </c>
      <c r="AV5" s="68" t="n">
        <v>0</v>
      </c>
      <c r="AW5" s="69"/>
      <c r="AX5" s="68"/>
      <c r="AY5" s="68"/>
      <c r="AZ5" s="69"/>
      <c r="BA5" s="67"/>
      <c r="BB5" s="71"/>
      <c r="BC5" s="72"/>
      <c r="BD5" s="73" t="str">
        <f aca="false">IF(AND(BB5&gt;=6,AP5&gt;=6,AJ5&gt;=6,AD5&gt;=6,X5&gt;=6),"да","нет")</f>
        <v>нет</v>
      </c>
      <c r="BE5" s="72"/>
      <c r="BF5" s="74"/>
      <c r="BG5" s="71"/>
      <c r="BH5" s="68"/>
      <c r="BI5" s="50"/>
      <c r="BJ5" s="75" t="n">
        <f aca="false">SUM(X5,AD5,AJ5,AP5,AV5,AX5:AY5,BH5,BB5,BG5)</f>
        <v>19.5</v>
      </c>
      <c r="BK5" s="73" t="str">
        <f aca="false">IF(BJ5&gt;90,"A",IF(BJ5&gt;83,"B",IF(BJ5&gt;74,"C",IF(BJ5&gt;67,"D",IF(BJ5&gt;=60,"E","FX")))))</f>
        <v>FX</v>
      </c>
    </row>
    <row r="6" customFormat="false" ht="15.75" hidden="false" customHeight="false" outlineLevel="0" collapsed="false">
      <c r="A6" s="59" t="n">
        <v>4</v>
      </c>
      <c r="B6" s="60" t="s">
        <v>246</v>
      </c>
      <c r="C6" s="113" t="s">
        <v>981</v>
      </c>
      <c r="D6" s="113" t="s">
        <v>245</v>
      </c>
      <c r="E6" s="62"/>
      <c r="F6" s="63" t="s">
        <v>734</v>
      </c>
      <c r="G6" s="63" t="s">
        <v>739</v>
      </c>
      <c r="H6" s="63" t="s">
        <v>739</v>
      </c>
      <c r="I6" s="63" t="s">
        <v>734</v>
      </c>
      <c r="J6" s="63" t="s">
        <v>739</v>
      </c>
      <c r="K6" s="63" t="s">
        <v>734</v>
      </c>
      <c r="L6" s="63" t="s">
        <v>735</v>
      </c>
      <c r="M6" s="63" t="s">
        <v>734</v>
      </c>
      <c r="N6" s="64"/>
      <c r="O6" s="64"/>
      <c r="P6" s="64"/>
      <c r="Q6" s="64"/>
      <c r="R6" s="64"/>
      <c r="S6" s="65"/>
      <c r="T6" s="70" t="n">
        <v>1604</v>
      </c>
      <c r="U6" s="67" t="n">
        <v>45701</v>
      </c>
      <c r="V6" s="67" t="n">
        <v>45715</v>
      </c>
      <c r="W6" s="67" t="n">
        <v>45715</v>
      </c>
      <c r="X6" s="68" t="n">
        <v>8.5</v>
      </c>
      <c r="Y6" s="69"/>
      <c r="Z6" s="70" t="n">
        <v>16404</v>
      </c>
      <c r="AA6" s="67" t="n">
        <v>45728</v>
      </c>
      <c r="AB6" s="67" t="n">
        <v>45728</v>
      </c>
      <c r="AC6" s="67" t="n">
        <v>45728</v>
      </c>
      <c r="AD6" s="68" t="n">
        <v>8.5</v>
      </c>
      <c r="AE6" s="69"/>
      <c r="AF6" s="70" t="n">
        <v>16501</v>
      </c>
      <c r="AG6" s="67" t="n">
        <v>45743</v>
      </c>
      <c r="AH6" s="67" t="n">
        <v>45757</v>
      </c>
      <c r="AI6" s="67" t="n">
        <v>45757</v>
      </c>
      <c r="AJ6" s="68" t="n">
        <v>9</v>
      </c>
      <c r="AK6" s="69"/>
      <c r="AL6" s="70" t="n">
        <v>16603</v>
      </c>
      <c r="AM6" s="67" t="n">
        <v>45805</v>
      </c>
      <c r="AN6" s="67" t="n">
        <v>45805</v>
      </c>
      <c r="AO6" s="67" t="n">
        <v>45805</v>
      </c>
      <c r="AP6" s="68" t="n">
        <v>10</v>
      </c>
      <c r="AQ6" s="69"/>
      <c r="AR6" s="70" t="n">
        <v>16704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/>
      <c r="AY6" s="68" t="n">
        <v>2</v>
      </c>
      <c r="AZ6" s="69"/>
      <c r="BA6" s="67" t="n">
        <v>45792</v>
      </c>
      <c r="BB6" s="71" t="n">
        <v>10</v>
      </c>
      <c r="BC6" s="72"/>
      <c r="BD6" s="73" t="str">
        <f aca="false">IF(AND(BB6&gt;=6,AP6&gt;=6,AJ6&gt;=6,AD6&gt;=6,X6&gt;=6),"да","нет")</f>
        <v>да</v>
      </c>
      <c r="BE6" s="72"/>
      <c r="BF6" s="118" t="n">
        <v>45834</v>
      </c>
      <c r="BG6" s="71" t="n">
        <v>28</v>
      </c>
      <c r="BH6" s="68"/>
      <c r="BI6" s="50"/>
      <c r="BJ6" s="75" t="n">
        <f aca="false">SUM(X6,AD6,AJ6,AP6,AV6,AX6:AY6,BH6,BB6,BG6)</f>
        <v>76</v>
      </c>
      <c r="BK6" s="73" t="str">
        <f aca="false">IF(BJ6&gt;90,"A",IF(BJ6&gt;83,"B",IF(BJ6&gt;74,"C",IF(BJ6&gt;67,"D",IF(BJ6&gt;=60,"E","FX")))))</f>
        <v>C</v>
      </c>
    </row>
    <row r="7" customFormat="false" ht="15.75" hidden="false" customHeight="false" outlineLevel="0" collapsed="false">
      <c r="A7" s="59" t="n">
        <v>5</v>
      </c>
      <c r="B7" s="60" t="s">
        <v>256</v>
      </c>
      <c r="C7" s="113" t="s">
        <v>981</v>
      </c>
      <c r="D7" s="113" t="s">
        <v>255</v>
      </c>
      <c r="E7" s="62"/>
      <c r="F7" s="63" t="s">
        <v>735</v>
      </c>
      <c r="G7" s="63" t="s">
        <v>735</v>
      </c>
      <c r="H7" s="63" t="s">
        <v>734</v>
      </c>
      <c r="I7" s="63" t="s">
        <v>734</v>
      </c>
      <c r="J7" s="63" t="s">
        <v>734</v>
      </c>
      <c r="K7" s="63" t="s">
        <v>734</v>
      </c>
      <c r="L7" s="63" t="s">
        <v>696</v>
      </c>
      <c r="M7" s="63" t="s">
        <v>735</v>
      </c>
      <c r="N7" s="64" t="s">
        <v>734</v>
      </c>
      <c r="O7" s="64" t="s">
        <v>734</v>
      </c>
      <c r="P7" s="64"/>
      <c r="Q7" s="64"/>
      <c r="R7" s="64"/>
      <c r="S7" s="65"/>
      <c r="T7" s="70" t="n">
        <v>1620</v>
      </c>
      <c r="U7" s="67" t="n">
        <v>45728</v>
      </c>
      <c r="V7" s="67" t="n">
        <v>45743</v>
      </c>
      <c r="W7" s="67" t="n">
        <v>45743</v>
      </c>
      <c r="X7" s="68" t="n">
        <v>8</v>
      </c>
      <c r="Y7" s="69"/>
      <c r="Z7" s="70" t="n">
        <v>16411</v>
      </c>
      <c r="AA7" s="67" t="n">
        <v>45757</v>
      </c>
      <c r="AB7" s="67" t="n">
        <v>45771</v>
      </c>
      <c r="AC7" s="67" t="n">
        <v>45771</v>
      </c>
      <c r="AD7" s="68" t="n">
        <v>8</v>
      </c>
      <c r="AE7" s="69"/>
      <c r="AF7" s="70" t="n">
        <v>16512</v>
      </c>
      <c r="AG7" s="67" t="n">
        <v>45799</v>
      </c>
      <c r="AH7" s="67" t="n">
        <v>45811</v>
      </c>
      <c r="AI7" s="67" t="n">
        <v>45811</v>
      </c>
      <c r="AJ7" s="68" t="n">
        <v>8</v>
      </c>
      <c r="AK7" s="69"/>
      <c r="AL7" s="70" t="n">
        <v>16613</v>
      </c>
      <c r="AM7" s="70"/>
      <c r="AN7" s="70"/>
      <c r="AO7" s="70"/>
      <c r="AP7" s="68"/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68" t="n">
        <v>0</v>
      </c>
      <c r="AW7" s="69"/>
      <c r="AX7" s="68"/>
      <c r="AY7" s="68"/>
      <c r="AZ7" s="69"/>
      <c r="BA7" s="67" t="n">
        <v>45826</v>
      </c>
      <c r="BB7" s="71" t="n">
        <v>0</v>
      </c>
      <c r="BC7" s="72"/>
      <c r="BD7" s="73" t="str">
        <f aca="false">IF(AND(BB7&gt;=6,AP7&gt;=6,AJ7&gt;=6,AD7&gt;=6,X7&gt;=6),"да","нет")</f>
        <v>нет</v>
      </c>
      <c r="BE7" s="72"/>
      <c r="BF7" s="74"/>
      <c r="BG7" s="71"/>
      <c r="BH7" s="68"/>
      <c r="BI7" s="50"/>
      <c r="BJ7" s="75" t="n">
        <f aca="false">SUM(X7,AD7,AJ7,AP7,AV7,AX7:AY7,BH7,BB7,BG7)</f>
        <v>24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v>6</v>
      </c>
      <c r="B8" s="60" t="s">
        <v>264</v>
      </c>
      <c r="C8" s="113" t="s">
        <v>981</v>
      </c>
      <c r="D8" s="113" t="s">
        <v>263</v>
      </c>
      <c r="E8" s="62"/>
      <c r="F8" s="63" t="s">
        <v>734</v>
      </c>
      <c r="G8" s="63" t="s">
        <v>734</v>
      </c>
      <c r="H8" s="63" t="s">
        <v>739</v>
      </c>
      <c r="I8" s="63" t="s">
        <v>696</v>
      </c>
      <c r="J8" s="63" t="s">
        <v>739</v>
      </c>
      <c r="K8" s="63" t="s">
        <v>734</v>
      </c>
      <c r="L8" s="63" t="s">
        <v>739</v>
      </c>
      <c r="M8" s="63" t="s">
        <v>739</v>
      </c>
      <c r="N8" s="64"/>
      <c r="O8" s="64"/>
      <c r="P8" s="64"/>
      <c r="Q8" s="64"/>
      <c r="R8" s="64"/>
      <c r="S8" s="65"/>
      <c r="T8" s="70" t="n">
        <v>1605</v>
      </c>
      <c r="U8" s="67" t="n">
        <v>45701</v>
      </c>
      <c r="V8" s="67" t="n">
        <v>45715</v>
      </c>
      <c r="W8" s="67" t="n">
        <v>45728</v>
      </c>
      <c r="X8" s="68" t="n">
        <v>10</v>
      </c>
      <c r="Y8" s="69"/>
      <c r="Z8" s="70" t="n">
        <v>16407</v>
      </c>
      <c r="AA8" s="67" t="n">
        <v>45728</v>
      </c>
      <c r="AB8" s="67" t="n">
        <v>45757</v>
      </c>
      <c r="AC8" s="67" t="n">
        <v>45757</v>
      </c>
      <c r="AD8" s="68" t="n">
        <v>8.5</v>
      </c>
      <c r="AE8" s="69"/>
      <c r="AF8" s="70" t="n">
        <v>16509</v>
      </c>
      <c r="AG8" s="67" t="n">
        <v>45771</v>
      </c>
      <c r="AH8" s="67" t="n">
        <v>45799</v>
      </c>
      <c r="AI8" s="67" t="n">
        <v>45799</v>
      </c>
      <c r="AJ8" s="68" t="n">
        <v>8.5</v>
      </c>
      <c r="AK8" s="69"/>
      <c r="AL8" s="70" t="n">
        <v>16607</v>
      </c>
      <c r="AM8" s="67" t="n">
        <v>45805</v>
      </c>
      <c r="AN8" s="67" t="n">
        <v>45805</v>
      </c>
      <c r="AO8" s="67" t="n">
        <v>45805</v>
      </c>
      <c r="AP8" s="68" t="n">
        <v>9.5</v>
      </c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 t="n">
        <v>0</v>
      </c>
      <c r="AY8" s="68"/>
      <c r="AZ8" s="69"/>
      <c r="BA8" s="67" t="n">
        <v>45792</v>
      </c>
      <c r="BB8" s="71" t="n">
        <v>6</v>
      </c>
      <c r="BC8" s="72"/>
      <c r="BD8" s="73" t="str">
        <f aca="false">IF(AND(BB8&gt;=6,AP8&gt;=6,AJ8&gt;=6,AD8&gt;=6,X8&gt;=6),"да","нет")</f>
        <v>да</v>
      </c>
      <c r="BE8" s="72"/>
      <c r="BF8" s="118" t="n">
        <v>45834</v>
      </c>
      <c r="BG8" s="71" t="n">
        <v>24</v>
      </c>
      <c r="BH8" s="68" t="n">
        <v>1</v>
      </c>
      <c r="BI8" s="50"/>
      <c r="BJ8" s="75" t="n">
        <f aca="false">SUM(X8,AD8,AJ8,AP8,AV8,AX8:AY8,BH8,BB8,BG8)</f>
        <v>67.5</v>
      </c>
      <c r="BK8" s="73" t="str">
        <f aca="false">IF(BJ8&gt;90,"A",IF(BJ8&gt;83,"B",IF(BJ8&gt;74,"C",IF(BJ8&gt;67,"D",IF(BJ8&gt;=60,"E","FX")))))</f>
        <v>D</v>
      </c>
    </row>
    <row r="9" customFormat="false" ht="15.75" hidden="false" customHeight="false" outlineLevel="0" collapsed="false">
      <c r="A9" s="59" t="n">
        <v>7</v>
      </c>
      <c r="B9" s="60" t="s">
        <v>335</v>
      </c>
      <c r="C9" s="113" t="s">
        <v>981</v>
      </c>
      <c r="D9" s="113" t="s">
        <v>334</v>
      </c>
      <c r="E9" s="62"/>
      <c r="F9" s="63" t="s">
        <v>696</v>
      </c>
      <c r="G9" s="63" t="s">
        <v>735</v>
      </c>
      <c r="H9" s="63" t="s">
        <v>735</v>
      </c>
      <c r="I9" s="63" t="s">
        <v>734</v>
      </c>
      <c r="J9" s="63" t="s">
        <v>734</v>
      </c>
      <c r="K9" s="63" t="s">
        <v>734</v>
      </c>
      <c r="L9" s="63" t="s">
        <v>696</v>
      </c>
      <c r="M9" s="63" t="s">
        <v>735</v>
      </c>
      <c r="N9" s="64"/>
      <c r="O9" s="64" t="s">
        <v>734</v>
      </c>
      <c r="P9" s="64"/>
      <c r="Q9" s="64"/>
      <c r="R9" s="64"/>
      <c r="S9" s="65"/>
      <c r="T9" s="70" t="n">
        <v>1606</v>
      </c>
      <c r="U9" s="67" t="n">
        <v>45743</v>
      </c>
      <c r="V9" s="67" t="n">
        <v>45757</v>
      </c>
      <c r="W9" s="67" t="n">
        <v>45757</v>
      </c>
      <c r="X9" s="68" t="n">
        <v>7</v>
      </c>
      <c r="Y9" s="69"/>
      <c r="Z9" s="70" t="n">
        <v>16415</v>
      </c>
      <c r="AA9" s="67" t="n">
        <v>45771</v>
      </c>
      <c r="AB9" s="67" t="n">
        <v>45813</v>
      </c>
      <c r="AC9" s="67" t="n">
        <v>45813</v>
      </c>
      <c r="AD9" s="68" t="n">
        <v>7</v>
      </c>
      <c r="AE9" s="69"/>
      <c r="AF9" s="70" t="n">
        <v>16518</v>
      </c>
      <c r="AG9" s="67"/>
      <c r="AH9" s="67"/>
      <c r="AI9" s="67"/>
      <c r="AJ9" s="68"/>
      <c r="AK9" s="69"/>
      <c r="AL9" s="70"/>
      <c r="AM9" s="70"/>
      <c r="AN9" s="70"/>
      <c r="AO9" s="70"/>
      <c r="AP9" s="68"/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68" t="n">
        <v>0</v>
      </c>
      <c r="AW9" s="69"/>
      <c r="AX9" s="68"/>
      <c r="AY9" s="68"/>
      <c r="AZ9" s="69"/>
      <c r="BA9" s="67" t="n">
        <v>45792</v>
      </c>
      <c r="BB9" s="71" t="n">
        <v>0</v>
      </c>
      <c r="BC9" s="72"/>
      <c r="BD9" s="73" t="str">
        <f aca="false">IF(AND(BB9&gt;=6,AP9&gt;=6,AJ9&gt;=6,AD9&gt;=6,X9&gt;=6),"да","нет")</f>
        <v>нет</v>
      </c>
      <c r="BE9" s="72"/>
      <c r="BF9" s="74"/>
      <c r="BG9" s="71"/>
      <c r="BH9" s="68"/>
      <c r="BI9" s="50"/>
      <c r="BJ9" s="75" t="n">
        <f aca="false">SUM(X9,AD9,AJ9,AP9,AV9,AX9:AY9,BH9,BB9,BG9)</f>
        <v>14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v>8</v>
      </c>
      <c r="B10" s="60" t="s">
        <v>361</v>
      </c>
      <c r="C10" s="113" t="s">
        <v>981</v>
      </c>
      <c r="D10" s="113" t="s">
        <v>360</v>
      </c>
      <c r="E10" s="62"/>
      <c r="F10" s="63" t="s">
        <v>696</v>
      </c>
      <c r="G10" s="63" t="s">
        <v>734</v>
      </c>
      <c r="H10" s="63" t="s">
        <v>734</v>
      </c>
      <c r="I10" s="63" t="s">
        <v>735</v>
      </c>
      <c r="J10" s="63" t="s">
        <v>739</v>
      </c>
      <c r="K10" s="63" t="s">
        <v>734</v>
      </c>
      <c r="L10" s="63" t="s">
        <v>734</v>
      </c>
      <c r="M10" s="63" t="s">
        <v>739</v>
      </c>
      <c r="N10" s="64" t="s">
        <v>734</v>
      </c>
      <c r="O10" s="64"/>
      <c r="P10" s="64"/>
      <c r="Q10" s="64"/>
      <c r="R10" s="64"/>
      <c r="S10" s="65"/>
      <c r="T10" s="70" t="n">
        <v>1617</v>
      </c>
      <c r="U10" s="67" t="n">
        <v>45715</v>
      </c>
      <c r="V10" s="67" t="n">
        <v>45757</v>
      </c>
      <c r="W10" s="67" t="n">
        <v>45799</v>
      </c>
      <c r="X10" s="68" t="n">
        <v>7</v>
      </c>
      <c r="Y10" s="69"/>
      <c r="Z10" s="70" t="n">
        <v>16419</v>
      </c>
      <c r="AA10" s="67" t="n">
        <v>45805</v>
      </c>
      <c r="AB10" s="67" t="n">
        <v>45805</v>
      </c>
      <c r="AC10" s="67" t="n">
        <v>45805</v>
      </c>
      <c r="AD10" s="68" t="n">
        <v>7</v>
      </c>
      <c r="AE10" s="69"/>
      <c r="AF10" s="70" t="n">
        <v>16516</v>
      </c>
      <c r="AG10" s="67" t="n">
        <v>45811</v>
      </c>
      <c r="AH10" s="67" t="n">
        <v>45811</v>
      </c>
      <c r="AI10" s="67" t="n">
        <v>45811</v>
      </c>
      <c r="AJ10" s="68" t="n">
        <v>7.5</v>
      </c>
      <c r="AK10" s="69"/>
      <c r="AL10" s="70" t="n">
        <v>16614</v>
      </c>
      <c r="AM10" s="106" t="n">
        <v>45813</v>
      </c>
      <c r="AN10" s="106" t="n">
        <v>45813</v>
      </c>
      <c r="AO10" s="106" t="n">
        <v>45813</v>
      </c>
      <c r="AP10" s="68" t="n">
        <v>8.5</v>
      </c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68" t="n">
        <v>0</v>
      </c>
      <c r="AW10" s="69"/>
      <c r="AX10" s="68" t="n">
        <v>0</v>
      </c>
      <c r="AY10" s="68" t="n">
        <v>2</v>
      </c>
      <c r="AZ10" s="69"/>
      <c r="BA10" s="67" t="n">
        <v>45792</v>
      </c>
      <c r="BB10" s="71" t="n">
        <v>8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45834</v>
      </c>
      <c r="BG10" s="71" t="n">
        <v>0</v>
      </c>
      <c r="BH10" s="68"/>
      <c r="BI10" s="50"/>
      <c r="BJ10" s="75" t="n">
        <f aca="false">SUM(X10,AD10,AJ10,AP10,AV10,AX10:AY10,BH10,BB10,BG10)</f>
        <v>40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v>9</v>
      </c>
      <c r="B11" s="60" t="s">
        <v>982</v>
      </c>
      <c r="C11" s="113" t="s">
        <v>981</v>
      </c>
      <c r="D11" s="113" t="s">
        <v>394</v>
      </c>
      <c r="E11" s="62"/>
      <c r="F11" s="63" t="s">
        <v>735</v>
      </c>
      <c r="G11" s="63" t="s">
        <v>739</v>
      </c>
      <c r="H11" s="63" t="s">
        <v>734</v>
      </c>
      <c r="I11" s="63" t="s">
        <v>696</v>
      </c>
      <c r="J11" s="63" t="s">
        <v>739</v>
      </c>
      <c r="K11" s="63" t="s">
        <v>734</v>
      </c>
      <c r="L11" s="63" t="s">
        <v>734</v>
      </c>
      <c r="M11" s="63" t="s">
        <v>739</v>
      </c>
      <c r="N11" s="64"/>
      <c r="O11" s="64"/>
      <c r="P11" s="64"/>
      <c r="Q11" s="64"/>
      <c r="R11" s="64"/>
      <c r="S11" s="65"/>
      <c r="T11" s="70" t="n">
        <v>1607</v>
      </c>
      <c r="U11" s="67" t="n">
        <v>45715</v>
      </c>
      <c r="V11" s="67" t="n">
        <v>45715</v>
      </c>
      <c r="W11" s="67" t="n">
        <v>45728</v>
      </c>
      <c r="X11" s="68" t="n">
        <v>9</v>
      </c>
      <c r="Y11" s="69"/>
      <c r="Z11" s="70" t="n">
        <v>16410</v>
      </c>
      <c r="AA11" s="67" t="n">
        <v>45757</v>
      </c>
      <c r="AB11" s="67" t="n">
        <v>45757</v>
      </c>
      <c r="AC11" s="67" t="n">
        <v>45757</v>
      </c>
      <c r="AD11" s="68" t="n">
        <v>8</v>
      </c>
      <c r="AE11" s="69"/>
      <c r="AF11" s="70" t="n">
        <v>16510</v>
      </c>
      <c r="AG11" s="67" t="n">
        <v>45771</v>
      </c>
      <c r="AH11" s="67" t="n">
        <v>45799</v>
      </c>
      <c r="AI11" s="67" t="n">
        <v>45799</v>
      </c>
      <c r="AJ11" s="68" t="n">
        <v>9</v>
      </c>
      <c r="AK11" s="69"/>
      <c r="AL11" s="70" t="n">
        <v>16606</v>
      </c>
      <c r="AM11" s="67" t="n">
        <v>45805</v>
      </c>
      <c r="AN11" s="67" t="n">
        <v>45805</v>
      </c>
      <c r="AO11" s="67" t="n">
        <v>45805</v>
      </c>
      <c r="AP11" s="68" t="n">
        <v>10</v>
      </c>
      <c r="AQ11" s="69"/>
      <c r="AR11" s="70" t="n">
        <v>16705</v>
      </c>
      <c r="AS11" s="67" t="n">
        <v>45805</v>
      </c>
      <c r="AT11" s="67" t="n">
        <v>45805</v>
      </c>
      <c r="AU11" s="67" t="n">
        <v>45805</v>
      </c>
      <c r="AV11" s="68" t="n">
        <v>8</v>
      </c>
      <c r="AW11" s="69"/>
      <c r="AX11" s="68" t="n">
        <v>1</v>
      </c>
      <c r="AY11" s="68"/>
      <c r="AZ11" s="69"/>
      <c r="BA11" s="67" t="n">
        <v>45792</v>
      </c>
      <c r="BB11" s="71" t="n">
        <v>10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45834</v>
      </c>
      <c r="BG11" s="71" t="n">
        <v>29</v>
      </c>
      <c r="BH11" s="68"/>
      <c r="BI11" s="50"/>
      <c r="BJ11" s="75" t="n">
        <f aca="false">SUM(X11,AD11,AJ11,AP11,AV11,AX11:AY11,BH11,BB11,BG11)</f>
        <v>84</v>
      </c>
      <c r="BK11" s="73" t="str">
        <f aca="false">IF(BJ11&gt;90,"A",IF(BJ11&gt;83,"B",IF(BJ11&gt;74,"C",IF(BJ11&gt;67,"D",IF(BJ11&gt;=60,"E","FX")))))</f>
        <v>B</v>
      </c>
    </row>
    <row r="12" customFormat="false" ht="15.75" hidden="false" customHeight="false" outlineLevel="0" collapsed="false">
      <c r="A12" s="59" t="n">
        <v>10</v>
      </c>
      <c r="B12" s="60" t="s">
        <v>465</v>
      </c>
      <c r="C12" s="113" t="s">
        <v>981</v>
      </c>
      <c r="D12" s="113" t="s">
        <v>464</v>
      </c>
      <c r="E12" s="62"/>
      <c r="F12" s="63" t="s">
        <v>696</v>
      </c>
      <c r="G12" s="63" t="s">
        <v>734</v>
      </c>
      <c r="H12" s="63" t="s">
        <v>734</v>
      </c>
      <c r="I12" s="63" t="s">
        <v>734</v>
      </c>
      <c r="J12" s="63" t="s">
        <v>739</v>
      </c>
      <c r="K12" s="63" t="s">
        <v>734</v>
      </c>
      <c r="L12" s="63" t="s">
        <v>734</v>
      </c>
      <c r="M12" s="63" t="s">
        <v>739</v>
      </c>
      <c r="N12" s="64" t="s">
        <v>739</v>
      </c>
      <c r="O12" s="64"/>
      <c r="P12" s="64"/>
      <c r="Q12" s="64"/>
      <c r="R12" s="64"/>
      <c r="S12" s="65"/>
      <c r="T12" s="70" t="n">
        <v>1608</v>
      </c>
      <c r="U12" s="67" t="n">
        <v>45715</v>
      </c>
      <c r="V12" s="67" t="n">
        <v>45728</v>
      </c>
      <c r="W12" s="67" t="n">
        <v>45757</v>
      </c>
      <c r="X12" s="68" t="n">
        <v>8</v>
      </c>
      <c r="Y12" s="69"/>
      <c r="Z12" s="70" t="n">
        <v>16413</v>
      </c>
      <c r="AA12" s="67" t="n">
        <v>45771</v>
      </c>
      <c r="AB12" s="67" t="n">
        <v>45799</v>
      </c>
      <c r="AC12" s="67" t="n">
        <v>45799</v>
      </c>
      <c r="AD12" s="68" t="n">
        <v>8</v>
      </c>
      <c r="AE12" s="69"/>
      <c r="AF12" s="70" t="n">
        <v>16514</v>
      </c>
      <c r="AG12" s="106" t="n">
        <v>45805</v>
      </c>
      <c r="AH12" s="67" t="n">
        <v>45805</v>
      </c>
      <c r="AI12" s="67" t="n">
        <v>45805</v>
      </c>
      <c r="AJ12" s="68" t="n">
        <v>9</v>
      </c>
      <c r="AK12" s="69"/>
      <c r="AL12" s="70" t="n">
        <v>16611</v>
      </c>
      <c r="AM12" s="106" t="n">
        <v>45811</v>
      </c>
      <c r="AN12" s="106" t="n">
        <v>45811</v>
      </c>
      <c r="AO12" s="106" t="n">
        <v>45811</v>
      </c>
      <c r="AP12" s="68" t="n">
        <v>8</v>
      </c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68" t="n">
        <v>0</v>
      </c>
      <c r="AW12" s="69"/>
      <c r="AX12" s="68"/>
      <c r="AY12" s="68"/>
      <c r="AZ12" s="69"/>
      <c r="BA12" s="67" t="n">
        <v>45826</v>
      </c>
      <c r="BB12" s="71" t="n">
        <v>7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45834</v>
      </c>
      <c r="BG12" s="71" t="n">
        <v>27</v>
      </c>
      <c r="BH12" s="68" t="n">
        <v>1</v>
      </c>
      <c r="BI12" s="50"/>
      <c r="BJ12" s="75" t="n">
        <f aca="false">SUM(X12,AD12,AJ12,AP12,AV12,AX12:AY12,BH12,BB12,BG12)</f>
        <v>68</v>
      </c>
      <c r="BK12" s="73" t="str">
        <f aca="false">IF(BJ12&gt;90,"A",IF(BJ12&gt;83,"B",IF(BJ12&gt;74,"C",IF(BJ12&gt;67,"D",IF(BJ12&gt;=60,"E","FX")))))</f>
        <v>D</v>
      </c>
    </row>
    <row r="13" customFormat="false" ht="15.75" hidden="false" customHeight="false" outlineLevel="0" collapsed="false">
      <c r="A13" s="59" t="n">
        <v>11</v>
      </c>
      <c r="B13" s="60" t="s">
        <v>471</v>
      </c>
      <c r="C13" s="113" t="s">
        <v>981</v>
      </c>
      <c r="D13" s="113" t="s">
        <v>470</v>
      </c>
      <c r="E13" s="62"/>
      <c r="F13" s="63" t="s">
        <v>734</v>
      </c>
      <c r="G13" s="63" t="s">
        <v>739</v>
      </c>
      <c r="H13" s="63" t="s">
        <v>739</v>
      </c>
      <c r="I13" s="63" t="s">
        <v>734</v>
      </c>
      <c r="J13" s="63" t="s">
        <v>734</v>
      </c>
      <c r="K13" s="63" t="s">
        <v>734</v>
      </c>
      <c r="L13" s="63" t="s">
        <v>734</v>
      </c>
      <c r="M13" s="63" t="s">
        <v>735</v>
      </c>
      <c r="N13" s="64"/>
      <c r="O13" s="64"/>
      <c r="P13" s="64"/>
      <c r="Q13" s="64"/>
      <c r="R13" s="64"/>
      <c r="S13" s="65"/>
      <c r="T13" s="70" t="n">
        <v>1609</v>
      </c>
      <c r="U13" s="67" t="n">
        <v>45701</v>
      </c>
      <c r="V13" s="67" t="n">
        <v>45715</v>
      </c>
      <c r="W13" s="67" t="n">
        <v>45715</v>
      </c>
      <c r="X13" s="68" t="n">
        <v>8</v>
      </c>
      <c r="Y13" s="69"/>
      <c r="Z13" s="70" t="n">
        <v>16401</v>
      </c>
      <c r="AA13" s="67" t="n">
        <v>45728</v>
      </c>
      <c r="AB13" s="67" t="n">
        <v>45728</v>
      </c>
      <c r="AC13" s="67" t="n">
        <v>45728</v>
      </c>
      <c r="AD13" s="68" t="n">
        <v>8.5</v>
      </c>
      <c r="AE13" s="69"/>
      <c r="AF13" s="70" t="n">
        <v>16502</v>
      </c>
      <c r="AG13" s="67" t="n">
        <v>45743</v>
      </c>
      <c r="AH13" s="67" t="n">
        <v>45757</v>
      </c>
      <c r="AI13" s="67" t="n">
        <v>45757</v>
      </c>
      <c r="AJ13" s="68" t="n">
        <v>9.5</v>
      </c>
      <c r="AK13" s="69"/>
      <c r="AL13" s="70" t="n">
        <v>16601</v>
      </c>
      <c r="AM13" s="67" t="n">
        <v>45771</v>
      </c>
      <c r="AN13" s="67" t="n">
        <v>45771</v>
      </c>
      <c r="AO13" s="67" t="n">
        <v>45771</v>
      </c>
      <c r="AP13" s="68" t="n">
        <v>10</v>
      </c>
      <c r="AQ13" s="69"/>
      <c r="AR13" s="70" t="n">
        <v>16700</v>
      </c>
      <c r="AS13" s="67" t="n">
        <v>45799</v>
      </c>
      <c r="AT13" s="67" t="n">
        <v>45799</v>
      </c>
      <c r="AU13" s="67" t="n">
        <v>45799</v>
      </c>
      <c r="AV13" s="68" t="n">
        <v>10</v>
      </c>
      <c r="AW13" s="69"/>
      <c r="AX13" s="68" t="n">
        <v>2</v>
      </c>
      <c r="AY13" s="68" t="n">
        <v>2</v>
      </c>
      <c r="AZ13" s="69"/>
      <c r="BA13" s="67" t="n">
        <v>45792</v>
      </c>
      <c r="BB13" s="71" t="n">
        <v>7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45834</v>
      </c>
      <c r="BG13" s="71" t="n">
        <v>26</v>
      </c>
      <c r="BH13" s="68" t="n">
        <v>1</v>
      </c>
      <c r="BI13" s="50"/>
      <c r="BJ13" s="75" t="n">
        <f aca="false">SUM(X13,AD13,AJ13,AP13,AV13,AX13:AY13,BH13,BB13,BG13)</f>
        <v>84</v>
      </c>
      <c r="BK13" s="73" t="str">
        <f aca="false">IF(BJ13&gt;90,"A",IF(BJ13&gt;83,"B",IF(BJ13&gt;74,"C",IF(BJ13&gt;67,"D",IF(BJ13&gt;=60,"E","FX")))))</f>
        <v>B</v>
      </c>
    </row>
    <row r="14" customFormat="false" ht="15.75" hidden="false" customHeight="false" outlineLevel="0" collapsed="false">
      <c r="A14" s="59" t="n">
        <v>12</v>
      </c>
      <c r="B14" s="60" t="s">
        <v>477</v>
      </c>
      <c r="C14" s="113" t="s">
        <v>981</v>
      </c>
      <c r="D14" s="113" t="s">
        <v>476</v>
      </c>
      <c r="E14" s="62"/>
      <c r="F14" s="63" t="s">
        <v>739</v>
      </c>
      <c r="G14" s="63" t="s">
        <v>734</v>
      </c>
      <c r="H14" s="63" t="s">
        <v>739</v>
      </c>
      <c r="I14" s="63" t="s">
        <v>739</v>
      </c>
      <c r="J14" s="63" t="s">
        <v>734</v>
      </c>
      <c r="K14" s="63" t="s">
        <v>734</v>
      </c>
      <c r="L14" s="63" t="s">
        <v>734</v>
      </c>
      <c r="M14" s="63" t="s">
        <v>739</v>
      </c>
      <c r="N14" s="64"/>
      <c r="O14" s="64"/>
      <c r="P14" s="64"/>
      <c r="Q14" s="64"/>
      <c r="R14" s="64"/>
      <c r="S14" s="65"/>
      <c r="T14" s="70" t="n">
        <v>1610</v>
      </c>
      <c r="U14" s="67" t="n">
        <v>45701</v>
      </c>
      <c r="V14" s="67" t="n">
        <v>45728</v>
      </c>
      <c r="W14" s="67" t="n">
        <v>45728</v>
      </c>
      <c r="X14" s="68" t="n">
        <v>8</v>
      </c>
      <c r="Y14" s="69"/>
      <c r="Z14" s="70" t="n">
        <v>16409</v>
      </c>
      <c r="AA14" s="67" t="n">
        <v>45743</v>
      </c>
      <c r="AB14" s="67" t="n">
        <v>45743</v>
      </c>
      <c r="AC14" s="67" t="n">
        <v>45743</v>
      </c>
      <c r="AD14" s="68" t="n">
        <v>9.5</v>
      </c>
      <c r="AE14" s="69"/>
      <c r="AF14" s="70" t="n">
        <v>16505</v>
      </c>
      <c r="AG14" s="67" t="n">
        <v>45757</v>
      </c>
      <c r="AH14" s="67" t="n">
        <v>45771</v>
      </c>
      <c r="AI14" s="67" t="n">
        <v>45771</v>
      </c>
      <c r="AJ14" s="68" t="n">
        <v>8.5</v>
      </c>
      <c r="AK14" s="69"/>
      <c r="AL14" s="70" t="n">
        <v>16604</v>
      </c>
      <c r="AM14" s="67" t="n">
        <v>45799</v>
      </c>
      <c r="AN14" s="67" t="n">
        <v>45799</v>
      </c>
      <c r="AO14" s="67" t="n">
        <v>45799</v>
      </c>
      <c r="AP14" s="68" t="n">
        <v>9</v>
      </c>
      <c r="AQ14" s="69"/>
      <c r="AR14" s="70" t="n">
        <v>16703</v>
      </c>
      <c r="AS14" s="67" t="n">
        <v>45805</v>
      </c>
      <c r="AT14" s="67" t="n">
        <v>45805</v>
      </c>
      <c r="AU14" s="67" t="n">
        <v>45805</v>
      </c>
      <c r="AV14" s="68" t="n">
        <v>8.5</v>
      </c>
      <c r="AW14" s="69"/>
      <c r="AX14" s="68"/>
      <c r="AY14" s="68" t="n">
        <v>1</v>
      </c>
      <c r="AZ14" s="69"/>
      <c r="BA14" s="67" t="n">
        <v>45792</v>
      </c>
      <c r="BB14" s="71" t="n">
        <v>7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45834</v>
      </c>
      <c r="BG14" s="71" t="n">
        <v>27</v>
      </c>
      <c r="BH14" s="68"/>
      <c r="BI14" s="50"/>
      <c r="BJ14" s="75" t="n">
        <f aca="false">SUM(X14,AD14,AJ14,AP14,AV14,AX14:AY14,BH14,BB14,BG14)</f>
        <v>78.5</v>
      </c>
      <c r="BK14" s="73" t="str">
        <f aca="false">IF(BJ14&gt;90,"A",IF(BJ14&gt;83,"B",IF(BJ14&gt;74,"C",IF(BJ14&gt;67,"D",IF(BJ14&gt;=60,"E","FX")))))</f>
        <v>C</v>
      </c>
    </row>
    <row r="15" customFormat="false" ht="15.75" hidden="false" customHeight="false" outlineLevel="0" collapsed="false">
      <c r="A15" s="59" t="n">
        <v>13</v>
      </c>
      <c r="B15" s="60" t="s">
        <v>513</v>
      </c>
      <c r="C15" s="113" t="s">
        <v>981</v>
      </c>
      <c r="D15" s="113" t="s">
        <v>512</v>
      </c>
      <c r="E15" s="62"/>
      <c r="F15" s="63" t="s">
        <v>696</v>
      </c>
      <c r="G15" s="63" t="s">
        <v>739</v>
      </c>
      <c r="H15" s="63" t="s">
        <v>734</v>
      </c>
      <c r="I15" s="63" t="s">
        <v>734</v>
      </c>
      <c r="J15" s="63" t="s">
        <v>734</v>
      </c>
      <c r="K15" s="63" t="s">
        <v>734</v>
      </c>
      <c r="L15" s="63" t="s">
        <v>734</v>
      </c>
      <c r="M15" s="63" t="s">
        <v>734</v>
      </c>
      <c r="N15" s="64"/>
      <c r="O15" s="64"/>
      <c r="P15" s="64"/>
      <c r="Q15" s="64"/>
      <c r="R15" s="64"/>
      <c r="S15" s="65"/>
      <c r="T15" s="70" t="n">
        <v>1619</v>
      </c>
      <c r="U15" s="67" t="n">
        <v>45715</v>
      </c>
      <c r="V15" s="67" t="n">
        <v>45715</v>
      </c>
      <c r="W15" s="67" t="n">
        <v>45728</v>
      </c>
      <c r="X15" s="68" t="n">
        <v>10</v>
      </c>
      <c r="Y15" s="69"/>
      <c r="Z15" s="70" t="n">
        <v>16405</v>
      </c>
      <c r="AA15" s="67" t="n">
        <v>45728</v>
      </c>
      <c r="AB15" s="67" t="n">
        <v>45743</v>
      </c>
      <c r="AC15" s="67" t="n">
        <v>45743</v>
      </c>
      <c r="AD15" s="68" t="n">
        <v>9.5</v>
      </c>
      <c r="AE15" s="69"/>
      <c r="AF15" s="70" t="n">
        <v>16504</v>
      </c>
      <c r="AG15" s="67" t="n">
        <v>45757</v>
      </c>
      <c r="AH15" s="67" t="n">
        <v>45771</v>
      </c>
      <c r="AI15" s="67" t="n">
        <v>45799</v>
      </c>
      <c r="AJ15" s="68" t="n">
        <v>9</v>
      </c>
      <c r="AK15" s="69"/>
      <c r="AL15" s="70" t="n">
        <v>16605</v>
      </c>
      <c r="AM15" s="67" t="n">
        <v>45799</v>
      </c>
      <c r="AN15" s="67" t="n">
        <v>45805</v>
      </c>
      <c r="AO15" s="67" t="n">
        <v>45805</v>
      </c>
      <c r="AP15" s="68" t="n">
        <v>9</v>
      </c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68" t="n">
        <v>0</v>
      </c>
      <c r="AW15" s="69"/>
      <c r="AX15" s="68" t="n">
        <v>0</v>
      </c>
      <c r="AY15" s="68" t="n">
        <v>0</v>
      </c>
      <c r="AZ15" s="69"/>
      <c r="BA15" s="67" t="n">
        <v>45792</v>
      </c>
      <c r="BB15" s="71" t="n">
        <v>8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45834</v>
      </c>
      <c r="BG15" s="71" t="n">
        <v>28</v>
      </c>
      <c r="BH15" s="68" t="n">
        <v>1</v>
      </c>
      <c r="BI15" s="50"/>
      <c r="BJ15" s="75" t="n">
        <f aca="false">SUM(X15,AD15,AJ15,AP15,AV15,AX15:AY15,BH15,BB15,BG15)</f>
        <v>74.5</v>
      </c>
      <c r="BK15" s="73" t="str">
        <f aca="false">IF(BJ15&gt;90,"A",IF(BJ15&gt;83,"B",IF(BJ15&gt;74,"C",IF(BJ15&gt;67,"D",IF(BJ15&gt;=60,"E","FX")))))</f>
        <v>C</v>
      </c>
    </row>
    <row r="16" customFormat="false" ht="15.75" hidden="false" customHeight="false" outlineLevel="0" collapsed="false">
      <c r="A16" s="59" t="n">
        <v>14</v>
      </c>
      <c r="B16" s="112" t="s">
        <v>517</v>
      </c>
      <c r="C16" s="113" t="s">
        <v>981</v>
      </c>
      <c r="D16" s="113" t="s">
        <v>516</v>
      </c>
      <c r="E16" s="62"/>
      <c r="F16" s="63" t="s">
        <v>735</v>
      </c>
      <c r="G16" s="63" t="s">
        <v>735</v>
      </c>
      <c r="H16" s="63" t="s">
        <v>735</v>
      </c>
      <c r="I16" s="63" t="s">
        <v>735</v>
      </c>
      <c r="J16" s="63" t="s">
        <v>735</v>
      </c>
      <c r="K16" s="63" t="s">
        <v>735</v>
      </c>
      <c r="L16" s="63" t="s">
        <v>735</v>
      </c>
      <c r="M16" s="63" t="s">
        <v>735</v>
      </c>
      <c r="N16" s="119"/>
      <c r="O16" s="119"/>
      <c r="P16" s="119"/>
      <c r="Q16" s="119"/>
      <c r="R16" s="119"/>
      <c r="S16" s="65"/>
      <c r="T16" s="66" t="s">
        <v>983</v>
      </c>
      <c r="U16" s="127"/>
      <c r="V16" s="127"/>
      <c r="W16" s="127"/>
      <c r="X16" s="128"/>
      <c r="Y16" s="69"/>
      <c r="Z16" s="129"/>
      <c r="AA16" s="127"/>
      <c r="AB16" s="127"/>
      <c r="AC16" s="127"/>
      <c r="AD16" s="128"/>
      <c r="AE16" s="69"/>
      <c r="AF16" s="129"/>
      <c r="AG16" s="127"/>
      <c r="AH16" s="127"/>
      <c r="AI16" s="127"/>
      <c r="AJ16" s="128"/>
      <c r="AK16" s="69"/>
      <c r="AL16" s="129"/>
      <c r="AM16" s="129"/>
      <c r="AN16" s="129"/>
      <c r="AO16" s="129"/>
      <c r="AP16" s="128"/>
      <c r="AQ16" s="69"/>
      <c r="AR16" s="70" t="s">
        <v>737</v>
      </c>
      <c r="AS16" s="70" t="s">
        <v>737</v>
      </c>
      <c r="AT16" s="70" t="s">
        <v>737</v>
      </c>
      <c r="AU16" s="70" t="s">
        <v>737</v>
      </c>
      <c r="AV16" s="68" t="n">
        <v>0</v>
      </c>
      <c r="AW16" s="69"/>
      <c r="AX16" s="68"/>
      <c r="AY16" s="68"/>
      <c r="AZ16" s="69"/>
      <c r="BA16" s="67"/>
      <c r="BB16" s="71"/>
      <c r="BC16" s="72"/>
      <c r="BD16" s="73" t="str">
        <f aca="false">IF(AND(BB16&gt;=6,AP16&gt;=6,AJ16&gt;=6,AD16&gt;=6,X16&gt;=6),"да","нет")</f>
        <v>нет</v>
      </c>
      <c r="BE16" s="72"/>
      <c r="BF16" s="118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v>15</v>
      </c>
      <c r="B17" s="60" t="s">
        <v>539</v>
      </c>
      <c r="C17" s="113" t="s">
        <v>981</v>
      </c>
      <c r="D17" s="113" t="s">
        <v>538</v>
      </c>
      <c r="E17" s="62"/>
      <c r="F17" s="63" t="s">
        <v>696</v>
      </c>
      <c r="G17" s="63" t="s">
        <v>734</v>
      </c>
      <c r="H17" s="63" t="s">
        <v>739</v>
      </c>
      <c r="I17" s="63" t="s">
        <v>735</v>
      </c>
      <c r="J17" s="63" t="s">
        <v>734</v>
      </c>
      <c r="K17" s="63" t="s">
        <v>734</v>
      </c>
      <c r="L17" s="63" t="s">
        <v>734</v>
      </c>
      <c r="M17" s="63" t="s">
        <v>739</v>
      </c>
      <c r="N17" s="64"/>
      <c r="O17" s="64" t="s">
        <v>734</v>
      </c>
      <c r="P17" s="64" t="s">
        <v>734</v>
      </c>
      <c r="Q17" s="64"/>
      <c r="R17" s="64"/>
      <c r="S17" s="65"/>
      <c r="T17" s="70" t="n">
        <v>1618</v>
      </c>
      <c r="U17" s="67" t="n">
        <v>45715</v>
      </c>
      <c r="V17" s="67" t="n">
        <v>45757</v>
      </c>
      <c r="W17" s="67" t="n">
        <v>45757</v>
      </c>
      <c r="X17" s="68" t="n">
        <v>6</v>
      </c>
      <c r="Y17" s="69"/>
      <c r="Z17" s="70" t="n">
        <v>16417</v>
      </c>
      <c r="AA17" s="67" t="n">
        <v>45771</v>
      </c>
      <c r="AB17" s="67" t="n">
        <v>45799</v>
      </c>
      <c r="AC17" s="67" t="n">
        <v>45799</v>
      </c>
      <c r="AD17" s="68" t="n">
        <v>10</v>
      </c>
      <c r="AE17" s="69"/>
      <c r="AF17" s="70" t="n">
        <v>16513</v>
      </c>
      <c r="AG17" s="67" t="n">
        <v>45805</v>
      </c>
      <c r="AH17" s="67" t="n">
        <v>45811</v>
      </c>
      <c r="AI17" s="67" t="n">
        <v>45811</v>
      </c>
      <c r="AJ17" s="68" t="n">
        <v>10</v>
      </c>
      <c r="AK17" s="69"/>
      <c r="AL17" s="70" t="n">
        <v>16612</v>
      </c>
      <c r="AM17" s="106" t="n">
        <v>45813</v>
      </c>
      <c r="AN17" s="106" t="n">
        <v>45813</v>
      </c>
      <c r="AO17" s="106" t="n">
        <v>45813</v>
      </c>
      <c r="AP17" s="68" t="n">
        <v>9</v>
      </c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68" t="n">
        <v>0</v>
      </c>
      <c r="AW17" s="69"/>
      <c r="AX17" s="68" t="n">
        <v>0</v>
      </c>
      <c r="AY17" s="68" t="n">
        <v>2</v>
      </c>
      <c r="AZ17" s="69"/>
      <c r="BA17" s="67" t="n">
        <v>45792</v>
      </c>
      <c r="BB17" s="71" t="n">
        <v>8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45834</v>
      </c>
      <c r="BG17" s="71" t="n">
        <v>0</v>
      </c>
      <c r="BH17" s="68"/>
      <c r="BI17" s="50"/>
      <c r="BJ17" s="75" t="n">
        <f aca="false">SUM(X17,AD17,AJ17,AP17,AV17,AX17:AY17,BH17,BB17,BG17)</f>
        <v>45</v>
      </c>
      <c r="BK17" s="73" t="str">
        <f aca="false">IF(BJ17&gt;90,"A",IF(BJ17&gt;83,"B",IF(BJ17&gt;74,"C",IF(BJ17&gt;67,"D",IF(BJ17&gt;=60,"E","FX")))))</f>
        <v>FX</v>
      </c>
    </row>
    <row r="18" customFormat="false" ht="15.75" hidden="false" customHeight="false" outlineLevel="0" collapsed="false">
      <c r="A18" s="59" t="n">
        <v>16</v>
      </c>
      <c r="B18" s="60" t="s">
        <v>543</v>
      </c>
      <c r="C18" s="113" t="s">
        <v>981</v>
      </c>
      <c r="D18" s="113" t="s">
        <v>542</v>
      </c>
      <c r="E18" s="62"/>
      <c r="F18" s="63" t="s">
        <v>696</v>
      </c>
      <c r="G18" s="63" t="s">
        <v>735</v>
      </c>
      <c r="H18" s="63" t="s">
        <v>735</v>
      </c>
      <c r="I18" s="63" t="s">
        <v>734</v>
      </c>
      <c r="J18" s="63" t="s">
        <v>734</v>
      </c>
      <c r="K18" s="63" t="s">
        <v>734</v>
      </c>
      <c r="L18" s="63" t="s">
        <v>696</v>
      </c>
      <c r="M18" s="63" t="s">
        <v>735</v>
      </c>
      <c r="N18" s="64"/>
      <c r="O18" s="64" t="s">
        <v>734</v>
      </c>
      <c r="P18" s="64"/>
      <c r="Q18" s="64"/>
      <c r="R18" s="64"/>
      <c r="S18" s="65"/>
      <c r="T18" s="70" t="n">
        <v>1611</v>
      </c>
      <c r="U18" s="67" t="n">
        <v>45743</v>
      </c>
      <c r="V18" s="67" t="n">
        <v>45757</v>
      </c>
      <c r="W18" s="67" t="n">
        <v>45757</v>
      </c>
      <c r="X18" s="68" t="n">
        <v>6</v>
      </c>
      <c r="Y18" s="69"/>
      <c r="Z18" s="70" t="n">
        <v>16416</v>
      </c>
      <c r="AA18" s="67" t="n">
        <v>45771</v>
      </c>
      <c r="AB18" s="67" t="n">
        <v>45813</v>
      </c>
      <c r="AC18" s="67" t="n">
        <v>45813</v>
      </c>
      <c r="AD18" s="68" t="n">
        <v>7</v>
      </c>
      <c r="AE18" s="69"/>
      <c r="AF18" s="70" t="n">
        <v>16519</v>
      </c>
      <c r="AG18" s="67"/>
      <c r="AH18" s="67"/>
      <c r="AI18" s="67"/>
      <c r="AJ18" s="68"/>
      <c r="AK18" s="69"/>
      <c r="AL18" s="70"/>
      <c r="AM18" s="70"/>
      <c r="AN18" s="70"/>
      <c r="AO18" s="70"/>
      <c r="AP18" s="68"/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 t="n">
        <v>0</v>
      </c>
      <c r="AY18" s="68"/>
      <c r="AZ18" s="69"/>
      <c r="BA18" s="67" t="n">
        <v>45792</v>
      </c>
      <c r="BB18" s="71" t="n">
        <v>0</v>
      </c>
      <c r="BC18" s="72"/>
      <c r="BD18" s="73" t="str">
        <f aca="false">IF(AND(BB18&gt;=6,AP18&gt;=6,AJ18&gt;=6,AD18&gt;=6,X18&gt;=6),"да","нет")</f>
        <v>нет</v>
      </c>
      <c r="BE18" s="72"/>
      <c r="BF18" s="118"/>
      <c r="BG18" s="71"/>
      <c r="BH18" s="68"/>
      <c r="BI18" s="50"/>
      <c r="BJ18" s="75" t="n">
        <f aca="false">SUM(X18,AD18,AJ18,AP18,AV18,AX18:AY18,BH18,BB18,BG18)</f>
        <v>13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v>17</v>
      </c>
      <c r="B19" s="60" t="s">
        <v>547</v>
      </c>
      <c r="C19" s="113" t="s">
        <v>981</v>
      </c>
      <c r="D19" s="113" t="s">
        <v>546</v>
      </c>
      <c r="E19" s="62"/>
      <c r="F19" s="63" t="s">
        <v>738</v>
      </c>
      <c r="G19" s="63" t="s">
        <v>734</v>
      </c>
      <c r="H19" s="63" t="s">
        <v>734</v>
      </c>
      <c r="I19" s="63" t="s">
        <v>734</v>
      </c>
      <c r="J19" s="63" t="s">
        <v>735</v>
      </c>
      <c r="K19" s="63" t="s">
        <v>734</v>
      </c>
      <c r="L19" s="63" t="s">
        <v>735</v>
      </c>
      <c r="M19" s="63" t="s">
        <v>734</v>
      </c>
      <c r="N19" s="64" t="s">
        <v>734</v>
      </c>
      <c r="O19" s="64"/>
      <c r="P19" s="64"/>
      <c r="Q19" s="64"/>
      <c r="R19" s="64"/>
      <c r="S19" s="65"/>
      <c r="T19" s="70" t="n">
        <v>1612</v>
      </c>
      <c r="U19" s="67" t="n">
        <v>45701</v>
      </c>
      <c r="V19" s="67" t="n">
        <v>45701</v>
      </c>
      <c r="W19" s="67" t="n">
        <v>45715</v>
      </c>
      <c r="X19" s="68" t="n">
        <v>9</v>
      </c>
      <c r="Y19" s="69"/>
      <c r="Z19" s="70" t="n">
        <v>16402</v>
      </c>
      <c r="AA19" s="67" t="n">
        <v>45728</v>
      </c>
      <c r="AB19" s="67" t="n">
        <v>45743</v>
      </c>
      <c r="AC19" s="67" t="n">
        <v>45743</v>
      </c>
      <c r="AD19" s="68" t="n">
        <v>9</v>
      </c>
      <c r="AE19" s="69"/>
      <c r="AF19" s="70" t="n">
        <v>16503</v>
      </c>
      <c r="AG19" s="67" t="n">
        <v>45771</v>
      </c>
      <c r="AH19" s="67" t="n">
        <v>45805</v>
      </c>
      <c r="AI19" s="67" t="n">
        <v>45805</v>
      </c>
      <c r="AJ19" s="68" t="n">
        <v>10</v>
      </c>
      <c r="AK19" s="69"/>
      <c r="AL19" s="70" t="n">
        <v>16609</v>
      </c>
      <c r="AM19" s="106" t="n">
        <v>45811</v>
      </c>
      <c r="AN19" s="106" t="n">
        <v>45811</v>
      </c>
      <c r="AO19" s="106" t="n">
        <v>45811</v>
      </c>
      <c r="AP19" s="68" t="n">
        <v>9</v>
      </c>
      <c r="AQ19" s="69"/>
      <c r="AR19" s="70" t="s">
        <v>737</v>
      </c>
      <c r="AS19" s="70" t="s">
        <v>737</v>
      </c>
      <c r="AT19" s="70" t="s">
        <v>737</v>
      </c>
      <c r="AU19" s="70" t="s">
        <v>737</v>
      </c>
      <c r="AV19" s="68" t="n">
        <v>0</v>
      </c>
      <c r="AW19" s="69"/>
      <c r="AX19" s="68"/>
      <c r="AY19" s="68"/>
      <c r="AZ19" s="69"/>
      <c r="BA19" s="67" t="n">
        <v>45826</v>
      </c>
      <c r="BB19" s="71" t="n">
        <v>10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45834</v>
      </c>
      <c r="BG19" s="71" t="n">
        <v>25.1</v>
      </c>
      <c r="BH19" s="68" t="n">
        <v>2</v>
      </c>
      <c r="BI19" s="50"/>
      <c r="BJ19" s="75" t="n">
        <f aca="false">SUM(X19,AD19,AJ19,AP19,AV19,AX19:AY19,BH19,BB19,BG19)</f>
        <v>74.1</v>
      </c>
      <c r="BK19" s="73" t="str">
        <f aca="false">IF(BJ19&gt;90,"A",IF(BJ19&gt;83,"B",IF(BJ19&gt;74,"C",IF(BJ19&gt;67,"D",IF(BJ19&gt;=60,"E","FX")))))</f>
        <v>C</v>
      </c>
    </row>
    <row r="20" customFormat="false" ht="15.75" hidden="false" customHeight="false" outlineLevel="0" collapsed="false">
      <c r="A20" s="59" t="n">
        <v>18</v>
      </c>
      <c r="B20" s="60" t="s">
        <v>575</v>
      </c>
      <c r="C20" s="113" t="s">
        <v>981</v>
      </c>
      <c r="D20" s="113" t="s">
        <v>574</v>
      </c>
      <c r="E20" s="62"/>
      <c r="F20" s="63" t="s">
        <v>734</v>
      </c>
      <c r="G20" s="63" t="s">
        <v>735</v>
      </c>
      <c r="H20" s="63" t="s">
        <v>734</v>
      </c>
      <c r="I20" s="63" t="s">
        <v>734</v>
      </c>
      <c r="J20" s="63" t="s">
        <v>734</v>
      </c>
      <c r="K20" s="63" t="s">
        <v>735</v>
      </c>
      <c r="L20" s="63" t="s">
        <v>734</v>
      </c>
      <c r="M20" s="63" t="s">
        <v>734</v>
      </c>
      <c r="N20" s="64" t="s">
        <v>734</v>
      </c>
      <c r="O20" s="64"/>
      <c r="P20" s="64"/>
      <c r="Q20" s="64"/>
      <c r="R20" s="64"/>
      <c r="S20" s="65"/>
      <c r="T20" s="70" t="n">
        <v>1613</v>
      </c>
      <c r="U20" s="67" t="n">
        <v>45701</v>
      </c>
      <c r="V20" s="67" t="n">
        <v>45728</v>
      </c>
      <c r="W20" s="67" t="n">
        <v>45728</v>
      </c>
      <c r="X20" s="68" t="n">
        <v>9</v>
      </c>
      <c r="Y20" s="69"/>
      <c r="Z20" s="70" t="n">
        <v>16406</v>
      </c>
      <c r="AA20" s="67" t="n">
        <v>45743</v>
      </c>
      <c r="AB20" s="67" t="n">
        <v>45757</v>
      </c>
      <c r="AC20" s="67" t="n">
        <v>45757</v>
      </c>
      <c r="AD20" s="68" t="n">
        <v>10</v>
      </c>
      <c r="AE20" s="69"/>
      <c r="AF20" s="70" t="n">
        <v>16508</v>
      </c>
      <c r="AG20" s="67" t="n">
        <v>45805</v>
      </c>
      <c r="AH20" s="67" t="n">
        <v>45805</v>
      </c>
      <c r="AI20" s="67" t="n">
        <v>45805</v>
      </c>
      <c r="AJ20" s="68" t="n">
        <v>10</v>
      </c>
      <c r="AK20" s="69"/>
      <c r="AL20" s="70" t="n">
        <v>16610</v>
      </c>
      <c r="AM20" s="106" t="n">
        <v>45811</v>
      </c>
      <c r="AN20" s="106" t="n">
        <v>45811</v>
      </c>
      <c r="AO20" s="106" t="n">
        <v>45811</v>
      </c>
      <c r="AP20" s="68" t="n">
        <v>8</v>
      </c>
      <c r="AQ20" s="69"/>
      <c r="AR20" s="70" t="s">
        <v>737</v>
      </c>
      <c r="AS20" s="70" t="s">
        <v>737</v>
      </c>
      <c r="AT20" s="70" t="s">
        <v>737</v>
      </c>
      <c r="AU20" s="70" t="s">
        <v>737</v>
      </c>
      <c r="AV20" s="68" t="n">
        <v>0</v>
      </c>
      <c r="AW20" s="69"/>
      <c r="AX20" s="68"/>
      <c r="AY20" s="68"/>
      <c r="AZ20" s="69"/>
      <c r="BA20" s="67" t="n">
        <v>45792</v>
      </c>
      <c r="BB20" s="71" t="n">
        <v>6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45834</v>
      </c>
      <c r="BG20" s="71" t="n">
        <v>29</v>
      </c>
      <c r="BH20" s="68" t="n">
        <v>3</v>
      </c>
      <c r="BI20" s="50"/>
      <c r="BJ20" s="75" t="n">
        <f aca="false">SUM(X20,AD20,AJ20,AP20,AV20,AX20:AY20,BH20,BB20,BG20)</f>
        <v>75</v>
      </c>
      <c r="BK20" s="73" t="str">
        <f aca="false">IF(BJ20&gt;90,"A",IF(BJ20&gt;83,"B",IF(BJ20&gt;74,"C",IF(BJ20&gt;67,"D",IF(BJ20&gt;=60,"E","FX")))))</f>
        <v>C</v>
      </c>
    </row>
    <row r="21" customFormat="false" ht="15.75" hidden="false" customHeight="false" outlineLevel="0" collapsed="false">
      <c r="A21" s="59" t="n">
        <v>19</v>
      </c>
      <c r="B21" s="60" t="s">
        <v>631</v>
      </c>
      <c r="C21" s="113" t="s">
        <v>981</v>
      </c>
      <c r="D21" s="113" t="s">
        <v>630</v>
      </c>
      <c r="E21" s="62"/>
      <c r="F21" s="63" t="s">
        <v>735</v>
      </c>
      <c r="G21" s="63" t="s">
        <v>735</v>
      </c>
      <c r="H21" s="63" t="s">
        <v>735</v>
      </c>
      <c r="I21" s="63" t="s">
        <v>734</v>
      </c>
      <c r="J21" s="63" t="s">
        <v>734</v>
      </c>
      <c r="K21" s="63" t="s">
        <v>734</v>
      </c>
      <c r="L21" s="63" t="s">
        <v>696</v>
      </c>
      <c r="M21" s="63" t="s">
        <v>734</v>
      </c>
      <c r="N21" s="64"/>
      <c r="O21" s="64" t="s">
        <v>734</v>
      </c>
      <c r="P21" s="64"/>
      <c r="Q21" s="64"/>
      <c r="R21" s="64"/>
      <c r="S21" s="65"/>
      <c r="T21" s="70" t="n">
        <v>1614</v>
      </c>
      <c r="U21" s="67" t="n">
        <v>45743</v>
      </c>
      <c r="V21" s="67" t="n">
        <v>45757</v>
      </c>
      <c r="W21" s="67" t="n">
        <v>45757</v>
      </c>
      <c r="X21" s="68" t="n">
        <v>8</v>
      </c>
      <c r="Y21" s="69"/>
      <c r="Z21" s="70" t="n">
        <v>16414</v>
      </c>
      <c r="AA21" s="67" t="n">
        <v>45771</v>
      </c>
      <c r="AB21" s="67" t="n">
        <v>45805</v>
      </c>
      <c r="AC21" s="67" t="n">
        <v>45805</v>
      </c>
      <c r="AD21" s="68" t="n">
        <v>9</v>
      </c>
      <c r="AE21" s="69"/>
      <c r="AF21" s="70" t="n">
        <v>16515</v>
      </c>
      <c r="AG21" s="67"/>
      <c r="AH21" s="67"/>
      <c r="AI21" s="67"/>
      <c r="AJ21" s="68"/>
      <c r="AK21" s="69"/>
      <c r="AL21" s="70"/>
      <c r="AM21" s="70"/>
      <c r="AN21" s="70"/>
      <c r="AO21" s="70"/>
      <c r="AP21" s="68"/>
      <c r="AQ21" s="69"/>
      <c r="AR21" s="70" t="s">
        <v>737</v>
      </c>
      <c r="AS21" s="70" t="s">
        <v>737</v>
      </c>
      <c r="AT21" s="70" t="s">
        <v>737</v>
      </c>
      <c r="AU21" s="70" t="s">
        <v>737</v>
      </c>
      <c r="AV21" s="68" t="n">
        <v>0</v>
      </c>
      <c r="AW21" s="69"/>
      <c r="AX21" s="68"/>
      <c r="AY21" s="68"/>
      <c r="AZ21" s="69"/>
      <c r="BA21" s="67" t="n">
        <v>45792</v>
      </c>
      <c r="BB21" s="71" t="n">
        <v>8</v>
      </c>
      <c r="BC21" s="72"/>
      <c r="BD21" s="73" t="str">
        <f aca="false">IF(AND(BB21&gt;=6,AP21&gt;=6,AJ21&gt;=6,AD21&gt;=6,X21&gt;=6),"да","нет")</f>
        <v>нет</v>
      </c>
      <c r="BE21" s="72"/>
      <c r="BF21" s="118"/>
      <c r="BG21" s="71"/>
      <c r="BH21" s="68"/>
      <c r="BI21" s="50"/>
      <c r="BJ21" s="75" t="n">
        <f aca="false">SUM(X21,AD21,AJ21,AP21,AV21,AX21:AY21,BH21,BB21,BG21)</f>
        <v>25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v>20</v>
      </c>
      <c r="B22" s="60" t="s">
        <v>641</v>
      </c>
      <c r="C22" s="113" t="s">
        <v>981</v>
      </c>
      <c r="D22" s="113" t="s">
        <v>640</v>
      </c>
      <c r="E22" s="62"/>
      <c r="F22" s="63" t="s">
        <v>696</v>
      </c>
      <c r="G22" s="63" t="s">
        <v>735</v>
      </c>
      <c r="H22" s="63" t="s">
        <v>734</v>
      </c>
      <c r="I22" s="63" t="s">
        <v>739</v>
      </c>
      <c r="J22" s="63" t="s">
        <v>734</v>
      </c>
      <c r="K22" s="63" t="s">
        <v>734</v>
      </c>
      <c r="L22" s="63" t="s">
        <v>734</v>
      </c>
      <c r="M22" s="63" t="s">
        <v>734</v>
      </c>
      <c r="N22" s="64"/>
      <c r="O22" s="64"/>
      <c r="P22" s="64"/>
      <c r="Q22" s="64"/>
      <c r="R22" s="64"/>
      <c r="S22" s="65"/>
      <c r="T22" s="70" t="n">
        <v>1615</v>
      </c>
      <c r="U22" s="67" t="n">
        <v>45728</v>
      </c>
      <c r="V22" s="67" t="n">
        <v>45743</v>
      </c>
      <c r="W22" s="67" t="n">
        <v>45743</v>
      </c>
      <c r="X22" s="68" t="n">
        <v>8.5</v>
      </c>
      <c r="Y22" s="69"/>
      <c r="Z22" s="70" t="n">
        <v>16412</v>
      </c>
      <c r="AA22" s="67" t="n">
        <v>45757</v>
      </c>
      <c r="AB22" s="67" t="n">
        <v>45771</v>
      </c>
      <c r="AC22" s="67" t="n">
        <v>45771</v>
      </c>
      <c r="AD22" s="68" t="n">
        <v>8</v>
      </c>
      <c r="AE22" s="69"/>
      <c r="AF22" s="44" t="n">
        <v>16511</v>
      </c>
      <c r="AG22" s="67" t="n">
        <v>45799</v>
      </c>
      <c r="AH22" s="67" t="n">
        <v>45799</v>
      </c>
      <c r="AI22" s="67" t="n">
        <v>45799</v>
      </c>
      <c r="AJ22" s="68" t="n">
        <v>8</v>
      </c>
      <c r="AK22" s="69"/>
      <c r="AL22" s="70" t="n">
        <v>16608</v>
      </c>
      <c r="AM22" s="67" t="n">
        <v>45805</v>
      </c>
      <c r="AN22" s="67" t="n">
        <v>45805</v>
      </c>
      <c r="AO22" s="67" t="n">
        <v>45805</v>
      </c>
      <c r="AP22" s="68" t="n">
        <v>8.5</v>
      </c>
      <c r="AQ22" s="69"/>
      <c r="AR22" s="70" t="s">
        <v>737</v>
      </c>
      <c r="AS22" s="70" t="s">
        <v>737</v>
      </c>
      <c r="AT22" s="70" t="s">
        <v>737</v>
      </c>
      <c r="AU22" s="70" t="s">
        <v>737</v>
      </c>
      <c r="AV22" s="68" t="n">
        <v>0</v>
      </c>
      <c r="AW22" s="69"/>
      <c r="AX22" s="68" t="n">
        <v>0</v>
      </c>
      <c r="AY22" s="68"/>
      <c r="AZ22" s="69"/>
      <c r="BA22" s="67" t="n">
        <v>45826</v>
      </c>
      <c r="BB22" s="71" t="n">
        <v>7</v>
      </c>
      <c r="BC22" s="72"/>
      <c r="BD22" s="73" t="str">
        <f aca="false">IF(AND(BB22&gt;=6,AP22&gt;=6,AJ22&gt;=6,AD22&gt;=6,X22&gt;=6),"да","нет")</f>
        <v>да</v>
      </c>
      <c r="BE22" s="72"/>
      <c r="BF22" s="118" t="n">
        <v>45834</v>
      </c>
      <c r="BG22" s="71" t="n">
        <v>0</v>
      </c>
      <c r="BH22" s="68"/>
      <c r="BI22" s="50"/>
      <c r="BJ22" s="75" t="n">
        <f aca="false">SUM(X22,AD22,AJ22,AP22,AV22,AX22:AY22,BH22,BB22,BG22)</f>
        <v>40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v>21</v>
      </c>
      <c r="B23" s="60" t="s">
        <v>643</v>
      </c>
      <c r="C23" s="113" t="s">
        <v>981</v>
      </c>
      <c r="D23" s="113" t="s">
        <v>642</v>
      </c>
      <c r="E23" s="62"/>
      <c r="F23" s="63" t="s">
        <v>734</v>
      </c>
      <c r="G23" s="63" t="s">
        <v>739</v>
      </c>
      <c r="H23" s="63" t="s">
        <v>734</v>
      </c>
      <c r="I23" s="63" t="s">
        <v>734</v>
      </c>
      <c r="J23" s="63" t="s">
        <v>734</v>
      </c>
      <c r="K23" s="63" t="s">
        <v>734</v>
      </c>
      <c r="L23" s="63" t="s">
        <v>734</v>
      </c>
      <c r="M23" s="63" t="s">
        <v>739</v>
      </c>
      <c r="N23" s="64"/>
      <c r="O23" s="64"/>
      <c r="P23" s="64"/>
      <c r="Q23" s="64"/>
      <c r="R23" s="64"/>
      <c r="S23" s="65"/>
      <c r="T23" s="70" t="n">
        <v>1616</v>
      </c>
      <c r="U23" s="67" t="n">
        <v>45701</v>
      </c>
      <c r="V23" s="67" t="n">
        <v>45715</v>
      </c>
      <c r="W23" s="67" t="n">
        <v>45728</v>
      </c>
      <c r="X23" s="68" t="n">
        <v>9</v>
      </c>
      <c r="Y23" s="69"/>
      <c r="Z23" s="70" t="n">
        <v>16408</v>
      </c>
      <c r="AA23" s="67" t="n">
        <v>45743</v>
      </c>
      <c r="AB23" s="67" t="n">
        <v>45757</v>
      </c>
      <c r="AC23" s="67" t="n">
        <v>45757</v>
      </c>
      <c r="AD23" s="68" t="n">
        <v>10</v>
      </c>
      <c r="AE23" s="69"/>
      <c r="AF23" s="70" t="n">
        <v>16507</v>
      </c>
      <c r="AG23" s="67" t="n">
        <v>45757</v>
      </c>
      <c r="AH23" s="67" t="n">
        <v>45771</v>
      </c>
      <c r="AI23" s="67" t="n">
        <v>45771</v>
      </c>
      <c r="AJ23" s="68" t="n">
        <v>8.5</v>
      </c>
      <c r="AK23" s="69"/>
      <c r="AL23" s="70" t="n">
        <v>16602</v>
      </c>
      <c r="AM23" s="67" t="n">
        <v>45799</v>
      </c>
      <c r="AN23" s="67" t="n">
        <v>45799</v>
      </c>
      <c r="AO23" s="67" t="n">
        <v>45799</v>
      </c>
      <c r="AP23" s="68" t="n">
        <v>8.5</v>
      </c>
      <c r="AQ23" s="69"/>
      <c r="AR23" s="70" t="n">
        <v>16702</v>
      </c>
      <c r="AS23" s="67" t="n">
        <v>45805</v>
      </c>
      <c r="AT23" s="106" t="n">
        <v>45805</v>
      </c>
      <c r="AU23" s="67" t="n">
        <v>45805</v>
      </c>
      <c r="AV23" s="68" t="n">
        <v>9</v>
      </c>
      <c r="AW23" s="69"/>
      <c r="AX23" s="68" t="n">
        <v>0</v>
      </c>
      <c r="AY23" s="68"/>
      <c r="AZ23" s="69"/>
      <c r="BA23" s="67" t="n">
        <v>45792</v>
      </c>
      <c r="BB23" s="71" t="n">
        <v>7</v>
      </c>
      <c r="BC23" s="72"/>
      <c r="BD23" s="73" t="str">
        <f aca="false">IF(AND(BB23&gt;=6,AP23&gt;=6,AJ23&gt;=6,AD23&gt;=6,X23&gt;=6),"да","нет")</f>
        <v>да</v>
      </c>
      <c r="BE23" s="72"/>
      <c r="BF23" s="118" t="n">
        <v>45834</v>
      </c>
      <c r="BG23" s="71" t="n">
        <v>29</v>
      </c>
      <c r="BH23" s="68" t="n">
        <v>3</v>
      </c>
      <c r="BI23" s="50"/>
      <c r="BJ23" s="75" t="n">
        <f aca="false">SUM(X23,AD23,AJ23,AP23,AV23,AX23:AY23,BH23,BB23,BG23)</f>
        <v>84</v>
      </c>
      <c r="BK23" s="73" t="str">
        <f aca="false">IF(BJ23&gt;90,"A",IF(BJ23&gt;83,"B",IF(BJ23&gt;74,"C",IF(BJ23&gt;67,"D",IF(BJ23&gt;=60,"E","FX")))))</f>
        <v>B</v>
      </c>
    </row>
    <row r="24" customFormat="false" ht="15.75" hidden="false" customHeight="false" outlineLevel="0" collapsed="false">
      <c r="A24" s="59" t="n"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67"/>
      <c r="AH24" s="67"/>
      <c r="AI24" s="67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COUNTIF(F$3:F$23, "~**")</f>
        <v>9</v>
      </c>
      <c r="G27" s="70" t="n">
        <f aca="false">COUNTIF(G$3:G$23, "~**")</f>
        <v>14</v>
      </c>
      <c r="H27" s="70" t="n">
        <f aca="false">COUNTIF(H$3:H$23, "~**")</f>
        <v>15</v>
      </c>
      <c r="I27" s="70" t="n">
        <f aca="false">COUNTIF(I$3:I$23, "~**")</f>
        <v>15</v>
      </c>
      <c r="J27" s="70" t="n">
        <f aca="false">COUNTIF(J$3:J$23, "~**")</f>
        <v>18</v>
      </c>
      <c r="K27" s="70" t="n">
        <f aca="false">COUNTIF(K$3:K$23, "~**")</f>
        <v>18</v>
      </c>
      <c r="L27" s="70" t="n">
        <f aca="false">COUNTIF(L$3:L$23, "~**")</f>
        <v>13</v>
      </c>
      <c r="M27" s="70" t="n">
        <f aca="false">COUNTIF(M$3:M$23, "~**")</f>
        <v>14</v>
      </c>
      <c r="N27" s="70" t="n">
        <f aca="false">COUNTIF(N$3:N$23, "~**")</f>
        <v>6</v>
      </c>
      <c r="O27" s="70"/>
      <c r="P27" s="70"/>
      <c r="Q27" s="70" t="n">
        <f aca="false">COUNTIF(Q$3:Q$23, "~**")</f>
        <v>0</v>
      </c>
      <c r="R27" s="70" t="n">
        <f aca="false">COUNTIF(R$3:R$23,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COUNTIF(F$3:F$23, "~**")+COUNTIF(F$3:F$23, "Y")</f>
        <v>17</v>
      </c>
      <c r="G28" s="70" t="n">
        <f aca="false">COUNTIF(G$3:G$23, "~**")+COUNTIF(G$3:G$23, "Y")</f>
        <v>14</v>
      </c>
      <c r="H28" s="70" t="n">
        <f aca="false">COUNTIF(H$3:H$23, "~**")+COUNTIF(H$3:H$23, "Y")</f>
        <v>16</v>
      </c>
      <c r="I28" s="70" t="n">
        <f aca="false">COUNTIF(I$3:I$23, "~**")+COUNTIF(I$3:I$23, "Y")</f>
        <v>17</v>
      </c>
      <c r="J28" s="70" t="n">
        <f aca="false">COUNTIF(J$3:J$23, "~**")+COUNTIF(J$3:J$23, "Y")</f>
        <v>18</v>
      </c>
      <c r="K28" s="70" t="n">
        <f aca="false">COUNTIF(K$3:K$23, "~**")+COUNTIF(K$3:K$23, "Y")</f>
        <v>18</v>
      </c>
      <c r="L28" s="70" t="n">
        <f aca="false">COUNTIF(L$3:L$23, "~**")+COUNTIF(L$3:L$23, "Y")</f>
        <v>18</v>
      </c>
      <c r="M28" s="70" t="n">
        <f aca="false">COUNTIF(M$3:M$23, "~**")+COUNTIF(M$3:M$23, "Y")</f>
        <v>14</v>
      </c>
      <c r="N28" s="70" t="n">
        <f aca="false">COUNTIF(N$3:N$23, "~**")+COUNTIF(N$3:N$23, "Y")</f>
        <v>6</v>
      </c>
      <c r="O28" s="70"/>
      <c r="P28" s="70"/>
      <c r="Q28" s="70" t="n">
        <f aca="false">COUNTIF(Q$3:Q$23, "~**")+COUNTIF(Q$3:Q$23, "Y")</f>
        <v>0</v>
      </c>
      <c r="R28" s="70" t="n">
        <f aca="false">COUNTIF(R$3:R$23, "~**")+COUNTIF(R$3:R$23,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20</v>
      </c>
      <c r="W30" s="44" t="n">
        <f aca="false">COUNT(W3:W25)</f>
        <v>20</v>
      </c>
      <c r="X30" s="44" t="n">
        <f aca="false">COUNT(X3:X25)</f>
        <v>20</v>
      </c>
      <c r="Y30" s="77"/>
      <c r="Z30" s="44"/>
      <c r="AA30" s="44" t="n">
        <f aca="false">COUNT(AA3:AA25)</f>
        <v>20</v>
      </c>
      <c r="AB30" s="44" t="n">
        <f aca="false">COUNT(AB3:AB25)</f>
        <v>20</v>
      </c>
      <c r="AC30" s="44" t="n">
        <f aca="false">COUNT(AC3:AC25)</f>
        <v>20</v>
      </c>
      <c r="AD30" s="44" t="n">
        <f aca="false">COUNT(AD3:AD25)</f>
        <v>20</v>
      </c>
      <c r="AE30" s="77"/>
      <c r="AF30" s="44"/>
      <c r="AG30" s="44" t="n">
        <f aca="false">COUNT(AG3:AG25)</f>
        <v>15</v>
      </c>
      <c r="AH30" s="44" t="n">
        <f aca="false">COUNT(AH3:AH25)</f>
        <v>15</v>
      </c>
      <c r="AI30" s="44" t="n">
        <f aca="false">COUNT(AI3:AI25)</f>
        <v>15</v>
      </c>
      <c r="AJ30" s="44" t="n">
        <f aca="false">COUNT(AJ3:AJ25)</f>
        <v>15</v>
      </c>
      <c r="AK30" s="77"/>
      <c r="AL30" s="44"/>
      <c r="AM30" s="44" t="n">
        <f aca="false">COUNT(AM3:AM25)</f>
        <v>14</v>
      </c>
      <c r="AN30" s="44" t="n">
        <f aca="false">COUNT(AN3:AN25)</f>
        <v>14</v>
      </c>
      <c r="AO30" s="44" t="n">
        <f aca="false">COUNT(AO3:AO25)</f>
        <v>14</v>
      </c>
      <c r="AP30" s="44" t="n">
        <f aca="false">COUNT(AP3:AP25)</f>
        <v>14</v>
      </c>
      <c r="AQ30" s="77"/>
      <c r="AR30" s="44"/>
      <c r="AS30" s="44" t="n">
        <f aca="false">COUNT(AS3:AS25)</f>
        <v>5</v>
      </c>
      <c r="AT30" s="44" t="n">
        <f aca="false">COUNT(AT3:AT25)</f>
        <v>5</v>
      </c>
      <c r="AU30" s="44" t="n">
        <f aca="false">COUNT(AU3:AU25)</f>
        <v>5</v>
      </c>
      <c r="AV30" s="44" t="n">
        <f aca="false">COUNT(AV3:AV25)</f>
        <v>21</v>
      </c>
      <c r="AW30" s="77"/>
      <c r="AX30" s="44" t="n">
        <f aca="false">COUNT(AX3:AX25)</f>
        <v>10</v>
      </c>
      <c r="AY30" s="44" t="n">
        <f aca="false">COUNT(AY3:AY25)</f>
        <v>7</v>
      </c>
      <c r="AZ30" s="77"/>
      <c r="BA30" s="44"/>
      <c r="BB30" s="44" t="n">
        <f aca="false">COUNTIF(BB3:BB25, "&gt;=6")</f>
        <v>16</v>
      </c>
      <c r="BC30" s="77"/>
      <c r="BD30" s="44" t="n">
        <f aca="false">COUNTIF(BD3:BD25, "Да")</f>
        <v>14</v>
      </c>
      <c r="BE30" s="77"/>
      <c r="BF30" s="44"/>
      <c r="BG30" s="44" t="n">
        <f aca="false">COUNT(BG3:BG25)</f>
        <v>14</v>
      </c>
      <c r="BH30" s="44" t="n">
        <f aca="false">COUNT(BH3:BH25)</f>
        <v>7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120" t="n">
        <f aca="false">IF(COUNTA($B$3:$B$23)&gt;0,COUNTA(X$3:X$23)/COUNTA($B$3:$B$23), 0)</f>
        <v>0.9523809524</v>
      </c>
      <c r="Y31" s="96"/>
      <c r="Z31" s="93"/>
      <c r="AA31" s="93"/>
      <c r="AB31" s="93"/>
      <c r="AC31" s="93"/>
      <c r="AD31" s="120" t="n">
        <f aca="false">IF(COUNTA($B$3:$B$23)&gt;0,COUNTA(AD$3:AD$23)/COUNTA($B$3:$B$23), 0)</f>
        <v>0.9523809524</v>
      </c>
      <c r="AE31" s="97"/>
      <c r="AF31" s="98"/>
      <c r="AG31" s="93"/>
      <c r="AH31" s="98"/>
      <c r="AI31" s="93"/>
      <c r="AJ31" s="120" t="n">
        <f aca="false">IF(COUNTA($B$3:$B$23)&gt;0,COUNTA(AJ$3:AJ$23)/COUNTA($B$3:$B$23), 0)</f>
        <v>0.7142857143</v>
      </c>
      <c r="AK31" s="96"/>
      <c r="AL31" s="93"/>
      <c r="AM31" s="93"/>
      <c r="AN31" s="93"/>
      <c r="AO31" s="93"/>
      <c r="AP31" s="120" t="n">
        <f aca="false">IF(COUNTA($B$3:$B$23)&gt;0,COUNTA(AP$3:AP$23)/COUNTA($B$3:$B$23), 0)</f>
        <v>0.6666666667</v>
      </c>
      <c r="AQ31" s="96"/>
      <c r="AR31" s="93"/>
      <c r="AS31" s="93"/>
      <c r="AT31" s="93"/>
      <c r="AU31" s="93"/>
      <c r="AV31" s="120" t="n">
        <f aca="false">IF(COUNTA($B$3:$B$23)&gt;0,COUNTA(AV$3:AV$23)/COUNTA($B$3:$B$23), 0)</f>
        <v>1</v>
      </c>
      <c r="AW31" s="99"/>
      <c r="AX31" s="100"/>
      <c r="AY31" s="100"/>
      <c r="AZ31" s="99"/>
      <c r="BA31" s="100"/>
      <c r="BB31" s="95" t="n">
        <f aca="false">IF(COUNTA($B$3:$B$23)&gt;0,COUNTA(BB$3:BB$23)/COUNTA($B$3:$B$23), 0)</f>
        <v>0.9047619048</v>
      </c>
      <c r="BC31" s="77"/>
      <c r="BD31" s="44" t="n">
        <f aca="false">COUNTIF(BD3:BD25, "Да")</f>
        <v>14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 t="s">
        <v>844</v>
      </c>
      <c r="AB34" s="44" t="s">
        <v>696</v>
      </c>
      <c r="AC34" s="44" t="s">
        <v>845</v>
      </c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168" t="s">
        <v>984</v>
      </c>
      <c r="V35" s="44" t="n">
        <f aca="false">HEX2DEC(U35)</f>
        <v>-4212</v>
      </c>
      <c r="W35" s="44"/>
      <c r="X35" s="44"/>
      <c r="Y35" s="77"/>
      <c r="Z35" s="44" t="n">
        <f aca="false">5*(AA35+1)+53 + 80+5*AB35+53+3</f>
        <v>-1</v>
      </c>
      <c r="AA35" s="44" t="n">
        <v>81</v>
      </c>
      <c r="AB35" s="44" t="n">
        <v>-120</v>
      </c>
      <c r="AC35" s="44" t="n">
        <v>45</v>
      </c>
      <c r="AD35" s="90"/>
      <c r="AE35" s="91"/>
      <c r="AF35" s="90"/>
      <c r="AG35" s="44" t="n">
        <f aca="false">5-17*3</f>
        <v>-46</v>
      </c>
      <c r="AH35" s="90" t="str">
        <f aca="false">DEC2HEX(AG35)</f>
        <v>FFFFFFFFD2</v>
      </c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 t="n">
        <v>37</v>
      </c>
      <c r="V36" s="44" t="str">
        <f aca="false">DEC2HEX(U36)</f>
        <v>25</v>
      </c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 t="n">
        <f aca="false">2^15</f>
        <v>32768</v>
      </c>
      <c r="AH36" s="90"/>
      <c r="AI36" s="44"/>
      <c r="AJ36" s="44"/>
      <c r="AK36" s="77"/>
      <c r="AL36" s="44"/>
      <c r="AM36" s="169"/>
      <c r="AN36" s="170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 BA3 BA7 BA12 BA19 BA22">
    <cfRule type="expression" priority="2" aboveAverage="0" equalAverage="0" bottom="0" percent="0" rank="0" text="" dxfId="2">
      <formula>U3&gt;45809</formula>
    </cfRule>
  </conditionalFormatting>
  <conditionalFormatting sqref="BC3:BD25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15 BK17:BK23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FF"/>
    <outlinePr summaryBelow="0"/>
    <pageSetUpPr fitToPage="false"/>
  </sheetPr>
  <dimension ref="A1:B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5" min="6" style="0" width="3"/>
    <col collapsed="false" customWidth="true" hidden="true" outlineLevel="0" max="18" min="1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846</v>
      </c>
      <c r="C1" s="45" t="s">
        <v>985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/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45701</v>
      </c>
      <c r="G2" s="55" t="n">
        <f aca="false">F2+14</f>
        <v>45715</v>
      </c>
      <c r="H2" s="55" t="n">
        <f aca="false">G2+14</f>
        <v>45729</v>
      </c>
      <c r="I2" s="55" t="n">
        <f aca="false">H2+14</f>
        <v>45743</v>
      </c>
      <c r="J2" s="55" t="n">
        <f aca="false">I2+14</f>
        <v>45757</v>
      </c>
      <c r="K2" s="55" t="n">
        <f aca="false">J2+14</f>
        <v>45771</v>
      </c>
      <c r="L2" s="131" t="n">
        <v>45777</v>
      </c>
      <c r="M2" s="55" t="n">
        <v>45799</v>
      </c>
      <c r="N2" s="111" t="n">
        <f aca="false">M2+7</f>
        <v>45806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36" t="s">
        <v>222</v>
      </c>
      <c r="C3" s="61" t="s">
        <v>719</v>
      </c>
      <c r="D3" s="154" t="s">
        <v>221</v>
      </c>
      <c r="E3" s="62"/>
      <c r="F3" s="63" t="s">
        <v>791</v>
      </c>
      <c r="G3" s="63" t="s">
        <v>791</v>
      </c>
      <c r="H3" s="63" t="s">
        <v>791</v>
      </c>
      <c r="I3" s="63" t="s">
        <v>791</v>
      </c>
      <c r="J3" s="63" t="s">
        <v>791</v>
      </c>
      <c r="K3" s="63" t="s">
        <v>791</v>
      </c>
      <c r="L3" s="63" t="s">
        <v>791</v>
      </c>
      <c r="M3" s="63" t="s">
        <v>791</v>
      </c>
      <c r="N3" s="64" t="s">
        <v>735</v>
      </c>
      <c r="O3" s="64" t="s">
        <v>735</v>
      </c>
      <c r="P3" s="64"/>
      <c r="Q3" s="64"/>
      <c r="R3" s="64"/>
      <c r="S3" s="65"/>
      <c r="T3" s="66" t="s">
        <v>986</v>
      </c>
      <c r="U3" s="67" t="n">
        <v>45701</v>
      </c>
      <c r="V3" s="67" t="n">
        <v>45729</v>
      </c>
      <c r="W3" s="67" t="n">
        <v>45729</v>
      </c>
      <c r="X3" s="68" t="n">
        <v>9.5</v>
      </c>
      <c r="Y3" s="69"/>
      <c r="Z3" s="70" t="n">
        <v>17701</v>
      </c>
      <c r="AA3" s="67" t="n">
        <v>45743</v>
      </c>
      <c r="AB3" s="137" t="n">
        <v>45771</v>
      </c>
      <c r="AC3" s="137" t="n">
        <v>45771</v>
      </c>
      <c r="AD3" s="68" t="n">
        <v>8.9</v>
      </c>
      <c r="AE3" s="69"/>
      <c r="AF3" s="70" t="n">
        <v>1770</v>
      </c>
      <c r="AG3" s="137" t="n">
        <v>45777</v>
      </c>
      <c r="AH3" s="137" t="n">
        <v>45777</v>
      </c>
      <c r="AI3" s="137" t="n">
        <v>45777</v>
      </c>
      <c r="AJ3" s="68" t="n">
        <v>8</v>
      </c>
      <c r="AK3" s="69"/>
      <c r="AL3" s="70" t="n">
        <v>17777</v>
      </c>
      <c r="AM3" s="67" t="n">
        <v>45799</v>
      </c>
      <c r="AN3" s="67" t="n">
        <v>45799</v>
      </c>
      <c r="AO3" s="67" t="n">
        <v>45799</v>
      </c>
      <c r="AP3" s="68" t="n">
        <v>8.6</v>
      </c>
      <c r="AQ3" s="69"/>
      <c r="AR3" s="70" t="n">
        <v>17707</v>
      </c>
      <c r="AS3" s="70" t="s">
        <v>737</v>
      </c>
      <c r="AT3" s="70" t="s">
        <v>737</v>
      </c>
      <c r="AU3" s="70" t="s">
        <v>737</v>
      </c>
      <c r="AV3" s="68" t="n">
        <v>0</v>
      </c>
      <c r="AW3" s="69"/>
      <c r="AX3" s="68"/>
      <c r="AY3" s="68"/>
      <c r="AZ3" s="69"/>
      <c r="BA3" s="135" t="n">
        <v>45818</v>
      </c>
      <c r="BB3" s="71" t="n">
        <v>10</v>
      </c>
      <c r="BC3" s="72"/>
      <c r="BD3" s="73" t="str">
        <f aca="false">IF(AND(BB3&gt;=6,AP3&gt;=6,AJ3&gt;=6,AD3&gt;=6,X3&gt;=6),"да","нет")</f>
        <v>да</v>
      </c>
      <c r="BE3" s="72"/>
      <c r="BF3" s="118" t="n">
        <v>45834</v>
      </c>
      <c r="BG3" s="71" t="n">
        <v>0</v>
      </c>
      <c r="BH3" s="68"/>
      <c r="BI3" s="50"/>
      <c r="BJ3" s="75" t="n">
        <f aca="false">SUM(X3,AD3,AJ3,AP3,AV3,AX3:AY3,BH3,BB3,BG3)</f>
        <v>45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132" t="s">
        <v>268</v>
      </c>
      <c r="C4" s="61" t="s">
        <v>719</v>
      </c>
      <c r="D4" s="154" t="s">
        <v>267</v>
      </c>
      <c r="E4" s="62"/>
      <c r="F4" s="63" t="s">
        <v>696</v>
      </c>
      <c r="G4" s="63" t="s">
        <v>735</v>
      </c>
      <c r="H4" s="63" t="s">
        <v>735</v>
      </c>
      <c r="I4" s="63" t="s">
        <v>735</v>
      </c>
      <c r="J4" s="63" t="s">
        <v>735</v>
      </c>
      <c r="K4" s="63" t="s">
        <v>735</v>
      </c>
      <c r="L4" s="63" t="s">
        <v>735</v>
      </c>
      <c r="M4" s="63" t="s">
        <v>791</v>
      </c>
      <c r="N4" s="64" t="s">
        <v>737</v>
      </c>
      <c r="O4" s="64" t="s">
        <v>737</v>
      </c>
      <c r="P4" s="64"/>
      <c r="Q4" s="64"/>
      <c r="R4" s="64"/>
      <c r="S4" s="65"/>
      <c r="T4" s="66" t="s">
        <v>987</v>
      </c>
      <c r="U4" s="67" t="n">
        <v>45799</v>
      </c>
      <c r="V4" s="67"/>
      <c r="W4" s="67"/>
      <c r="X4" s="68"/>
      <c r="Y4" s="69"/>
      <c r="Z4" s="70"/>
      <c r="AA4" s="67"/>
      <c r="AB4" s="67"/>
      <c r="AC4" s="67"/>
      <c r="AD4" s="68"/>
      <c r="AE4" s="69"/>
      <c r="AF4" s="70"/>
      <c r="AG4" s="70"/>
      <c r="AH4" s="70"/>
      <c r="AI4" s="70"/>
      <c r="AJ4" s="68"/>
      <c r="AK4" s="69"/>
      <c r="AL4" s="70"/>
      <c r="AM4" s="70"/>
      <c r="AN4" s="70"/>
      <c r="AO4" s="70"/>
      <c r="AP4" s="68"/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68" t="n">
        <v>0</v>
      </c>
      <c r="AW4" s="69"/>
      <c r="AX4" s="68"/>
      <c r="AY4" s="68"/>
      <c r="AZ4" s="69"/>
      <c r="BA4" s="135" t="n">
        <v>45818</v>
      </c>
      <c r="BB4" s="71" t="n">
        <v>6</v>
      </c>
      <c r="BC4" s="72"/>
      <c r="BD4" s="73" t="str">
        <f aca="false">IF(AND(BB4&gt;=6,AP4&gt;=6,AJ4&gt;=6,AD4&gt;=6,X4&gt;=6),"да","нет")</f>
        <v>нет</v>
      </c>
      <c r="BE4" s="72"/>
      <c r="BF4" s="74"/>
      <c r="BG4" s="71"/>
      <c r="BH4" s="68"/>
      <c r="BI4" s="50"/>
      <c r="BJ4" s="75" t="n">
        <f aca="false">SUM(X4,AD4,AJ4,AP4,AV4,AX4:AY4,BH4,BB4,BG4)</f>
        <v>6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136" t="s">
        <v>291</v>
      </c>
      <c r="C5" s="61" t="s">
        <v>719</v>
      </c>
      <c r="D5" s="154" t="s">
        <v>290</v>
      </c>
      <c r="E5" s="62"/>
      <c r="F5" s="63" t="s">
        <v>791</v>
      </c>
      <c r="G5" s="63" t="s">
        <v>791</v>
      </c>
      <c r="H5" s="63" t="s">
        <v>791</v>
      </c>
      <c r="I5" s="63" t="s">
        <v>791</v>
      </c>
      <c r="J5" s="63" t="s">
        <v>791</v>
      </c>
      <c r="K5" s="63" t="s">
        <v>791</v>
      </c>
      <c r="L5" s="63" t="s">
        <v>735</v>
      </c>
      <c r="M5" s="63" t="s">
        <v>791</v>
      </c>
      <c r="N5" s="64" t="s">
        <v>737</v>
      </c>
      <c r="O5" s="64" t="s">
        <v>737</v>
      </c>
      <c r="P5" s="64"/>
      <c r="Q5" s="64"/>
      <c r="R5" s="64"/>
      <c r="S5" s="65"/>
      <c r="T5" s="66" t="s">
        <v>988</v>
      </c>
      <c r="U5" s="67" t="n">
        <v>45701</v>
      </c>
      <c r="V5" s="67" t="n">
        <v>45715</v>
      </c>
      <c r="W5" s="67" t="n">
        <v>45715</v>
      </c>
      <c r="X5" s="68" t="n">
        <v>8</v>
      </c>
      <c r="Y5" s="69"/>
      <c r="Z5" s="70" t="n">
        <v>1772</v>
      </c>
      <c r="AA5" s="67" t="n">
        <v>45729</v>
      </c>
      <c r="AB5" s="67" t="n">
        <v>45743</v>
      </c>
      <c r="AC5" s="67" t="n">
        <v>45743</v>
      </c>
      <c r="AD5" s="68" t="n">
        <v>8.5</v>
      </c>
      <c r="AE5" s="69"/>
      <c r="AF5" s="70" t="n">
        <v>17722</v>
      </c>
      <c r="AG5" s="137" t="n">
        <v>45757</v>
      </c>
      <c r="AH5" s="137" t="n">
        <v>45757</v>
      </c>
      <c r="AI5" s="137" t="n">
        <v>45757</v>
      </c>
      <c r="AJ5" s="68" t="n">
        <v>9.7</v>
      </c>
      <c r="AK5" s="69"/>
      <c r="AL5" s="70" t="n">
        <v>17722</v>
      </c>
      <c r="AM5" s="137" t="n">
        <v>45771</v>
      </c>
      <c r="AN5" s="137" t="n">
        <v>45771</v>
      </c>
      <c r="AO5" s="137" t="n">
        <v>45771</v>
      </c>
      <c r="AP5" s="68" t="n">
        <v>9.2</v>
      </c>
      <c r="AQ5" s="69"/>
      <c r="AR5" s="70" t="n">
        <v>17722</v>
      </c>
      <c r="AS5" s="67" t="n">
        <v>45799</v>
      </c>
      <c r="AT5" s="67" t="n">
        <v>45799</v>
      </c>
      <c r="AU5" s="67" t="n">
        <v>45799</v>
      </c>
      <c r="AV5" s="68" t="n">
        <v>9</v>
      </c>
      <c r="AW5" s="69"/>
      <c r="AX5" s="68" t="n">
        <v>1</v>
      </c>
      <c r="AY5" s="68" t="n">
        <v>2</v>
      </c>
      <c r="AZ5" s="69"/>
      <c r="BA5" s="135" t="n">
        <v>45818</v>
      </c>
      <c r="BB5" s="71" t="n">
        <v>10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45834</v>
      </c>
      <c r="BG5" s="71" t="n">
        <v>30</v>
      </c>
      <c r="BH5" s="68" t="n">
        <v>3</v>
      </c>
      <c r="BI5" s="50"/>
      <c r="BJ5" s="75" t="n">
        <f aca="false">SUM(X5,AD5,AJ5,AP5,AV5,AX5:AY5,BH5,BB5,BG5)</f>
        <v>90.4</v>
      </c>
      <c r="BK5" s="73" t="str">
        <f aca="false">IF(BJ5&gt;90,"A",IF(BJ5&gt;83,"B",IF(BJ5&gt;74,"C",IF(BJ5&gt;67,"D",IF(BJ5&gt;=60,"E","FX")))))</f>
        <v>A</v>
      </c>
    </row>
    <row r="6" customFormat="false" ht="15.75" hidden="false" customHeight="false" outlineLevel="0" collapsed="false">
      <c r="A6" s="59" t="n">
        <f aca="false">A5+1</f>
        <v>4</v>
      </c>
      <c r="B6" s="60" t="s">
        <v>309</v>
      </c>
      <c r="C6" s="61" t="s">
        <v>719</v>
      </c>
      <c r="D6" s="163" t="s">
        <v>308</v>
      </c>
      <c r="E6" s="62"/>
      <c r="F6" s="63" t="s">
        <v>791</v>
      </c>
      <c r="G6" s="63" t="s">
        <v>791</v>
      </c>
      <c r="H6" s="63" t="s">
        <v>791</v>
      </c>
      <c r="I6" s="63" t="s">
        <v>791</v>
      </c>
      <c r="J6" s="63" t="s">
        <v>791</v>
      </c>
      <c r="K6" s="63" t="s">
        <v>791</v>
      </c>
      <c r="L6" s="63" t="s">
        <v>791</v>
      </c>
      <c r="M6" s="63" t="s">
        <v>791</v>
      </c>
      <c r="N6" s="64" t="s">
        <v>735</v>
      </c>
      <c r="O6" s="64" t="s">
        <v>735</v>
      </c>
      <c r="P6" s="64"/>
      <c r="Q6" s="64"/>
      <c r="R6" s="64"/>
      <c r="S6" s="65"/>
      <c r="T6" s="66" t="s">
        <v>989</v>
      </c>
      <c r="U6" s="67" t="n">
        <v>45729</v>
      </c>
      <c r="V6" s="67" t="n">
        <v>45743</v>
      </c>
      <c r="W6" s="67" t="n">
        <v>45743</v>
      </c>
      <c r="X6" s="68" t="n">
        <v>8.7</v>
      </c>
      <c r="Y6" s="69"/>
      <c r="Z6" s="70" t="n">
        <v>17911</v>
      </c>
      <c r="AA6" s="67" t="n">
        <v>45756</v>
      </c>
      <c r="AB6" s="137" t="n">
        <v>45757</v>
      </c>
      <c r="AC6" s="137" t="n">
        <v>45757</v>
      </c>
      <c r="AD6" s="68" t="n">
        <v>9</v>
      </c>
      <c r="AE6" s="69"/>
      <c r="AF6" s="70" t="n">
        <v>1791</v>
      </c>
      <c r="AG6" s="137" t="n">
        <v>45771</v>
      </c>
      <c r="AH6" s="137" t="n">
        <v>45771</v>
      </c>
      <c r="AI6" s="137" t="n">
        <v>45777</v>
      </c>
      <c r="AJ6" s="68" t="n">
        <v>7</v>
      </c>
      <c r="AK6" s="69"/>
      <c r="AL6" s="70" t="n">
        <v>17911</v>
      </c>
      <c r="AM6" s="67" t="n">
        <v>45799</v>
      </c>
      <c r="AN6" s="67" t="n">
        <v>45799</v>
      </c>
      <c r="AO6" s="67" t="n">
        <v>45799</v>
      </c>
      <c r="AP6" s="68" t="n">
        <v>9</v>
      </c>
      <c r="AQ6" s="69"/>
      <c r="AR6" s="70" t="n">
        <v>17911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 t="n">
        <v>2</v>
      </c>
      <c r="AY6" s="68" t="n">
        <v>1</v>
      </c>
      <c r="AZ6" s="69"/>
      <c r="BA6" s="135" t="n">
        <v>45818</v>
      </c>
      <c r="BB6" s="71" t="n">
        <v>7</v>
      </c>
      <c r="BC6" s="72"/>
      <c r="BD6" s="73" t="str">
        <f aca="false">IF(AND(BB6&gt;=6,AP6&gt;=6,AJ6&gt;=6,AD6&gt;=6,X6&gt;=6),"да","нет")</f>
        <v>да</v>
      </c>
      <c r="BE6" s="72"/>
      <c r="BF6" s="118" t="n">
        <v>45834</v>
      </c>
      <c r="BG6" s="71" t="n">
        <v>30</v>
      </c>
      <c r="BH6" s="68" t="n">
        <v>1</v>
      </c>
      <c r="BI6" s="50"/>
      <c r="BJ6" s="75" t="n">
        <f aca="false">SUM(X6,AD6,AJ6,AP6,AV6,AX6:AY6,BH6,BB6,BG6)</f>
        <v>74.7</v>
      </c>
      <c r="BK6" s="73" t="str">
        <f aca="false">IF(BJ6&gt;90,"A",IF(BJ6&gt;83,"B",IF(BJ6&gt;74,"C",IF(BJ6&gt;67,"D",IF(BJ6&gt;=60,"E","FX")))))</f>
        <v>C</v>
      </c>
    </row>
    <row r="7" customFormat="false" ht="15.75" hidden="false" customHeight="false" outlineLevel="0" collapsed="false">
      <c r="A7" s="59" t="n">
        <f aca="false">A6+1</f>
        <v>5</v>
      </c>
      <c r="B7" s="136" t="s">
        <v>337</v>
      </c>
      <c r="C7" s="61" t="s">
        <v>719</v>
      </c>
      <c r="D7" s="154" t="s">
        <v>336</v>
      </c>
      <c r="E7" s="62"/>
      <c r="F7" s="63" t="s">
        <v>696</v>
      </c>
      <c r="G7" s="63" t="s">
        <v>791</v>
      </c>
      <c r="H7" s="63" t="s">
        <v>791</v>
      </c>
      <c r="I7" s="63" t="s">
        <v>791</v>
      </c>
      <c r="J7" s="63" t="s">
        <v>791</v>
      </c>
      <c r="K7" s="63" t="s">
        <v>791</v>
      </c>
      <c r="L7" s="63" t="s">
        <v>791</v>
      </c>
      <c r="M7" s="63" t="s">
        <v>791</v>
      </c>
      <c r="N7" s="64" t="s">
        <v>791</v>
      </c>
      <c r="O7" s="64" t="s">
        <v>737</v>
      </c>
      <c r="P7" s="64"/>
      <c r="Q7" s="64"/>
      <c r="R7" s="64"/>
      <c r="S7" s="65"/>
      <c r="T7" s="66" t="s">
        <v>990</v>
      </c>
      <c r="U7" s="67" t="n">
        <v>45729</v>
      </c>
      <c r="V7" s="67" t="n">
        <v>45729</v>
      </c>
      <c r="W7" s="67" t="n">
        <v>45729</v>
      </c>
      <c r="X7" s="68" t="n">
        <v>8.5</v>
      </c>
      <c r="Y7" s="69"/>
      <c r="Z7" s="70" t="n">
        <v>17731</v>
      </c>
      <c r="AA7" s="67" t="n">
        <v>45743</v>
      </c>
      <c r="AB7" s="137" t="n">
        <v>45757</v>
      </c>
      <c r="AC7" s="137" t="n">
        <v>45757</v>
      </c>
      <c r="AD7" s="68" t="n">
        <v>9.3</v>
      </c>
      <c r="AE7" s="69"/>
      <c r="AF7" s="70" t="n">
        <v>17731</v>
      </c>
      <c r="AG7" s="137" t="n">
        <v>45771</v>
      </c>
      <c r="AH7" s="137" t="n">
        <v>45777</v>
      </c>
      <c r="AI7" s="137" t="n">
        <v>45777</v>
      </c>
      <c r="AJ7" s="68" t="n">
        <v>9</v>
      </c>
      <c r="AK7" s="69"/>
      <c r="AL7" s="70" t="n">
        <v>1773</v>
      </c>
      <c r="AM7" s="67" t="n">
        <v>45799</v>
      </c>
      <c r="AN7" s="67" t="n">
        <v>45799</v>
      </c>
      <c r="AO7" s="67" t="n">
        <v>45799</v>
      </c>
      <c r="AP7" s="68" t="n">
        <v>9.3</v>
      </c>
      <c r="AQ7" s="69"/>
      <c r="AR7" s="70" t="n">
        <v>17730</v>
      </c>
      <c r="AS7" s="137" t="n">
        <v>45806</v>
      </c>
      <c r="AT7" s="137" t="n">
        <v>45806</v>
      </c>
      <c r="AU7" s="137" t="n">
        <v>45806</v>
      </c>
      <c r="AV7" s="68" t="n">
        <v>7</v>
      </c>
      <c r="AW7" s="69"/>
      <c r="AX7" s="68" t="n">
        <v>1</v>
      </c>
      <c r="AY7" s="68" t="n">
        <v>1</v>
      </c>
      <c r="AZ7" s="69"/>
      <c r="BA7" s="135" t="n">
        <v>45818</v>
      </c>
      <c r="BB7" s="71" t="n">
        <v>10</v>
      </c>
      <c r="BC7" s="72"/>
      <c r="BD7" s="73" t="str">
        <f aca="false">IF(AND(BB7&gt;=6,AP7&gt;=6,AJ7&gt;=6,AD7&gt;=6,X7&gt;=6),"да","нет")</f>
        <v>да</v>
      </c>
      <c r="BE7" s="72"/>
      <c r="BF7" s="118" t="n">
        <v>45834</v>
      </c>
      <c r="BG7" s="71" t="n">
        <v>27</v>
      </c>
      <c r="BH7" s="68" t="n">
        <v>1</v>
      </c>
      <c r="BI7" s="50"/>
      <c r="BJ7" s="75" t="n">
        <f aca="false">SUM(X7,AD7,AJ7,AP7,AV7,AX7:AY7,BH7,BB7,BG7)</f>
        <v>83.1</v>
      </c>
      <c r="BK7" s="73" t="str">
        <f aca="false">IF(BJ7&gt;90,"A",IF(BJ7&gt;83,"B",IF(BJ7&gt;74,"C",IF(BJ7&gt;67,"D",IF(BJ7&gt;=60,"E","FX")))))</f>
        <v>B</v>
      </c>
    </row>
    <row r="8" customFormat="false" ht="15.75" hidden="false" customHeight="false" outlineLevel="0" collapsed="false">
      <c r="A8" s="59" t="n">
        <f aca="false">A7+1</f>
        <v>6</v>
      </c>
      <c r="B8" s="171" t="s">
        <v>367</v>
      </c>
      <c r="C8" s="61" t="s">
        <v>719</v>
      </c>
      <c r="D8" s="154" t="s">
        <v>366</v>
      </c>
      <c r="E8" s="62"/>
      <c r="F8" s="63" t="s">
        <v>696</v>
      </c>
      <c r="G8" s="63" t="s">
        <v>791</v>
      </c>
      <c r="H8" s="63" t="s">
        <v>791</v>
      </c>
      <c r="I8" s="63" t="s">
        <v>791</v>
      </c>
      <c r="J8" s="63" t="s">
        <v>791</v>
      </c>
      <c r="K8" s="63" t="s">
        <v>735</v>
      </c>
      <c r="L8" s="63" t="s">
        <v>791</v>
      </c>
      <c r="M8" s="63" t="s">
        <v>791</v>
      </c>
      <c r="N8" s="64" t="s">
        <v>791</v>
      </c>
      <c r="O8" s="64" t="s">
        <v>737</v>
      </c>
      <c r="P8" s="64"/>
      <c r="Q8" s="64"/>
      <c r="R8" s="64"/>
      <c r="S8" s="65"/>
      <c r="T8" s="66" t="s">
        <v>991</v>
      </c>
      <c r="U8" s="67" t="n">
        <v>45715</v>
      </c>
      <c r="V8" s="67" t="n">
        <v>45729</v>
      </c>
      <c r="W8" s="67" t="n">
        <v>45743</v>
      </c>
      <c r="X8" s="68" t="n">
        <v>8</v>
      </c>
      <c r="Y8" s="69"/>
      <c r="Z8" s="70" t="n">
        <v>17744</v>
      </c>
      <c r="AA8" s="137" t="n">
        <v>45757</v>
      </c>
      <c r="AB8" s="137" t="n">
        <v>45757</v>
      </c>
      <c r="AC8" s="137" t="n">
        <v>45777</v>
      </c>
      <c r="AD8" s="68" t="n">
        <v>8.5</v>
      </c>
      <c r="AE8" s="69"/>
      <c r="AF8" s="70" t="n">
        <v>1774</v>
      </c>
      <c r="AG8" s="67" t="n">
        <v>45799</v>
      </c>
      <c r="AH8" s="67" t="n">
        <v>45799</v>
      </c>
      <c r="AI8" s="67" t="n">
        <v>45799</v>
      </c>
      <c r="AJ8" s="68" t="n">
        <v>8</v>
      </c>
      <c r="AK8" s="69"/>
      <c r="AL8" s="70" t="n">
        <v>61774</v>
      </c>
      <c r="AM8" s="137" t="n">
        <v>45806</v>
      </c>
      <c r="AN8" s="137" t="n">
        <v>45806</v>
      </c>
      <c r="AO8" s="137" t="n">
        <v>45806</v>
      </c>
      <c r="AP8" s="68" t="n">
        <v>7</v>
      </c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/>
      <c r="AY8" s="68" t="n">
        <v>2</v>
      </c>
      <c r="AZ8" s="69"/>
      <c r="BA8" s="135" t="n">
        <v>45818</v>
      </c>
      <c r="BB8" s="71" t="n">
        <v>10</v>
      </c>
      <c r="BC8" s="72"/>
      <c r="BD8" s="73" t="str">
        <f aca="false">IF(AND(BB8&gt;=6,AP8&gt;=6,AJ8&gt;=6,AD8&gt;=6,X8&gt;=6),"да","нет")</f>
        <v>да</v>
      </c>
      <c r="BE8" s="72"/>
      <c r="BF8" s="118" t="n">
        <v>45834</v>
      </c>
      <c r="BG8" s="71" t="n">
        <v>24</v>
      </c>
      <c r="BH8" s="68"/>
      <c r="BI8" s="50"/>
      <c r="BJ8" s="75" t="n">
        <f aca="false">SUM(X8,AD8,AJ8,AP8,AV8,AX8:AY8,BH8,BB8,BG8)</f>
        <v>67.5</v>
      </c>
      <c r="BK8" s="73" t="str">
        <f aca="false">IF(BJ8&gt;90,"A",IF(BJ8&gt;83,"B",IF(BJ8&gt;74,"C",IF(BJ8&gt;67,"D",IF(BJ8&gt;=60,"E","FX")))))</f>
        <v>D</v>
      </c>
    </row>
    <row r="9" customFormat="false" ht="15.75" hidden="false" customHeight="false" outlineLevel="0" collapsed="false">
      <c r="A9" s="59" t="n">
        <f aca="false">A8+1</f>
        <v>7</v>
      </c>
      <c r="B9" s="136" t="s">
        <v>405</v>
      </c>
      <c r="C9" s="61" t="s">
        <v>719</v>
      </c>
      <c r="D9" s="154" t="s">
        <v>404</v>
      </c>
      <c r="E9" s="62"/>
      <c r="F9" s="63" t="s">
        <v>735</v>
      </c>
      <c r="G9" s="63" t="s">
        <v>696</v>
      </c>
      <c r="H9" s="63" t="s">
        <v>791</v>
      </c>
      <c r="I9" s="63" t="s">
        <v>791</v>
      </c>
      <c r="J9" s="63" t="s">
        <v>735</v>
      </c>
      <c r="K9" s="63" t="s">
        <v>791</v>
      </c>
      <c r="L9" s="63" t="s">
        <v>791</v>
      </c>
      <c r="M9" s="63" t="s">
        <v>791</v>
      </c>
      <c r="N9" s="64" t="s">
        <v>791</v>
      </c>
      <c r="O9" s="64" t="s">
        <v>791</v>
      </c>
      <c r="P9" s="64"/>
      <c r="Q9" s="64"/>
      <c r="R9" s="64"/>
      <c r="S9" s="65"/>
      <c r="T9" s="66" t="s">
        <v>992</v>
      </c>
      <c r="U9" s="67" t="n">
        <v>45729</v>
      </c>
      <c r="V9" s="67" t="n">
        <v>45743</v>
      </c>
      <c r="W9" s="67" t="n">
        <v>45743</v>
      </c>
      <c r="X9" s="68" t="n">
        <v>8.5</v>
      </c>
      <c r="Y9" s="69"/>
      <c r="Z9" s="70" t="n">
        <v>17900</v>
      </c>
      <c r="AA9" s="137" t="n">
        <v>45771</v>
      </c>
      <c r="AB9" s="137" t="n">
        <v>45771</v>
      </c>
      <c r="AC9" s="137" t="n">
        <v>45777</v>
      </c>
      <c r="AD9" s="68" t="n">
        <v>8.7</v>
      </c>
      <c r="AE9" s="69"/>
      <c r="AF9" s="70" t="n">
        <v>179001</v>
      </c>
      <c r="AG9" s="67" t="n">
        <v>45799</v>
      </c>
      <c r="AH9" s="137" t="n">
        <v>45806</v>
      </c>
      <c r="AI9" s="137" t="n">
        <v>45806</v>
      </c>
      <c r="AJ9" s="68" t="n">
        <v>8</v>
      </c>
      <c r="AK9" s="69"/>
      <c r="AL9" s="70" t="n">
        <v>1790</v>
      </c>
      <c r="AM9" s="137" t="n">
        <v>45811</v>
      </c>
      <c r="AN9" s="137" t="n">
        <v>45811</v>
      </c>
      <c r="AO9" s="137" t="n">
        <v>45811</v>
      </c>
      <c r="AP9" s="68" t="n">
        <v>8</v>
      </c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68" t="n">
        <v>0</v>
      </c>
      <c r="AW9" s="69"/>
      <c r="AX9" s="68"/>
      <c r="AY9" s="68"/>
      <c r="AZ9" s="69"/>
      <c r="BA9" s="135" t="n">
        <v>45818</v>
      </c>
      <c r="BB9" s="71" t="n">
        <v>10</v>
      </c>
      <c r="BC9" s="72"/>
      <c r="BD9" s="73" t="str">
        <f aca="false">IF(AND(BB9&gt;=6,AP9&gt;=6,AJ9&gt;=6,AD9&gt;=6,X9&gt;=6),"да","нет")</f>
        <v>да</v>
      </c>
      <c r="BE9" s="72"/>
      <c r="BF9" s="118" t="n">
        <v>45834</v>
      </c>
      <c r="BG9" s="71" t="n">
        <v>0</v>
      </c>
      <c r="BH9" s="68"/>
      <c r="BI9" s="50"/>
      <c r="BJ9" s="75" t="n">
        <f aca="false">SUM(X9,AD9,AJ9,AP9,AV9,AX9:AY9,BH9,BB9,BG9)</f>
        <v>43.2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132" t="s">
        <v>413</v>
      </c>
      <c r="C10" s="61" t="s">
        <v>719</v>
      </c>
      <c r="D10" s="154" t="s">
        <v>412</v>
      </c>
      <c r="E10" s="62"/>
      <c r="F10" s="63" t="s">
        <v>696</v>
      </c>
      <c r="G10" s="63" t="s">
        <v>791</v>
      </c>
      <c r="H10" s="63" t="s">
        <v>696</v>
      </c>
      <c r="I10" s="63" t="s">
        <v>791</v>
      </c>
      <c r="J10" s="63" t="s">
        <v>735</v>
      </c>
      <c r="K10" s="63" t="s">
        <v>735</v>
      </c>
      <c r="L10" s="63" t="s">
        <v>735</v>
      </c>
      <c r="M10" s="63" t="s">
        <v>735</v>
      </c>
      <c r="N10" s="64" t="s">
        <v>737</v>
      </c>
      <c r="O10" s="64" t="s">
        <v>737</v>
      </c>
      <c r="P10" s="64"/>
      <c r="Q10" s="64"/>
      <c r="R10" s="64"/>
      <c r="S10" s="65"/>
      <c r="T10" s="66" t="s">
        <v>993</v>
      </c>
      <c r="U10" s="67" t="n">
        <v>45743</v>
      </c>
      <c r="V10" s="67"/>
      <c r="W10" s="67"/>
      <c r="X10" s="68"/>
      <c r="Y10" s="69"/>
      <c r="Z10" s="70"/>
      <c r="AA10" s="67"/>
      <c r="AB10" s="67"/>
      <c r="AC10" s="67"/>
      <c r="AD10" s="68"/>
      <c r="AE10" s="69"/>
      <c r="AF10" s="70"/>
      <c r="AG10" s="70"/>
      <c r="AH10" s="70"/>
      <c r="AI10" s="70"/>
      <c r="AJ10" s="68"/>
      <c r="AK10" s="69"/>
      <c r="AL10" s="70"/>
      <c r="AM10" s="70"/>
      <c r="AN10" s="70"/>
      <c r="AO10" s="70"/>
      <c r="AP10" s="68"/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68" t="n">
        <v>0</v>
      </c>
      <c r="AW10" s="69"/>
      <c r="AX10" s="68"/>
      <c r="AY10" s="68"/>
      <c r="AZ10" s="69"/>
      <c r="BA10" s="135" t="n">
        <v>45818</v>
      </c>
      <c r="BB10" s="71" t="n">
        <v>0</v>
      </c>
      <c r="BC10" s="72"/>
      <c r="BD10" s="73" t="str">
        <f aca="false">IF(AND(BB10&gt;=6,AP10&gt;=6,AJ10&gt;=6,AD10&gt;=6,X10&gt;=6),"да","нет")</f>
        <v>нет</v>
      </c>
      <c r="BE10" s="72"/>
      <c r="BF10" s="118"/>
      <c r="BG10" s="71"/>
      <c r="BH10" s="68"/>
      <c r="BI10" s="50"/>
      <c r="BJ10" s="75" t="n">
        <f aca="false">SUM(X10,AD10,AJ10,AP10,AV10,AX10:AY10,BH10,BB10,BG10)</f>
        <v>0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423</v>
      </c>
      <c r="C11" s="61" t="s">
        <v>719</v>
      </c>
      <c r="D11" s="163" t="s">
        <v>422</v>
      </c>
      <c r="E11" s="62"/>
      <c r="F11" s="63"/>
      <c r="G11" s="63" t="s">
        <v>791</v>
      </c>
      <c r="H11" s="63" t="s">
        <v>791</v>
      </c>
      <c r="I11" s="63" t="s">
        <v>791</v>
      </c>
      <c r="J11" s="63" t="s">
        <v>791</v>
      </c>
      <c r="K11" s="63" t="s">
        <v>791</v>
      </c>
      <c r="L11" s="63" t="s">
        <v>791</v>
      </c>
      <c r="M11" s="63" t="s">
        <v>735</v>
      </c>
      <c r="N11" s="64" t="s">
        <v>791</v>
      </c>
      <c r="O11" s="64" t="s">
        <v>737</v>
      </c>
      <c r="P11" s="64"/>
      <c r="Q11" s="64"/>
      <c r="R11" s="64"/>
      <c r="S11" s="65"/>
      <c r="T11" s="66" t="s">
        <v>994</v>
      </c>
      <c r="U11" s="67" t="n">
        <v>45729</v>
      </c>
      <c r="V11" s="67" t="n">
        <v>45743</v>
      </c>
      <c r="W11" s="67" t="n">
        <v>45743</v>
      </c>
      <c r="X11" s="68" t="n">
        <v>9</v>
      </c>
      <c r="Y11" s="69"/>
      <c r="Z11" s="70" t="n">
        <v>17955</v>
      </c>
      <c r="AA11" s="67" t="n">
        <v>45755</v>
      </c>
      <c r="AB11" s="137" t="n">
        <v>45757</v>
      </c>
      <c r="AC11" s="137" t="n">
        <v>45757</v>
      </c>
      <c r="AD11" s="68" t="n">
        <v>9.4</v>
      </c>
      <c r="AE11" s="69"/>
      <c r="AF11" s="70" t="n">
        <v>1795</v>
      </c>
      <c r="AG11" s="137" t="n">
        <v>45771</v>
      </c>
      <c r="AH11" s="137" t="n">
        <v>45771</v>
      </c>
      <c r="AI11" s="137" t="n">
        <v>45771</v>
      </c>
      <c r="AJ11" s="68" t="n">
        <v>9.4</v>
      </c>
      <c r="AK11" s="69"/>
      <c r="AL11" s="70" t="n">
        <v>1795</v>
      </c>
      <c r="AM11" s="137" t="n">
        <v>45777</v>
      </c>
      <c r="AN11" s="137" t="n">
        <v>45777</v>
      </c>
      <c r="AO11" s="137" t="n">
        <v>45777</v>
      </c>
      <c r="AP11" s="68" t="n">
        <v>9.7</v>
      </c>
      <c r="AQ11" s="69"/>
      <c r="AR11" s="70" t="n">
        <v>1795</v>
      </c>
      <c r="AS11" s="137" t="n">
        <v>45806</v>
      </c>
      <c r="AT11" s="137" t="n">
        <v>45806</v>
      </c>
      <c r="AU11" s="137" t="n">
        <v>45806</v>
      </c>
      <c r="AV11" s="68" t="n">
        <v>7</v>
      </c>
      <c r="AW11" s="69"/>
      <c r="AX11" s="68" t="n">
        <v>0</v>
      </c>
      <c r="AY11" s="68" t="n">
        <v>0</v>
      </c>
      <c r="AZ11" s="69"/>
      <c r="BA11" s="135" t="n">
        <v>45818</v>
      </c>
      <c r="BB11" s="71" t="n">
        <v>9.5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45834</v>
      </c>
      <c r="BG11" s="71" t="n">
        <v>30</v>
      </c>
      <c r="BH11" s="68"/>
      <c r="BI11" s="50"/>
      <c r="BJ11" s="75" t="n">
        <f aca="false">SUM(X11,AD11,AJ11,AP11,AV11,AX11:AY11,BH11,BB11,BG11)</f>
        <v>84</v>
      </c>
      <c r="BK11" s="73" t="str">
        <f aca="false">IF(BJ11&gt;90,"A",IF(BJ11&gt;83,"B",IF(BJ11&gt;74,"C",IF(BJ11&gt;67,"D",IF(BJ11&gt;=60,"E","FX")))))</f>
        <v>B</v>
      </c>
    </row>
    <row r="12" customFormat="false" ht="15.75" hidden="false" customHeight="false" outlineLevel="0" collapsed="false">
      <c r="A12" s="59" t="n">
        <f aca="false">A11+1</f>
        <v>10</v>
      </c>
      <c r="B12" s="136" t="s">
        <v>437</v>
      </c>
      <c r="C12" s="61" t="s">
        <v>719</v>
      </c>
      <c r="D12" s="154" t="s">
        <v>436</v>
      </c>
      <c r="E12" s="62"/>
      <c r="F12" s="63" t="s">
        <v>696</v>
      </c>
      <c r="G12" s="63" t="s">
        <v>791</v>
      </c>
      <c r="H12" s="63" t="s">
        <v>791</v>
      </c>
      <c r="I12" s="63" t="s">
        <v>791</v>
      </c>
      <c r="J12" s="63" t="s">
        <v>791</v>
      </c>
      <c r="K12" s="63" t="s">
        <v>791</v>
      </c>
      <c r="L12" s="63" t="s">
        <v>791</v>
      </c>
      <c r="M12" s="63" t="s">
        <v>791</v>
      </c>
      <c r="N12" s="64" t="s">
        <v>791</v>
      </c>
      <c r="O12" s="64" t="s">
        <v>737</v>
      </c>
      <c r="P12" s="64"/>
      <c r="Q12" s="64"/>
      <c r="R12" s="64"/>
      <c r="S12" s="65"/>
      <c r="T12" s="66" t="s">
        <v>995</v>
      </c>
      <c r="U12" s="67" t="n">
        <v>45715</v>
      </c>
      <c r="V12" s="67" t="n">
        <v>45729</v>
      </c>
      <c r="W12" s="67" t="n">
        <v>45729</v>
      </c>
      <c r="X12" s="68" t="n">
        <v>9</v>
      </c>
      <c r="Y12" s="69"/>
      <c r="Z12" s="70" t="n">
        <v>17771</v>
      </c>
      <c r="AA12" s="137" t="n">
        <v>45757</v>
      </c>
      <c r="AB12" s="137" t="n">
        <v>45757</v>
      </c>
      <c r="AC12" s="137" t="n">
        <v>45771</v>
      </c>
      <c r="AD12" s="68" t="n">
        <v>9.8</v>
      </c>
      <c r="AE12" s="69"/>
      <c r="AF12" s="70" t="n">
        <v>1777</v>
      </c>
      <c r="AG12" s="137" t="n">
        <v>45777</v>
      </c>
      <c r="AH12" s="67" t="n">
        <v>45799</v>
      </c>
      <c r="AI12" s="67" t="n">
        <v>45799</v>
      </c>
      <c r="AJ12" s="68" t="n">
        <v>8.5</v>
      </c>
      <c r="AK12" s="69"/>
      <c r="AL12" s="70" t="n">
        <v>61777</v>
      </c>
      <c r="AM12" s="67" t="n">
        <v>45799</v>
      </c>
      <c r="AN12" s="67" t="n">
        <v>45799</v>
      </c>
      <c r="AO12" s="67" t="n">
        <v>45799</v>
      </c>
      <c r="AP12" s="68" t="n">
        <v>9.5</v>
      </c>
      <c r="AQ12" s="69"/>
      <c r="AR12" s="70" t="n">
        <v>1777</v>
      </c>
      <c r="AS12" s="137" t="n">
        <v>45806</v>
      </c>
      <c r="AT12" s="137" t="n">
        <v>45806</v>
      </c>
      <c r="AU12" s="137" t="n">
        <v>45806</v>
      </c>
      <c r="AV12" s="68" t="n">
        <v>8</v>
      </c>
      <c r="AW12" s="69"/>
      <c r="AX12" s="68" t="n">
        <v>1</v>
      </c>
      <c r="AY12" s="68" t="n">
        <v>1</v>
      </c>
      <c r="AZ12" s="69"/>
      <c r="BA12" s="135" t="n">
        <v>45818</v>
      </c>
      <c r="BB12" s="71" t="n">
        <v>9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45834</v>
      </c>
      <c r="BG12" s="71" t="n">
        <v>27</v>
      </c>
      <c r="BH12" s="68" t="n">
        <v>1</v>
      </c>
      <c r="BI12" s="50"/>
      <c r="BJ12" s="75" t="n">
        <f aca="false">SUM(X12,AD12,AJ12,AP12,AV12,AX12:AY12,BH12,BB12,BG12)</f>
        <v>83.8</v>
      </c>
      <c r="BK12" s="73" t="str">
        <f aca="false">IF(BJ12&gt;90,"A",IF(BJ12&gt;83,"B",IF(BJ12&gt;74,"C",IF(BJ12&gt;67,"D",IF(BJ12&gt;=60,"E","FX")))))</f>
        <v>B</v>
      </c>
    </row>
    <row r="13" customFormat="false" ht="15.75" hidden="false" customHeight="false" outlineLevel="0" collapsed="false">
      <c r="A13" s="59" t="n">
        <f aca="false">A12+1</f>
        <v>11</v>
      </c>
      <c r="B13" s="132" t="s">
        <v>455</v>
      </c>
      <c r="C13" s="61" t="s">
        <v>719</v>
      </c>
      <c r="D13" s="154" t="s">
        <v>454</v>
      </c>
      <c r="E13" s="62"/>
      <c r="F13" s="63" t="s">
        <v>696</v>
      </c>
      <c r="G13" s="63" t="s">
        <v>791</v>
      </c>
      <c r="H13" s="63" t="s">
        <v>791</v>
      </c>
      <c r="I13" s="63" t="s">
        <v>791</v>
      </c>
      <c r="J13" s="63" t="s">
        <v>791</v>
      </c>
      <c r="K13" s="63" t="s">
        <v>791</v>
      </c>
      <c r="L13" s="63" t="s">
        <v>791</v>
      </c>
      <c r="M13" s="63" t="s">
        <v>791</v>
      </c>
      <c r="N13" s="64" t="s">
        <v>735</v>
      </c>
      <c r="O13" s="64" t="s">
        <v>735</v>
      </c>
      <c r="P13" s="64"/>
      <c r="Q13" s="64"/>
      <c r="R13" s="64"/>
      <c r="S13" s="65"/>
      <c r="T13" s="66" t="s">
        <v>996</v>
      </c>
      <c r="U13" s="67" t="n">
        <v>45729</v>
      </c>
      <c r="V13" s="67" t="n">
        <v>45743</v>
      </c>
      <c r="W13" s="67" t="n">
        <v>45743</v>
      </c>
      <c r="X13" s="68" t="n">
        <v>7.5</v>
      </c>
      <c r="Y13" s="69"/>
      <c r="Z13" s="70" t="n">
        <v>17781</v>
      </c>
      <c r="AA13" s="137" t="n">
        <v>45771</v>
      </c>
      <c r="AB13" s="67" t="n">
        <v>45799</v>
      </c>
      <c r="AC13" s="67" t="n">
        <v>45799</v>
      </c>
      <c r="AD13" s="68" t="n">
        <v>8</v>
      </c>
      <c r="AE13" s="69"/>
      <c r="AF13" s="70" t="n">
        <v>1778</v>
      </c>
      <c r="AG13" s="67" t="n">
        <v>45799</v>
      </c>
      <c r="AH13" s="70"/>
      <c r="AI13" s="70" t="s">
        <v>997</v>
      </c>
      <c r="AJ13" s="68"/>
      <c r="AK13" s="69"/>
      <c r="AL13" s="70"/>
      <c r="AM13" s="70"/>
      <c r="AN13" s="70"/>
      <c r="AO13" s="70"/>
      <c r="AP13" s="68"/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68" t="n">
        <v>0</v>
      </c>
      <c r="AW13" s="69"/>
      <c r="AX13" s="68"/>
      <c r="AY13" s="68"/>
      <c r="AZ13" s="69"/>
      <c r="BA13" s="135" t="n">
        <v>45818</v>
      </c>
      <c r="BB13" s="71" t="n">
        <v>0</v>
      </c>
      <c r="BC13" s="72"/>
      <c r="BD13" s="73" t="str">
        <f aca="false">IF(AND(BB13&gt;=6,AP13&gt;=6,AJ13&gt;=6,AD13&gt;=6,X13&gt;=6),"да","нет")</f>
        <v>нет</v>
      </c>
      <c r="BE13" s="72"/>
      <c r="BF13" s="118"/>
      <c r="BG13" s="71"/>
      <c r="BH13" s="68"/>
      <c r="BI13" s="50"/>
      <c r="BJ13" s="75" t="n">
        <f aca="false">SUM(X13,AD13,AJ13,AP13,AV13,AX13:AY13,BH13,BB13,BG13)</f>
        <v>15.5</v>
      </c>
      <c r="BK13" s="73" t="str">
        <f aca="false">IF(BJ13&gt;90,"A",IF(BJ13&gt;83,"B",IF(BJ13&gt;74,"C",IF(BJ13&gt;67,"D",IF(BJ13&gt;=60,"E","FX")))))</f>
        <v>FX</v>
      </c>
    </row>
    <row r="14" customFormat="false" ht="15.75" hidden="false" customHeight="false" outlineLevel="0" collapsed="false">
      <c r="A14" s="59" t="n">
        <f aca="false">A13+1</f>
        <v>12</v>
      </c>
      <c r="B14" s="136" t="s">
        <v>463</v>
      </c>
      <c r="C14" s="61" t="s">
        <v>719</v>
      </c>
      <c r="D14" s="154" t="s">
        <v>462</v>
      </c>
      <c r="E14" s="62"/>
      <c r="F14" s="63" t="s">
        <v>791</v>
      </c>
      <c r="G14" s="63" t="s">
        <v>791</v>
      </c>
      <c r="H14" s="63" t="s">
        <v>791</v>
      </c>
      <c r="I14" s="63" t="s">
        <v>791</v>
      </c>
      <c r="J14" s="63" t="s">
        <v>791</v>
      </c>
      <c r="K14" s="63" t="s">
        <v>791</v>
      </c>
      <c r="L14" s="63" t="s">
        <v>791</v>
      </c>
      <c r="M14" s="63" t="s">
        <v>791</v>
      </c>
      <c r="N14" s="64" t="s">
        <v>791</v>
      </c>
      <c r="O14" s="64" t="s">
        <v>737</v>
      </c>
      <c r="P14" s="64"/>
      <c r="Q14" s="64"/>
      <c r="R14" s="64"/>
      <c r="S14" s="65"/>
      <c r="T14" s="66" t="s">
        <v>998</v>
      </c>
      <c r="U14" s="67" t="n">
        <v>45701</v>
      </c>
      <c r="V14" s="67" t="n">
        <v>45729</v>
      </c>
      <c r="W14" s="67" t="n">
        <v>45729</v>
      </c>
      <c r="X14" s="68" t="n">
        <v>8.2</v>
      </c>
      <c r="Y14" s="69"/>
      <c r="Z14" s="70" t="n">
        <v>17791</v>
      </c>
      <c r="AA14" s="67" t="n">
        <v>45743</v>
      </c>
      <c r="AB14" s="137" t="n">
        <v>45757</v>
      </c>
      <c r="AC14" s="137" t="n">
        <v>45771</v>
      </c>
      <c r="AD14" s="68" t="n">
        <v>9.2</v>
      </c>
      <c r="AE14" s="69"/>
      <c r="AF14" s="70" t="n">
        <v>17795</v>
      </c>
      <c r="AG14" s="137" t="n">
        <v>45777</v>
      </c>
      <c r="AH14" s="137" t="n">
        <v>45777</v>
      </c>
      <c r="AI14" s="137" t="n">
        <v>45777</v>
      </c>
      <c r="AJ14" s="68" t="n">
        <v>9</v>
      </c>
      <c r="AK14" s="69"/>
      <c r="AL14" s="70" t="n">
        <v>1779</v>
      </c>
      <c r="AM14" s="67" t="n">
        <v>45799</v>
      </c>
      <c r="AN14" s="67" t="n">
        <v>45799</v>
      </c>
      <c r="AO14" s="67" t="n">
        <v>45799</v>
      </c>
      <c r="AP14" s="68" t="n">
        <v>9</v>
      </c>
      <c r="AQ14" s="69"/>
      <c r="AR14" s="70" t="n">
        <v>7178</v>
      </c>
      <c r="AS14" s="137" t="n">
        <v>45806</v>
      </c>
      <c r="AT14" s="137" t="n">
        <v>45806</v>
      </c>
      <c r="AU14" s="137" t="n">
        <v>45806</v>
      </c>
      <c r="AV14" s="68" t="n">
        <v>5</v>
      </c>
      <c r="AW14" s="69"/>
      <c r="AX14" s="68" t="n">
        <v>2</v>
      </c>
      <c r="AY14" s="68"/>
      <c r="AZ14" s="69"/>
      <c r="BA14" s="135" t="n">
        <v>45818</v>
      </c>
      <c r="BB14" s="71" t="n">
        <v>10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45834</v>
      </c>
      <c r="BG14" s="71" t="n">
        <v>26</v>
      </c>
      <c r="BH14" s="68"/>
      <c r="BI14" s="50"/>
      <c r="BJ14" s="75" t="n">
        <f aca="false">SUM(X14,AD14,AJ14,AP14,AV14,AX14:AY14,BH14,BB14,BG14)</f>
        <v>78.4</v>
      </c>
      <c r="BK14" s="73" t="str">
        <f aca="false">IF(BJ14&gt;90,"A",IF(BJ14&gt;83,"B",IF(BJ14&gt;74,"C",IF(BJ14&gt;67,"D",IF(BJ14&gt;=60,"E","FX")))))</f>
        <v>C</v>
      </c>
    </row>
    <row r="15" customFormat="false" ht="15.75" hidden="false" customHeight="false" outlineLevel="0" collapsed="false">
      <c r="A15" s="59" t="n">
        <f aca="false">A14+1</f>
        <v>13</v>
      </c>
      <c r="B15" s="136" t="s">
        <v>531</v>
      </c>
      <c r="C15" s="61" t="s">
        <v>719</v>
      </c>
      <c r="D15" s="154" t="s">
        <v>530</v>
      </c>
      <c r="E15" s="62"/>
      <c r="F15" s="63" t="s">
        <v>791</v>
      </c>
      <c r="G15" s="63" t="s">
        <v>791</v>
      </c>
      <c r="H15" s="63" t="s">
        <v>791</v>
      </c>
      <c r="I15" s="63" t="s">
        <v>791</v>
      </c>
      <c r="J15" s="63" t="s">
        <v>791</v>
      </c>
      <c r="K15" s="63" t="s">
        <v>791</v>
      </c>
      <c r="L15" s="63" t="s">
        <v>791</v>
      </c>
      <c r="M15" s="63" t="s">
        <v>735</v>
      </c>
      <c r="N15" s="64" t="s">
        <v>791</v>
      </c>
      <c r="O15" s="64" t="s">
        <v>737</v>
      </c>
      <c r="P15" s="64"/>
      <c r="Q15" s="64"/>
      <c r="R15" s="64"/>
      <c r="S15" s="65"/>
      <c r="T15" s="66" t="s">
        <v>999</v>
      </c>
      <c r="U15" s="67" t="n">
        <v>45701</v>
      </c>
      <c r="V15" s="67" t="n">
        <v>45729</v>
      </c>
      <c r="W15" s="67" t="n">
        <v>45729</v>
      </c>
      <c r="X15" s="68" t="n">
        <v>8.5</v>
      </c>
      <c r="Y15" s="69"/>
      <c r="Z15" s="70" t="n">
        <v>17801</v>
      </c>
      <c r="AA15" s="67" t="n">
        <v>45743</v>
      </c>
      <c r="AB15" s="67" t="n">
        <v>45743</v>
      </c>
      <c r="AC15" s="67" t="n">
        <v>45743</v>
      </c>
      <c r="AD15" s="68" t="n">
        <v>8.5</v>
      </c>
      <c r="AE15" s="69"/>
      <c r="AF15" s="70" t="n">
        <v>178011</v>
      </c>
      <c r="AG15" s="137" t="n">
        <v>45757</v>
      </c>
      <c r="AH15" s="137" t="n">
        <v>45771</v>
      </c>
      <c r="AI15" s="137" t="n">
        <v>45771</v>
      </c>
      <c r="AJ15" s="68" t="n">
        <v>9.2</v>
      </c>
      <c r="AK15" s="69"/>
      <c r="AL15" s="70" t="n">
        <v>178016</v>
      </c>
      <c r="AM15" s="137" t="n">
        <v>45777</v>
      </c>
      <c r="AN15" s="137" t="n">
        <v>45777</v>
      </c>
      <c r="AO15" s="137" t="n">
        <v>45777</v>
      </c>
      <c r="AP15" s="68" t="n">
        <v>9.2</v>
      </c>
      <c r="AQ15" s="69"/>
      <c r="AR15" s="70"/>
      <c r="AS15" s="137" t="n">
        <v>45806</v>
      </c>
      <c r="AT15" s="137" t="n">
        <v>45806</v>
      </c>
      <c r="AU15" s="137" t="n">
        <v>45806</v>
      </c>
      <c r="AV15" s="68" t="n">
        <v>7</v>
      </c>
      <c r="AW15" s="69"/>
      <c r="AX15" s="68" t="n">
        <v>2</v>
      </c>
      <c r="AY15" s="68"/>
      <c r="AZ15" s="69"/>
      <c r="BA15" s="135" t="n">
        <v>45818</v>
      </c>
      <c r="BB15" s="71" t="n">
        <v>10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45834</v>
      </c>
      <c r="BG15" s="71" t="n">
        <v>16</v>
      </c>
      <c r="BH15" s="68"/>
      <c r="BI15" s="50"/>
      <c r="BJ15" s="75" t="n">
        <f aca="false">SUM(X15,AD15,AJ15,AP15,AV15,AX15:AY15,BH15,BB15,BG15)</f>
        <v>70.4</v>
      </c>
      <c r="BK15" s="73" t="str">
        <f aca="false">IF(BJ15&gt;90,"A",IF(BJ15&gt;83,"B",IF(BJ15&gt;74,"C",IF(BJ15&gt;67,"D",IF(BJ15&gt;=60,"E","FX")))))</f>
        <v>D</v>
      </c>
    </row>
    <row r="16" customFormat="false" ht="15.75" hidden="false" customHeight="false" outlineLevel="0" collapsed="false">
      <c r="A16" s="59" t="n">
        <f aca="false">A15+1</f>
        <v>14</v>
      </c>
      <c r="B16" s="136" t="s">
        <v>555</v>
      </c>
      <c r="C16" s="61" t="s">
        <v>719</v>
      </c>
      <c r="D16" s="154" t="s">
        <v>554</v>
      </c>
      <c r="E16" s="62"/>
      <c r="F16" s="63" t="s">
        <v>791</v>
      </c>
      <c r="G16" s="63" t="s">
        <v>791</v>
      </c>
      <c r="H16" s="63" t="s">
        <v>791</v>
      </c>
      <c r="I16" s="63" t="s">
        <v>791</v>
      </c>
      <c r="J16" s="63" t="s">
        <v>791</v>
      </c>
      <c r="K16" s="63" t="s">
        <v>791</v>
      </c>
      <c r="L16" s="63" t="s">
        <v>791</v>
      </c>
      <c r="M16" s="63" t="s">
        <v>737</v>
      </c>
      <c r="N16" s="64" t="s">
        <v>737</v>
      </c>
      <c r="O16" s="64" t="s">
        <v>737</v>
      </c>
      <c r="P16" s="64"/>
      <c r="Q16" s="64"/>
      <c r="R16" s="64"/>
      <c r="S16" s="65"/>
      <c r="T16" s="66" t="s">
        <v>1000</v>
      </c>
      <c r="U16" s="67" t="n">
        <v>45701</v>
      </c>
      <c r="V16" s="67" t="n">
        <v>45715</v>
      </c>
      <c r="W16" s="67" t="n">
        <v>45715</v>
      </c>
      <c r="X16" s="68" t="n">
        <v>8.9</v>
      </c>
      <c r="Y16" s="69"/>
      <c r="Z16" s="70" t="n">
        <v>1781</v>
      </c>
      <c r="AA16" s="67" t="n">
        <v>45729</v>
      </c>
      <c r="AB16" s="67" t="n">
        <v>45743</v>
      </c>
      <c r="AC16" s="67" t="n">
        <v>45743</v>
      </c>
      <c r="AD16" s="68" t="n">
        <v>8.9</v>
      </c>
      <c r="AE16" s="69"/>
      <c r="AF16" s="70" t="n">
        <v>17811</v>
      </c>
      <c r="AG16" s="137" t="n">
        <v>45757</v>
      </c>
      <c r="AH16" s="137" t="n">
        <v>45757</v>
      </c>
      <c r="AI16" s="137" t="n">
        <v>45757</v>
      </c>
      <c r="AJ16" s="68" t="n">
        <v>9.1</v>
      </c>
      <c r="AK16" s="69"/>
      <c r="AL16" s="70" t="n">
        <v>1786</v>
      </c>
      <c r="AM16" s="137" t="n">
        <v>45771</v>
      </c>
      <c r="AN16" s="137" t="n">
        <v>45771</v>
      </c>
      <c r="AO16" s="137" t="n">
        <v>45771</v>
      </c>
      <c r="AP16" s="68" t="n">
        <v>9</v>
      </c>
      <c r="AQ16" s="69"/>
      <c r="AR16" s="66" t="s">
        <v>1000</v>
      </c>
      <c r="AS16" s="137" t="n">
        <v>45777</v>
      </c>
      <c r="AT16" s="137" t="n">
        <v>45777</v>
      </c>
      <c r="AU16" s="137" t="n">
        <v>45777</v>
      </c>
      <c r="AV16" s="68" t="n">
        <v>10</v>
      </c>
      <c r="AW16" s="69"/>
      <c r="AX16" s="68" t="n">
        <v>2</v>
      </c>
      <c r="AY16" s="68" t="n">
        <v>2</v>
      </c>
      <c r="AZ16" s="69"/>
      <c r="BA16" s="135" t="n">
        <v>45818</v>
      </c>
      <c r="BB16" s="71" t="n">
        <v>10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45834</v>
      </c>
      <c r="BG16" s="71" t="n">
        <v>29</v>
      </c>
      <c r="BH16" s="68" t="n">
        <v>2</v>
      </c>
      <c r="BI16" s="50"/>
      <c r="BJ16" s="75" t="n">
        <f aca="false">SUM(X16,AD16,AJ16,AP16,AV16,AX16:AY16,BH16,BB16,BG16)</f>
        <v>90.9</v>
      </c>
      <c r="BK16" s="73" t="str">
        <f aca="false">IF(BJ16&gt;90,"A",IF(BJ16&gt;83,"B",IF(BJ16&gt;74,"C",IF(BJ16&gt;67,"D",IF(BJ16&gt;=60,"E","FX")))))</f>
        <v>A</v>
      </c>
    </row>
    <row r="17" customFormat="false" ht="15.75" hidden="false" customHeight="false" outlineLevel="0" collapsed="false">
      <c r="A17" s="59" t="n">
        <f aca="false">A16+1</f>
        <v>15</v>
      </c>
      <c r="B17" s="136" t="s">
        <v>581</v>
      </c>
      <c r="C17" s="61" t="s">
        <v>719</v>
      </c>
      <c r="D17" s="154" t="s">
        <v>580</v>
      </c>
      <c r="E17" s="62"/>
      <c r="F17" s="63" t="s">
        <v>696</v>
      </c>
      <c r="G17" s="63" t="s">
        <v>791</v>
      </c>
      <c r="H17" s="63" t="s">
        <v>791</v>
      </c>
      <c r="I17" s="63" t="s">
        <v>791</v>
      </c>
      <c r="J17" s="63" t="s">
        <v>791</v>
      </c>
      <c r="K17" s="63" t="s">
        <v>791</v>
      </c>
      <c r="L17" s="63" t="s">
        <v>791</v>
      </c>
      <c r="M17" s="63" t="s">
        <v>791</v>
      </c>
      <c r="N17" s="64" t="s">
        <v>791</v>
      </c>
      <c r="O17" s="64" t="s">
        <v>791</v>
      </c>
      <c r="P17" s="64"/>
      <c r="Q17" s="64"/>
      <c r="R17" s="64"/>
      <c r="S17" s="65"/>
      <c r="T17" s="66" t="s">
        <v>1001</v>
      </c>
      <c r="U17" s="67" t="n">
        <v>45729</v>
      </c>
      <c r="V17" s="67" t="n">
        <v>45743</v>
      </c>
      <c r="W17" s="67" t="n">
        <v>45743</v>
      </c>
      <c r="X17" s="68" t="n">
        <v>8.6</v>
      </c>
      <c r="Y17" s="69"/>
      <c r="Z17" s="70" t="n">
        <v>17822</v>
      </c>
      <c r="AA17" s="137" t="n">
        <v>45757</v>
      </c>
      <c r="AB17" s="137" t="n">
        <v>45757</v>
      </c>
      <c r="AC17" s="137" t="n">
        <v>45771</v>
      </c>
      <c r="AD17" s="68" t="n">
        <v>8.9</v>
      </c>
      <c r="AE17" s="69"/>
      <c r="AF17" s="70" t="n">
        <v>1782</v>
      </c>
      <c r="AG17" s="137" t="n">
        <v>45777</v>
      </c>
      <c r="AH17" s="67" t="n">
        <v>45799</v>
      </c>
      <c r="AI17" s="67" t="n">
        <v>45799</v>
      </c>
      <c r="AJ17" s="68" t="n">
        <v>8</v>
      </c>
      <c r="AK17" s="69"/>
      <c r="AL17" s="70" t="n">
        <v>61782</v>
      </c>
      <c r="AM17" s="137" t="n">
        <v>45811</v>
      </c>
      <c r="AN17" s="137" t="n">
        <v>45811</v>
      </c>
      <c r="AO17" s="137" t="n">
        <v>45811</v>
      </c>
      <c r="AP17" s="68" t="n">
        <v>7</v>
      </c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68" t="n">
        <v>0</v>
      </c>
      <c r="AW17" s="69"/>
      <c r="AX17" s="68" t="n">
        <v>0</v>
      </c>
      <c r="AY17" s="68"/>
      <c r="AZ17" s="69"/>
      <c r="BA17" s="135" t="n">
        <v>45818</v>
      </c>
      <c r="BB17" s="71" t="n">
        <v>10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45834</v>
      </c>
      <c r="BG17" s="71" t="n">
        <v>29</v>
      </c>
      <c r="BH17" s="68" t="n">
        <v>3</v>
      </c>
      <c r="BI17" s="50"/>
      <c r="BJ17" s="75" t="n">
        <f aca="false">SUM(X17,AD17,AJ17,AP17,AV17,AX17:AY17,BH17,BB17,BG17)</f>
        <v>74.5</v>
      </c>
      <c r="BK17" s="73" t="str">
        <f aca="false">IF(BJ17&gt;90,"A",IF(BJ17&gt;83,"B",IF(BJ17&gt;74,"C",IF(BJ17&gt;67,"D",IF(BJ17&gt;=60,"E","FX")))))</f>
        <v>C</v>
      </c>
    </row>
    <row r="18" customFormat="false" ht="15.75" hidden="false" customHeight="false" outlineLevel="0" collapsed="false">
      <c r="A18" s="59" t="n">
        <f aca="false">A17+1</f>
        <v>16</v>
      </c>
      <c r="B18" s="136" t="s">
        <v>629</v>
      </c>
      <c r="C18" s="61" t="s">
        <v>719</v>
      </c>
      <c r="D18" s="154" t="s">
        <v>628</v>
      </c>
      <c r="E18" s="62"/>
      <c r="F18" s="63" t="s">
        <v>791</v>
      </c>
      <c r="G18" s="63" t="s">
        <v>791</v>
      </c>
      <c r="H18" s="63" t="s">
        <v>791</v>
      </c>
      <c r="I18" s="63" t="s">
        <v>791</v>
      </c>
      <c r="J18" s="63" t="s">
        <v>791</v>
      </c>
      <c r="K18" s="63" t="s">
        <v>791</v>
      </c>
      <c r="L18" s="63" t="s">
        <v>791</v>
      </c>
      <c r="M18" s="63" t="s">
        <v>791</v>
      </c>
      <c r="N18" s="64" t="s">
        <v>737</v>
      </c>
      <c r="O18" s="64" t="s">
        <v>737</v>
      </c>
      <c r="P18" s="64"/>
      <c r="Q18" s="64"/>
      <c r="R18" s="64"/>
      <c r="S18" s="65"/>
      <c r="T18" s="66" t="s">
        <v>1002</v>
      </c>
      <c r="U18" s="67" t="n">
        <v>45701</v>
      </c>
      <c r="V18" s="67" t="n">
        <v>45715</v>
      </c>
      <c r="W18" s="67" t="n">
        <v>45715</v>
      </c>
      <c r="X18" s="68" t="n">
        <v>8.9</v>
      </c>
      <c r="Y18" s="69"/>
      <c r="Z18" s="70" t="n">
        <v>1783</v>
      </c>
      <c r="AA18" s="67" t="n">
        <v>45729</v>
      </c>
      <c r="AB18" s="67" t="n">
        <v>45743</v>
      </c>
      <c r="AC18" s="67" t="n">
        <v>45743</v>
      </c>
      <c r="AD18" s="68" t="n">
        <v>9</v>
      </c>
      <c r="AE18" s="69"/>
      <c r="AF18" s="70" t="n">
        <v>17833</v>
      </c>
      <c r="AG18" s="137" t="n">
        <v>45757</v>
      </c>
      <c r="AH18" s="137" t="n">
        <v>45771</v>
      </c>
      <c r="AI18" s="137" t="n">
        <v>45771</v>
      </c>
      <c r="AJ18" s="68" t="n">
        <v>9</v>
      </c>
      <c r="AK18" s="69"/>
      <c r="AL18" s="70" t="n">
        <v>17836</v>
      </c>
      <c r="AM18" s="137" t="n">
        <v>45777</v>
      </c>
      <c r="AN18" s="137" t="n">
        <v>45777</v>
      </c>
      <c r="AO18" s="137" t="n">
        <v>45777</v>
      </c>
      <c r="AP18" s="68" t="n">
        <v>9.8</v>
      </c>
      <c r="AQ18" s="69"/>
      <c r="AR18" s="70"/>
      <c r="AS18" s="67" t="n">
        <v>45799</v>
      </c>
      <c r="AT18" s="67" t="n">
        <v>45799</v>
      </c>
      <c r="AU18" s="67" t="n">
        <v>45799</v>
      </c>
      <c r="AV18" s="68" t="n">
        <v>10</v>
      </c>
      <c r="AW18" s="69"/>
      <c r="AX18" s="68" t="n">
        <v>1</v>
      </c>
      <c r="AY18" s="68" t="n">
        <v>2</v>
      </c>
      <c r="AZ18" s="69"/>
      <c r="BA18" s="135" t="n">
        <v>45818</v>
      </c>
      <c r="BB18" s="71" t="n">
        <v>8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45834</v>
      </c>
      <c r="BG18" s="71" t="n">
        <v>26</v>
      </c>
      <c r="BH18" s="68"/>
      <c r="BI18" s="50"/>
      <c r="BJ18" s="75" t="n">
        <f aca="false">SUM(X18,AD18,AJ18,AP18,AV18,AX18:AY18,BH18,BB18,BG18)</f>
        <v>83.7</v>
      </c>
      <c r="BK18" s="73" t="str">
        <f aca="false">IF(BJ18&gt;90,"A",IF(BJ18&gt;83,"B",IF(BJ18&gt;74,"C",IF(BJ18&gt;67,"D",IF(BJ18&gt;=60,"E","FX")))))</f>
        <v>B</v>
      </c>
    </row>
    <row r="19" customFormat="false" ht="15.75" hidden="false" customHeight="false" outlineLevel="0" collapsed="false">
      <c r="A19" s="59"/>
      <c r="C19" s="61"/>
      <c r="D19" s="61"/>
      <c r="E19" s="62"/>
      <c r="H19" s="63"/>
      <c r="I19" s="63"/>
      <c r="J19" s="63"/>
      <c r="K19" s="63"/>
      <c r="L19" s="63"/>
      <c r="M19" s="63"/>
      <c r="N19" s="64"/>
      <c r="O19" s="64"/>
      <c r="P19" s="64"/>
      <c r="Q19" s="64"/>
      <c r="R19" s="64"/>
      <c r="S19" s="65"/>
      <c r="U19" s="67"/>
      <c r="V19" s="67"/>
      <c r="W19" s="67"/>
      <c r="X19" s="68"/>
      <c r="Y19" s="69"/>
      <c r="Z19" s="70"/>
      <c r="AA19" s="67"/>
      <c r="AB19" s="67"/>
      <c r="AC19" s="67"/>
      <c r="AD19" s="68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/>
      <c r="AS19" s="70"/>
      <c r="AT19" s="70"/>
      <c r="AU19" s="70"/>
      <c r="AV19" s="68"/>
      <c r="AW19" s="69"/>
      <c r="AX19" s="68"/>
      <c r="AY19" s="68"/>
      <c r="AZ19" s="69"/>
      <c r="BA19" s="70"/>
      <c r="BB19" s="71"/>
      <c r="BC19" s="72"/>
      <c r="BD19" s="73" t="str">
        <f aca="false">IF(AND(BB19&gt;=6,AP19&gt;=6,AJ19&gt;=6,AD19&gt;=6,X19&gt;=6),"да","нет")</f>
        <v>нет</v>
      </c>
      <c r="BE19" s="72"/>
      <c r="BF19" s="74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/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 t="n">
        <v>17</v>
      </c>
      <c r="H20" s="63" t="s">
        <v>869</v>
      </c>
      <c r="I20" s="63" t="n">
        <v>10</v>
      </c>
      <c r="J20" s="63"/>
      <c r="K20" s="63"/>
      <c r="L20" s="63"/>
      <c r="M20" s="63"/>
      <c r="N20" s="64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/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 t="n">
        <v>13</v>
      </c>
      <c r="H21" s="63" t="n">
        <v>30</v>
      </c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70"/>
      <c r="V21" s="70"/>
      <c r="W21" s="70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/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70"/>
      <c r="V22" s="70"/>
      <c r="W22" s="70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3.75" hidden="false" customHeight="true" outlineLevel="0" collapsed="false">
      <c r="A23" s="76"/>
      <c r="B23" s="76"/>
      <c r="C23" s="76"/>
      <c r="D23" s="76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9"/>
      <c r="AN23" s="65"/>
      <c r="AO23" s="65"/>
      <c r="AP23" s="65"/>
      <c r="AQ23" s="65"/>
      <c r="AR23" s="65"/>
      <c r="AS23" s="65"/>
      <c r="AT23" s="65"/>
      <c r="AU23" s="65"/>
      <c r="AV23" s="65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80"/>
      <c r="BJ23" s="72"/>
      <c r="BK23" s="72"/>
    </row>
    <row r="24" customFormat="false" ht="15.75" hidden="false" customHeight="false" outlineLevel="0" collapsed="false">
      <c r="A24" s="81"/>
      <c r="B24" s="81" t="s">
        <v>678</v>
      </c>
      <c r="C24" s="81"/>
      <c r="D24" s="81"/>
      <c r="E24" s="69"/>
      <c r="F24" s="70" t="n">
        <f aca="false">COUNTIF(F$3:F$18, "~**")</f>
        <v>0</v>
      </c>
      <c r="G24" s="70" t="n">
        <f aca="false">COUNTIF(G$3:G$18, "~**")</f>
        <v>0</v>
      </c>
      <c r="H24" s="70" t="n">
        <f aca="false">COUNTIF(H$3:H$19, "~**")</f>
        <v>0</v>
      </c>
      <c r="I24" s="70" t="n">
        <f aca="false">COUNTIF(I$3:I$19, "~**")</f>
        <v>0</v>
      </c>
      <c r="J24" s="70" t="n">
        <f aca="false">COUNTIF(J$3:J$19, "~**")</f>
        <v>0</v>
      </c>
      <c r="K24" s="70" t="n">
        <f aca="false">COUNTIF(K$3:K$19, "~**")</f>
        <v>0</v>
      </c>
      <c r="L24" s="70" t="n">
        <f aca="false">COUNTIF(L$3:L$19, "~**")</f>
        <v>0</v>
      </c>
      <c r="M24" s="70" t="n">
        <f aca="false">COUNTIF(M$3:M$19, "~**")</f>
        <v>0</v>
      </c>
      <c r="N24" s="70" t="n">
        <f aca="false">COUNTIF(N$3:N$19, "~**")</f>
        <v>0</v>
      </c>
      <c r="O24" s="70"/>
      <c r="P24" s="70"/>
      <c r="Q24" s="70" t="n">
        <f aca="false">COUNTIF(Q$3:Q$19, "~**")</f>
        <v>0</v>
      </c>
      <c r="R24" s="70" t="n">
        <f aca="false">COUNTIF(R$3:R$19, "~**")</f>
        <v>0</v>
      </c>
      <c r="S24" s="82"/>
      <c r="T24" s="83" t="s">
        <v>679</v>
      </c>
      <c r="U24" s="84"/>
      <c r="V24" s="84"/>
      <c r="W24" s="84"/>
      <c r="X24" s="85" t="n">
        <v>44475</v>
      </c>
      <c r="Y24" s="69"/>
      <c r="Z24" s="70"/>
      <c r="AA24" s="85"/>
      <c r="AB24" s="85"/>
      <c r="AC24" s="85"/>
      <c r="AD24" s="85" t="n">
        <v>44475</v>
      </c>
      <c r="AE24" s="69"/>
      <c r="AF24" s="70"/>
      <c r="AG24" s="85"/>
      <c r="AH24" s="85"/>
      <c r="AI24" s="85"/>
      <c r="AJ24" s="85" t="n">
        <v>44475</v>
      </c>
      <c r="AK24" s="69"/>
      <c r="AL24" s="70"/>
      <c r="AM24" s="85"/>
      <c r="AN24" s="85"/>
      <c r="AO24" s="85"/>
      <c r="AP24" s="85" t="n">
        <v>45205</v>
      </c>
      <c r="AQ24" s="69"/>
      <c r="AR24" s="70"/>
      <c r="AS24" s="70"/>
      <c r="AT24" s="70"/>
      <c r="AU24" s="70"/>
      <c r="AV24" s="70" t="s">
        <v>680</v>
      </c>
      <c r="AW24" s="86"/>
      <c r="AX24" s="87" t="s">
        <v>681</v>
      </c>
      <c r="AY24" s="87" t="s">
        <v>681</v>
      </c>
      <c r="AZ24" s="86"/>
      <c r="BA24" s="87"/>
      <c r="BB24" s="85" t="n">
        <v>44840</v>
      </c>
      <c r="BC24" s="86"/>
      <c r="BD24" s="87"/>
      <c r="BE24" s="69"/>
      <c r="BF24" s="70"/>
      <c r="BG24" s="87" t="s">
        <v>682</v>
      </c>
      <c r="BH24" s="87" t="s">
        <v>683</v>
      </c>
      <c r="BI24" s="80"/>
      <c r="BJ24" s="74"/>
      <c r="BK24" s="74"/>
    </row>
    <row r="25" customFormat="false" ht="15.75" hidden="false" customHeight="false" outlineLevel="0" collapsed="false">
      <c r="A25" s="81"/>
      <c r="B25" s="81" t="s">
        <v>684</v>
      </c>
      <c r="C25" s="81"/>
      <c r="D25" s="81"/>
      <c r="E25" s="69"/>
      <c r="F25" s="70" t="n">
        <f aca="false">COUNTIF(F$3:F$18, "~**")+COUNTIF(F$3:F$18, "Y")</f>
        <v>7</v>
      </c>
      <c r="G25" s="70" t="n">
        <f aca="false">COUNTIF(G$3:G$18, "~**")+COUNTIF(G$3:G$18, "Y")</f>
        <v>1</v>
      </c>
      <c r="H25" s="70" t="n">
        <f aca="false">COUNTIF(H$3:H$19, "~**")+COUNTIF(H$3:H$19, "Y")</f>
        <v>1</v>
      </c>
      <c r="I25" s="70" t="n">
        <f aca="false">COUNTIF(I$3:I$19, "~**")+COUNTIF(I$3:I$19, "Y")</f>
        <v>0</v>
      </c>
      <c r="J25" s="70" t="n">
        <f aca="false">COUNTIF(J$3:J$19, "~**")+COUNTIF(J$3:J$19, "Y")</f>
        <v>0</v>
      </c>
      <c r="K25" s="70" t="n">
        <f aca="false">COUNTIF(K$3:K$19, "~**")+COUNTIF(K$3:K$19, "Y")</f>
        <v>0</v>
      </c>
      <c r="L25" s="70" t="n">
        <f aca="false">COUNTIF(L$3:L$19, "~**")+COUNTIF(L$3:L$19, "Y")</f>
        <v>0</v>
      </c>
      <c r="M25" s="70" t="n">
        <f aca="false">COUNTIF(M$3:M$19, "~**")+COUNTIF(M$3:M$19, "Y")</f>
        <v>0</v>
      </c>
      <c r="N25" s="70" t="n">
        <f aca="false">COUNTIF(N$3:N$19, "~**")+COUNTIF(N$3:N$19, "Y")</f>
        <v>0</v>
      </c>
      <c r="O25" s="70"/>
      <c r="P25" s="70"/>
      <c r="Q25" s="70" t="n">
        <f aca="false">COUNTIF(Q$3:Q$19, "~**")+COUNTIF(Q$3:Q$19, "Y")</f>
        <v>0</v>
      </c>
      <c r="R25" s="70" t="n">
        <f aca="false">COUNTIF(R$3:R$19, "~**")+COUNTIF(R$3:R$19, "Y")</f>
        <v>0</v>
      </c>
      <c r="S25" s="82"/>
      <c r="T25" s="83"/>
      <c r="U25" s="44"/>
      <c r="V25" s="44"/>
      <c r="W25" s="87"/>
      <c r="X25" s="88"/>
      <c r="Y25" s="78"/>
      <c r="Z25" s="88"/>
      <c r="AA25" s="88"/>
      <c r="AB25" s="88"/>
      <c r="AC25" s="87"/>
      <c r="AD25" s="87"/>
      <c r="AE25" s="86"/>
      <c r="AF25" s="87"/>
      <c r="AG25" s="89"/>
      <c r="AH25" s="87"/>
      <c r="AI25" s="87"/>
      <c r="AJ25" s="87"/>
      <c r="AK25" s="86"/>
      <c r="AL25" s="87"/>
      <c r="AM25" s="44"/>
      <c r="AN25" s="44"/>
      <c r="AO25" s="44"/>
      <c r="AP25" s="44"/>
      <c r="AQ25" s="77"/>
      <c r="AR25" s="44"/>
      <c r="AS25" s="44"/>
      <c r="AT25" s="44"/>
      <c r="AU25" s="70"/>
      <c r="AV25" s="90"/>
      <c r="AW25" s="72"/>
      <c r="AX25" s="74"/>
      <c r="AY25" s="74"/>
      <c r="AZ25" s="72"/>
      <c r="BA25" s="74"/>
      <c r="BB25" s="74"/>
      <c r="BC25" s="72"/>
      <c r="BD25" s="74"/>
      <c r="BE25" s="72"/>
      <c r="BF25" s="74"/>
      <c r="BG25" s="74"/>
      <c r="BH25" s="74"/>
      <c r="BI25" s="80"/>
      <c r="BJ25" s="74"/>
      <c r="BK25" s="74"/>
    </row>
    <row r="26" customFormat="false" ht="15.75" hidden="false" customHeight="false" outlineLevel="0" collapsed="false">
      <c r="A26" s="81"/>
      <c r="B26" s="81"/>
      <c r="C26" s="81"/>
      <c r="D26" s="81"/>
      <c r="E26" s="77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77"/>
      <c r="T26" s="44"/>
      <c r="U26" s="44"/>
      <c r="V26" s="44"/>
      <c r="W26" s="90"/>
      <c r="X26" s="44"/>
      <c r="Y26" s="77"/>
      <c r="Z26" s="44"/>
      <c r="AA26" s="44"/>
      <c r="AB26" s="44"/>
      <c r="AC26" s="90"/>
      <c r="AD26" s="90"/>
      <c r="AE26" s="91"/>
      <c r="AF26" s="90"/>
      <c r="AG26" s="44"/>
      <c r="AH26" s="90"/>
      <c r="AI26" s="44"/>
      <c r="AJ26" s="44"/>
      <c r="AK26" s="77"/>
      <c r="AL26" s="44"/>
      <c r="AM26" s="44"/>
      <c r="AN26" s="44"/>
      <c r="AO26" s="44"/>
      <c r="AP26" s="44"/>
      <c r="AQ26" s="77"/>
      <c r="AR26" s="44"/>
      <c r="AS26" s="44"/>
      <c r="AT26" s="44"/>
      <c r="AU26" s="90"/>
      <c r="AV26" s="90"/>
      <c r="AW26" s="72"/>
      <c r="AX26" s="74"/>
      <c r="AY26" s="74"/>
      <c r="AZ26" s="72"/>
      <c r="BA26" s="74"/>
      <c r="BB26" s="74"/>
      <c r="BC26" s="72"/>
      <c r="BD26" s="74"/>
      <c r="BE26" s="72"/>
      <c r="BF26" s="74"/>
      <c r="BG26" s="74"/>
      <c r="BH26" s="74"/>
      <c r="BI26" s="80"/>
      <c r="BJ26" s="74"/>
      <c r="BK26" s="74"/>
    </row>
    <row r="27" customFormat="false" ht="15.75" hidden="false" customHeight="false" outlineLevel="0" collapsed="false">
      <c r="A27" s="81"/>
      <c r="B27" s="81" t="s">
        <v>685</v>
      </c>
      <c r="C27" s="81"/>
      <c r="D27" s="81"/>
      <c r="E27" s="77"/>
      <c r="F27" s="44" t="s">
        <v>686</v>
      </c>
      <c r="G27" s="44"/>
      <c r="H27" s="44"/>
      <c r="I27" s="44"/>
      <c r="J27" s="44"/>
      <c r="K27" s="44"/>
      <c r="L27" s="44"/>
      <c r="M27" s="44"/>
      <c r="N27" s="44"/>
      <c r="S27" s="76"/>
      <c r="T27" s="81" t="s">
        <v>687</v>
      </c>
      <c r="U27" s="44" t="n">
        <v>0</v>
      </c>
      <c r="V27" s="44" t="n">
        <f aca="false">COUNT(V3:V22)</f>
        <v>14</v>
      </c>
      <c r="W27" s="44" t="n">
        <f aca="false">COUNT(W3:W22)</f>
        <v>14</v>
      </c>
      <c r="X27" s="44" t="n">
        <f aca="false">COUNT(X3:X22)</f>
        <v>14</v>
      </c>
      <c r="Y27" s="77"/>
      <c r="Z27" s="44"/>
      <c r="AA27" s="44" t="n">
        <f aca="false">COUNT(AA3:AA22)</f>
        <v>14</v>
      </c>
      <c r="AB27" s="44" t="n">
        <f aca="false">COUNT(AB3:AB22)</f>
        <v>14</v>
      </c>
      <c r="AC27" s="44" t="n">
        <f aca="false">COUNT(AC3:AC22)</f>
        <v>14</v>
      </c>
      <c r="AD27" s="44" t="n">
        <f aca="false">COUNT(AD3:AD22)</f>
        <v>14</v>
      </c>
      <c r="AE27" s="77"/>
      <c r="AF27" s="44"/>
      <c r="AG27" s="44" t="n">
        <f aca="false">COUNT(AG3:AG22)</f>
        <v>14</v>
      </c>
      <c r="AH27" s="44" t="n">
        <f aca="false">COUNT(AH3:AH22)</f>
        <v>13</v>
      </c>
      <c r="AI27" s="44" t="n">
        <f aca="false">COUNT(AI3:AI22)</f>
        <v>13</v>
      </c>
      <c r="AJ27" s="44" t="n">
        <f aca="false">COUNT(AJ3:AJ22)</f>
        <v>13</v>
      </c>
      <c r="AK27" s="77"/>
      <c r="AL27" s="44"/>
      <c r="AM27" s="44" t="n">
        <f aca="false">COUNT(AM3:AM22)</f>
        <v>13</v>
      </c>
      <c r="AN27" s="44" t="n">
        <f aca="false">COUNT(AN3:AN22)</f>
        <v>13</v>
      </c>
      <c r="AO27" s="44" t="n">
        <f aca="false">COUNT(AO3:AO22)</f>
        <v>13</v>
      </c>
      <c r="AP27" s="44" t="n">
        <f aca="false">COUNT(AP3:AP22)</f>
        <v>13</v>
      </c>
      <c r="AQ27" s="77"/>
      <c r="AR27" s="44"/>
      <c r="AS27" s="44" t="n">
        <f aca="false">COUNT(AS3:AS22)</f>
        <v>8</v>
      </c>
      <c r="AT27" s="44" t="n">
        <f aca="false">COUNT(AT3:AT22)</f>
        <v>8</v>
      </c>
      <c r="AU27" s="44" t="n">
        <f aca="false">COUNT(AU3:AU22)</f>
        <v>8</v>
      </c>
      <c r="AV27" s="44" t="n">
        <f aca="false">COUNT(AV3:AV22)</f>
        <v>16</v>
      </c>
      <c r="AW27" s="77"/>
      <c r="AX27" s="44" t="n">
        <f aca="false">COUNT(AX3:AX22)</f>
        <v>10</v>
      </c>
      <c r="AY27" s="44" t="n">
        <f aca="false">COUNT(AY3:AY22)</f>
        <v>8</v>
      </c>
      <c r="AZ27" s="77"/>
      <c r="BA27" s="44"/>
      <c r="BB27" s="44" t="n">
        <f aca="false">COUNTIF(BB3:BB22, "&gt;=6")</f>
        <v>14</v>
      </c>
      <c r="BC27" s="77"/>
      <c r="BD27" s="44" t="n">
        <f aca="false">COUNTIF(BD3:BD22, "Да")</f>
        <v>13</v>
      </c>
      <c r="BE27" s="77"/>
      <c r="BF27" s="44"/>
      <c r="BG27" s="44" t="n">
        <f aca="false">COUNT(BG3:BG22)</f>
        <v>13</v>
      </c>
      <c r="BH27" s="44" t="n">
        <f aca="false">COUNT(BH3:BH22)</f>
        <v>6</v>
      </c>
      <c r="BI27" s="80"/>
      <c r="BJ27" s="74"/>
      <c r="BK27" s="74"/>
    </row>
    <row r="28" customFormat="false" ht="15.75" hidden="false" customHeight="false" outlineLevel="0" collapsed="false">
      <c r="A28" s="92"/>
      <c r="E28" s="77"/>
      <c r="F28" s="44" t="s">
        <v>688</v>
      </c>
      <c r="G28" s="44"/>
      <c r="H28" s="44"/>
      <c r="I28" s="44"/>
      <c r="J28" s="44"/>
      <c r="K28" s="44"/>
      <c r="L28" s="44"/>
      <c r="M28" s="44"/>
      <c r="N28" s="93"/>
      <c r="S28" s="94"/>
      <c r="T28" s="92" t="s">
        <v>689</v>
      </c>
      <c r="V28" s="93"/>
      <c r="W28" s="93"/>
      <c r="X28" s="95" t="n">
        <f aca="false">IF(COUNTA($B$3:$B$18)&gt;0,COUNTA(X$3:X$19)/COUNTA($B$3:$B$18), 0)</f>
        <v>0.875</v>
      </c>
      <c r="Y28" s="96"/>
      <c r="Z28" s="93"/>
      <c r="AA28" s="93"/>
      <c r="AB28" s="93"/>
      <c r="AC28" s="93"/>
      <c r="AD28" s="95" t="n">
        <f aca="false">IF(COUNTA($B$3:$B$18)&gt;0,COUNTA(AD$3:AD$19)/COUNTA($B$3:$B$18), 0)</f>
        <v>0.875</v>
      </c>
      <c r="AE28" s="97"/>
      <c r="AF28" s="98"/>
      <c r="AG28" s="93"/>
      <c r="AH28" s="98"/>
      <c r="AI28" s="93"/>
      <c r="AJ28" s="95" t="n">
        <f aca="false">IF(COUNTA($B$3:$B$18)&gt;0,COUNTA(AJ$3:AJ$19)/COUNTA($B$3:$B$18), 0)</f>
        <v>0.8125</v>
      </c>
      <c r="AK28" s="96"/>
      <c r="AL28" s="93"/>
      <c r="AM28" s="93"/>
      <c r="AN28" s="93"/>
      <c r="AO28" s="93"/>
      <c r="AP28" s="95" t="n">
        <f aca="false">IF(COUNTA($B$3:$B$18)&gt;0,COUNTA(AP$3:AP$19)/COUNTA($B$3:$B$18), 0)</f>
        <v>0.8125</v>
      </c>
      <c r="AQ28" s="96"/>
      <c r="AR28" s="93"/>
      <c r="AS28" s="93"/>
      <c r="AT28" s="93"/>
      <c r="AU28" s="93"/>
      <c r="AV28" s="95" t="n">
        <f aca="false">IF(COUNTA($B$3:$B$18)&gt;0,COUNTA(AV$3:AV$19)/COUNTA($B$3:$B$18), 0)</f>
        <v>1</v>
      </c>
      <c r="AW28" s="99"/>
      <c r="AX28" s="100"/>
      <c r="AY28" s="100"/>
      <c r="AZ28" s="99"/>
      <c r="BA28" s="100"/>
      <c r="BB28" s="95" t="n">
        <f aca="false">IF(COUNTA($B$3:$B$18)&gt;0,COUNTA(BB$3:BB$19)/COUNTA($B$3:$B$18), 0)</f>
        <v>1</v>
      </c>
      <c r="BC28" s="77"/>
      <c r="BD28" s="44" t="n">
        <f aca="false">COUNTIF(BD3:BD22, "Да")</f>
        <v>13</v>
      </c>
      <c r="BE28" s="101"/>
      <c r="BF28" s="102"/>
      <c r="BG28" s="102"/>
      <c r="BH28" s="100"/>
      <c r="BI28" s="103"/>
      <c r="BJ28" s="102"/>
      <c r="BK28" s="102"/>
    </row>
    <row r="29" customFormat="false" ht="15.75" hidden="false" customHeight="false" outlineLevel="0" collapsed="false">
      <c r="A29" s="92"/>
      <c r="B29" s="92"/>
      <c r="C29" s="92"/>
      <c r="D29" s="92"/>
      <c r="E29" s="77"/>
      <c r="F29" s="44" t="s">
        <v>690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44"/>
      <c r="X29" s="44"/>
      <c r="Y29" s="77"/>
      <c r="Z29" s="44"/>
      <c r="AA29" s="44"/>
      <c r="AB29" s="44"/>
      <c r="AC29" s="44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44"/>
      <c r="AV29" s="44"/>
      <c r="AW29" s="101"/>
      <c r="AX29" s="102"/>
      <c r="AY29" s="102"/>
      <c r="AZ29" s="101"/>
      <c r="BA29" s="102"/>
      <c r="BB29" s="102"/>
      <c r="BC29" s="101"/>
      <c r="BD29" s="102"/>
      <c r="BE29" s="101"/>
      <c r="BF29" s="102"/>
      <c r="BG29" s="102"/>
      <c r="BH29" s="102"/>
      <c r="BI29" s="103"/>
      <c r="BJ29" s="102"/>
      <c r="BK29" s="102"/>
    </row>
    <row r="30" customFormat="false" ht="15.75" hidden="false" customHeight="false" outlineLevel="0" collapsed="false">
      <c r="A30" s="92"/>
      <c r="B30" s="92"/>
      <c r="C30" s="92"/>
      <c r="D30" s="92"/>
      <c r="E30" s="77"/>
      <c r="F30" s="44" t="s">
        <v>691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77"/>
      <c r="T30" s="44"/>
      <c r="U30" s="44"/>
      <c r="V30" s="44"/>
      <c r="W30" s="44"/>
      <c r="X30" s="44"/>
      <c r="Y30" s="77"/>
      <c r="Z30" s="44"/>
      <c r="AA30" s="44"/>
      <c r="AB30" s="44"/>
      <c r="AC30" s="44"/>
      <c r="AD30" s="90"/>
      <c r="AE30" s="91"/>
      <c r="AF30" s="90"/>
      <c r="AG30" s="44"/>
      <c r="AH30" s="90"/>
      <c r="AI30" s="44"/>
      <c r="AJ30" s="44"/>
      <c r="AK30" s="77"/>
      <c r="AL30" s="44"/>
      <c r="AM30" s="44"/>
      <c r="AN30" s="44"/>
      <c r="AO30" s="44"/>
      <c r="AP30" s="44"/>
      <c r="AQ30" s="77"/>
      <c r="AR30" s="44"/>
      <c r="AS30" s="44"/>
      <c r="AT30" s="44"/>
      <c r="AU30" s="44"/>
      <c r="AV30" s="44"/>
      <c r="AW30" s="101"/>
      <c r="AX30" s="102"/>
      <c r="AY30" s="102"/>
      <c r="AZ30" s="101"/>
      <c r="BA30" s="102"/>
      <c r="BB30" s="102"/>
      <c r="BC30" s="101"/>
      <c r="BD30" s="102"/>
      <c r="BE30" s="101"/>
      <c r="BF30" s="102"/>
      <c r="BG30" s="102"/>
      <c r="BH30" s="102"/>
      <c r="BI30" s="103"/>
      <c r="BJ30" s="102"/>
      <c r="BK30" s="102"/>
    </row>
    <row r="31" customFormat="false" ht="15.75" hidden="true" customHeight="false" outlineLevel="0" collapsed="false">
      <c r="A31" s="92"/>
      <c r="B31" s="92"/>
      <c r="C31" s="92"/>
      <c r="D31" s="92"/>
      <c r="E31" s="10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77"/>
      <c r="T31" s="44"/>
      <c r="U31" s="44"/>
      <c r="V31" s="44"/>
      <c r="W31" s="44"/>
      <c r="X31" s="44"/>
      <c r="Y31" s="77"/>
      <c r="Z31" s="44"/>
      <c r="AA31" s="44"/>
      <c r="AB31" s="44"/>
      <c r="AC31" s="44"/>
      <c r="AD31" s="90"/>
      <c r="AE31" s="91"/>
      <c r="AF31" s="90"/>
      <c r="AG31" s="44"/>
      <c r="AH31" s="90"/>
      <c r="AI31" s="44"/>
      <c r="AJ31" s="44"/>
      <c r="AK31" s="77"/>
      <c r="AL31" s="44"/>
      <c r="AM31" s="44"/>
      <c r="AN31" s="44"/>
      <c r="AO31" s="44"/>
      <c r="AP31" s="44"/>
      <c r="AQ31" s="77"/>
      <c r="AR31" s="44"/>
      <c r="AS31" s="44"/>
      <c r="AT31" s="44"/>
      <c r="AU31" s="44"/>
      <c r="AV31" s="44"/>
      <c r="AW31" s="101"/>
      <c r="AX31" s="102"/>
      <c r="AY31" s="102"/>
      <c r="AZ31" s="101"/>
      <c r="BA31" s="102"/>
      <c r="BB31" s="102"/>
      <c r="BC31" s="101"/>
      <c r="BD31" s="102"/>
      <c r="BE31" s="101"/>
      <c r="BF31" s="102"/>
      <c r="BG31" s="102"/>
      <c r="BH31" s="102"/>
      <c r="BI31" s="103"/>
      <c r="BJ31" s="102"/>
      <c r="BK31" s="102"/>
    </row>
    <row r="32" customFormat="false" ht="15.75" hidden="true" customHeight="false" outlineLevel="0" collapsed="false">
      <c r="A32" s="92"/>
      <c r="B32" s="92"/>
      <c r="C32" s="92"/>
      <c r="D32" s="92"/>
      <c r="E32" s="10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true" customHeight="false" outlineLevel="0" collapsed="false">
      <c r="A33" s="92"/>
      <c r="B33" s="92"/>
      <c r="C33" s="92"/>
      <c r="D33" s="92"/>
      <c r="E33" s="10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AM17:AO17">
    <cfRule type="expression" priority="2" aboveAverage="0" equalAverage="0" bottom="0" percent="0" rank="0" text="" dxfId="2">
      <formula>AM17&gt;45901</formula>
    </cfRule>
  </conditionalFormatting>
  <conditionalFormatting sqref="U3:W22 AA3:AC22 AG3:AI22 AM3:AO22 AS3:AU22">
    <cfRule type="expression" priority="3" aboveAverage="0" equalAverage="0" bottom="0" percent="0" rank="0" text="" dxfId="2">
      <formula>U3&gt;45901</formula>
    </cfRule>
  </conditionalFormatting>
  <conditionalFormatting sqref="BC3:BD22">
    <cfRule type="cellIs" priority="4" operator="equal" aboveAverage="0" equalAverage="0" bottom="0" percent="0" rank="0" text="" dxfId="3">
      <formula>"Нет"</formula>
    </cfRule>
    <cfRule type="cellIs" priority="5" operator="equal" aboveAverage="0" equalAverage="0" bottom="0" percent="0" rank="0" text="" dxfId="4">
      <formula>"Да"</formula>
    </cfRule>
  </conditionalFormatting>
  <conditionalFormatting sqref="E3:R22">
    <cfRule type="cellIs" priority="6" operator="equal" aboveAverage="0" equalAverage="0" bottom="0" percent="0" rank="0" text="" dxfId="5">
      <formula>"N"</formula>
    </cfRule>
  </conditionalFormatting>
  <conditionalFormatting sqref="BK3:BK19">
    <cfRule type="notContainsText" priority="7" operator="notContains" aboveAverage="0" equalAverage="0" bottom="0" percent="0" rank="0" text="FX" dxfId="6">
      <formula>ISERROR(SEARCH("FX",BK3))</formula>
    </cfRule>
  </conditionalFormatting>
  <conditionalFormatting sqref="BB3:BB18">
    <cfRule type="cellIs" priority="8" operator="lessThan" aboveAverage="0" equalAverage="0" bottom="0" percent="0" rank="0" text="" dxfId="7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outlinePr summaryBelow="0"/>
    <pageSetUpPr fitToPage="false"/>
  </sheetPr>
  <dimension ref="A1:B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14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8.25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7.5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7.5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917</v>
      </c>
      <c r="C1" s="45" t="s">
        <v>1003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45696</v>
      </c>
      <c r="G2" s="55" t="n">
        <f aca="false">F2+14</f>
        <v>45710</v>
      </c>
      <c r="H2" s="55" t="n">
        <v>45738</v>
      </c>
      <c r="I2" s="55" t="n">
        <v>45756</v>
      </c>
      <c r="J2" s="172" t="n">
        <v>45766</v>
      </c>
      <c r="K2" s="55" t="n">
        <f aca="false">J2+14</f>
        <v>45780</v>
      </c>
      <c r="L2" s="55" t="n">
        <f aca="false">K2+14</f>
        <v>45794</v>
      </c>
      <c r="M2" s="55" t="n">
        <f aca="false">L2+14</f>
        <v>45808</v>
      </c>
      <c r="N2" s="146" t="n">
        <v>45779</v>
      </c>
      <c r="O2" s="146" t="n">
        <v>45814</v>
      </c>
      <c r="P2" s="146" t="n">
        <v>45828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60" t="s">
        <v>234</v>
      </c>
      <c r="C3" s="61" t="s">
        <v>235</v>
      </c>
      <c r="D3" s="61" t="s">
        <v>233</v>
      </c>
      <c r="E3" s="62"/>
      <c r="F3" s="63" t="s">
        <v>734</v>
      </c>
      <c r="G3" s="63" t="s">
        <v>734</v>
      </c>
      <c r="H3" s="63" t="s">
        <v>738</v>
      </c>
      <c r="I3" s="63" t="s">
        <v>734</v>
      </c>
      <c r="J3" s="63" t="s">
        <v>738</v>
      </c>
      <c r="K3" s="63" t="s">
        <v>919</v>
      </c>
      <c r="L3" s="63" t="s">
        <v>734</v>
      </c>
      <c r="M3" s="63" t="s">
        <v>920</v>
      </c>
      <c r="N3" s="64" t="s">
        <v>734</v>
      </c>
      <c r="O3" s="64" t="s">
        <v>920</v>
      </c>
      <c r="P3" s="64" t="s">
        <v>920</v>
      </c>
      <c r="Q3" s="64" t="s">
        <v>920</v>
      </c>
      <c r="R3" s="64" t="s">
        <v>920</v>
      </c>
      <c r="S3" s="65"/>
      <c r="T3" s="66" t="s">
        <v>1004</v>
      </c>
      <c r="U3" s="106" t="n">
        <v>45696</v>
      </c>
      <c r="V3" s="106" t="n">
        <v>45696</v>
      </c>
      <c r="W3" s="67" t="n">
        <v>45710</v>
      </c>
      <c r="X3" s="70" t="n">
        <v>9.5</v>
      </c>
      <c r="Y3" s="69"/>
      <c r="Z3" s="70" t="n">
        <v>31212</v>
      </c>
      <c r="AA3" s="106" t="n">
        <v>45738</v>
      </c>
      <c r="AB3" s="106" t="n">
        <v>45738</v>
      </c>
      <c r="AC3" s="67" t="n">
        <v>45738</v>
      </c>
      <c r="AD3" s="68" t="n">
        <v>9.5</v>
      </c>
      <c r="AE3" s="69"/>
      <c r="AF3" s="70" t="n">
        <v>3445</v>
      </c>
      <c r="AG3" s="106" t="n">
        <v>45766</v>
      </c>
      <c r="AH3" s="67" t="n">
        <v>45756</v>
      </c>
      <c r="AI3" s="106" t="n">
        <v>45766</v>
      </c>
      <c r="AJ3" s="68" t="n">
        <v>10</v>
      </c>
      <c r="AK3" s="69"/>
      <c r="AL3" s="70" t="n">
        <v>5444</v>
      </c>
      <c r="AM3" s="106" t="n">
        <v>45779</v>
      </c>
      <c r="AN3" s="106" t="n">
        <v>45779</v>
      </c>
      <c r="AO3" s="106" t="n">
        <v>45779</v>
      </c>
      <c r="AP3" s="68" t="n">
        <v>10</v>
      </c>
      <c r="AQ3" s="69"/>
      <c r="AR3" s="70" t="n">
        <v>3329</v>
      </c>
      <c r="AS3" s="106" t="n">
        <v>45794</v>
      </c>
      <c r="AT3" s="106" t="n">
        <v>45794</v>
      </c>
      <c r="AU3" s="106" t="n">
        <v>45794</v>
      </c>
      <c r="AV3" s="68" t="n">
        <v>10</v>
      </c>
      <c r="AW3" s="69"/>
      <c r="AX3" s="68"/>
      <c r="AY3" s="68" t="n">
        <v>0</v>
      </c>
      <c r="AZ3" s="69"/>
      <c r="BA3" s="106" t="n">
        <v>45792</v>
      </c>
      <c r="BB3" s="89" t="n">
        <v>8.1</v>
      </c>
      <c r="BC3" s="72"/>
      <c r="BD3" s="73" t="str">
        <f aca="false">IF(AND(BB3&gt;=6,AP3&gt;=6,AJ3&gt;=6,AD3&gt;=6,X3&gt;=6),"да","нет")</f>
        <v>да</v>
      </c>
      <c r="BE3" s="72"/>
      <c r="BF3" s="118" t="n">
        <v>45834</v>
      </c>
      <c r="BG3" s="71" t="n">
        <v>30</v>
      </c>
      <c r="BH3" s="68" t="n">
        <v>3</v>
      </c>
      <c r="BI3" s="50"/>
      <c r="BJ3" s="126" t="n">
        <f aca="false">SUM(X3,AD3,AJ3,AP3,AV3,AX3:AY3,BH3,BB3,BG3)</f>
        <v>90.1</v>
      </c>
      <c r="BK3" s="73" t="str">
        <f aca="false">IF(BJ3&gt;90,"A",IF(BJ3&gt;83,"B",IF(BJ3&gt;74,"C",IF(BJ3&gt;67,"D",IF(BJ3&gt;=60,"E","FX")))))</f>
        <v>A</v>
      </c>
    </row>
    <row r="4" customFormat="false" ht="15.75" hidden="false" customHeight="false" outlineLevel="0" collapsed="false">
      <c r="A4" s="59" t="n">
        <f aca="false">A3+1</f>
        <v>2</v>
      </c>
      <c r="B4" s="147" t="s">
        <v>239</v>
      </c>
      <c r="C4" s="61" t="s">
        <v>235</v>
      </c>
      <c r="D4" s="61" t="s">
        <v>238</v>
      </c>
      <c r="E4" s="62"/>
      <c r="F4" s="63" t="s">
        <v>920</v>
      </c>
      <c r="G4" s="63" t="s">
        <v>920</v>
      </c>
      <c r="H4" s="63" t="s">
        <v>734</v>
      </c>
      <c r="I4" s="63" t="s">
        <v>738</v>
      </c>
      <c r="J4" s="63" t="s">
        <v>919</v>
      </c>
      <c r="K4" s="63" t="s">
        <v>734</v>
      </c>
      <c r="L4" s="63" t="s">
        <v>920</v>
      </c>
      <c r="M4" s="63" t="s">
        <v>739</v>
      </c>
      <c r="N4" s="64" t="s">
        <v>734</v>
      </c>
      <c r="O4" s="64" t="s">
        <v>920</v>
      </c>
      <c r="P4" s="64" t="s">
        <v>920</v>
      </c>
      <c r="Q4" s="64" t="s">
        <v>920</v>
      </c>
      <c r="R4" s="64" t="s">
        <v>920</v>
      </c>
      <c r="S4" s="65"/>
      <c r="T4" s="66" t="s">
        <v>1005</v>
      </c>
      <c r="U4" s="67" t="n">
        <v>45756</v>
      </c>
      <c r="V4" s="67" t="n">
        <v>45756</v>
      </c>
      <c r="W4" s="67" t="n">
        <v>45756</v>
      </c>
      <c r="X4" s="68" t="n">
        <v>8</v>
      </c>
      <c r="Y4" s="69"/>
      <c r="Z4" s="70" t="n">
        <v>423423</v>
      </c>
      <c r="AA4" s="106" t="n">
        <v>45780</v>
      </c>
      <c r="AB4" s="106" t="n">
        <v>45766</v>
      </c>
      <c r="AC4" s="106" t="n">
        <v>45780</v>
      </c>
      <c r="AD4" s="68" t="n">
        <v>8.5</v>
      </c>
      <c r="AE4" s="69"/>
      <c r="AF4" s="70" t="n">
        <v>38744</v>
      </c>
      <c r="AG4" s="70"/>
      <c r="AH4" s="70"/>
      <c r="AI4" s="70"/>
      <c r="AJ4" s="68"/>
      <c r="AK4" s="69"/>
      <c r="AL4" s="70"/>
      <c r="AM4" s="70"/>
      <c r="AN4" s="70"/>
      <c r="AO4" s="70"/>
      <c r="AP4" s="68"/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68" t="n">
        <v>0</v>
      </c>
      <c r="AW4" s="69"/>
      <c r="AX4" s="68" t="n">
        <v>0</v>
      </c>
      <c r="AY4" s="68" t="n">
        <v>0</v>
      </c>
      <c r="AZ4" s="69"/>
      <c r="BA4" s="106" t="n">
        <v>45821</v>
      </c>
      <c r="BB4" s="148" t="n">
        <v>6</v>
      </c>
      <c r="BC4" s="72"/>
      <c r="BD4" s="73" t="str">
        <f aca="false">IF(AND(BB4&gt;=6,AP4&gt;=6,AJ4&gt;=6,AD4&gt;=6,X4&gt;=6),"да","нет")</f>
        <v>нет</v>
      </c>
      <c r="BE4" s="72"/>
      <c r="BF4" s="74"/>
      <c r="BG4" s="71"/>
      <c r="BH4" s="68"/>
      <c r="BI4" s="50"/>
      <c r="BJ4" s="75" t="n">
        <f aca="false">SUM(X4,AD4,AJ4,AP4,AV4,AX4:AY4,BH4,BB4,BG4)</f>
        <v>22.5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60" t="s">
        <v>272</v>
      </c>
      <c r="C5" s="61" t="s">
        <v>235</v>
      </c>
      <c r="D5" s="61" t="s">
        <v>271</v>
      </c>
      <c r="E5" s="62"/>
      <c r="F5" s="63" t="s">
        <v>920</v>
      </c>
      <c r="G5" s="63" t="s">
        <v>738</v>
      </c>
      <c r="H5" s="63" t="s">
        <v>738</v>
      </c>
      <c r="I5" s="63" t="s">
        <v>739</v>
      </c>
      <c r="J5" s="63" t="s">
        <v>739</v>
      </c>
      <c r="K5" s="63" t="s">
        <v>739</v>
      </c>
      <c r="L5" s="63" t="s">
        <v>739</v>
      </c>
      <c r="M5" s="63" t="s">
        <v>920</v>
      </c>
      <c r="N5" s="64" t="s">
        <v>734</v>
      </c>
      <c r="O5" s="64" t="s">
        <v>920</v>
      </c>
      <c r="P5" s="64" t="s">
        <v>920</v>
      </c>
      <c r="Q5" s="64" t="s">
        <v>920</v>
      </c>
      <c r="R5" s="64" t="s">
        <v>920</v>
      </c>
      <c r="S5" s="65"/>
      <c r="T5" s="66" t="s">
        <v>1006</v>
      </c>
      <c r="U5" s="67" t="n">
        <v>45710</v>
      </c>
      <c r="V5" s="67" t="n">
        <v>45710</v>
      </c>
      <c r="W5" s="67" t="n">
        <v>45710</v>
      </c>
      <c r="X5" s="68" t="n">
        <v>9.5</v>
      </c>
      <c r="Y5" s="69"/>
      <c r="Z5" s="70" t="n">
        <v>777</v>
      </c>
      <c r="AA5" s="106" t="n">
        <v>45738</v>
      </c>
      <c r="AB5" s="106" t="n">
        <v>45738</v>
      </c>
      <c r="AC5" s="106" t="n">
        <v>45738</v>
      </c>
      <c r="AD5" s="68" t="n">
        <v>9</v>
      </c>
      <c r="AE5" s="69"/>
      <c r="AF5" s="70" t="n">
        <v>9774</v>
      </c>
      <c r="AG5" s="123" t="n">
        <v>45779</v>
      </c>
      <c r="AH5" s="67" t="n">
        <v>45756</v>
      </c>
      <c r="AI5" s="106" t="n">
        <v>45766</v>
      </c>
      <c r="AJ5" s="68" t="n">
        <v>9</v>
      </c>
      <c r="AK5" s="69"/>
      <c r="AL5" s="70" t="n">
        <v>2449</v>
      </c>
      <c r="AM5" s="106" t="n">
        <v>45780</v>
      </c>
      <c r="AN5" s="106" t="n">
        <v>45780</v>
      </c>
      <c r="AO5" s="106" t="n">
        <v>45780</v>
      </c>
      <c r="AP5" s="68" t="n">
        <v>9</v>
      </c>
      <c r="AQ5" s="69"/>
      <c r="AR5" s="70" t="n">
        <v>2334</v>
      </c>
      <c r="AS5" s="106" t="n">
        <v>45794</v>
      </c>
      <c r="AT5" s="106" t="n">
        <v>45794</v>
      </c>
      <c r="AU5" s="106" t="n">
        <v>45794</v>
      </c>
      <c r="AV5" s="68" t="n">
        <v>10</v>
      </c>
      <c r="AW5" s="69"/>
      <c r="AX5" s="68" t="n">
        <v>3</v>
      </c>
      <c r="AY5" s="68"/>
      <c r="AZ5" s="69"/>
      <c r="BA5" s="106" t="n">
        <v>45792</v>
      </c>
      <c r="BB5" s="89" t="n">
        <v>8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45834</v>
      </c>
      <c r="BG5" s="71" t="n">
        <v>27</v>
      </c>
      <c r="BH5" s="68"/>
      <c r="BI5" s="50"/>
      <c r="BJ5" s="75" t="n">
        <f aca="false">SUM(X5,AD5,AJ5,AP5,AV5,AX5:AY5,BH5,BB5,BG5)</f>
        <v>84.5</v>
      </c>
      <c r="BK5" s="73" t="str">
        <f aca="false">IF(BJ5&gt;90,"A",IF(BJ5&gt;83,"B",IF(BJ5&gt;74,"C",IF(BJ5&gt;67,"D",IF(BJ5&gt;=60,"E","FX")))))</f>
        <v>B</v>
      </c>
    </row>
    <row r="6" customFormat="false" ht="15.75" hidden="false" customHeight="false" outlineLevel="0" collapsed="false">
      <c r="A6" s="59" t="n">
        <f aca="false">A5+1</f>
        <v>4</v>
      </c>
      <c r="B6" s="147" t="s">
        <v>347</v>
      </c>
      <c r="C6" s="61" t="s">
        <v>235</v>
      </c>
      <c r="D6" s="61" t="s">
        <v>346</v>
      </c>
      <c r="E6" s="62"/>
      <c r="F6" s="63" t="s">
        <v>920</v>
      </c>
      <c r="G6" s="63" t="s">
        <v>920</v>
      </c>
      <c r="H6" s="63" t="s">
        <v>734</v>
      </c>
      <c r="I6" s="63" t="s">
        <v>919</v>
      </c>
      <c r="J6" s="63" t="s">
        <v>920</v>
      </c>
      <c r="K6" s="63" t="s">
        <v>920</v>
      </c>
      <c r="L6" s="63" t="s">
        <v>734</v>
      </c>
      <c r="M6" s="63" t="s">
        <v>1007</v>
      </c>
      <c r="N6" s="64" t="s">
        <v>920</v>
      </c>
      <c r="O6" s="64" t="s">
        <v>920</v>
      </c>
      <c r="P6" s="64" t="s">
        <v>920</v>
      </c>
      <c r="Q6" s="64" t="s">
        <v>920</v>
      </c>
      <c r="R6" s="64" t="s">
        <v>920</v>
      </c>
      <c r="S6" s="65"/>
      <c r="T6" s="66" t="s">
        <v>1008</v>
      </c>
      <c r="U6" s="67" t="n">
        <v>45794</v>
      </c>
      <c r="V6" s="106" t="n">
        <v>45738</v>
      </c>
      <c r="W6" s="67" t="n">
        <v>45794</v>
      </c>
      <c r="X6" s="68" t="n">
        <v>7</v>
      </c>
      <c r="Y6" s="69"/>
      <c r="Z6" s="70" t="n">
        <v>433333</v>
      </c>
      <c r="AA6" s="67" t="n">
        <v>45808</v>
      </c>
      <c r="AB6" s="67" t="n">
        <v>45808</v>
      </c>
      <c r="AC6" s="67" t="n">
        <v>45808</v>
      </c>
      <c r="AD6" s="68" t="n">
        <v>7</v>
      </c>
      <c r="AE6" s="69"/>
      <c r="AF6" s="70" t="n">
        <v>8483843</v>
      </c>
      <c r="AG6" s="70"/>
      <c r="AH6" s="70"/>
      <c r="AI6" s="70"/>
      <c r="AJ6" s="68"/>
      <c r="AK6" s="69"/>
      <c r="AL6" s="70"/>
      <c r="AM6" s="70"/>
      <c r="AN6" s="70"/>
      <c r="AO6" s="70"/>
      <c r="AP6" s="68"/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/>
      <c r="AY6" s="68"/>
      <c r="AZ6" s="69"/>
      <c r="BA6" s="106" t="n">
        <v>45821</v>
      </c>
      <c r="BB6" s="89" t="n">
        <v>0.01</v>
      </c>
      <c r="BC6" s="72"/>
      <c r="BD6" s="73" t="str">
        <f aca="false">IF(AND(BB6&gt;=6,AP6&gt;=6,AJ6&gt;=6,AD6&gt;=6,X6&gt;=6),"да","нет")</f>
        <v>нет</v>
      </c>
      <c r="BE6" s="72"/>
      <c r="BF6" s="74"/>
      <c r="BG6" s="71"/>
      <c r="BH6" s="68"/>
      <c r="BI6" s="50"/>
      <c r="BJ6" s="75" t="n">
        <f aca="false">SUM(X6,AD6,AJ6,AP6,AV6,AX6:AY6,BH6,BB6,BG6)</f>
        <v>14.01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60" t="s">
        <v>359</v>
      </c>
      <c r="C7" s="61" t="s">
        <v>235</v>
      </c>
      <c r="D7" s="61" t="s">
        <v>358</v>
      </c>
      <c r="E7" s="62"/>
      <c r="F7" s="63" t="s">
        <v>919</v>
      </c>
      <c r="G7" s="63" t="s">
        <v>734</v>
      </c>
      <c r="H7" s="63" t="s">
        <v>734</v>
      </c>
      <c r="I7" s="63" t="s">
        <v>739</v>
      </c>
      <c r="J7" s="63" t="s">
        <v>738</v>
      </c>
      <c r="K7" s="63" t="s">
        <v>919</v>
      </c>
      <c r="L7" s="63" t="s">
        <v>1007</v>
      </c>
      <c r="M7" s="63" t="s">
        <v>734</v>
      </c>
      <c r="N7" s="64" t="s">
        <v>920</v>
      </c>
      <c r="O7" s="64" t="s">
        <v>734</v>
      </c>
      <c r="P7" s="64" t="s">
        <v>734</v>
      </c>
      <c r="Q7" s="64" t="s">
        <v>920</v>
      </c>
      <c r="R7" s="64" t="s">
        <v>920</v>
      </c>
      <c r="S7" s="65"/>
      <c r="T7" s="66" t="s">
        <v>1009</v>
      </c>
      <c r="U7" s="67" t="n">
        <v>45756</v>
      </c>
      <c r="V7" s="106" t="n">
        <v>45738</v>
      </c>
      <c r="W7" s="67" t="n">
        <v>45756</v>
      </c>
      <c r="X7" s="68" t="n">
        <v>8.5</v>
      </c>
      <c r="Y7" s="69"/>
      <c r="Z7" s="70" t="n">
        <v>42313</v>
      </c>
      <c r="AA7" s="106" t="n">
        <v>45766</v>
      </c>
      <c r="AB7" s="106" t="n">
        <v>45766</v>
      </c>
      <c r="AC7" s="106" t="n">
        <v>45766</v>
      </c>
      <c r="AD7" s="68" t="n">
        <v>8.5</v>
      </c>
      <c r="AE7" s="69"/>
      <c r="AF7" s="70" t="n">
        <v>3257</v>
      </c>
      <c r="AG7" s="106" t="n">
        <v>45814</v>
      </c>
      <c r="AH7" s="106" t="n">
        <v>45794</v>
      </c>
      <c r="AI7" s="106" t="n">
        <v>45794</v>
      </c>
      <c r="AJ7" s="68" t="n">
        <v>7</v>
      </c>
      <c r="AK7" s="69"/>
      <c r="AL7" s="173" t="n">
        <v>564565</v>
      </c>
      <c r="AM7" s="106" t="n">
        <v>45828</v>
      </c>
      <c r="AN7" s="106" t="n">
        <v>45828</v>
      </c>
      <c r="AO7" s="106" t="n">
        <v>45828</v>
      </c>
      <c r="AP7" s="68" t="n">
        <v>6</v>
      </c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68" t="n">
        <v>0</v>
      </c>
      <c r="AW7" s="69"/>
      <c r="AX7" s="68" t="n">
        <v>0</v>
      </c>
      <c r="AY7" s="68" t="n">
        <v>1</v>
      </c>
      <c r="AZ7" s="69"/>
      <c r="BA7" s="106" t="n">
        <v>45792</v>
      </c>
      <c r="BB7" s="89" t="n">
        <v>7</v>
      </c>
      <c r="BC7" s="72"/>
      <c r="BD7" s="73" t="str">
        <f aca="false">IF(AND(BB7&gt;=6,AP7&gt;=6,AJ7&gt;=6,AD7&gt;=6,X7&gt;=6),"да","нет")</f>
        <v>да</v>
      </c>
      <c r="BE7" s="72"/>
      <c r="BF7" s="118" t="n">
        <v>45834</v>
      </c>
      <c r="BG7" s="71" t="n">
        <v>22</v>
      </c>
      <c r="BH7" s="68"/>
      <c r="BI7" s="50"/>
      <c r="BJ7" s="75" t="n">
        <f aca="false">SUM(X7,AD7,AJ7,AP7,AV7,AX7:AY7,BH7,BB7,BG7)</f>
        <v>60</v>
      </c>
      <c r="BK7" s="73" t="str">
        <f aca="false">IF(BJ7&gt;90,"A",IF(BJ7&gt;83,"B",IF(BJ7&gt;74,"C",IF(BJ7&gt;67,"D",IF(BJ7&gt;=60,"E","FX")))))</f>
        <v>E</v>
      </c>
    </row>
    <row r="8" customFormat="false" ht="15.75" hidden="false" customHeight="false" outlineLevel="0" collapsed="false">
      <c r="A8" s="59" t="n">
        <f aca="false">A7+1</f>
        <v>6</v>
      </c>
      <c r="B8" s="151" t="s">
        <v>397</v>
      </c>
      <c r="C8" s="61" t="s">
        <v>235</v>
      </c>
      <c r="D8" s="61" t="s">
        <v>396</v>
      </c>
      <c r="E8" s="62"/>
      <c r="F8" s="63" t="s">
        <v>919</v>
      </c>
      <c r="G8" s="63" t="s">
        <v>920</v>
      </c>
      <c r="H8" s="63" t="s">
        <v>734</v>
      </c>
      <c r="I8" s="63" t="s">
        <v>734</v>
      </c>
      <c r="J8" s="63" t="s">
        <v>734</v>
      </c>
      <c r="K8" s="63" t="s">
        <v>920</v>
      </c>
      <c r="L8" s="63" t="s">
        <v>920</v>
      </c>
      <c r="M8" s="63" t="s">
        <v>738</v>
      </c>
      <c r="N8" s="64" t="s">
        <v>739</v>
      </c>
      <c r="O8" s="64" t="s">
        <v>920</v>
      </c>
      <c r="P8" s="64" t="s">
        <v>920</v>
      </c>
      <c r="Q8" s="64" t="s">
        <v>920</v>
      </c>
      <c r="R8" s="64" t="s">
        <v>920</v>
      </c>
      <c r="S8" s="65"/>
      <c r="T8" s="66" t="s">
        <v>1010</v>
      </c>
      <c r="U8" s="67" t="n">
        <v>45756</v>
      </c>
      <c r="V8" s="106" t="n">
        <v>45738</v>
      </c>
      <c r="W8" s="67" t="n">
        <v>45756</v>
      </c>
      <c r="X8" s="68" t="n">
        <v>7</v>
      </c>
      <c r="Y8" s="69"/>
      <c r="Z8" s="70" t="n">
        <v>9921</v>
      </c>
      <c r="AA8" s="123" t="n">
        <v>45779</v>
      </c>
      <c r="AB8" s="106" t="n">
        <v>45766</v>
      </c>
      <c r="AC8" s="123" t="n">
        <v>45779</v>
      </c>
      <c r="AD8" s="68" t="n">
        <v>8</v>
      </c>
      <c r="AE8" s="69"/>
      <c r="AF8" s="70" t="n">
        <v>3587</v>
      </c>
      <c r="AG8" s="70"/>
      <c r="AH8" s="106" t="n">
        <v>45808</v>
      </c>
      <c r="AI8" s="70"/>
      <c r="AJ8" s="68"/>
      <c r="AK8" s="69"/>
      <c r="AL8" s="70"/>
      <c r="AM8" s="70"/>
      <c r="AN8" s="70"/>
      <c r="AO8" s="70"/>
      <c r="AP8" s="68"/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 t="n">
        <v>0</v>
      </c>
      <c r="AY8" s="68"/>
      <c r="AZ8" s="69"/>
      <c r="BA8" s="106" t="n">
        <v>45821</v>
      </c>
      <c r="BB8" s="89" t="n">
        <v>0.02</v>
      </c>
      <c r="BC8" s="72"/>
      <c r="BD8" s="73" t="str">
        <f aca="false">IF(AND(BB8&gt;=6,AP8&gt;=6,AJ8&gt;=6,AD8&gt;=6,X8&gt;=6),"да","нет")</f>
        <v>нет</v>
      </c>
      <c r="BE8" s="72"/>
      <c r="BF8" s="74"/>
      <c r="BG8" s="71"/>
      <c r="BH8" s="68"/>
      <c r="BI8" s="50"/>
      <c r="BJ8" s="75" t="n">
        <f aca="false">SUM(X8,AD8,AJ8,AP8,AV8,AX8:AY8,BH8,BB8,BG8)</f>
        <v>15.02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60" t="s">
        <v>407</v>
      </c>
      <c r="C9" s="61" t="s">
        <v>235</v>
      </c>
      <c r="D9" s="61" t="s">
        <v>406</v>
      </c>
      <c r="E9" s="62"/>
      <c r="F9" s="63" t="s">
        <v>734</v>
      </c>
      <c r="G9" s="63" t="s">
        <v>734</v>
      </c>
      <c r="H9" s="63" t="s">
        <v>739</v>
      </c>
      <c r="I9" s="63" t="s">
        <v>734</v>
      </c>
      <c r="J9" s="63" t="s">
        <v>920</v>
      </c>
      <c r="K9" s="63" t="s">
        <v>734</v>
      </c>
      <c r="L9" s="63" t="s">
        <v>739</v>
      </c>
      <c r="M9" s="63" t="s">
        <v>734</v>
      </c>
      <c r="N9" s="64" t="s">
        <v>734</v>
      </c>
      <c r="O9" s="64" t="s">
        <v>920</v>
      </c>
      <c r="P9" s="64" t="s">
        <v>920</v>
      </c>
      <c r="Q9" s="64" t="s">
        <v>920</v>
      </c>
      <c r="R9" s="64" t="s">
        <v>920</v>
      </c>
      <c r="S9" s="65"/>
      <c r="T9" s="66" t="s">
        <v>1011</v>
      </c>
      <c r="U9" s="67" t="n">
        <v>45710</v>
      </c>
      <c r="V9" s="106" t="n">
        <v>45696</v>
      </c>
      <c r="W9" s="67" t="n">
        <v>45710</v>
      </c>
      <c r="X9" s="68" t="n">
        <v>9</v>
      </c>
      <c r="Y9" s="69"/>
      <c r="Z9" s="70" t="n">
        <v>43322</v>
      </c>
      <c r="AA9" s="106" t="n">
        <v>45738</v>
      </c>
      <c r="AB9" s="106" t="n">
        <v>45738</v>
      </c>
      <c r="AC9" s="106" t="n">
        <v>45738</v>
      </c>
      <c r="AD9" s="68" t="n">
        <v>9</v>
      </c>
      <c r="AE9" s="69"/>
      <c r="AF9" s="70" t="n">
        <v>2314</v>
      </c>
      <c r="AG9" s="106" t="n">
        <v>45780</v>
      </c>
      <c r="AH9" s="67" t="n">
        <v>45756</v>
      </c>
      <c r="AI9" s="106" t="n">
        <v>45779</v>
      </c>
      <c r="AJ9" s="68" t="n">
        <v>9.5</v>
      </c>
      <c r="AK9" s="69"/>
      <c r="AL9" s="70" t="n">
        <v>8829</v>
      </c>
      <c r="AM9" s="106" t="n">
        <v>45794</v>
      </c>
      <c r="AN9" s="106" t="n">
        <v>45794</v>
      </c>
      <c r="AO9" s="106" t="n">
        <v>45794</v>
      </c>
      <c r="AP9" s="68" t="n">
        <v>9</v>
      </c>
      <c r="AQ9" s="69"/>
      <c r="AR9" s="70" t="n">
        <v>4455</v>
      </c>
      <c r="AS9" s="106" t="n">
        <v>45808</v>
      </c>
      <c r="AT9" s="106" t="n">
        <v>45808</v>
      </c>
      <c r="AU9" s="106" t="n">
        <v>45808</v>
      </c>
      <c r="AV9" s="68" t="n">
        <v>9</v>
      </c>
      <c r="AW9" s="69"/>
      <c r="AX9" s="68" t="n">
        <v>0</v>
      </c>
      <c r="AY9" s="68" t="n">
        <v>3</v>
      </c>
      <c r="AZ9" s="69"/>
      <c r="BA9" s="106" t="n">
        <v>45792</v>
      </c>
      <c r="BB9" s="89" t="n">
        <v>9</v>
      </c>
      <c r="BC9" s="72"/>
      <c r="BD9" s="73" t="str">
        <f aca="false">IF(AND(BB9&gt;=6,AP9&gt;=6,AJ9&gt;=6,AD9&gt;=6,X9&gt;=6),"да","нет")</f>
        <v>да</v>
      </c>
      <c r="BE9" s="72"/>
      <c r="BF9" s="118" t="n">
        <v>45834</v>
      </c>
      <c r="BG9" s="71" t="n">
        <v>30</v>
      </c>
      <c r="BH9" s="68" t="n">
        <v>3</v>
      </c>
      <c r="BI9" s="50"/>
      <c r="BJ9" s="75" t="n">
        <f aca="false">SUM(X9,AD9,AJ9,AP9,AV9,AX9:AY9,BH9,BB9,BG9)</f>
        <v>90.5</v>
      </c>
      <c r="BK9" s="73" t="str">
        <f aca="false">IF(BJ9&gt;90,"A",IF(BJ9&gt;83,"B",IF(BJ9&gt;74,"C",IF(BJ9&gt;67,"D",IF(BJ9&gt;=60,"E","FX")))))</f>
        <v>A</v>
      </c>
    </row>
    <row r="10" customFormat="false" ht="15.75" hidden="false" customHeight="false" outlineLevel="0" collapsed="false">
      <c r="A10" s="59" t="n">
        <f aca="false">A9+1</f>
        <v>8</v>
      </c>
      <c r="B10" s="151" t="s">
        <v>457</v>
      </c>
      <c r="C10" s="61" t="s">
        <v>235</v>
      </c>
      <c r="D10" s="61" t="s">
        <v>456</v>
      </c>
      <c r="E10" s="62"/>
      <c r="F10" s="63" t="s">
        <v>920</v>
      </c>
      <c r="G10" s="63" t="s">
        <v>919</v>
      </c>
      <c r="H10" s="63" t="s">
        <v>734</v>
      </c>
      <c r="I10" s="63" t="s">
        <v>734</v>
      </c>
      <c r="J10" s="63" t="s">
        <v>734</v>
      </c>
      <c r="K10" s="63" t="s">
        <v>919</v>
      </c>
      <c r="L10" s="63" t="s">
        <v>738</v>
      </c>
      <c r="M10" s="63" t="s">
        <v>739</v>
      </c>
      <c r="N10" s="64" t="s">
        <v>734</v>
      </c>
      <c r="O10" s="64" t="s">
        <v>920</v>
      </c>
      <c r="P10" s="64" t="s">
        <v>920</v>
      </c>
      <c r="Q10" s="64" t="s">
        <v>920</v>
      </c>
      <c r="R10" s="64" t="s">
        <v>920</v>
      </c>
      <c r="S10" s="65"/>
      <c r="T10" s="66" t="s">
        <v>1012</v>
      </c>
      <c r="U10" s="67" t="n">
        <v>45756</v>
      </c>
      <c r="V10" s="106" t="n">
        <v>45738</v>
      </c>
      <c r="W10" s="67" t="n">
        <v>45756</v>
      </c>
      <c r="X10" s="68" t="n">
        <v>8.5</v>
      </c>
      <c r="Y10" s="69"/>
      <c r="Z10" s="70" t="n">
        <v>39955</v>
      </c>
      <c r="AA10" s="123" t="n">
        <v>45779</v>
      </c>
      <c r="AB10" s="106" t="n">
        <v>45766</v>
      </c>
      <c r="AC10" s="123" t="n">
        <v>45779</v>
      </c>
      <c r="AD10" s="68" t="n">
        <v>8.5</v>
      </c>
      <c r="AE10" s="69"/>
      <c r="AF10" s="70" t="n">
        <v>3557</v>
      </c>
      <c r="AG10" s="106" t="n">
        <v>45808</v>
      </c>
      <c r="AH10" s="106" t="n">
        <v>45794</v>
      </c>
      <c r="AI10" s="106" t="n">
        <v>45794</v>
      </c>
      <c r="AJ10" s="68" t="n">
        <v>8</v>
      </c>
      <c r="AK10" s="69"/>
      <c r="AL10" s="173" t="n">
        <v>456654</v>
      </c>
      <c r="AM10" s="70"/>
      <c r="AN10" s="106" t="n">
        <v>45828</v>
      </c>
      <c r="AO10" s="70"/>
      <c r="AP10" s="68"/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68" t="n">
        <v>0</v>
      </c>
      <c r="AW10" s="69"/>
      <c r="AX10" s="68" t="n">
        <v>0</v>
      </c>
      <c r="AY10" s="68"/>
      <c r="AZ10" s="69"/>
      <c r="BA10" s="106" t="n">
        <v>45821</v>
      </c>
      <c r="BB10" s="89" t="n">
        <v>6</v>
      </c>
      <c r="BC10" s="72"/>
      <c r="BD10" s="73" t="str">
        <f aca="false">IF(AND(BB10&gt;=6,AP10&gt;=6,AJ10&gt;=6,AD10&gt;=6,X10&gt;=6),"да","нет")</f>
        <v>нет</v>
      </c>
      <c r="BE10" s="72"/>
      <c r="BF10" s="74"/>
      <c r="BG10" s="71"/>
      <c r="BH10" s="68"/>
      <c r="BI10" s="50"/>
      <c r="BJ10" s="75" t="n">
        <f aca="false">SUM(X10,AD10,AJ10,AP10,AV10,AX10:AY10,BH10,BB10,BG10)</f>
        <v>31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151" t="s">
        <v>461</v>
      </c>
      <c r="C11" s="61" t="s">
        <v>235</v>
      </c>
      <c r="D11" s="61" t="s">
        <v>460</v>
      </c>
      <c r="E11" s="62"/>
      <c r="F11" s="63" t="s">
        <v>920</v>
      </c>
      <c r="G11" s="63" t="s">
        <v>920</v>
      </c>
      <c r="H11" s="63" t="s">
        <v>739</v>
      </c>
      <c r="I11" s="63" t="s">
        <v>920</v>
      </c>
      <c r="J11" s="63" t="s">
        <v>739</v>
      </c>
      <c r="K11" s="63" t="s">
        <v>734</v>
      </c>
      <c r="L11" s="63" t="s">
        <v>734</v>
      </c>
      <c r="M11" s="63" t="s">
        <v>739</v>
      </c>
      <c r="N11" s="64" t="s">
        <v>734</v>
      </c>
      <c r="O11" s="64" t="s">
        <v>920</v>
      </c>
      <c r="P11" s="64" t="s">
        <v>920</v>
      </c>
      <c r="Q11" s="64" t="s">
        <v>920</v>
      </c>
      <c r="R11" s="64" t="s">
        <v>920</v>
      </c>
      <c r="S11" s="65"/>
      <c r="T11" s="66" t="s">
        <v>1013</v>
      </c>
      <c r="U11" s="67" t="n">
        <v>45766</v>
      </c>
      <c r="V11" s="106" t="n">
        <v>45738</v>
      </c>
      <c r="W11" s="67" t="n">
        <v>45766</v>
      </c>
      <c r="X11" s="68" t="n">
        <v>8</v>
      </c>
      <c r="Y11" s="69"/>
      <c r="Z11" s="70" t="n">
        <v>357967</v>
      </c>
      <c r="AA11" s="106" t="n">
        <v>45780</v>
      </c>
      <c r="AB11" s="123" t="n">
        <v>45779</v>
      </c>
      <c r="AC11" s="67" t="n">
        <v>45794</v>
      </c>
      <c r="AD11" s="68" t="n">
        <v>7</v>
      </c>
      <c r="AE11" s="69"/>
      <c r="AF11" s="70" t="n">
        <v>4222</v>
      </c>
      <c r="AG11" s="70"/>
      <c r="AH11" s="106" t="n">
        <v>45808</v>
      </c>
      <c r="AI11" s="70"/>
      <c r="AJ11" s="68"/>
      <c r="AK11" s="69"/>
      <c r="AL11" s="70"/>
      <c r="AM11" s="70"/>
      <c r="AN11" s="70"/>
      <c r="AO11" s="70"/>
      <c r="AP11" s="68"/>
      <c r="AQ11" s="69"/>
      <c r="AR11" s="70" t="s">
        <v>737</v>
      </c>
      <c r="AS11" s="70" t="s">
        <v>737</v>
      </c>
      <c r="AT11" s="70" t="s">
        <v>737</v>
      </c>
      <c r="AU11" s="70" t="s">
        <v>737</v>
      </c>
      <c r="AV11" s="68" t="n">
        <v>0</v>
      </c>
      <c r="AW11" s="69"/>
      <c r="AX11" s="68"/>
      <c r="AY11" s="68"/>
      <c r="AZ11" s="69"/>
      <c r="BA11" s="106" t="n">
        <v>45821</v>
      </c>
      <c r="BB11" s="89" t="n">
        <v>0.02</v>
      </c>
      <c r="BC11" s="72"/>
      <c r="BD11" s="73" t="str">
        <f aca="false">IF(AND(BB11&gt;=6,AP11&gt;=6,AJ11&gt;=6,AD11&gt;=6,X11&gt;=6),"да","нет")</f>
        <v>нет</v>
      </c>
      <c r="BE11" s="72"/>
      <c r="BF11" s="74"/>
      <c r="BG11" s="71"/>
      <c r="BH11" s="68"/>
      <c r="BI11" s="50"/>
      <c r="BJ11" s="75" t="n">
        <f aca="false">SUM(X11,AD11,AJ11,AP11,AV11,AX11:AY11,BH11,BB11,BG11)</f>
        <v>15.02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481</v>
      </c>
      <c r="C12" s="61" t="s">
        <v>235</v>
      </c>
      <c r="D12" s="61" t="s">
        <v>480</v>
      </c>
      <c r="E12" s="62"/>
      <c r="F12" s="63" t="s">
        <v>734</v>
      </c>
      <c r="G12" s="63" t="s">
        <v>739</v>
      </c>
      <c r="H12" s="63" t="s">
        <v>739</v>
      </c>
      <c r="I12" s="63" t="s">
        <v>734</v>
      </c>
      <c r="J12" s="63" t="s">
        <v>919</v>
      </c>
      <c r="K12" s="63" t="s">
        <v>734</v>
      </c>
      <c r="L12" s="63" t="s">
        <v>919</v>
      </c>
      <c r="M12" s="63" t="s">
        <v>734</v>
      </c>
      <c r="N12" s="64" t="s">
        <v>920</v>
      </c>
      <c r="O12" s="64" t="s">
        <v>920</v>
      </c>
      <c r="P12" s="64" t="s">
        <v>920</v>
      </c>
      <c r="Q12" s="64" t="s">
        <v>920</v>
      </c>
      <c r="R12" s="64" t="s">
        <v>920</v>
      </c>
      <c r="S12" s="65"/>
      <c r="T12" s="66" t="s">
        <v>1014</v>
      </c>
      <c r="U12" s="67" t="n">
        <v>45710</v>
      </c>
      <c r="V12" s="67" t="n">
        <v>45710</v>
      </c>
      <c r="W12" s="67" t="n">
        <v>45710</v>
      </c>
      <c r="X12" s="68" t="n">
        <v>9</v>
      </c>
      <c r="Y12" s="69"/>
      <c r="Z12" s="70" t="n">
        <v>99234</v>
      </c>
      <c r="AA12" s="106" t="n">
        <v>45738</v>
      </c>
      <c r="AB12" s="106" t="n">
        <v>45738</v>
      </c>
      <c r="AC12" s="67" t="n">
        <v>45756</v>
      </c>
      <c r="AD12" s="68" t="n">
        <v>9</v>
      </c>
      <c r="AE12" s="69"/>
      <c r="AF12" s="70" t="n">
        <v>4413</v>
      </c>
      <c r="AG12" s="106" t="n">
        <v>45794</v>
      </c>
      <c r="AH12" s="106" t="n">
        <v>45780</v>
      </c>
      <c r="AI12" s="106" t="n">
        <v>45780</v>
      </c>
      <c r="AJ12" s="68" t="n">
        <v>9</v>
      </c>
      <c r="AK12" s="69"/>
      <c r="AL12" s="70" t="n">
        <v>5348</v>
      </c>
      <c r="AM12" s="106" t="n">
        <v>45808</v>
      </c>
      <c r="AN12" s="106" t="n">
        <v>45808</v>
      </c>
      <c r="AO12" s="106" t="n">
        <v>45808</v>
      </c>
      <c r="AP12" s="68" t="n">
        <v>8.8</v>
      </c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68" t="n">
        <v>0</v>
      </c>
      <c r="AW12" s="69"/>
      <c r="AX12" s="68" t="n">
        <v>1</v>
      </c>
      <c r="AY12" s="68" t="n">
        <v>2</v>
      </c>
      <c r="AZ12" s="69"/>
      <c r="BA12" s="106" t="n">
        <v>45792</v>
      </c>
      <c r="BB12" s="89" t="n">
        <v>6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45834</v>
      </c>
      <c r="BG12" s="71" t="n">
        <v>24</v>
      </c>
      <c r="BH12" s="68"/>
      <c r="BI12" s="50"/>
      <c r="BJ12" s="75" t="n">
        <f aca="false">SUM(X12,AD12,AJ12,AP12,AV12,AX12:AY12,BH12,BB12,BG12)</f>
        <v>68.8</v>
      </c>
      <c r="BK12" s="73" t="str">
        <f aca="false">IF(BJ12&gt;90,"A",IF(BJ12&gt;83,"B",IF(BJ12&gt;74,"C",IF(BJ12&gt;67,"D",IF(BJ12&gt;=60,"E","FX")))))</f>
        <v>D</v>
      </c>
    </row>
    <row r="13" customFormat="false" ht="15.75" hidden="false" customHeight="false" outlineLevel="0" collapsed="false">
      <c r="A13" s="59" t="n">
        <f aca="false">A12+1</f>
        <v>11</v>
      </c>
      <c r="B13" s="147" t="s">
        <v>583</v>
      </c>
      <c r="C13" s="61" t="s">
        <v>235</v>
      </c>
      <c r="D13" s="61" t="s">
        <v>582</v>
      </c>
      <c r="E13" s="62"/>
      <c r="F13" s="63" t="s">
        <v>920</v>
      </c>
      <c r="G13" s="63" t="s">
        <v>920</v>
      </c>
      <c r="H13" s="63" t="s">
        <v>920</v>
      </c>
      <c r="I13" s="63" t="s">
        <v>739</v>
      </c>
      <c r="J13" s="63" t="s">
        <v>920</v>
      </c>
      <c r="K13" s="63" t="s">
        <v>920</v>
      </c>
      <c r="L13" s="63" t="s">
        <v>739</v>
      </c>
      <c r="M13" s="63" t="s">
        <v>734</v>
      </c>
      <c r="N13" s="64" t="s">
        <v>920</v>
      </c>
      <c r="O13" s="64" t="s">
        <v>920</v>
      </c>
      <c r="P13" s="64" t="s">
        <v>920</v>
      </c>
      <c r="Q13" s="64" t="s">
        <v>920</v>
      </c>
      <c r="R13" s="64" t="s">
        <v>920</v>
      </c>
      <c r="S13" s="65"/>
      <c r="T13" s="66" t="s">
        <v>1015</v>
      </c>
      <c r="U13" s="67" t="n">
        <v>45756</v>
      </c>
      <c r="V13" s="67" t="n">
        <v>45756</v>
      </c>
      <c r="W13" s="67" t="n">
        <v>45756</v>
      </c>
      <c r="X13" s="68" t="n">
        <v>7</v>
      </c>
      <c r="Y13" s="69"/>
      <c r="Z13" s="70" t="n">
        <v>345793</v>
      </c>
      <c r="AA13" s="67" t="n">
        <v>45808</v>
      </c>
      <c r="AB13" s="106" t="n">
        <v>45794</v>
      </c>
      <c r="AC13" s="67" t="n">
        <v>45808</v>
      </c>
      <c r="AD13" s="68" t="n">
        <v>8</v>
      </c>
      <c r="AE13" s="69"/>
      <c r="AF13" s="70" t="n">
        <v>3213213</v>
      </c>
      <c r="AG13" s="70"/>
      <c r="AH13" s="70"/>
      <c r="AI13" s="70"/>
      <c r="AJ13" s="68"/>
      <c r="AK13" s="69"/>
      <c r="AL13" s="70"/>
      <c r="AM13" s="70"/>
      <c r="AN13" s="70"/>
      <c r="AO13" s="70"/>
      <c r="AP13" s="68"/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68" t="n">
        <v>0</v>
      </c>
      <c r="AW13" s="69"/>
      <c r="AX13" s="68"/>
      <c r="AY13" s="68"/>
      <c r="AZ13" s="69"/>
      <c r="BA13" s="106" t="n">
        <v>45792</v>
      </c>
      <c r="BB13" s="89" t="n">
        <v>7</v>
      </c>
      <c r="BC13" s="72"/>
      <c r="BD13" s="73" t="str">
        <f aca="false">IF(AND(BB13&gt;=6,AP13&gt;=6,AJ13&gt;=6,AD13&gt;=6,X13&gt;=6),"да","нет")</f>
        <v>нет</v>
      </c>
      <c r="BE13" s="72"/>
      <c r="BF13" s="74"/>
      <c r="BG13" s="71"/>
      <c r="BH13" s="68"/>
      <c r="BI13" s="50"/>
      <c r="BJ13" s="75" t="n">
        <f aca="false">SUM(X13,AD13,AJ13,AP13,AV13,AX13:AY13,BH13,BB13,BG13)</f>
        <v>22</v>
      </c>
      <c r="BK13" s="73" t="str">
        <f aca="false">IF(BJ13&gt;90,"A",IF(BJ13&gt;83,"B",IF(BJ13&gt;74,"C",IF(BJ13&gt;67,"D",IF(BJ13&gt;=60,"E","FX")))))</f>
        <v>FX</v>
      </c>
    </row>
    <row r="14" customFormat="false" ht="15.75" hidden="false" customHeight="false" outlineLevel="0" collapsed="false">
      <c r="A14" s="59" t="n">
        <f aca="false">A13+1</f>
        <v>12</v>
      </c>
      <c r="B14" s="147" t="s">
        <v>605</v>
      </c>
      <c r="C14" s="61" t="s">
        <v>235</v>
      </c>
      <c r="D14" s="61" t="s">
        <v>604</v>
      </c>
      <c r="E14" s="62"/>
      <c r="F14" s="63" t="s">
        <v>920</v>
      </c>
      <c r="G14" s="63" t="s">
        <v>920</v>
      </c>
      <c r="H14" s="63" t="s">
        <v>734</v>
      </c>
      <c r="I14" s="63" t="s">
        <v>734</v>
      </c>
      <c r="J14" s="63" t="s">
        <v>920</v>
      </c>
      <c r="K14" s="63" t="s">
        <v>734</v>
      </c>
      <c r="L14" s="63" t="s">
        <v>920</v>
      </c>
      <c r="M14" s="63" t="s">
        <v>919</v>
      </c>
      <c r="N14" s="64" t="s">
        <v>920</v>
      </c>
      <c r="O14" s="64" t="s">
        <v>920</v>
      </c>
      <c r="P14" s="64" t="s">
        <v>920</v>
      </c>
      <c r="Q14" s="64" t="s">
        <v>920</v>
      </c>
      <c r="R14" s="64" t="s">
        <v>920</v>
      </c>
      <c r="S14" s="65"/>
      <c r="T14" s="66" t="s">
        <v>1016</v>
      </c>
      <c r="U14" s="67" t="n">
        <v>45780</v>
      </c>
      <c r="V14" s="67" t="n">
        <v>45756</v>
      </c>
      <c r="W14" s="67" t="n">
        <v>45780</v>
      </c>
      <c r="X14" s="68" t="n">
        <v>8.5</v>
      </c>
      <c r="Y14" s="69"/>
      <c r="Z14" s="70" t="n">
        <v>35774</v>
      </c>
      <c r="AA14" s="67"/>
      <c r="AB14" s="67"/>
      <c r="AC14" s="67"/>
      <c r="AD14" s="68"/>
      <c r="AE14" s="69"/>
      <c r="AF14" s="70"/>
      <c r="AH14" s="70"/>
      <c r="AI14" s="70"/>
      <c r="AJ14" s="68"/>
      <c r="AK14" s="69"/>
      <c r="AL14" s="70"/>
      <c r="AM14" s="70"/>
      <c r="AN14" s="70"/>
      <c r="AO14" s="70"/>
      <c r="AP14" s="68"/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68" t="n">
        <v>0</v>
      </c>
      <c r="AW14" s="69"/>
      <c r="AX14" s="68"/>
      <c r="AY14" s="68"/>
      <c r="AZ14" s="69"/>
      <c r="BA14" s="106"/>
      <c r="BB14" s="89"/>
      <c r="BC14" s="72"/>
      <c r="BD14" s="73" t="str">
        <f aca="false">IF(AND(BB14&gt;=6,AP14&gt;=6,AJ14&gt;=6,AD14&gt;=6,X14&gt;=6),"да","нет")</f>
        <v>нет</v>
      </c>
      <c r="BE14" s="72"/>
      <c r="BF14" s="74"/>
      <c r="BG14" s="71"/>
      <c r="BH14" s="68"/>
      <c r="BI14" s="50"/>
      <c r="BJ14" s="75" t="n">
        <f aca="false">SUM(X14,AD14,AJ14,AP14,AV14,AX14:AY14,BH14,BB14,BG14)</f>
        <v>8.5</v>
      </c>
      <c r="BK14" s="73" t="str">
        <f aca="false">IF(BJ14&gt;90,"A",IF(BJ14&gt;83,"B",IF(BJ14&gt;74,"C",IF(BJ14&gt;67,"D",IF(BJ14&gt;=60,"E","FX")))))</f>
        <v>FX</v>
      </c>
    </row>
    <row r="15" customFormat="false" ht="15.75" hidden="false" customHeight="false" outlineLevel="0" collapsed="false">
      <c r="A15" s="59" t="n">
        <f aca="false">A14+1</f>
        <v>13</v>
      </c>
      <c r="B15" s="151" t="s">
        <v>623</v>
      </c>
      <c r="C15" s="61" t="s">
        <v>235</v>
      </c>
      <c r="D15" s="61" t="s">
        <v>622</v>
      </c>
      <c r="E15" s="62"/>
      <c r="F15" s="63" t="s">
        <v>919</v>
      </c>
      <c r="G15" s="63" t="s">
        <v>734</v>
      </c>
      <c r="H15" s="63" t="s">
        <v>920</v>
      </c>
      <c r="I15" s="63" t="s">
        <v>734</v>
      </c>
      <c r="J15" s="63" t="s">
        <v>920</v>
      </c>
      <c r="K15" s="63" t="s">
        <v>734</v>
      </c>
      <c r="L15" s="63" t="s">
        <v>1007</v>
      </c>
      <c r="M15" s="63" t="s">
        <v>919</v>
      </c>
      <c r="N15" s="64" t="s">
        <v>734</v>
      </c>
      <c r="O15" s="64" t="s">
        <v>734</v>
      </c>
      <c r="P15" s="64" t="s">
        <v>920</v>
      </c>
      <c r="Q15" s="64" t="s">
        <v>920</v>
      </c>
      <c r="R15" s="64" t="s">
        <v>920</v>
      </c>
      <c r="S15" s="65"/>
      <c r="T15" s="66" t="s">
        <v>1017</v>
      </c>
      <c r="U15" s="67" t="n">
        <v>45756</v>
      </c>
      <c r="V15" s="67" t="n">
        <v>45710</v>
      </c>
      <c r="W15" s="67" t="n">
        <v>45756</v>
      </c>
      <c r="X15" s="68" t="n">
        <v>8</v>
      </c>
      <c r="Y15" s="69"/>
      <c r="Z15" s="70" t="n">
        <v>41596</v>
      </c>
      <c r="AA15" s="106" t="n">
        <v>45780</v>
      </c>
      <c r="AB15" s="123" t="n">
        <v>45779</v>
      </c>
      <c r="AC15" s="106" t="n">
        <v>45780</v>
      </c>
      <c r="AD15" s="68" t="n">
        <v>9</v>
      </c>
      <c r="AE15" s="69"/>
      <c r="AF15" s="70" t="n">
        <v>3987</v>
      </c>
      <c r="AG15" s="106" t="n">
        <v>45814</v>
      </c>
      <c r="AH15" s="106" t="n">
        <v>45794</v>
      </c>
      <c r="AI15" s="106" t="n">
        <v>45794</v>
      </c>
      <c r="AJ15" s="68" t="n">
        <v>7</v>
      </c>
      <c r="AK15" s="69"/>
      <c r="AL15" s="173" t="n">
        <v>3557441</v>
      </c>
      <c r="AM15" s="70"/>
      <c r="AN15" s="106" t="n">
        <v>45828</v>
      </c>
      <c r="AO15" s="70"/>
      <c r="AP15" s="68"/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68" t="n">
        <v>0</v>
      </c>
      <c r="AW15" s="69"/>
      <c r="AX15" s="68"/>
      <c r="AY15" s="68"/>
      <c r="AZ15" s="69"/>
      <c r="BA15" s="106" t="n">
        <v>45821</v>
      </c>
      <c r="BB15" s="89" t="n">
        <v>6</v>
      </c>
      <c r="BC15" s="72"/>
      <c r="BD15" s="73" t="str">
        <f aca="false">IF(AND(BB15&gt;=6,AP15&gt;=6,AJ15&gt;=6,AD15&gt;=6,X15&gt;=6),"да","нет")</f>
        <v>нет</v>
      </c>
      <c r="BE15" s="72"/>
      <c r="BF15" s="74"/>
      <c r="BG15" s="71"/>
      <c r="BH15" s="68"/>
      <c r="BI15" s="50"/>
      <c r="BJ15" s="75" t="n">
        <f aca="false">SUM(X15,AD15,AJ15,AP15,AV15,AX15:AY15,BH15,BB15,BG15)</f>
        <v>30</v>
      </c>
      <c r="BK15" s="73" t="str">
        <f aca="false">IF(BJ15&gt;90,"A",IF(BJ15&gt;83,"B",IF(BJ15&gt;74,"C",IF(BJ15&gt;67,"D",IF(BJ15&gt;=60,"E","FX")))))</f>
        <v>FX</v>
      </c>
    </row>
    <row r="16" customFormat="false" ht="15.75" hidden="false" customHeight="false" outlineLevel="0" collapsed="false">
      <c r="A16" s="59" t="n">
        <f aca="false">A15+1</f>
        <v>14</v>
      </c>
      <c r="B16" s="147" t="s">
        <v>627</v>
      </c>
      <c r="C16" s="61" t="s">
        <v>235</v>
      </c>
      <c r="D16" s="61" t="s">
        <v>626</v>
      </c>
      <c r="E16" s="62"/>
      <c r="F16" s="63" t="s">
        <v>920</v>
      </c>
      <c r="G16" s="63" t="s">
        <v>920</v>
      </c>
      <c r="H16" s="63" t="s">
        <v>920</v>
      </c>
      <c r="I16" s="63" t="s">
        <v>920</v>
      </c>
      <c r="J16" s="63" t="s">
        <v>919</v>
      </c>
      <c r="K16" s="63" t="s">
        <v>920</v>
      </c>
      <c r="L16" s="63" t="s">
        <v>920</v>
      </c>
      <c r="M16" s="63" t="s">
        <v>919</v>
      </c>
      <c r="N16" s="64" t="s">
        <v>920</v>
      </c>
      <c r="O16" s="64" t="s">
        <v>920</v>
      </c>
      <c r="P16" s="64" t="s">
        <v>920</v>
      </c>
      <c r="Q16" s="64" t="s">
        <v>920</v>
      </c>
      <c r="R16" s="64" t="s">
        <v>920</v>
      </c>
      <c r="S16" s="65"/>
      <c r="T16" s="66" t="s">
        <v>1018</v>
      </c>
      <c r="U16" s="67"/>
      <c r="V16" s="67"/>
      <c r="W16" s="67"/>
      <c r="X16" s="68"/>
      <c r="Y16" s="69"/>
      <c r="Z16" s="70"/>
      <c r="AA16" s="67"/>
      <c r="AB16" s="67"/>
      <c r="AC16" s="67"/>
      <c r="AD16" s="68"/>
      <c r="AE16" s="69"/>
      <c r="AF16" s="70"/>
      <c r="AG16" s="70"/>
      <c r="AH16" s="70"/>
      <c r="AI16" s="70"/>
      <c r="AJ16" s="68"/>
      <c r="AK16" s="69"/>
      <c r="AL16" s="70"/>
      <c r="AM16" s="70"/>
      <c r="AN16" s="70"/>
      <c r="AO16" s="70"/>
      <c r="AP16" s="68"/>
      <c r="AQ16" s="69"/>
      <c r="AR16" s="70" t="s">
        <v>737</v>
      </c>
      <c r="AS16" s="70" t="s">
        <v>737</v>
      </c>
      <c r="AT16" s="70" t="s">
        <v>737</v>
      </c>
      <c r="AU16" s="70" t="s">
        <v>737</v>
      </c>
      <c r="AV16" s="68" t="n">
        <v>0</v>
      </c>
      <c r="AW16" s="69"/>
      <c r="AX16" s="68"/>
      <c r="AY16" s="68"/>
      <c r="AZ16" s="69"/>
      <c r="BA16" s="70"/>
      <c r="BB16" s="89"/>
      <c r="BC16" s="72"/>
      <c r="BD16" s="73" t="str">
        <f aca="false">IF(AND(BB16&gt;=6,AP16&gt;=6,AJ16&gt;=6,AD16&gt;=6,X16&gt;=6),"да","нет")</f>
        <v>нет</v>
      </c>
      <c r="BE16" s="72"/>
      <c r="BF16" s="74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637</v>
      </c>
      <c r="C17" s="61" t="s">
        <v>235</v>
      </c>
      <c r="D17" s="61" t="s">
        <v>636</v>
      </c>
      <c r="E17" s="62"/>
      <c r="F17" s="63" t="s">
        <v>734</v>
      </c>
      <c r="G17" s="63" t="s">
        <v>734</v>
      </c>
      <c r="H17" s="63" t="s">
        <v>739</v>
      </c>
      <c r="I17" s="63" t="s">
        <v>734</v>
      </c>
      <c r="J17" s="63" t="s">
        <v>920</v>
      </c>
      <c r="K17" s="63" t="s">
        <v>734</v>
      </c>
      <c r="L17" s="63" t="s">
        <v>734</v>
      </c>
      <c r="M17" s="63" t="s">
        <v>734</v>
      </c>
      <c r="N17" s="64" t="s">
        <v>920</v>
      </c>
      <c r="O17" s="64" t="s">
        <v>920</v>
      </c>
      <c r="P17" s="64" t="s">
        <v>920</v>
      </c>
      <c r="Q17" s="64" t="s">
        <v>920</v>
      </c>
      <c r="R17" s="64" t="s">
        <v>920</v>
      </c>
      <c r="S17" s="65"/>
      <c r="T17" s="66" t="s">
        <v>1019</v>
      </c>
      <c r="U17" s="106" t="n">
        <v>45696</v>
      </c>
      <c r="V17" s="106" t="n">
        <v>45696</v>
      </c>
      <c r="W17" s="67" t="n">
        <v>45710</v>
      </c>
      <c r="X17" s="68" t="n">
        <v>9</v>
      </c>
      <c r="Y17" s="69"/>
      <c r="Z17" s="70" t="n">
        <v>97232</v>
      </c>
      <c r="AA17" s="106" t="n">
        <v>45738</v>
      </c>
      <c r="AB17" s="106" t="n">
        <v>45738</v>
      </c>
      <c r="AC17" s="67" t="n">
        <v>45756</v>
      </c>
      <c r="AD17" s="68" t="n">
        <v>8.5</v>
      </c>
      <c r="AE17" s="69"/>
      <c r="AF17" s="70" t="n">
        <v>4454</v>
      </c>
      <c r="AG17" s="106" t="n">
        <v>45780</v>
      </c>
      <c r="AH17" s="106" t="n">
        <v>45780</v>
      </c>
      <c r="AI17" s="106" t="n">
        <v>45780</v>
      </c>
      <c r="AJ17" s="68" t="n">
        <v>9</v>
      </c>
      <c r="AK17" s="69"/>
      <c r="AL17" s="70" t="n">
        <v>47893</v>
      </c>
      <c r="AM17" s="106" t="n">
        <v>45794</v>
      </c>
      <c r="AN17" s="106" t="n">
        <v>45794</v>
      </c>
      <c r="AO17" s="106" t="n">
        <v>45808</v>
      </c>
      <c r="AP17" s="68" t="n">
        <v>9</v>
      </c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68" t="n">
        <v>0</v>
      </c>
      <c r="AW17" s="69"/>
      <c r="AX17" s="68" t="n">
        <v>1</v>
      </c>
      <c r="AY17" s="68" t="n">
        <v>1</v>
      </c>
      <c r="AZ17" s="69"/>
      <c r="BA17" s="106" t="n">
        <v>45792</v>
      </c>
      <c r="BB17" s="89" t="n">
        <v>6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45834</v>
      </c>
      <c r="BG17" s="71" t="n">
        <v>29</v>
      </c>
      <c r="BH17" s="68" t="n">
        <v>2</v>
      </c>
      <c r="BI17" s="50"/>
      <c r="BJ17" s="75" t="n">
        <f aca="false">SUM(X17,AD17,AJ17,AP17,AV17,AX17:AY17,BH17,BB17,BG17)</f>
        <v>74.5</v>
      </c>
      <c r="BK17" s="73" t="str">
        <f aca="false">IF(BJ17&gt;90,"A",IF(BJ17&gt;83,"B",IF(BJ17&gt;74,"C",IF(BJ17&gt;67,"D",IF(BJ17&gt;=60,"E","FX")))))</f>
        <v>C</v>
      </c>
    </row>
    <row r="18" customFormat="false" ht="15.75" hidden="false" customHeight="false" outlineLevel="0" collapsed="false">
      <c r="A18" s="59" t="n">
        <f aca="false">A17+1</f>
        <v>16</v>
      </c>
      <c r="B18" s="147" t="s">
        <v>475</v>
      </c>
      <c r="C18" s="61" t="s">
        <v>235</v>
      </c>
      <c r="D18" s="61" t="s">
        <v>474</v>
      </c>
      <c r="E18" s="62"/>
      <c r="F18" s="63" t="s">
        <v>920</v>
      </c>
      <c r="G18" s="63" t="s">
        <v>920</v>
      </c>
      <c r="H18" s="63" t="s">
        <v>920</v>
      </c>
      <c r="I18" s="63" t="s">
        <v>920</v>
      </c>
      <c r="J18" s="63" t="s">
        <v>920</v>
      </c>
      <c r="K18" s="63" t="s">
        <v>920</v>
      </c>
      <c r="L18" s="63" t="s">
        <v>734</v>
      </c>
      <c r="M18" s="63" t="s">
        <v>920</v>
      </c>
      <c r="N18" s="64" t="s">
        <v>734</v>
      </c>
      <c r="O18" s="64" t="s">
        <v>920</v>
      </c>
      <c r="P18" s="64" t="s">
        <v>920</v>
      </c>
      <c r="Q18" s="64" t="s">
        <v>920</v>
      </c>
      <c r="R18" s="64" t="s">
        <v>920</v>
      </c>
      <c r="S18" s="65"/>
      <c r="T18" s="66" t="s">
        <v>1020</v>
      </c>
      <c r="U18" s="67"/>
      <c r="V18" s="123" t="n">
        <v>45779</v>
      </c>
      <c r="W18" s="67"/>
      <c r="X18" s="68"/>
      <c r="Y18" s="69"/>
      <c r="Z18" s="70"/>
      <c r="AA18" s="67"/>
      <c r="AB18" s="67"/>
      <c r="AC18" s="67"/>
      <c r="AD18" s="68"/>
      <c r="AE18" s="69"/>
      <c r="AF18" s="70"/>
      <c r="AG18" s="70"/>
      <c r="AH18" s="70"/>
      <c r="AI18" s="70"/>
      <c r="AJ18" s="68"/>
      <c r="AK18" s="69"/>
      <c r="AL18" s="70"/>
      <c r="AM18" s="70"/>
      <c r="AN18" s="70"/>
      <c r="AO18" s="70"/>
      <c r="AP18" s="68"/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/>
      <c r="AY18" s="68"/>
      <c r="AZ18" s="69"/>
      <c r="BA18" s="106" t="n">
        <v>45792</v>
      </c>
      <c r="BB18" s="89" t="n">
        <v>0.01</v>
      </c>
      <c r="BC18" s="72"/>
      <c r="BD18" s="73" t="str">
        <f aca="false">IF(AND(BB18&gt;=6,AP18&gt;=6,AJ18&gt;=6,AD18&gt;=6,X18&gt;=6),"да","нет")</f>
        <v>нет</v>
      </c>
      <c r="BE18" s="72"/>
      <c r="BF18" s="74"/>
      <c r="BG18" s="71"/>
      <c r="BH18" s="68"/>
      <c r="BI18" s="50"/>
      <c r="BJ18" s="75" t="n">
        <f aca="false">SUM(X18,AD18,AJ18,AP18,AV18,AX18:AY18,BH18,BB18,BG18)</f>
        <v>0.01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f aca="false">A18+1</f>
        <v>17</v>
      </c>
      <c r="B19" s="60" t="str">
        <f aca="false">IFERROR(__xludf.dummyfunction("IFERROR(QUERY('Общий список'!$B:$C, ""SELECT C WHERE B = '""&amp;C19&amp;""' AND B &lt;&gt; '' AND D = '""&amp;$C$1&amp;""'"", 0), """")"),"")</f>
        <v/>
      </c>
      <c r="C19" s="61"/>
      <c r="D19" s="61"/>
      <c r="E19" s="62"/>
      <c r="F19" s="63"/>
      <c r="G19" s="63"/>
      <c r="H19" s="63"/>
      <c r="I19" s="63"/>
      <c r="J19" s="63"/>
      <c r="K19" s="63"/>
      <c r="L19" s="63"/>
      <c r="M19" s="63"/>
      <c r="N19" s="64"/>
      <c r="O19" s="64"/>
      <c r="P19" s="64"/>
      <c r="Q19" s="64"/>
      <c r="R19" s="64"/>
      <c r="S19" s="65"/>
      <c r="T19" s="66"/>
      <c r="U19" s="67"/>
      <c r="V19" s="67"/>
      <c r="W19" s="67"/>
      <c r="X19" s="68"/>
      <c r="Y19" s="69"/>
      <c r="Z19" s="70"/>
      <c r="AA19" s="67"/>
      <c r="AB19" s="67"/>
      <c r="AC19" s="67"/>
      <c r="AD19" s="68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/>
      <c r="AS19" s="70"/>
      <c r="AT19" s="70"/>
      <c r="AU19" s="70"/>
      <c r="AV19" s="68"/>
      <c r="AW19" s="69"/>
      <c r="AX19" s="68"/>
      <c r="AY19" s="68"/>
      <c r="AZ19" s="69"/>
      <c r="BA19" s="70"/>
      <c r="BB19" s="71"/>
      <c r="BC19" s="72"/>
      <c r="BD19" s="73" t="str">
        <f aca="false">IF(AND(BB19&gt;=6,AP19&gt;=6,AJ19&gt;=6,AD19&gt;=6,X19&gt;=6),"да","нет")</f>
        <v>нет</v>
      </c>
      <c r="BE19" s="72"/>
      <c r="BF19" s="74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18</v>
      </c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/>
      <c r="H20" s="63"/>
      <c r="I20" s="63"/>
      <c r="J20" s="63"/>
      <c r="K20" s="63"/>
      <c r="L20" s="63"/>
      <c r="M20" s="63"/>
      <c r="N20" s="64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70"/>
      <c r="V22" s="70"/>
      <c r="W22" s="70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70"/>
      <c r="V23" s="70"/>
      <c r="W23" s="70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3.75" hidden="false" customHeight="true" outlineLevel="0" collapsed="false">
      <c r="A24" s="76"/>
      <c r="B24" s="76"/>
      <c r="C24" s="76"/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9"/>
      <c r="AN24" s="65"/>
      <c r="AO24" s="65"/>
      <c r="AP24" s="65"/>
      <c r="AQ24" s="65"/>
      <c r="AR24" s="65"/>
      <c r="AS24" s="65"/>
      <c r="AT24" s="65"/>
      <c r="AU24" s="65"/>
      <c r="AV24" s="65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80"/>
      <c r="BJ24" s="72"/>
      <c r="BK24" s="72"/>
    </row>
    <row r="25" customFormat="false" ht="15.75" hidden="false" customHeight="false" outlineLevel="0" collapsed="false">
      <c r="A25" s="81"/>
      <c r="B25" s="81" t="s">
        <v>678</v>
      </c>
      <c r="C25" s="81"/>
      <c r="D25" s="81"/>
      <c r="E25" s="69"/>
      <c r="F25" s="70" t="n">
        <f aca="false">COUNTIF(F$3:F$20, "~**")</f>
        <v>4</v>
      </c>
      <c r="G25" s="70" t="n">
        <f aca="false">COUNTIF(G$3:G$20, "~**")</f>
        <v>7</v>
      </c>
      <c r="H25" s="70" t="n">
        <f aca="false">COUNTIF(H$3:H$20, "~**")</f>
        <v>12</v>
      </c>
      <c r="I25" s="70" t="n">
        <f aca="false">COUNTIF(I$3:I$20, "~**")</f>
        <v>12</v>
      </c>
      <c r="J25" s="70" t="n">
        <f aca="false">COUNTIF(J$3:J$20, "~**")</f>
        <v>6</v>
      </c>
      <c r="K25" s="70" t="n">
        <f aca="false">COUNTIF(K$3:K$20, "~**")</f>
        <v>8</v>
      </c>
      <c r="L25" s="70" t="n">
        <f aca="false">COUNTIF(L$3:L$20, "~**")</f>
        <v>11</v>
      </c>
      <c r="M25" s="70" t="n">
        <f aca="false">COUNTIF(M$3:M$20, "~**")</f>
        <v>10</v>
      </c>
      <c r="N25" s="70" t="n">
        <f aca="false">COUNTIF(N$3:N$20, "~**")</f>
        <v>9</v>
      </c>
      <c r="O25" s="70" t="n">
        <f aca="false">COUNTIF(O$3:O$20, "~**")</f>
        <v>2</v>
      </c>
      <c r="P25" s="70" t="n">
        <f aca="false">COUNTIF(P$3:P$20, "~**")</f>
        <v>1</v>
      </c>
      <c r="Q25" s="70" t="n">
        <f aca="false">COUNTIF(Q$3:Q$20, "~**")+COUNTIF(Q$3:Q$20, "Y")</f>
        <v>0</v>
      </c>
      <c r="R25" s="70" t="n">
        <f aca="false">COUNTIF(R$3:R$20, "~**")</f>
        <v>0</v>
      </c>
      <c r="S25" s="82"/>
      <c r="T25" s="83" t="s">
        <v>679</v>
      </c>
      <c r="U25" s="84"/>
      <c r="V25" s="84"/>
      <c r="W25" s="84"/>
      <c r="X25" s="85" t="n">
        <v>44475</v>
      </c>
      <c r="Y25" s="69"/>
      <c r="Z25" s="70"/>
      <c r="AA25" s="85"/>
      <c r="AB25" s="85"/>
      <c r="AC25" s="85"/>
      <c r="AD25" s="85" t="n">
        <v>44475</v>
      </c>
      <c r="AE25" s="69"/>
      <c r="AF25" s="70"/>
      <c r="AG25" s="85"/>
      <c r="AH25" s="85"/>
      <c r="AI25" s="85"/>
      <c r="AJ25" s="85" t="n">
        <v>44475</v>
      </c>
      <c r="AK25" s="69"/>
      <c r="AL25" s="70"/>
      <c r="AM25" s="85"/>
      <c r="AN25" s="85"/>
      <c r="AO25" s="85"/>
      <c r="AP25" s="85" t="n">
        <v>45205</v>
      </c>
      <c r="AQ25" s="69"/>
      <c r="AR25" s="70"/>
      <c r="AS25" s="70"/>
      <c r="AT25" s="70"/>
      <c r="AU25" s="70"/>
      <c r="AV25" s="70" t="s">
        <v>680</v>
      </c>
      <c r="AW25" s="86"/>
      <c r="AX25" s="87" t="s">
        <v>681</v>
      </c>
      <c r="AY25" s="87" t="s">
        <v>681</v>
      </c>
      <c r="AZ25" s="86"/>
      <c r="BA25" s="87"/>
      <c r="BB25" s="85" t="n">
        <v>44840</v>
      </c>
      <c r="BC25" s="86"/>
      <c r="BD25" s="87"/>
      <c r="BE25" s="69"/>
      <c r="BF25" s="70"/>
      <c r="BG25" s="87" t="s">
        <v>682</v>
      </c>
      <c r="BH25" s="87" t="s">
        <v>683</v>
      </c>
      <c r="BI25" s="80"/>
      <c r="BJ25" s="74"/>
      <c r="BK25" s="74"/>
    </row>
    <row r="26" customFormat="false" ht="15.75" hidden="false" customHeight="false" outlineLevel="0" collapsed="false">
      <c r="A26" s="81"/>
      <c r="B26" s="81" t="s">
        <v>684</v>
      </c>
      <c r="C26" s="81"/>
      <c r="D26" s="81"/>
      <c r="E26" s="69"/>
      <c r="F26" s="70" t="n">
        <f aca="false">COUNTIF(F$3:F$20, "~**")+COUNTIF(F$3:F$20, "Y")</f>
        <v>7</v>
      </c>
      <c r="G26" s="70" t="n">
        <f aca="false">COUNTIF(G$3:G$20, "~**")+COUNTIF(G$3:G$20, "Y")</f>
        <v>8</v>
      </c>
      <c r="H26" s="70" t="n">
        <f aca="false">COUNTIF(H$3:H$20, "~**")+COUNTIF(H$3:H$20, "Y")</f>
        <v>12</v>
      </c>
      <c r="I26" s="70" t="n">
        <f aca="false">COUNTIF(I$3:I$20, "~**")+COUNTIF(I$3:I$20, "Y")</f>
        <v>13</v>
      </c>
      <c r="J26" s="70" t="n">
        <f aca="false">COUNTIF(J$3:J$20, "~**")+COUNTIF(J$3:J$20, "Y")</f>
        <v>9</v>
      </c>
      <c r="K26" s="70" t="n">
        <f aca="false">COUNTIF(K$3:K$20, "~**")+COUNTIF(K$3:K$20, "Y")</f>
        <v>11</v>
      </c>
      <c r="L26" s="70" t="n">
        <f aca="false">COUNTIF(L$3:L$20, "~**")+COUNTIF(L$3:L$20, "Y")</f>
        <v>12</v>
      </c>
      <c r="M26" s="70" t="n">
        <f aca="false">COUNTIF(M$3:M$20, "~**")+COUNTIF(M$3:M$20, "Y")</f>
        <v>13</v>
      </c>
      <c r="N26" s="70" t="n">
        <f aca="false">COUNTIF(N$3:N$20, "~**")+COUNTIF(N$3:N$20, "Y")</f>
        <v>9</v>
      </c>
      <c r="O26" s="70" t="n">
        <f aca="false">COUNTIF(O$3:O$20, "~**")+COUNTIF(O$3:O$20, "Y")</f>
        <v>2</v>
      </c>
      <c r="P26" s="70" t="n">
        <f aca="false">COUNTIF(P$3:P$20, "~**")+COUNTIF(P$3:P$20, "Y")</f>
        <v>1</v>
      </c>
      <c r="Q26" s="70" t="n">
        <f aca="false">COUNTIF(Q$3:Q$20, "~**")+COUNTIF(Q$3:Q$20, "Y")</f>
        <v>0</v>
      </c>
      <c r="R26" s="70" t="n">
        <f aca="false">COUNTIF(R$3:R$20, "~**")+COUNTIF(R$3:R$20, "Y")</f>
        <v>0</v>
      </c>
      <c r="S26" s="82"/>
      <c r="T26" s="83"/>
      <c r="U26" s="44"/>
      <c r="V26" s="44"/>
      <c r="W26" s="87"/>
      <c r="X26" s="88"/>
      <c r="Y26" s="78"/>
      <c r="Z26" s="88"/>
      <c r="AA26" s="88"/>
      <c r="AB26" s="88"/>
      <c r="AC26" s="87"/>
      <c r="AD26" s="87"/>
      <c r="AE26" s="86"/>
      <c r="AF26" s="87"/>
      <c r="AG26" s="89"/>
      <c r="AH26" s="87"/>
      <c r="AI26" s="87"/>
      <c r="AJ26" s="87"/>
      <c r="AK26" s="86"/>
      <c r="AL26" s="87"/>
      <c r="AM26" s="44"/>
      <c r="AN26" s="44"/>
      <c r="AO26" s="44"/>
      <c r="AP26" s="44"/>
      <c r="AQ26" s="77"/>
      <c r="AR26" s="44"/>
      <c r="AS26" s="44"/>
      <c r="AT26" s="44"/>
      <c r="AU26" s="70"/>
      <c r="AV26" s="90"/>
      <c r="AW26" s="72"/>
      <c r="AX26" s="74"/>
      <c r="AY26" s="74"/>
      <c r="AZ26" s="72"/>
      <c r="BA26" s="74"/>
      <c r="BB26" s="74"/>
      <c r="BC26" s="72"/>
      <c r="BD26" s="74"/>
      <c r="BE26" s="72"/>
      <c r="BF26" s="74"/>
      <c r="BG26" s="74"/>
      <c r="BH26" s="74"/>
      <c r="BI26" s="80"/>
      <c r="BJ26" s="74"/>
      <c r="BK26" s="74"/>
    </row>
    <row r="27" customFormat="false" ht="15.75" hidden="false" customHeight="false" outlineLevel="0" collapsed="false">
      <c r="A27" s="81"/>
      <c r="B27" s="81"/>
      <c r="C27" s="81"/>
      <c r="D27" s="81"/>
      <c r="E27" s="77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77"/>
      <c r="T27" s="44"/>
      <c r="U27" s="44"/>
      <c r="V27" s="44"/>
      <c r="W27" s="90"/>
      <c r="X27" s="44"/>
      <c r="Y27" s="77"/>
      <c r="Z27" s="44"/>
      <c r="AA27" s="44"/>
      <c r="AB27" s="44"/>
      <c r="AC27" s="90"/>
      <c r="AD27" s="90"/>
      <c r="AE27" s="91"/>
      <c r="AF27" s="90"/>
      <c r="AG27" s="44"/>
      <c r="AH27" s="90"/>
      <c r="AI27" s="44"/>
      <c r="AJ27" s="44"/>
      <c r="AK27" s="77"/>
      <c r="AL27" s="44"/>
      <c r="AM27" s="44"/>
      <c r="AN27" s="44"/>
      <c r="AO27" s="44"/>
      <c r="AP27" s="44"/>
      <c r="AQ27" s="77"/>
      <c r="AR27" s="44"/>
      <c r="AS27" s="44"/>
      <c r="AT27" s="44"/>
      <c r="AU27" s="90"/>
      <c r="AV27" s="90"/>
      <c r="AW27" s="72"/>
      <c r="AX27" s="74"/>
      <c r="AY27" s="74"/>
      <c r="AZ27" s="72"/>
      <c r="BA27" s="74"/>
      <c r="BB27" s="74"/>
      <c r="BC27" s="72"/>
      <c r="BD27" s="74"/>
      <c r="BE27" s="72"/>
      <c r="BF27" s="74"/>
      <c r="BG27" s="74"/>
      <c r="BH27" s="74"/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685</v>
      </c>
      <c r="C28" s="81"/>
      <c r="D28" s="81"/>
      <c r="E28" s="77"/>
      <c r="F28" s="44" t="s">
        <v>686</v>
      </c>
      <c r="G28" s="44"/>
      <c r="H28" s="44"/>
      <c r="I28" s="44"/>
      <c r="J28" s="44"/>
      <c r="K28" s="44"/>
      <c r="L28" s="44"/>
      <c r="M28" s="44"/>
      <c r="N28" s="44"/>
      <c r="S28" s="76"/>
      <c r="T28" s="81" t="s">
        <v>687</v>
      </c>
      <c r="U28" s="44" t="n">
        <v>0</v>
      </c>
      <c r="V28" s="44" t="n">
        <f aca="false">COUNT(V3:V23)</f>
        <v>15</v>
      </c>
      <c r="W28" s="44" t="n">
        <f aca="false">COUNT(W3:W23)</f>
        <v>14</v>
      </c>
      <c r="X28" s="44" t="n">
        <f aca="false">COUNT(X3:X23)</f>
        <v>14</v>
      </c>
      <c r="Y28" s="77"/>
      <c r="Z28" s="44"/>
      <c r="AA28" s="44" t="n">
        <f aca="false">COUNT(AA3:AA23)</f>
        <v>13</v>
      </c>
      <c r="AB28" s="44" t="n">
        <f aca="false">COUNT(AB3:AB23)</f>
        <v>13</v>
      </c>
      <c r="AC28" s="44" t="n">
        <f aca="false">COUNT(AC3:AC23)</f>
        <v>13</v>
      </c>
      <c r="AD28" s="44" t="n">
        <f aca="false">COUNT(AD3:AD23)</f>
        <v>13</v>
      </c>
      <c r="AE28" s="77"/>
      <c r="AF28" s="44"/>
      <c r="AG28" s="44" t="n">
        <f aca="false">COUNT(AG3:AG23)</f>
        <v>8</v>
      </c>
      <c r="AH28" s="44" t="n">
        <f aca="false">COUNT(AH3:AH23)</f>
        <v>10</v>
      </c>
      <c r="AI28" s="44" t="n">
        <f aca="false">COUNT(AI3:AI23)</f>
        <v>8</v>
      </c>
      <c r="AJ28" s="44" t="n">
        <f aca="false">COUNT(AJ3:AJ23)</f>
        <v>8</v>
      </c>
      <c r="AK28" s="77"/>
      <c r="AL28" s="44"/>
      <c r="AM28" s="44" t="n">
        <f aca="false">COUNT(AM3:AM23)</f>
        <v>6</v>
      </c>
      <c r="AN28" s="44" t="n">
        <f aca="false">COUNT(AN3:AN23)</f>
        <v>8</v>
      </c>
      <c r="AO28" s="44" t="n">
        <f aca="false">COUNT(AO3:AO23)</f>
        <v>6</v>
      </c>
      <c r="AP28" s="44" t="n">
        <f aca="false">COUNT(AP3:AP23)</f>
        <v>6</v>
      </c>
      <c r="AQ28" s="77"/>
      <c r="AR28" s="44"/>
      <c r="AS28" s="44" t="n">
        <f aca="false">COUNT(AS3:AS23)</f>
        <v>3</v>
      </c>
      <c r="AT28" s="44" t="n">
        <f aca="false">COUNT(AT3:AT23)</f>
        <v>3</v>
      </c>
      <c r="AU28" s="44" t="n">
        <f aca="false">COUNT(AU3:AU23)</f>
        <v>3</v>
      </c>
      <c r="AV28" s="44" t="n">
        <f aca="false">COUNT(AV3:AV23)</f>
        <v>16</v>
      </c>
      <c r="AW28" s="77"/>
      <c r="AX28" s="44" t="n">
        <f aca="false">COUNT(AX3:AX23)</f>
        <v>8</v>
      </c>
      <c r="AY28" s="44" t="n">
        <f aca="false">COUNT(AY3:AY23)</f>
        <v>6</v>
      </c>
      <c r="AZ28" s="77"/>
      <c r="BA28" s="44"/>
      <c r="BB28" s="44" t="n">
        <f aca="false">COUNTIF(BB3:BB23, "&gt;=6")</f>
        <v>10</v>
      </c>
      <c r="BC28" s="77"/>
      <c r="BD28" s="44" t="n">
        <f aca="false">COUNTIF(BD3:BD23, "Да")</f>
        <v>6</v>
      </c>
      <c r="BE28" s="77"/>
      <c r="BF28" s="44"/>
      <c r="BG28" s="44" t="n">
        <f aca="false">COUNT(BG3:BG23)</f>
        <v>6</v>
      </c>
      <c r="BH28" s="44" t="n">
        <f aca="false">COUNT(BH3:BH23)</f>
        <v>3</v>
      </c>
      <c r="BI28" s="80"/>
      <c r="BJ28" s="74"/>
      <c r="BK28" s="74"/>
    </row>
    <row r="29" customFormat="false" ht="15.75" hidden="false" customHeight="false" outlineLevel="0" collapsed="false">
      <c r="A29" s="92"/>
      <c r="E29" s="77"/>
      <c r="F29" s="44" t="s">
        <v>688</v>
      </c>
      <c r="G29" s="44"/>
      <c r="H29" s="44"/>
      <c r="I29" s="44"/>
      <c r="J29" s="44"/>
      <c r="K29" s="44"/>
      <c r="L29" s="44"/>
      <c r="M29" s="44"/>
      <c r="N29" s="93"/>
      <c r="S29" s="94"/>
      <c r="T29" s="92" t="s">
        <v>689</v>
      </c>
      <c r="V29" s="93"/>
      <c r="W29" s="93"/>
      <c r="X29" s="95" t="n">
        <f aca="false">IF(COUNTA($B$3:$B$20)&gt;0,COUNTA(X$3:X$20)/COUNTA($B$3:$B$20), 0)</f>
        <v>0.7777777778</v>
      </c>
      <c r="Y29" s="96"/>
      <c r="Z29" s="93"/>
      <c r="AA29" s="93"/>
      <c r="AB29" s="93"/>
      <c r="AC29" s="93"/>
      <c r="AD29" s="95" t="n">
        <f aca="false">IF(COUNTA($B$3:$B$20)&gt;0,COUNTA(AD$3:AD$20)/COUNTA($B$3:$B$20), 0)</f>
        <v>0.7222222222</v>
      </c>
      <c r="AE29" s="97"/>
      <c r="AF29" s="98"/>
      <c r="AG29" s="93"/>
      <c r="AH29" s="98"/>
      <c r="AI29" s="93"/>
      <c r="AJ29" s="95" t="n">
        <f aca="false">IF(COUNTA($B$3:$B$20)&gt;0,COUNTA(AJ$3:AJ$20)/COUNTA($B$3:$B$20), 0)</f>
        <v>0.4444444444</v>
      </c>
      <c r="AK29" s="96"/>
      <c r="AL29" s="93"/>
      <c r="AM29" s="93"/>
      <c r="AN29" s="93"/>
      <c r="AO29" s="93"/>
      <c r="AP29" s="95" t="n">
        <f aca="false">IF(COUNTA($B$3:$B$20)&gt;0,COUNTA(AP$3:AP$20)/COUNTA($B$3:$B$20), 0)</f>
        <v>0.3333333333</v>
      </c>
      <c r="AQ29" s="96"/>
      <c r="AR29" s="93"/>
      <c r="AS29" s="93"/>
      <c r="AT29" s="93"/>
      <c r="AU29" s="93"/>
      <c r="AV29" s="95" t="n">
        <f aca="false">IF(COUNTA($B$3:$B$20)&gt;0,COUNTA(AV$3:AV$20)/COUNTA($B$3:$B$20), 0)</f>
        <v>0.8888888889</v>
      </c>
      <c r="AW29" s="99"/>
      <c r="AX29" s="100"/>
      <c r="AY29" s="100"/>
      <c r="AZ29" s="99"/>
      <c r="BA29" s="100"/>
      <c r="BB29" s="95" t="n">
        <f aca="false">IF(COUNTA($B$3:$B$20)&gt;0,COUNTA(BB$3:BB$20)/COUNTA($B$3:$B$20), 0)</f>
        <v>0.7777777778</v>
      </c>
      <c r="BC29" s="77"/>
      <c r="BD29" s="44" t="n">
        <f aca="false">COUNTIF(BD3:BD23, "Да")</f>
        <v>6</v>
      </c>
      <c r="BE29" s="101"/>
      <c r="BF29" s="102"/>
      <c r="BG29" s="102"/>
      <c r="BH29" s="100"/>
      <c r="BI29" s="103"/>
      <c r="BJ29" s="102"/>
      <c r="BK29" s="102"/>
    </row>
    <row r="30" customFormat="false" ht="15.75" hidden="false" customHeight="false" outlineLevel="0" collapsed="false">
      <c r="A30" s="92"/>
      <c r="B30" s="92"/>
      <c r="C30" s="92"/>
      <c r="D30" s="92"/>
      <c r="E30" s="77"/>
      <c r="F30" s="44" t="s">
        <v>690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77"/>
      <c r="T30" s="44"/>
      <c r="U30" s="44"/>
      <c r="V30" s="44"/>
      <c r="W30" s="44"/>
      <c r="X30" s="44"/>
      <c r="Y30" s="77"/>
      <c r="Z30" s="44"/>
      <c r="AA30" s="44"/>
      <c r="AB30" s="44"/>
      <c r="AC30" s="44"/>
      <c r="AD30" s="90"/>
      <c r="AE30" s="91"/>
      <c r="AF30" s="90"/>
      <c r="AG30" s="44"/>
      <c r="AH30" s="90"/>
      <c r="AI30" s="44"/>
      <c r="AJ30" s="44"/>
      <c r="AK30" s="77"/>
      <c r="AL30" s="44"/>
      <c r="AM30" s="44"/>
      <c r="AN30" s="44"/>
      <c r="AO30" s="44"/>
      <c r="AP30" s="44"/>
      <c r="AQ30" s="77"/>
      <c r="AR30" s="44"/>
      <c r="AS30" s="44"/>
      <c r="AT30" s="44"/>
      <c r="AU30" s="44"/>
      <c r="AV30" s="44"/>
      <c r="AW30" s="101"/>
      <c r="AX30" s="102"/>
      <c r="AY30" s="102"/>
      <c r="AZ30" s="101"/>
      <c r="BA30" s="102"/>
      <c r="BB30" s="102"/>
      <c r="BC30" s="101"/>
      <c r="BD30" s="102"/>
      <c r="BE30" s="101"/>
      <c r="BF30" s="102"/>
      <c r="BG30" s="102"/>
      <c r="BH30" s="102"/>
      <c r="BI30" s="103"/>
      <c r="BJ30" s="102"/>
      <c r="BK30" s="102"/>
    </row>
    <row r="31" customFormat="false" ht="15.75" hidden="false" customHeight="false" outlineLevel="0" collapsed="false">
      <c r="A31" s="92"/>
      <c r="B31" s="92"/>
      <c r="C31" s="92"/>
      <c r="D31" s="92"/>
      <c r="E31" s="77"/>
      <c r="F31" s="44" t="s">
        <v>691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77"/>
      <c r="T31" s="44"/>
      <c r="U31" s="44"/>
      <c r="V31" s="44"/>
      <c r="W31" s="44"/>
      <c r="X31" s="44"/>
      <c r="Y31" s="77"/>
      <c r="Z31" s="44"/>
      <c r="AA31" s="44"/>
      <c r="AB31" s="44"/>
      <c r="AC31" s="44"/>
      <c r="AD31" s="90"/>
      <c r="AE31" s="91"/>
      <c r="AF31" s="90"/>
      <c r="AG31" s="44"/>
      <c r="AH31" s="90"/>
      <c r="AI31" s="44"/>
      <c r="AJ31" s="44"/>
      <c r="AK31" s="77"/>
      <c r="AL31" s="44"/>
      <c r="AM31" s="44"/>
      <c r="AN31" s="44"/>
      <c r="AO31" s="44"/>
      <c r="AP31" s="44"/>
      <c r="AQ31" s="77"/>
      <c r="AR31" s="44"/>
      <c r="AS31" s="44"/>
      <c r="AT31" s="44"/>
      <c r="AU31" s="44"/>
      <c r="AV31" s="44"/>
      <c r="AW31" s="101"/>
      <c r="AX31" s="102"/>
      <c r="AY31" s="102"/>
      <c r="AZ31" s="101"/>
      <c r="BA31" s="102"/>
      <c r="BB31" s="102"/>
      <c r="BC31" s="101"/>
      <c r="BD31" s="102"/>
      <c r="BE31" s="101"/>
      <c r="BF31" s="102"/>
      <c r="BG31" s="102"/>
      <c r="BH31" s="102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10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60" t="s">
        <v>1021</v>
      </c>
      <c r="C33" s="92"/>
      <c r="D33" s="92"/>
      <c r="E33" s="104"/>
      <c r="F33" s="44" t="s">
        <v>1022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false" customHeight="false" outlineLevel="0" collapsed="false">
      <c r="A34" s="92"/>
      <c r="B34" s="92"/>
      <c r="C34" s="92"/>
      <c r="D34" s="92"/>
      <c r="E34" s="10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3 AA3:AC23 AG3:AI23 AM3:AO23 AS3:AU23">
    <cfRule type="expression" priority="2" aboveAverage="0" equalAverage="0" bottom="0" percent="0" rank="0" text="" dxfId="2">
      <formula>U3&gt;45809</formula>
    </cfRule>
  </conditionalFormatting>
  <conditionalFormatting sqref="BC3:BD23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3">
    <cfRule type="cellIs" priority="5" operator="equal" aboveAverage="0" equalAverage="0" bottom="0" percent="0" rank="0" text="" dxfId="5">
      <formula>"N"</formula>
    </cfRule>
  </conditionalFormatting>
  <conditionalFormatting sqref="BK3:BK20">
    <cfRule type="notContainsText" priority="6" operator="notContains" aboveAverage="0" equalAverage="0" bottom="0" percent="0" rank="0" text="FX" dxfId="6">
      <formula>ISERROR(SEARCH("FX",BK3))</formula>
    </cfRule>
  </conditionalFormatting>
  <conditionalFormatting sqref="X3:X18 AD4 AD10">
    <cfRule type="cellIs" priority="7" operator="lessThan" aboveAverage="0" equalAverage="0" bottom="0" percent="0" rank="0" text="" dxfId="12">
      <formula>6</formula>
    </cfRule>
    <cfRule type="expression" priority="8" aboveAverage="0" equalAverage="0" bottom="0" percent="0" rank="0" text="" dxfId="12">
      <formula>LEN(TRIM(X3))=0</formula>
    </cfRule>
    <cfRule type="cellIs" priority="9" operator="greaterThanOrEqual" aboveAverage="0" equalAverage="0" bottom="0" percent="0" rank="0" text="" dxfId="11">
      <formula>6</formula>
    </cfRule>
  </conditionalFormatting>
  <conditionalFormatting sqref="AD3:AD18 X7">
    <cfRule type="expression" priority="10" aboveAverage="0" equalAverage="0" bottom="0" percent="0" rank="0" text="" dxfId="12">
      <formula>LEN(TRIM(X7))=0</formula>
    </cfRule>
    <cfRule type="cellIs" priority="11" operator="lessThan" aboveAverage="0" equalAverage="0" bottom="0" percent="0" rank="0" text="" dxfId="12">
      <formula>6</formula>
    </cfRule>
    <cfRule type="cellIs" priority="12" operator="greaterThanOrEqual" aboveAverage="0" equalAverage="0" bottom="0" percent="0" rank="0" text="" dxfId="11">
      <formula>6</formula>
    </cfRule>
  </conditionalFormatting>
  <conditionalFormatting sqref="AJ3:AJ18 AD6 AD13">
    <cfRule type="cellIs" priority="13" operator="greaterThanOrEqual" aboveAverage="0" equalAverage="0" bottom="0" percent="0" rank="0" text="" dxfId="11">
      <formula>6</formula>
    </cfRule>
    <cfRule type="expression" priority="14" aboveAverage="0" equalAverage="0" bottom="0" percent="0" rank="0" text="" dxfId="12">
      <formula>LEN(TRIM(AD6))=0</formula>
    </cfRule>
    <cfRule type="cellIs" priority="15" operator="lessThan" aboveAverage="0" equalAverage="0" bottom="0" percent="0" rank="0" text="" dxfId="12">
      <formula>6</formula>
    </cfRule>
  </conditionalFormatting>
  <conditionalFormatting sqref="AP3:AP18">
    <cfRule type="expression" priority="16" aboveAverage="0" equalAverage="0" bottom="0" percent="0" rank="0" text="" dxfId="12">
      <formula>LEN(TRIM(AP3))=0</formula>
    </cfRule>
    <cfRule type="cellIs" priority="17" operator="lessThan" aboveAverage="0" equalAverage="0" bottom="0" percent="0" rank="0" text="" dxfId="12">
      <formula>6</formula>
    </cfRule>
    <cfRule type="cellIs" priority="18" operator="greaterThanOrEqual" aboveAverage="0" equalAverage="0" bottom="0" percent="0" rank="0" text="" dxfId="11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K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660</v>
      </c>
      <c r="C1" s="45" t="s">
        <v>661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45705</v>
      </c>
      <c r="G2" s="55" t="n">
        <f aca="false">F2+14</f>
        <v>45719</v>
      </c>
      <c r="H2" s="55" t="n">
        <f aca="false">G2+14</f>
        <v>45733</v>
      </c>
      <c r="I2" s="55" t="n">
        <f aca="false">H2+14</f>
        <v>45747</v>
      </c>
      <c r="J2" s="55" t="n">
        <f aca="false">I2+14</f>
        <v>45761</v>
      </c>
      <c r="K2" s="55" t="n">
        <f aca="false">J2+14</f>
        <v>45775</v>
      </c>
      <c r="L2" s="55" t="n">
        <f aca="false">K2+14</f>
        <v>45789</v>
      </c>
      <c r="M2" s="55" t="n">
        <f aca="false">L2+14</f>
        <v>45803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41" t="s">
        <v>176</v>
      </c>
      <c r="C3" s="142" t="s">
        <v>177</v>
      </c>
      <c r="D3" s="142" t="s">
        <v>175</v>
      </c>
      <c r="E3" s="62"/>
      <c r="F3" s="63" t="s">
        <v>696</v>
      </c>
      <c r="G3" s="63" t="s">
        <v>735</v>
      </c>
      <c r="H3" s="63" t="s">
        <v>696</v>
      </c>
      <c r="I3" s="63" t="s">
        <v>735</v>
      </c>
      <c r="J3" s="63" t="s">
        <v>735</v>
      </c>
      <c r="K3" s="63" t="s">
        <v>735</v>
      </c>
      <c r="L3" s="63" t="s">
        <v>735</v>
      </c>
      <c r="M3" s="63" t="s">
        <v>735</v>
      </c>
      <c r="N3" s="64"/>
      <c r="O3" s="64"/>
      <c r="P3" s="64"/>
      <c r="Q3" s="64"/>
      <c r="R3" s="64"/>
      <c r="S3" s="65"/>
      <c r="T3" s="66" t="s">
        <v>1023</v>
      </c>
      <c r="U3" s="67" t="n">
        <v>45705</v>
      </c>
      <c r="V3" s="67" t="n">
        <v>45705</v>
      </c>
      <c r="W3" s="67" t="n">
        <v>45705</v>
      </c>
      <c r="X3" s="68" t="n">
        <v>10</v>
      </c>
      <c r="Y3" s="69"/>
      <c r="Z3" s="70" t="n">
        <v>8624</v>
      </c>
      <c r="AA3" s="67" t="n">
        <v>45733</v>
      </c>
      <c r="AB3" s="67" t="n">
        <v>45733</v>
      </c>
      <c r="AC3" s="67" t="n">
        <v>45733</v>
      </c>
      <c r="AD3" s="68" t="n">
        <v>10</v>
      </c>
      <c r="AE3" s="69"/>
      <c r="AF3" s="70" t="n">
        <v>8373</v>
      </c>
      <c r="AG3" s="106" t="n">
        <v>45775</v>
      </c>
      <c r="AH3" s="106" t="n">
        <v>45775</v>
      </c>
      <c r="AI3" s="106" t="n">
        <v>45775</v>
      </c>
      <c r="AJ3" s="68" t="n">
        <v>10</v>
      </c>
      <c r="AK3" s="69"/>
      <c r="AL3" s="70" t="n">
        <v>3488</v>
      </c>
      <c r="AM3" s="106" t="n">
        <v>45789</v>
      </c>
      <c r="AN3" s="106" t="n">
        <v>45789</v>
      </c>
      <c r="AO3" s="106" t="n">
        <v>45789</v>
      </c>
      <c r="AP3" s="68" t="n">
        <v>10</v>
      </c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68" t="n">
        <v>0</v>
      </c>
      <c r="AW3" s="69"/>
      <c r="AX3" s="68" t="n">
        <v>1</v>
      </c>
      <c r="AY3" s="68"/>
      <c r="AZ3" s="69"/>
      <c r="BA3" s="106" t="n">
        <v>45792</v>
      </c>
      <c r="BB3" s="71" t="n">
        <v>6</v>
      </c>
      <c r="BC3" s="72"/>
      <c r="BD3" s="73" t="str">
        <f aca="false">IF(AND(BB3&gt;=6,AP3&gt;=6,AJ3&gt;=6,AD3&gt;=6,X3&gt;=6),"да","нет")</f>
        <v>да</v>
      </c>
      <c r="BE3" s="72"/>
      <c r="BF3" s="118" t="n">
        <v>45834</v>
      </c>
      <c r="BG3" s="71" t="n">
        <v>22</v>
      </c>
      <c r="BH3" s="68"/>
      <c r="BI3" s="50"/>
      <c r="BJ3" s="75" t="n">
        <f aca="false">SUM(X3,AD3,AJ3,AP3,AV3,AX3:AY3,BH3,BB3,BG3)</f>
        <v>69</v>
      </c>
      <c r="BK3" s="73" t="str">
        <f aca="false">IF(BJ3&gt;90,"A",IF(BJ3&gt;83,"B",IF(BJ3&gt;74,"C",IF(BJ3&gt;67,"D",IF(BJ3&gt;=60,"E","FX")))))</f>
        <v>D</v>
      </c>
    </row>
    <row r="4" customFormat="false" ht="15.75" hidden="false" customHeight="false" outlineLevel="0" collapsed="false">
      <c r="A4" s="59" t="n">
        <f aca="false">A3+1</f>
        <v>2</v>
      </c>
      <c r="B4" s="141" t="s">
        <v>196</v>
      </c>
      <c r="C4" s="142" t="s">
        <v>177</v>
      </c>
      <c r="D4" s="142" t="s">
        <v>195</v>
      </c>
      <c r="E4" s="62"/>
      <c r="F4" s="63" t="s">
        <v>696</v>
      </c>
      <c r="G4" s="63" t="s">
        <v>696</v>
      </c>
      <c r="H4" s="63" t="s">
        <v>696</v>
      </c>
      <c r="I4" s="63" t="s">
        <v>696</v>
      </c>
      <c r="J4" s="63" t="s">
        <v>735</v>
      </c>
      <c r="K4" s="63" t="s">
        <v>735</v>
      </c>
      <c r="L4" s="63" t="s">
        <v>696</v>
      </c>
      <c r="M4" s="63" t="s">
        <v>696</v>
      </c>
      <c r="N4" s="64"/>
      <c r="O4" s="64"/>
      <c r="P4" s="64"/>
      <c r="Q4" s="64"/>
      <c r="R4" s="64"/>
      <c r="S4" s="65"/>
      <c r="T4" s="66" t="s">
        <v>1024</v>
      </c>
      <c r="U4" s="67" t="n">
        <v>45705</v>
      </c>
      <c r="V4" s="67" t="n">
        <v>45705</v>
      </c>
      <c r="W4" s="67" t="n">
        <v>45705</v>
      </c>
      <c r="X4" s="68" t="n">
        <v>10</v>
      </c>
      <c r="Y4" s="69"/>
      <c r="Z4" s="70" t="n">
        <v>2479</v>
      </c>
      <c r="AA4" s="67" t="n">
        <v>45719</v>
      </c>
      <c r="AB4" s="67" t="n">
        <v>45719</v>
      </c>
      <c r="AC4" s="67" t="n">
        <v>45719</v>
      </c>
      <c r="AD4" s="68" t="n">
        <v>10</v>
      </c>
      <c r="AE4" s="69"/>
      <c r="AF4" s="70" t="n">
        <v>3286</v>
      </c>
      <c r="AG4" s="106" t="n">
        <v>45733</v>
      </c>
      <c r="AH4" s="106" t="n">
        <v>45733</v>
      </c>
      <c r="AI4" s="106" t="n">
        <v>45733</v>
      </c>
      <c r="AJ4" s="68" t="n">
        <v>10</v>
      </c>
      <c r="AK4" s="69"/>
      <c r="AL4" s="70" t="n">
        <v>3970</v>
      </c>
      <c r="AM4" s="106" t="n">
        <v>45789</v>
      </c>
      <c r="AN4" s="106" t="n">
        <v>45789</v>
      </c>
      <c r="AO4" s="106" t="n">
        <v>45789</v>
      </c>
      <c r="AP4" s="68" t="n">
        <v>10</v>
      </c>
      <c r="AQ4" s="69"/>
      <c r="AR4" s="70" t="n">
        <v>3578</v>
      </c>
      <c r="AS4" s="106" t="n">
        <v>45803</v>
      </c>
      <c r="AT4" s="106" t="n">
        <v>45803</v>
      </c>
      <c r="AU4" s="106" t="n">
        <v>45803</v>
      </c>
      <c r="AV4" s="68" t="n">
        <v>10</v>
      </c>
      <c r="AW4" s="69"/>
      <c r="AX4" s="68" t="n">
        <v>2</v>
      </c>
      <c r="AY4" s="174" t="s">
        <v>1025</v>
      </c>
      <c r="AZ4" s="69"/>
      <c r="BA4" s="106" t="n">
        <v>45827</v>
      </c>
      <c r="BB4" s="71" t="n">
        <v>7</v>
      </c>
      <c r="BC4" s="72"/>
      <c r="BD4" s="73" t="str">
        <f aca="false">IF(AND(BB4&gt;=6,AP4&gt;=6,AJ4&gt;=6,AD4&gt;=6,X4&gt;=6),"да","нет")</f>
        <v>да</v>
      </c>
      <c r="BE4" s="72"/>
      <c r="BF4" s="106" t="n">
        <v>45834</v>
      </c>
      <c r="BG4" s="71" t="n">
        <v>0</v>
      </c>
      <c r="BH4" s="68"/>
      <c r="BI4" s="50"/>
      <c r="BJ4" s="75" t="n">
        <f aca="false">SUM(X4,AD4,AJ4,AP4,AV4,AX4:AY4,BH4,BB4,BG4)</f>
        <v>59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141" t="s">
        <v>206</v>
      </c>
      <c r="C5" s="142" t="s">
        <v>177</v>
      </c>
      <c r="D5" s="142" t="s">
        <v>205</v>
      </c>
      <c r="E5" s="62"/>
      <c r="F5" s="63" t="s">
        <v>696</v>
      </c>
      <c r="G5" s="63" t="s">
        <v>696</v>
      </c>
      <c r="H5" s="63" t="s">
        <v>696</v>
      </c>
      <c r="I5" s="63" t="s">
        <v>735</v>
      </c>
      <c r="J5" s="63" t="s">
        <v>735</v>
      </c>
      <c r="K5" s="63" t="s">
        <v>696</v>
      </c>
      <c r="L5" s="63" t="s">
        <v>735</v>
      </c>
      <c r="M5" s="63" t="s">
        <v>696</v>
      </c>
      <c r="N5" s="64"/>
      <c r="O5" s="64"/>
      <c r="P5" s="64"/>
      <c r="Q5" s="64"/>
      <c r="R5" s="64"/>
      <c r="S5" s="65"/>
      <c r="T5" s="66" t="s">
        <v>1026</v>
      </c>
      <c r="U5" s="67" t="n">
        <v>45705</v>
      </c>
      <c r="V5" s="67" t="n">
        <v>45705</v>
      </c>
      <c r="W5" s="67" t="n">
        <v>45705</v>
      </c>
      <c r="X5" s="68" t="n">
        <v>10</v>
      </c>
      <c r="Y5" s="69"/>
      <c r="Z5" s="70" t="n">
        <v>7364</v>
      </c>
      <c r="AA5" s="67" t="n">
        <v>45719</v>
      </c>
      <c r="AB5" s="67" t="n">
        <v>45719</v>
      </c>
      <c r="AC5" s="67" t="n">
        <v>45719</v>
      </c>
      <c r="AD5" s="68" t="n">
        <v>10</v>
      </c>
      <c r="AE5" s="69"/>
      <c r="AF5" s="70" t="n">
        <v>8426</v>
      </c>
      <c r="AG5" s="106" t="n">
        <v>45733</v>
      </c>
      <c r="AH5" s="106" t="n">
        <v>45733</v>
      </c>
      <c r="AI5" s="106" t="n">
        <v>45733</v>
      </c>
      <c r="AJ5" s="68" t="n">
        <v>10</v>
      </c>
      <c r="AK5" s="69"/>
      <c r="AL5" s="70" t="n">
        <v>4427</v>
      </c>
      <c r="AM5" s="106" t="n">
        <v>45775</v>
      </c>
      <c r="AN5" s="106" t="n">
        <v>45775</v>
      </c>
      <c r="AO5" s="106" t="n">
        <v>45775</v>
      </c>
      <c r="AP5" s="68" t="n">
        <v>10</v>
      </c>
      <c r="AQ5" s="69"/>
      <c r="AR5" s="70" t="n">
        <v>5428</v>
      </c>
      <c r="AS5" s="106" t="n">
        <v>45803</v>
      </c>
      <c r="AT5" s="106" t="n">
        <v>45803</v>
      </c>
      <c r="AU5" s="106" t="n">
        <v>45803</v>
      </c>
      <c r="AV5" s="68" t="n">
        <v>10</v>
      </c>
      <c r="AW5" s="69"/>
      <c r="AX5" s="68" t="n">
        <v>0</v>
      </c>
      <c r="AY5" s="68" t="n">
        <v>1</v>
      </c>
      <c r="AZ5" s="69"/>
      <c r="BA5" s="106" t="n">
        <v>45792</v>
      </c>
      <c r="BB5" s="71" t="n">
        <v>6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45834</v>
      </c>
      <c r="BG5" s="71" t="n">
        <v>28</v>
      </c>
      <c r="BH5" s="68"/>
      <c r="BI5" s="50"/>
      <c r="BJ5" s="75" t="n">
        <f aca="false">SUM(X5,AD5,AJ5,AP5,AV5,AX5:AY5,BH5,BB5,BG5)</f>
        <v>85</v>
      </c>
      <c r="BK5" s="73" t="str">
        <f aca="false">IF(BJ5&gt;90,"A",IF(BJ5&gt;83,"B",IF(BJ5&gt;74,"C",IF(BJ5&gt;67,"D",IF(BJ5&gt;=60,"E","FX")))))</f>
        <v>B</v>
      </c>
    </row>
    <row r="6" customFormat="false" ht="15.75" hidden="false" customHeight="false" outlineLevel="0" collapsed="false">
      <c r="A6" s="59" t="n">
        <v>4</v>
      </c>
      <c r="B6" s="141" t="s">
        <v>227</v>
      </c>
      <c r="C6" s="142" t="s">
        <v>177</v>
      </c>
      <c r="D6" s="142" t="s">
        <v>226</v>
      </c>
      <c r="E6" s="62"/>
      <c r="F6" s="63" t="s">
        <v>696</v>
      </c>
      <c r="G6" s="63" t="s">
        <v>735</v>
      </c>
      <c r="H6" s="63" t="s">
        <v>735</v>
      </c>
      <c r="I6" s="63" t="s">
        <v>696</v>
      </c>
      <c r="J6" s="63" t="s">
        <v>696</v>
      </c>
      <c r="K6" s="63" t="s">
        <v>696</v>
      </c>
      <c r="L6" s="63" t="s">
        <v>735</v>
      </c>
      <c r="M6" s="63" t="s">
        <v>696</v>
      </c>
      <c r="N6" s="64"/>
      <c r="O6" s="64"/>
      <c r="P6" s="64"/>
      <c r="Q6" s="64"/>
      <c r="R6" s="64"/>
      <c r="S6" s="65"/>
      <c r="T6" s="66" t="s">
        <v>1027</v>
      </c>
      <c r="U6" s="106" t="n">
        <v>45803</v>
      </c>
      <c r="V6" s="67" t="n">
        <v>45803</v>
      </c>
      <c r="W6" s="67" t="n">
        <v>45803</v>
      </c>
      <c r="X6" s="68" t="n">
        <v>9</v>
      </c>
      <c r="Y6" s="69"/>
      <c r="Z6" s="70" t="n">
        <v>7951</v>
      </c>
      <c r="AA6" s="67" t="n">
        <v>45814</v>
      </c>
      <c r="AB6" s="67" t="n">
        <v>45814</v>
      </c>
      <c r="AC6" s="67" t="n">
        <v>45814</v>
      </c>
      <c r="AD6" s="68" t="n">
        <v>10</v>
      </c>
      <c r="AE6" s="69"/>
      <c r="AF6" s="70" t="n">
        <v>3454</v>
      </c>
      <c r="AG6" s="106" t="n">
        <v>45831</v>
      </c>
      <c r="AH6" s="106" t="n">
        <v>45831</v>
      </c>
      <c r="AI6" s="106" t="n">
        <v>45831</v>
      </c>
      <c r="AJ6" s="68" t="n">
        <v>10</v>
      </c>
      <c r="AK6" s="69"/>
      <c r="AL6" s="70" t="n">
        <v>3454</v>
      </c>
      <c r="AM6" s="106" t="n">
        <v>45831</v>
      </c>
      <c r="AN6" s="106" t="n">
        <v>45831</v>
      </c>
      <c r="AO6" s="106" t="n">
        <v>45831</v>
      </c>
      <c r="AP6" s="68" t="n">
        <v>9</v>
      </c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/>
      <c r="AY6" s="68"/>
      <c r="AZ6" s="69"/>
      <c r="BA6" s="106" t="n">
        <v>45827</v>
      </c>
      <c r="BB6" s="71" t="n">
        <v>6</v>
      </c>
      <c r="BC6" s="72"/>
      <c r="BD6" s="73" t="str">
        <f aca="false">IF(AND(BB6&gt;=6,AP6&gt;=6,AJ6&gt;=6,AD6&gt;=6,X6&gt;=6),"да","нет")</f>
        <v>да</v>
      </c>
      <c r="BE6" s="72"/>
      <c r="BF6" s="118" t="n">
        <v>45834</v>
      </c>
      <c r="BG6" s="71" t="n">
        <v>0</v>
      </c>
      <c r="BH6" s="68"/>
      <c r="BI6" s="50"/>
      <c r="BJ6" s="75" t="n">
        <f aca="false">SUM(X6,AD6,AJ6,AP6,AV6,AX6:AY6,BH6,BB6,BG6)</f>
        <v>44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v>5</v>
      </c>
      <c r="B7" s="141" t="s">
        <v>237</v>
      </c>
      <c r="C7" s="142" t="s">
        <v>177</v>
      </c>
      <c r="D7" s="142" t="s">
        <v>236</v>
      </c>
      <c r="E7" s="62"/>
      <c r="F7" s="63" t="s">
        <v>696</v>
      </c>
      <c r="G7" s="63" t="s">
        <v>696</v>
      </c>
      <c r="H7" s="63" t="s">
        <v>735</v>
      </c>
      <c r="I7" s="63" t="s">
        <v>696</v>
      </c>
      <c r="J7" s="63" t="s">
        <v>735</v>
      </c>
      <c r="K7" s="63" t="s">
        <v>696</v>
      </c>
      <c r="L7" s="63" t="s">
        <v>735</v>
      </c>
      <c r="M7" s="63" t="s">
        <v>696</v>
      </c>
      <c r="N7" s="64"/>
      <c r="O7" s="64"/>
      <c r="P7" s="64"/>
      <c r="Q7" s="64"/>
      <c r="R7" s="64"/>
      <c r="S7" s="65"/>
      <c r="T7" s="66" t="s">
        <v>1028</v>
      </c>
      <c r="U7" s="67" t="n">
        <v>45705</v>
      </c>
      <c r="V7" s="67" t="n">
        <v>45705</v>
      </c>
      <c r="W7" s="67" t="n">
        <v>45705</v>
      </c>
      <c r="X7" s="68" t="n">
        <v>10</v>
      </c>
      <c r="Y7" s="69"/>
      <c r="Z7" s="70" t="n">
        <v>5376</v>
      </c>
      <c r="AA7" s="67" t="n">
        <v>45719</v>
      </c>
      <c r="AB7" s="67" t="n">
        <v>45719</v>
      </c>
      <c r="AC7" s="67" t="n">
        <v>45719</v>
      </c>
      <c r="AD7" s="68" t="n">
        <v>10</v>
      </c>
      <c r="AE7" s="69"/>
      <c r="AF7" s="70" t="n">
        <v>3288</v>
      </c>
      <c r="AG7" s="106" t="n">
        <v>45747</v>
      </c>
      <c r="AH7" s="106" t="n">
        <v>45747</v>
      </c>
      <c r="AI7" s="106" t="n">
        <v>45747</v>
      </c>
      <c r="AJ7" s="68" t="n">
        <v>10</v>
      </c>
      <c r="AK7" s="69"/>
      <c r="AL7" s="70" t="n">
        <v>3287</v>
      </c>
      <c r="AM7" s="106" t="n">
        <v>45775</v>
      </c>
      <c r="AN7" s="106" t="n">
        <v>45775</v>
      </c>
      <c r="AO7" s="106" t="n">
        <v>45775</v>
      </c>
      <c r="AP7" s="68" t="n">
        <v>10</v>
      </c>
      <c r="AQ7" s="69"/>
      <c r="AR7" s="70" t="n">
        <v>3276</v>
      </c>
      <c r="AS7" s="106" t="n">
        <v>45803</v>
      </c>
      <c r="AT7" s="106" t="n">
        <v>45803</v>
      </c>
      <c r="AU7" s="106" t="n">
        <v>45803</v>
      </c>
      <c r="AV7" s="68" t="n">
        <v>10</v>
      </c>
      <c r="AW7" s="69"/>
      <c r="AX7" s="68"/>
      <c r="AY7" s="68"/>
      <c r="AZ7" s="69"/>
      <c r="BA7" s="106" t="n">
        <v>45827</v>
      </c>
      <c r="BB7" s="71" t="n">
        <v>7</v>
      </c>
      <c r="BC7" s="72"/>
      <c r="BD7" s="73" t="str">
        <f aca="false">IF(AND(BB7&gt;=6,AP7&gt;=6,AJ7&gt;=6,AD7&gt;=6,X7&gt;=6),"да","нет")</f>
        <v>да</v>
      </c>
      <c r="BE7" s="72"/>
      <c r="BF7" s="118" t="n">
        <v>45834</v>
      </c>
      <c r="BG7" s="71" t="n">
        <v>26</v>
      </c>
      <c r="BH7" s="68" t="n">
        <v>1</v>
      </c>
      <c r="BI7" s="50"/>
      <c r="BJ7" s="75" t="n">
        <f aca="false">SUM(X7,AD7,AJ7,AP7,AV7,AX7:AY7,BH7,BB7,BG7)</f>
        <v>84</v>
      </c>
      <c r="BK7" s="73" t="str">
        <f aca="false">IF(BJ7&gt;90,"A",IF(BJ7&gt;83,"B",IF(BJ7&gt;74,"C",IF(BJ7&gt;67,"D",IF(BJ7&gt;=60,"E","FX")))))</f>
        <v>B</v>
      </c>
    </row>
    <row r="8" customFormat="false" ht="15.75" hidden="false" customHeight="false" outlineLevel="0" collapsed="false">
      <c r="A8" s="59" t="n">
        <f aca="false">A7+1</f>
        <v>6</v>
      </c>
      <c r="B8" s="141" t="s">
        <v>341</v>
      </c>
      <c r="C8" s="142" t="s">
        <v>177</v>
      </c>
      <c r="D8" s="142" t="s">
        <v>340</v>
      </c>
      <c r="E8" s="62"/>
      <c r="F8" s="63" t="s">
        <v>696</v>
      </c>
      <c r="G8" s="63" t="s">
        <v>735</v>
      </c>
      <c r="H8" s="63" t="s">
        <v>696</v>
      </c>
      <c r="I8" s="63" t="s">
        <v>735</v>
      </c>
      <c r="J8" s="63" t="s">
        <v>735</v>
      </c>
      <c r="K8" s="63" t="s">
        <v>696</v>
      </c>
      <c r="L8" s="63" t="s">
        <v>696</v>
      </c>
      <c r="M8" s="63" t="s">
        <v>735</v>
      </c>
      <c r="N8" s="64"/>
      <c r="O8" s="64"/>
      <c r="P8" s="64"/>
      <c r="Q8" s="64"/>
      <c r="R8" s="64"/>
      <c r="S8" s="65"/>
      <c r="T8" s="66" t="s">
        <v>1029</v>
      </c>
      <c r="U8" s="106" t="n">
        <v>45719</v>
      </c>
      <c r="V8" s="67" t="n">
        <v>45719</v>
      </c>
      <c r="W8" s="67" t="n">
        <v>45719</v>
      </c>
      <c r="X8" s="68" t="n">
        <v>10</v>
      </c>
      <c r="Y8" s="69"/>
      <c r="Z8" s="70" t="n">
        <v>4297</v>
      </c>
      <c r="AA8" s="67" t="n">
        <v>45733</v>
      </c>
      <c r="AB8" s="67" t="n">
        <v>45733</v>
      </c>
      <c r="AC8" s="67" t="n">
        <v>45733</v>
      </c>
      <c r="AD8" s="68" t="n">
        <v>10</v>
      </c>
      <c r="AE8" s="69"/>
      <c r="AF8" s="70" t="n">
        <v>3555</v>
      </c>
      <c r="AG8" s="106" t="n">
        <v>45789</v>
      </c>
      <c r="AH8" s="106" t="n">
        <v>45789</v>
      </c>
      <c r="AI8" s="106" t="n">
        <v>45789</v>
      </c>
      <c r="AJ8" s="68" t="n">
        <v>10</v>
      </c>
      <c r="AK8" s="69"/>
      <c r="AL8" s="70" t="n">
        <v>3175</v>
      </c>
      <c r="AM8" s="106" t="n">
        <v>45803</v>
      </c>
      <c r="AN8" s="106" t="n">
        <v>45803</v>
      </c>
      <c r="AO8" s="106" t="n">
        <v>45803</v>
      </c>
      <c r="AP8" s="68" t="n">
        <v>10</v>
      </c>
      <c r="AQ8" s="69"/>
      <c r="AR8" s="70" t="n">
        <v>3222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/>
      <c r="AY8" s="68"/>
      <c r="AZ8" s="69"/>
      <c r="BA8" s="106" t="n">
        <v>45792</v>
      </c>
      <c r="BB8" s="71" t="n">
        <v>6</v>
      </c>
      <c r="BC8" s="72"/>
      <c r="BD8" s="73" t="str">
        <f aca="false">IF(AND(BB8&gt;=6,AP8&gt;=6,AJ8&gt;=6,AD8&gt;=6,X8&gt;=6),"да","нет")</f>
        <v>да</v>
      </c>
      <c r="BE8" s="72"/>
      <c r="BF8" s="118" t="n">
        <v>45834</v>
      </c>
      <c r="BG8" s="71" t="n">
        <v>26</v>
      </c>
      <c r="BH8" s="68" t="n">
        <v>3</v>
      </c>
      <c r="BI8" s="50"/>
      <c r="BJ8" s="75" t="n">
        <f aca="false">SUM(X8,AD8,AJ8,AP8,AV8,AX8:AY8,BH8,BB8,BG8)</f>
        <v>75</v>
      </c>
      <c r="BK8" s="73" t="str">
        <f aca="false">IF(BJ8&gt;90,"A",IF(BJ8&gt;83,"B",IF(BJ8&gt;74,"C",IF(BJ8&gt;67,"D",IF(BJ8&gt;=60,"E","FX")))))</f>
        <v>C</v>
      </c>
    </row>
    <row r="9" customFormat="false" ht="15.75" hidden="false" customHeight="false" outlineLevel="0" collapsed="false">
      <c r="A9" s="59" t="n">
        <f aca="false">A8+1</f>
        <v>7</v>
      </c>
      <c r="B9" s="141" t="s">
        <v>351</v>
      </c>
      <c r="C9" s="142" t="s">
        <v>177</v>
      </c>
      <c r="D9" s="142" t="s">
        <v>350</v>
      </c>
      <c r="E9" s="62"/>
      <c r="F9" s="63" t="s">
        <v>735</v>
      </c>
      <c r="G9" s="63" t="s">
        <v>696</v>
      </c>
      <c r="H9" s="63" t="s">
        <v>735</v>
      </c>
      <c r="I9" s="63" t="s">
        <v>735</v>
      </c>
      <c r="J9" s="63" t="s">
        <v>735</v>
      </c>
      <c r="K9" s="63" t="s">
        <v>735</v>
      </c>
      <c r="L9" s="63" t="s">
        <v>696</v>
      </c>
      <c r="M9" s="63" t="s">
        <v>696</v>
      </c>
      <c r="N9" s="64"/>
      <c r="O9" s="64"/>
      <c r="P9" s="64"/>
      <c r="Q9" s="64"/>
      <c r="R9" s="64"/>
      <c r="S9" s="65"/>
      <c r="T9" s="66" t="s">
        <v>1030</v>
      </c>
      <c r="U9" s="67" t="n">
        <v>45719</v>
      </c>
      <c r="V9" s="67" t="n">
        <v>45719</v>
      </c>
      <c r="W9" s="67" t="n">
        <v>45719</v>
      </c>
      <c r="X9" s="68" t="n">
        <v>10</v>
      </c>
      <c r="Y9" s="69"/>
      <c r="Z9" s="70" t="n">
        <v>8438</v>
      </c>
      <c r="AA9" s="67" t="n">
        <v>45719</v>
      </c>
      <c r="AB9" s="67" t="n">
        <v>45719</v>
      </c>
      <c r="AC9" s="67" t="n">
        <v>45719</v>
      </c>
      <c r="AD9" s="68" t="n">
        <v>10</v>
      </c>
      <c r="AE9" s="69"/>
      <c r="AF9" s="70" t="n">
        <v>2533</v>
      </c>
      <c r="AG9" s="106" t="n">
        <v>45747</v>
      </c>
      <c r="AH9" s="106" t="n">
        <v>45747</v>
      </c>
      <c r="AI9" s="106" t="n">
        <v>45747</v>
      </c>
      <c r="AJ9" s="68" t="n">
        <v>9</v>
      </c>
      <c r="AK9" s="69"/>
      <c r="AL9" s="70" t="n">
        <v>5764</v>
      </c>
      <c r="AM9" s="106" t="n">
        <v>45789</v>
      </c>
      <c r="AN9" s="106" t="n">
        <v>45789</v>
      </c>
      <c r="AO9" s="106" t="n">
        <v>45789</v>
      </c>
      <c r="AP9" s="68" t="n">
        <v>9</v>
      </c>
      <c r="AQ9" s="69"/>
      <c r="AR9" s="70" t="n">
        <v>2175</v>
      </c>
      <c r="AS9" s="106" t="n">
        <v>45803</v>
      </c>
      <c r="AT9" s="106" t="n">
        <v>45803</v>
      </c>
      <c r="AU9" s="106" t="n">
        <v>45803</v>
      </c>
      <c r="AV9" s="68" t="n">
        <v>10</v>
      </c>
      <c r="AW9" s="69"/>
      <c r="AX9" s="68"/>
      <c r="AY9" s="68"/>
      <c r="AZ9" s="69"/>
      <c r="BA9" s="106" t="n">
        <v>45827</v>
      </c>
      <c r="BB9" s="71" t="n">
        <v>7</v>
      </c>
      <c r="BC9" s="72"/>
      <c r="BD9" s="73" t="str">
        <f aca="false">IF(AND(BB9&gt;=6,AP9&gt;=6,AJ9&gt;=6,AD9&gt;=6,X9&gt;=6),"да","нет")</f>
        <v>да</v>
      </c>
      <c r="BE9" s="72"/>
      <c r="BF9" s="118" t="n">
        <v>45834</v>
      </c>
      <c r="BG9" s="71" t="n">
        <v>19</v>
      </c>
      <c r="BH9" s="68" t="n">
        <v>2</v>
      </c>
      <c r="BI9" s="50"/>
      <c r="BJ9" s="75" t="n">
        <f aca="false">SUM(X9,AD9,AJ9,AP9,AV9,AX9:AY9,BH9,BB9,BG9)</f>
        <v>76</v>
      </c>
      <c r="BK9" s="73" t="str">
        <f aca="false">IF(BJ9&gt;90,"A",IF(BJ9&gt;83,"B",IF(BJ9&gt;74,"C",IF(BJ9&gt;67,"D",IF(BJ9&gt;=60,"E","FX")))))</f>
        <v>C</v>
      </c>
    </row>
    <row r="10" customFormat="false" ht="15.75" hidden="false" customHeight="false" outlineLevel="0" collapsed="false">
      <c r="A10" s="59" t="n">
        <f aca="false">A9+1</f>
        <v>8</v>
      </c>
      <c r="B10" s="141" t="s">
        <v>409</v>
      </c>
      <c r="C10" s="142" t="s">
        <v>177</v>
      </c>
      <c r="D10" s="142" t="s">
        <v>408</v>
      </c>
      <c r="E10" s="62"/>
      <c r="F10" s="63" t="s">
        <v>696</v>
      </c>
      <c r="G10" s="63" t="s">
        <v>696</v>
      </c>
      <c r="H10" s="63" t="s">
        <v>696</v>
      </c>
      <c r="I10" s="63" t="s">
        <v>696</v>
      </c>
      <c r="J10" s="63" t="s">
        <v>696</v>
      </c>
      <c r="K10" s="63" t="s">
        <v>696</v>
      </c>
      <c r="L10" s="63" t="s">
        <v>696</v>
      </c>
      <c r="M10" s="63" t="s">
        <v>735</v>
      </c>
      <c r="N10" s="64"/>
      <c r="O10" s="64"/>
      <c r="P10" s="64"/>
      <c r="Q10" s="64"/>
      <c r="R10" s="64"/>
      <c r="S10" s="65"/>
      <c r="T10" s="66" t="s">
        <v>1031</v>
      </c>
      <c r="U10" s="67" t="n">
        <v>45705</v>
      </c>
      <c r="V10" s="67" t="n">
        <v>45705</v>
      </c>
      <c r="W10" s="67" t="n">
        <v>45705</v>
      </c>
      <c r="X10" s="68" t="n">
        <v>10</v>
      </c>
      <c r="Y10" s="69"/>
      <c r="Z10" s="70" t="n">
        <v>5353</v>
      </c>
      <c r="AA10" s="67" t="n">
        <v>45719</v>
      </c>
      <c r="AB10" s="67" t="n">
        <v>45719</v>
      </c>
      <c r="AC10" s="67" t="n">
        <v>45719</v>
      </c>
      <c r="AD10" s="68" t="n">
        <v>10</v>
      </c>
      <c r="AE10" s="69"/>
      <c r="AF10" s="70" t="n">
        <v>6815</v>
      </c>
      <c r="AG10" s="106" t="n">
        <v>45733</v>
      </c>
      <c r="AH10" s="106" t="n">
        <v>45733</v>
      </c>
      <c r="AI10" s="106" t="n">
        <v>45733</v>
      </c>
      <c r="AJ10" s="68" t="n">
        <v>10</v>
      </c>
      <c r="AK10" s="69"/>
      <c r="AL10" s="70" t="n">
        <v>3420</v>
      </c>
      <c r="AM10" s="106" t="n">
        <v>45789</v>
      </c>
      <c r="AN10" s="106" t="n">
        <v>45789</v>
      </c>
      <c r="AO10" s="106" t="n">
        <v>45789</v>
      </c>
      <c r="AP10" s="68" t="n">
        <v>10</v>
      </c>
      <c r="AQ10" s="69"/>
      <c r="AR10" s="70" t="n">
        <v>2485</v>
      </c>
      <c r="AS10" s="106" t="n">
        <v>45814</v>
      </c>
      <c r="AT10" s="106" t="n">
        <v>45814</v>
      </c>
      <c r="AU10" s="106" t="n">
        <v>45814</v>
      </c>
      <c r="AV10" s="68" t="n">
        <v>10</v>
      </c>
      <c r="AW10" s="69"/>
      <c r="AX10" s="68" t="n">
        <v>0</v>
      </c>
      <c r="AY10" s="68" t="n">
        <v>0</v>
      </c>
      <c r="AZ10" s="69"/>
      <c r="BA10" s="106" t="n">
        <v>45792</v>
      </c>
      <c r="BB10" s="71" t="n">
        <v>6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45834</v>
      </c>
      <c r="BG10" s="71" t="n">
        <v>19</v>
      </c>
      <c r="BH10" s="68"/>
      <c r="BI10" s="50"/>
      <c r="BJ10" s="75" t="n">
        <f aca="false">SUM(X10,AD10,AJ10,AP10,AV10,AX10:AY10,BH10,BB10,BG10)</f>
        <v>75</v>
      </c>
      <c r="BK10" s="73" t="str">
        <f aca="false">IF(BJ10&gt;90,"A",IF(BJ10&gt;83,"B",IF(BJ10&gt;74,"C",IF(BJ10&gt;67,"D",IF(BJ10&gt;=60,"E","FX")))))</f>
        <v>C</v>
      </c>
    </row>
    <row r="11" customFormat="false" ht="15.75" hidden="false" customHeight="false" outlineLevel="0" collapsed="false">
      <c r="A11" s="59" t="n">
        <f aca="false">A10+1</f>
        <v>9</v>
      </c>
      <c r="B11" s="141" t="s">
        <v>421</v>
      </c>
      <c r="C11" s="142" t="s">
        <v>177</v>
      </c>
      <c r="D11" s="142" t="s">
        <v>420</v>
      </c>
      <c r="E11" s="62"/>
      <c r="F11" s="63" t="s">
        <v>696</v>
      </c>
      <c r="G11" s="63" t="s">
        <v>735</v>
      </c>
      <c r="H11" s="63" t="s">
        <v>735</v>
      </c>
      <c r="I11" s="63" t="s">
        <v>735</v>
      </c>
      <c r="J11" s="63" t="s">
        <v>696</v>
      </c>
      <c r="K11" s="63" t="s">
        <v>735</v>
      </c>
      <c r="L11" s="63" t="s">
        <v>696</v>
      </c>
      <c r="M11" s="63" t="s">
        <v>735</v>
      </c>
      <c r="N11" s="64"/>
      <c r="O11" s="64"/>
      <c r="P11" s="64"/>
      <c r="Q11" s="64"/>
      <c r="R11" s="64"/>
      <c r="S11" s="65"/>
      <c r="T11" s="66" t="s">
        <v>1032</v>
      </c>
      <c r="U11" s="67" t="n">
        <v>45705</v>
      </c>
      <c r="V11" s="67" t="n">
        <v>45705</v>
      </c>
      <c r="W11" s="67" t="n">
        <v>45705</v>
      </c>
      <c r="X11" s="68" t="n">
        <v>10</v>
      </c>
      <c r="Y11" s="69"/>
      <c r="Z11" s="70" t="n">
        <v>4396</v>
      </c>
      <c r="AA11" s="67" t="n">
        <v>45719</v>
      </c>
      <c r="AB11" s="67" t="n">
        <v>45719</v>
      </c>
      <c r="AC11" s="67" t="n">
        <v>45719</v>
      </c>
      <c r="AD11" s="68" t="n">
        <v>10</v>
      </c>
      <c r="AE11" s="69"/>
      <c r="AF11" s="70" t="n">
        <v>6278</v>
      </c>
      <c r="AG11" s="106" t="n">
        <v>45789</v>
      </c>
      <c r="AH11" s="106" t="n">
        <v>45789</v>
      </c>
      <c r="AI11" s="106" t="n">
        <v>45789</v>
      </c>
      <c r="AJ11" s="68" t="n">
        <v>10</v>
      </c>
      <c r="AK11" s="69"/>
      <c r="AL11" s="70" t="n">
        <v>2178</v>
      </c>
      <c r="AM11" s="106" t="n">
        <v>45814</v>
      </c>
      <c r="AN11" s="106" t="n">
        <v>45814</v>
      </c>
      <c r="AO11" s="106" t="n">
        <v>45814</v>
      </c>
      <c r="AP11" s="68" t="n">
        <v>10</v>
      </c>
      <c r="AQ11" s="69"/>
      <c r="AR11" s="70" t="n">
        <v>3257</v>
      </c>
      <c r="AS11" s="70" t="s">
        <v>737</v>
      </c>
      <c r="AT11" s="70" t="s">
        <v>737</v>
      </c>
      <c r="AU11" s="70" t="s">
        <v>737</v>
      </c>
      <c r="AV11" s="68" t="n">
        <v>0</v>
      </c>
      <c r="AW11" s="69"/>
      <c r="AX11" s="68"/>
      <c r="AY11" s="68"/>
      <c r="AZ11" s="69"/>
      <c r="BA11" s="106" t="n">
        <v>45827</v>
      </c>
      <c r="BB11" s="71" t="n">
        <v>6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45834</v>
      </c>
      <c r="BG11" s="71" t="n">
        <v>0</v>
      </c>
      <c r="BH11" s="68"/>
      <c r="BI11" s="50"/>
      <c r="BJ11" s="75" t="n">
        <f aca="false">SUM(X11,AD11,AJ11,AP11,AV11,AX11:AY11,BH11,BB11,BG11)</f>
        <v>46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141" t="s">
        <v>459</v>
      </c>
      <c r="C12" s="142" t="s">
        <v>177</v>
      </c>
      <c r="D12" s="142" t="s">
        <v>458</v>
      </c>
      <c r="E12" s="62"/>
      <c r="F12" s="63" t="s">
        <v>696</v>
      </c>
      <c r="G12" s="63" t="s">
        <v>696</v>
      </c>
      <c r="H12" s="63" t="s">
        <v>696</v>
      </c>
      <c r="I12" s="63" t="s">
        <v>735</v>
      </c>
      <c r="J12" s="63" t="s">
        <v>735</v>
      </c>
      <c r="K12" s="63" t="s">
        <v>696</v>
      </c>
      <c r="L12" s="63" t="s">
        <v>735</v>
      </c>
      <c r="M12" s="63" t="s">
        <v>735</v>
      </c>
      <c r="N12" s="64"/>
      <c r="O12" s="64"/>
      <c r="P12" s="64"/>
      <c r="Q12" s="64"/>
      <c r="R12" s="64"/>
      <c r="S12" s="65"/>
      <c r="T12" s="66" t="s">
        <v>1033</v>
      </c>
      <c r="U12" s="67" t="n">
        <v>45705</v>
      </c>
      <c r="V12" s="67" t="n">
        <v>45705</v>
      </c>
      <c r="W12" s="67" t="n">
        <v>45705</v>
      </c>
      <c r="X12" s="68" t="n">
        <v>10</v>
      </c>
      <c r="Y12" s="69"/>
      <c r="Z12" s="70" t="n">
        <v>4785</v>
      </c>
      <c r="AA12" s="67" t="n">
        <v>45719</v>
      </c>
      <c r="AB12" s="67" t="n">
        <v>45719</v>
      </c>
      <c r="AC12" s="67" t="n">
        <v>45719</v>
      </c>
      <c r="AD12" s="68" t="n">
        <v>10</v>
      </c>
      <c r="AE12" s="69"/>
      <c r="AF12" s="70" t="n">
        <v>6843</v>
      </c>
      <c r="AG12" s="106" t="n">
        <v>45733</v>
      </c>
      <c r="AH12" s="106" t="n">
        <v>45733</v>
      </c>
      <c r="AI12" s="106" t="n">
        <v>45733</v>
      </c>
      <c r="AJ12" s="68" t="n">
        <v>10</v>
      </c>
      <c r="AK12" s="69"/>
      <c r="AL12" s="70" t="n">
        <v>4586</v>
      </c>
      <c r="AM12" s="106" t="n">
        <v>45775</v>
      </c>
      <c r="AN12" s="106" t="n">
        <v>45775</v>
      </c>
      <c r="AO12" s="106" t="n">
        <v>45775</v>
      </c>
      <c r="AP12" s="68" t="n">
        <v>10</v>
      </c>
      <c r="AQ12" s="69"/>
      <c r="AR12" s="70" t="n">
        <v>2158</v>
      </c>
      <c r="AS12" s="106" t="n">
        <v>45803</v>
      </c>
      <c r="AT12" s="106" t="n">
        <v>45803</v>
      </c>
      <c r="AU12" s="106" t="n">
        <v>45803</v>
      </c>
      <c r="AV12" s="68" t="n">
        <v>10</v>
      </c>
      <c r="AW12" s="69"/>
      <c r="AX12" s="68" t="n">
        <v>4</v>
      </c>
      <c r="AY12" s="68" t="n">
        <v>2</v>
      </c>
      <c r="AZ12" s="69"/>
      <c r="BA12" s="106" t="n">
        <v>45792</v>
      </c>
      <c r="BB12" s="71" t="n">
        <v>6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45834</v>
      </c>
      <c r="BG12" s="71" t="n">
        <v>30</v>
      </c>
      <c r="BH12" s="68" t="n">
        <v>3</v>
      </c>
      <c r="BI12" s="50"/>
      <c r="BJ12" s="75" t="n">
        <f aca="false">SUM(X12,AD12,AJ12,AP12,AV12,AX12:AY12,BH12,BB12,BG12)</f>
        <v>95</v>
      </c>
      <c r="BK12" s="73" t="str">
        <f aca="false">IF(BJ12&gt;90,"A",IF(BJ12&gt;83,"B",IF(BJ12&gt;74,"C",IF(BJ12&gt;67,"D",IF(BJ12&gt;=60,"E","FX")))))</f>
        <v>A</v>
      </c>
    </row>
    <row r="13" customFormat="false" ht="15.75" hidden="false" customHeight="false" outlineLevel="0" collapsed="false">
      <c r="A13" s="59" t="n">
        <f aca="false">A12+1</f>
        <v>11</v>
      </c>
      <c r="B13" s="141" t="s">
        <v>479</v>
      </c>
      <c r="C13" s="142" t="s">
        <v>177</v>
      </c>
      <c r="D13" s="142" t="s">
        <v>478</v>
      </c>
      <c r="E13" s="62"/>
      <c r="F13" s="63" t="s">
        <v>696</v>
      </c>
      <c r="G13" s="63" t="s">
        <v>696</v>
      </c>
      <c r="H13" s="63" t="s">
        <v>696</v>
      </c>
      <c r="I13" s="63" t="s">
        <v>696</v>
      </c>
      <c r="J13" s="63" t="s">
        <v>696</v>
      </c>
      <c r="K13" s="63" t="s">
        <v>696</v>
      </c>
      <c r="L13" s="63" t="s">
        <v>696</v>
      </c>
      <c r="M13" s="63" t="s">
        <v>735</v>
      </c>
      <c r="N13" s="64"/>
      <c r="O13" s="64"/>
      <c r="P13" s="64"/>
      <c r="Q13" s="64"/>
      <c r="R13" s="64"/>
      <c r="S13" s="65"/>
      <c r="T13" s="66" t="s">
        <v>1034</v>
      </c>
      <c r="U13" s="67" t="n">
        <v>45705</v>
      </c>
      <c r="V13" s="67" t="n">
        <v>45705</v>
      </c>
      <c r="W13" s="67" t="n">
        <v>45705</v>
      </c>
      <c r="X13" s="68" t="n">
        <v>10</v>
      </c>
      <c r="Y13" s="69"/>
      <c r="Z13" s="70" t="n">
        <v>5702</v>
      </c>
      <c r="AA13" s="67" t="n">
        <v>45719</v>
      </c>
      <c r="AB13" s="67" t="n">
        <v>45719</v>
      </c>
      <c r="AC13" s="67" t="n">
        <v>45719</v>
      </c>
      <c r="AD13" s="68" t="n">
        <v>10</v>
      </c>
      <c r="AE13" s="69"/>
      <c r="AF13" s="70" t="n">
        <v>6571</v>
      </c>
      <c r="AG13" s="106" t="n">
        <v>45733</v>
      </c>
      <c r="AH13" s="106" t="n">
        <v>45733</v>
      </c>
      <c r="AI13" s="106" t="n">
        <v>45733</v>
      </c>
      <c r="AJ13" s="68" t="n">
        <v>10</v>
      </c>
      <c r="AK13" s="69"/>
      <c r="AL13" s="70" t="n">
        <v>8633</v>
      </c>
      <c r="AM13" s="106" t="n">
        <v>45789</v>
      </c>
      <c r="AN13" s="106" t="n">
        <v>45789</v>
      </c>
      <c r="AO13" s="106" t="n">
        <v>45789</v>
      </c>
      <c r="AP13" s="68" t="n">
        <v>10</v>
      </c>
      <c r="AQ13" s="69"/>
      <c r="AR13" s="70" t="n">
        <v>3576</v>
      </c>
      <c r="AS13" s="106" t="n">
        <v>45814</v>
      </c>
      <c r="AT13" s="106" t="n">
        <v>45814</v>
      </c>
      <c r="AU13" s="106" t="n">
        <v>45814</v>
      </c>
      <c r="AV13" s="68" t="n">
        <v>10</v>
      </c>
      <c r="AW13" s="69"/>
      <c r="AX13" s="68" t="n">
        <v>0</v>
      </c>
      <c r="AY13" s="68" t="n">
        <v>0</v>
      </c>
      <c r="AZ13" s="69"/>
      <c r="BA13" s="106" t="n">
        <v>45792</v>
      </c>
      <c r="BB13" s="71" t="n">
        <v>6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45834</v>
      </c>
      <c r="BG13" s="71" t="n">
        <v>26</v>
      </c>
      <c r="BH13" s="68" t="n">
        <v>2</v>
      </c>
      <c r="BI13" s="50"/>
      <c r="BJ13" s="75" t="n">
        <f aca="false">SUM(X13,AD13,AJ13,AP13,AV13,AX13:AY13,BH13,BB13,BG13)</f>
        <v>84</v>
      </c>
      <c r="BK13" s="73" t="str">
        <f aca="false">IF(BJ13&gt;90,"A",IF(BJ13&gt;83,"B",IF(BJ13&gt;74,"C",IF(BJ13&gt;67,"D",IF(BJ13&gt;=60,"E","FX")))))</f>
        <v>B</v>
      </c>
    </row>
    <row r="14" customFormat="false" ht="15.75" hidden="false" customHeight="false" outlineLevel="0" collapsed="false">
      <c r="A14" s="59" t="n">
        <f aca="false">A13+1</f>
        <v>12</v>
      </c>
      <c r="B14" s="143" t="s">
        <v>553</v>
      </c>
      <c r="C14" s="142" t="s">
        <v>177</v>
      </c>
      <c r="D14" s="142" t="s">
        <v>552</v>
      </c>
      <c r="E14" s="62"/>
      <c r="F14" s="63" t="s">
        <v>735</v>
      </c>
      <c r="G14" s="63" t="s">
        <v>696</v>
      </c>
      <c r="H14" s="63" t="s">
        <v>696</v>
      </c>
      <c r="I14" s="63" t="s">
        <v>696</v>
      </c>
      <c r="J14" s="63" t="s">
        <v>735</v>
      </c>
      <c r="K14" s="63" t="s">
        <v>696</v>
      </c>
      <c r="L14" s="63" t="s">
        <v>696</v>
      </c>
      <c r="M14" s="63" t="s">
        <v>696</v>
      </c>
      <c r="N14" s="64"/>
      <c r="O14" s="64"/>
      <c r="P14" s="64"/>
      <c r="Q14" s="64"/>
      <c r="R14" s="64"/>
      <c r="S14" s="65"/>
      <c r="T14" s="66" t="s">
        <v>1035</v>
      </c>
      <c r="U14" s="67" t="n">
        <v>45719</v>
      </c>
      <c r="V14" s="67" t="n">
        <v>45719</v>
      </c>
      <c r="W14" s="67" t="n">
        <v>45719</v>
      </c>
      <c r="X14" s="68" t="n">
        <v>10</v>
      </c>
      <c r="Y14" s="69"/>
      <c r="Z14" s="70" t="n">
        <v>8756</v>
      </c>
      <c r="AA14" s="67" t="n">
        <v>45733</v>
      </c>
      <c r="AB14" s="67" t="n">
        <v>45733</v>
      </c>
      <c r="AC14" s="67" t="n">
        <v>45733</v>
      </c>
      <c r="AD14" s="68" t="n">
        <v>10</v>
      </c>
      <c r="AE14" s="69"/>
      <c r="AF14" s="70" t="n">
        <v>4537</v>
      </c>
      <c r="AG14" s="106" t="n">
        <v>45747</v>
      </c>
      <c r="AH14" s="106" t="n">
        <v>45747</v>
      </c>
      <c r="AI14" s="106" t="n">
        <v>45747</v>
      </c>
      <c r="AJ14" s="68" t="n">
        <v>10</v>
      </c>
      <c r="AK14" s="69"/>
      <c r="AL14" s="70" t="n">
        <v>6745</v>
      </c>
      <c r="AM14" s="106" t="n">
        <v>45789</v>
      </c>
      <c r="AN14" s="106" t="n">
        <v>45789</v>
      </c>
      <c r="AO14" s="106" t="n">
        <v>45789</v>
      </c>
      <c r="AP14" s="68" t="n">
        <v>10</v>
      </c>
      <c r="AQ14" s="69"/>
      <c r="AR14" s="70" t="n">
        <v>3172</v>
      </c>
      <c r="AS14" s="106" t="n">
        <v>45803</v>
      </c>
      <c r="AT14" s="106" t="n">
        <v>45803</v>
      </c>
      <c r="AU14" s="106" t="n">
        <v>45803</v>
      </c>
      <c r="AV14" s="68" t="n">
        <v>10</v>
      </c>
      <c r="AW14" s="69"/>
      <c r="AX14" s="68"/>
      <c r="AY14" s="68"/>
      <c r="AZ14" s="69"/>
      <c r="BA14" s="106" t="n">
        <v>45827</v>
      </c>
      <c r="BB14" s="71" t="n">
        <v>6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45834</v>
      </c>
      <c r="BG14" s="71" t="n">
        <v>20</v>
      </c>
      <c r="BH14" s="68"/>
      <c r="BI14" s="50"/>
      <c r="BJ14" s="75" t="n">
        <f aca="false">SUM(X14,AD14,AJ14,AP14,AV14,AX14:AY14,BH14,BB14,BG14)</f>
        <v>76</v>
      </c>
      <c r="BK14" s="73" t="str">
        <f aca="false">IF(BJ14&gt;90,"A",IF(BJ14&gt;83,"B",IF(BJ14&gt;74,"C",IF(BJ14&gt;67,"D",IF(BJ14&gt;=60,"E","FX")))))</f>
        <v>C</v>
      </c>
    </row>
    <row r="15" customFormat="false" ht="15.75" hidden="false" customHeight="false" outlineLevel="0" collapsed="false">
      <c r="A15" s="59" t="n">
        <f aca="false">A14+1</f>
        <v>13</v>
      </c>
      <c r="B15" s="141" t="s">
        <v>559</v>
      </c>
      <c r="C15" s="142" t="s">
        <v>177</v>
      </c>
      <c r="D15" s="142" t="s">
        <v>558</v>
      </c>
      <c r="E15" s="62"/>
      <c r="F15" s="63" t="s">
        <v>696</v>
      </c>
      <c r="G15" s="63" t="s">
        <v>735</v>
      </c>
      <c r="H15" s="63" t="s">
        <v>735</v>
      </c>
      <c r="I15" s="63" t="s">
        <v>735</v>
      </c>
      <c r="J15" s="63" t="s">
        <v>696</v>
      </c>
      <c r="K15" s="63" t="s">
        <v>696</v>
      </c>
      <c r="L15" s="63" t="s">
        <v>696</v>
      </c>
      <c r="M15" s="63" t="s">
        <v>696</v>
      </c>
      <c r="N15" s="64"/>
      <c r="O15" s="64"/>
      <c r="P15" s="64"/>
      <c r="Q15" s="64"/>
      <c r="R15" s="64"/>
      <c r="S15" s="65"/>
      <c r="T15" s="66" t="s">
        <v>1036</v>
      </c>
      <c r="U15" s="67" t="n">
        <v>45705</v>
      </c>
      <c r="V15" s="67" t="n">
        <v>45705</v>
      </c>
      <c r="W15" s="67" t="n">
        <v>45705</v>
      </c>
      <c r="X15" s="68" t="n">
        <v>10</v>
      </c>
      <c r="Y15" s="69"/>
      <c r="Z15" s="70" t="n">
        <v>3384</v>
      </c>
      <c r="AA15" s="67" t="n">
        <v>45719</v>
      </c>
      <c r="AB15" s="67" t="n">
        <v>45719</v>
      </c>
      <c r="AC15" s="67" t="n">
        <v>45719</v>
      </c>
      <c r="AD15" s="68" t="n">
        <v>10</v>
      </c>
      <c r="AE15" s="69"/>
      <c r="AF15" s="70" t="n">
        <v>3176</v>
      </c>
      <c r="AG15" s="106" t="n">
        <v>45789</v>
      </c>
      <c r="AH15" s="106" t="n">
        <v>45789</v>
      </c>
      <c r="AI15" s="106" t="n">
        <v>45789</v>
      </c>
      <c r="AJ15" s="68" t="n">
        <v>10</v>
      </c>
      <c r="AK15" s="69"/>
      <c r="AL15" s="70" t="n">
        <v>3578</v>
      </c>
      <c r="AM15" s="106" t="n">
        <v>45803</v>
      </c>
      <c r="AN15" s="106" t="n">
        <v>45803</v>
      </c>
      <c r="AO15" s="106" t="n">
        <v>45803</v>
      </c>
      <c r="AP15" s="68" t="n">
        <v>9</v>
      </c>
      <c r="AQ15" s="69"/>
      <c r="AR15" s="70" t="n">
        <v>3645</v>
      </c>
      <c r="AS15" s="106" t="n">
        <v>45814</v>
      </c>
      <c r="AT15" s="106" t="n">
        <v>45814</v>
      </c>
      <c r="AU15" s="106" t="n">
        <v>45814</v>
      </c>
      <c r="AV15" s="68" t="n">
        <v>10</v>
      </c>
      <c r="AW15" s="69"/>
      <c r="AX15" s="68" t="n">
        <v>0</v>
      </c>
      <c r="AY15" s="68" t="n">
        <v>0</v>
      </c>
      <c r="AZ15" s="69"/>
      <c r="BA15" s="106" t="n">
        <v>45827</v>
      </c>
      <c r="BB15" s="71" t="n">
        <v>7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45834</v>
      </c>
      <c r="BG15" s="71" t="n">
        <v>28</v>
      </c>
      <c r="BH15" s="68"/>
      <c r="BI15" s="50"/>
      <c r="BJ15" s="75" t="n">
        <f aca="false">SUM(X15,AD15,AJ15,AP15,AV15,AX15:AY15,BH15,BB15,BG15)</f>
        <v>84</v>
      </c>
      <c r="BK15" s="73" t="str">
        <f aca="false">IF(BJ15&gt;90,"A",IF(BJ15&gt;83,"B",IF(BJ15&gt;74,"C",IF(BJ15&gt;67,"D",IF(BJ15&gt;=60,"E","FX")))))</f>
        <v>B</v>
      </c>
    </row>
    <row r="16" customFormat="false" ht="15.75" hidden="false" customHeight="false" outlineLevel="0" collapsed="false">
      <c r="A16" s="59" t="n">
        <f aca="false">A15+1</f>
        <v>14</v>
      </c>
      <c r="B16" s="141" t="s">
        <v>585</v>
      </c>
      <c r="C16" s="142" t="s">
        <v>177</v>
      </c>
      <c r="D16" s="142" t="s">
        <v>584</v>
      </c>
      <c r="E16" s="62"/>
      <c r="F16" s="63" t="s">
        <v>735</v>
      </c>
      <c r="G16" s="63" t="s">
        <v>696</v>
      </c>
      <c r="H16" s="63" t="s">
        <v>696</v>
      </c>
      <c r="I16" s="63" t="s">
        <v>696</v>
      </c>
      <c r="J16" s="63" t="s">
        <v>735</v>
      </c>
      <c r="K16" s="63" t="s">
        <v>696</v>
      </c>
      <c r="L16" s="63" t="s">
        <v>696</v>
      </c>
      <c r="M16" s="63" t="s">
        <v>696</v>
      </c>
      <c r="N16" s="64"/>
      <c r="O16" s="64"/>
      <c r="P16" s="64"/>
      <c r="Q16" s="64"/>
      <c r="R16" s="64"/>
      <c r="S16" s="65"/>
      <c r="T16" s="66" t="s">
        <v>1037</v>
      </c>
      <c r="U16" s="67" t="n">
        <v>45719</v>
      </c>
      <c r="V16" s="67" t="n">
        <v>45719</v>
      </c>
      <c r="W16" s="67" t="n">
        <v>45719</v>
      </c>
      <c r="X16" s="68" t="n">
        <v>10</v>
      </c>
      <c r="Y16" s="69"/>
      <c r="Z16" s="70" t="n">
        <v>5486</v>
      </c>
      <c r="AA16" s="67" t="n">
        <v>45719</v>
      </c>
      <c r="AB16" s="67" t="n">
        <v>45719</v>
      </c>
      <c r="AC16" s="67" t="n">
        <v>45719</v>
      </c>
      <c r="AD16" s="68" t="n">
        <v>10</v>
      </c>
      <c r="AE16" s="69"/>
      <c r="AF16" s="70" t="n">
        <v>6038</v>
      </c>
      <c r="AG16" s="106" t="n">
        <v>45775</v>
      </c>
      <c r="AH16" s="106" t="n">
        <v>45775</v>
      </c>
      <c r="AI16" s="106" t="n">
        <v>45775</v>
      </c>
      <c r="AJ16" s="68" t="n">
        <v>10</v>
      </c>
      <c r="AK16" s="69"/>
      <c r="AL16" s="70" t="n">
        <v>7436</v>
      </c>
      <c r="AM16" s="106" t="n">
        <v>45789</v>
      </c>
      <c r="AN16" s="106" t="n">
        <v>45789</v>
      </c>
      <c r="AO16" s="106" t="n">
        <v>45789</v>
      </c>
      <c r="AP16" s="68" t="n">
        <v>10</v>
      </c>
      <c r="AQ16" s="69"/>
      <c r="AR16" s="70" t="n">
        <v>6276</v>
      </c>
      <c r="AS16" s="106" t="n">
        <v>45803</v>
      </c>
      <c r="AT16" s="106" t="n">
        <v>45803</v>
      </c>
      <c r="AU16" s="106" t="n">
        <v>45803</v>
      </c>
      <c r="AV16" s="68" t="n">
        <v>10</v>
      </c>
      <c r="AW16" s="69"/>
      <c r="AX16" s="68" t="n">
        <v>1</v>
      </c>
      <c r="AY16" s="68" t="n">
        <v>1</v>
      </c>
      <c r="AZ16" s="69"/>
      <c r="BA16" s="106" t="n">
        <v>45792</v>
      </c>
      <c r="BB16" s="71" t="n">
        <v>6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45834</v>
      </c>
      <c r="BG16" s="71" t="n">
        <v>25</v>
      </c>
      <c r="BH16" s="68" t="n">
        <v>1</v>
      </c>
      <c r="BI16" s="50"/>
      <c r="BJ16" s="75" t="n">
        <f aca="false">SUM(X16,AD16,AJ16,AP16,AV16,AX16:AY16,BH16,BB16,BG16)</f>
        <v>84</v>
      </c>
      <c r="BK16" s="73" t="str">
        <f aca="false">IF(BJ16&gt;90,"A",IF(BJ16&gt;83,"B",IF(BJ16&gt;74,"C",IF(BJ16&gt;67,"D",IF(BJ16&gt;=60,"E","FX")))))</f>
        <v>B</v>
      </c>
    </row>
    <row r="17" customFormat="false" ht="15.75" hidden="false" customHeight="false" outlineLevel="0" collapsed="false">
      <c r="A17" s="59" t="n">
        <f aca="false">A16+1</f>
        <v>15</v>
      </c>
      <c r="B17" s="141" t="s">
        <v>603</v>
      </c>
      <c r="C17" s="142" t="s">
        <v>177</v>
      </c>
      <c r="D17" s="142" t="s">
        <v>602</v>
      </c>
      <c r="E17" s="62"/>
      <c r="F17" s="63" t="s">
        <v>696</v>
      </c>
      <c r="G17" s="63" t="s">
        <v>696</v>
      </c>
      <c r="H17" s="63" t="s">
        <v>696</v>
      </c>
      <c r="I17" s="63" t="s">
        <v>696</v>
      </c>
      <c r="J17" s="63" t="s">
        <v>735</v>
      </c>
      <c r="K17" s="63" t="s">
        <v>696</v>
      </c>
      <c r="L17" s="63" t="s">
        <v>696</v>
      </c>
      <c r="M17" s="63" t="s">
        <v>696</v>
      </c>
      <c r="N17" s="64"/>
      <c r="O17" s="64"/>
      <c r="P17" s="64"/>
      <c r="Q17" s="64"/>
      <c r="R17" s="64"/>
      <c r="S17" s="65"/>
      <c r="T17" s="66" t="s">
        <v>1038</v>
      </c>
      <c r="U17" s="67" t="n">
        <v>45719</v>
      </c>
      <c r="V17" s="67" t="n">
        <v>45719</v>
      </c>
      <c r="W17" s="67" t="n">
        <v>45719</v>
      </c>
      <c r="X17" s="68" t="n">
        <v>10</v>
      </c>
      <c r="Y17" s="69"/>
      <c r="Z17" s="70" t="n">
        <v>6572</v>
      </c>
      <c r="AA17" s="67" t="n">
        <v>45733</v>
      </c>
      <c r="AB17" s="67" t="n">
        <v>45733</v>
      </c>
      <c r="AC17" s="67" t="n">
        <v>45733</v>
      </c>
      <c r="AD17" s="68" t="n">
        <v>10</v>
      </c>
      <c r="AE17" s="69"/>
      <c r="AF17" s="70" t="n">
        <v>3390</v>
      </c>
      <c r="AG17" s="106" t="n">
        <v>45775</v>
      </c>
      <c r="AH17" s="106" t="n">
        <v>45775</v>
      </c>
      <c r="AI17" s="106" t="n">
        <v>45775</v>
      </c>
      <c r="AJ17" s="68" t="n">
        <v>10</v>
      </c>
      <c r="AK17" s="69"/>
      <c r="AL17" s="70" t="n">
        <v>2486</v>
      </c>
      <c r="AM17" s="106" t="n">
        <v>45789</v>
      </c>
      <c r="AN17" s="106" t="n">
        <v>45789</v>
      </c>
      <c r="AO17" s="106" t="n">
        <v>45789</v>
      </c>
      <c r="AP17" s="68" t="n">
        <v>10</v>
      </c>
      <c r="AQ17" s="69"/>
      <c r="AR17" s="70" t="n">
        <v>2484</v>
      </c>
      <c r="AS17" s="106" t="n">
        <v>45803</v>
      </c>
      <c r="AT17" s="106" t="n">
        <v>45803</v>
      </c>
      <c r="AU17" s="106" t="n">
        <v>45803</v>
      </c>
      <c r="AV17" s="68" t="n">
        <v>10</v>
      </c>
      <c r="AW17" s="69"/>
      <c r="AX17" s="68" t="n">
        <v>0</v>
      </c>
      <c r="AY17" s="68" t="n">
        <v>0</v>
      </c>
      <c r="AZ17" s="69"/>
      <c r="BA17" s="106" t="n">
        <v>45792</v>
      </c>
      <c r="BB17" s="71" t="n">
        <v>6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45834</v>
      </c>
      <c r="BG17" s="71" t="n">
        <v>0</v>
      </c>
      <c r="BH17" s="68"/>
      <c r="BI17" s="50"/>
      <c r="BJ17" s="75" t="n">
        <f aca="false">SUM(X17,AD17,AJ17,AP17,AV17,AX17:AY17,BH17,BB17,BG17)</f>
        <v>56</v>
      </c>
      <c r="BK17" s="73" t="str">
        <f aca="false">IF(BJ17&gt;90,"A",IF(BJ17&gt;83,"B",IF(BJ17&gt;74,"C",IF(BJ17&gt;67,"D",IF(BJ17&gt;=60,"E","FX")))))</f>
        <v>FX</v>
      </c>
    </row>
    <row r="18" customFormat="false" ht="15.75" hidden="false" customHeight="false" outlineLevel="0" collapsed="false">
      <c r="A18" s="59" t="n">
        <f aca="false">A17+1</f>
        <v>16</v>
      </c>
      <c r="B18" s="141" t="s">
        <v>611</v>
      </c>
      <c r="C18" s="142" t="s">
        <v>177</v>
      </c>
      <c r="D18" s="142" t="s">
        <v>610</v>
      </c>
      <c r="E18" s="62"/>
      <c r="F18" s="63" t="s">
        <v>696</v>
      </c>
      <c r="G18" s="63" t="s">
        <v>696</v>
      </c>
      <c r="H18" s="63" t="s">
        <v>696</v>
      </c>
      <c r="I18" s="63" t="s">
        <v>735</v>
      </c>
      <c r="J18" s="63" t="s">
        <v>696</v>
      </c>
      <c r="K18" s="63" t="s">
        <v>696</v>
      </c>
      <c r="L18" s="63" t="s">
        <v>696</v>
      </c>
      <c r="M18" s="63" t="s">
        <v>696</v>
      </c>
      <c r="N18" s="64"/>
      <c r="O18" s="64"/>
      <c r="P18" s="64"/>
      <c r="Q18" s="64"/>
      <c r="R18" s="64"/>
      <c r="S18" s="65"/>
      <c r="T18" s="66" t="s">
        <v>1039</v>
      </c>
      <c r="U18" s="67" t="n">
        <v>45719</v>
      </c>
      <c r="V18" s="67" t="n">
        <v>45719</v>
      </c>
      <c r="W18" s="67" t="n">
        <v>45719</v>
      </c>
      <c r="X18" s="68" t="n">
        <v>10</v>
      </c>
      <c r="Y18" s="69"/>
      <c r="Z18" s="70" t="n">
        <v>3586</v>
      </c>
      <c r="AA18" s="67" t="n">
        <v>45789</v>
      </c>
      <c r="AB18" s="67" t="n">
        <v>45789</v>
      </c>
      <c r="AC18" s="67" t="n">
        <v>45789</v>
      </c>
      <c r="AD18" s="68" t="n">
        <v>9</v>
      </c>
      <c r="AE18" s="69"/>
      <c r="AF18" s="70" t="n">
        <v>3180</v>
      </c>
      <c r="AG18" s="106" t="n">
        <v>45803</v>
      </c>
      <c r="AH18" s="106" t="n">
        <v>45803</v>
      </c>
      <c r="AI18" s="106" t="n">
        <v>45803</v>
      </c>
      <c r="AJ18" s="68" t="n">
        <v>9</v>
      </c>
      <c r="AK18" s="69"/>
      <c r="AL18" s="70" t="n">
        <v>4379</v>
      </c>
      <c r="AM18" s="106" t="n">
        <v>45814</v>
      </c>
      <c r="AN18" s="106" t="n">
        <v>45814</v>
      </c>
      <c r="AO18" s="106" t="n">
        <v>45814</v>
      </c>
      <c r="AP18" s="68" t="n">
        <v>10</v>
      </c>
      <c r="AQ18" s="69"/>
      <c r="AR18" s="70" t="n">
        <v>9246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/>
      <c r="AY18" s="68"/>
      <c r="AZ18" s="69"/>
      <c r="BA18" s="106" t="n">
        <v>45827</v>
      </c>
      <c r="BB18" s="71" t="n">
        <v>6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45834</v>
      </c>
      <c r="BG18" s="71" t="n">
        <v>22</v>
      </c>
      <c r="BH18" s="68" t="n">
        <v>2</v>
      </c>
      <c r="BI18" s="50"/>
      <c r="BJ18" s="75" t="n">
        <f aca="false">SUM(X18,AD18,AJ18,AP18,AV18,AX18:AY18,BH18,BB18,BG18)</f>
        <v>68</v>
      </c>
      <c r="BK18" s="73" t="str">
        <f aca="false">IF(BJ18&gt;90,"A",IF(BJ18&gt;83,"B",IF(BJ18&gt;74,"C",IF(BJ18&gt;67,"D",IF(BJ18&gt;=60,"E","FX")))))</f>
        <v>D</v>
      </c>
    </row>
    <row r="19" customFormat="false" ht="15.75" hidden="false" customHeight="false" outlineLevel="0" collapsed="false">
      <c r="A19" s="59" t="n">
        <f aca="false">A18+1</f>
        <v>17</v>
      </c>
      <c r="B19" s="141" t="s">
        <v>625</v>
      </c>
      <c r="C19" s="142" t="s">
        <v>177</v>
      </c>
      <c r="D19" s="142" t="s">
        <v>624</v>
      </c>
      <c r="E19" s="62"/>
      <c r="F19" s="63" t="s">
        <v>735</v>
      </c>
      <c r="G19" s="63" t="s">
        <v>696</v>
      </c>
      <c r="H19" s="63" t="s">
        <v>735</v>
      </c>
      <c r="I19" s="63" t="s">
        <v>696</v>
      </c>
      <c r="J19" s="63" t="s">
        <v>696</v>
      </c>
      <c r="K19" s="63" t="s">
        <v>696</v>
      </c>
      <c r="L19" s="63" t="s">
        <v>735</v>
      </c>
      <c r="M19" s="63" t="s">
        <v>696</v>
      </c>
      <c r="N19" s="64"/>
      <c r="O19" s="64"/>
      <c r="P19" s="64"/>
      <c r="Q19" s="64"/>
      <c r="R19" s="64"/>
      <c r="S19" s="65"/>
      <c r="T19" s="66" t="s">
        <v>1040</v>
      </c>
      <c r="U19" s="67" t="n">
        <v>45719</v>
      </c>
      <c r="V19" s="67" t="n">
        <v>45719</v>
      </c>
      <c r="W19" s="67" t="n">
        <v>45719</v>
      </c>
      <c r="X19" s="68" t="n">
        <v>10</v>
      </c>
      <c r="Y19" s="69"/>
      <c r="Z19" s="70" t="n">
        <v>6586</v>
      </c>
      <c r="AA19" s="106" t="n">
        <v>45747</v>
      </c>
      <c r="AB19" s="67" t="n">
        <v>45747</v>
      </c>
      <c r="AC19" s="67" t="n">
        <v>45747</v>
      </c>
      <c r="AD19" s="68" t="n">
        <v>9</v>
      </c>
      <c r="AE19" s="69"/>
      <c r="AF19" s="70" t="n">
        <v>5986</v>
      </c>
      <c r="AG19" s="106" t="n">
        <v>45775</v>
      </c>
      <c r="AH19" s="106" t="n">
        <v>45775</v>
      </c>
      <c r="AI19" s="106" t="n">
        <v>45775</v>
      </c>
      <c r="AJ19" s="68" t="n">
        <v>10</v>
      </c>
      <c r="AK19" s="69"/>
      <c r="AL19" s="70" t="n">
        <v>3486</v>
      </c>
      <c r="AM19" s="106" t="n">
        <v>45803</v>
      </c>
      <c r="AN19" s="106" t="n">
        <v>45803</v>
      </c>
      <c r="AO19" s="106" t="n">
        <v>45803</v>
      </c>
      <c r="AP19" s="68" t="n">
        <v>10</v>
      </c>
      <c r="AQ19" s="69"/>
      <c r="AR19" s="70" t="n">
        <v>3479</v>
      </c>
      <c r="AS19" s="106" t="n">
        <v>45814</v>
      </c>
      <c r="AT19" s="106" t="n">
        <v>45814</v>
      </c>
      <c r="AU19" s="106" t="n">
        <v>45814</v>
      </c>
      <c r="AV19" s="68" t="n">
        <v>10</v>
      </c>
      <c r="AW19" s="69"/>
      <c r="AX19" s="68"/>
      <c r="AY19" s="68"/>
      <c r="AZ19" s="69"/>
      <c r="BA19" s="106" t="n">
        <v>45827</v>
      </c>
      <c r="BB19" s="71" t="n">
        <v>7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45834</v>
      </c>
      <c r="BG19" s="71" t="n">
        <v>26</v>
      </c>
      <c r="BH19" s="68" t="n">
        <v>2</v>
      </c>
      <c r="BI19" s="50"/>
      <c r="BJ19" s="75" t="n">
        <f aca="false">SUM(X19,AD19,AJ19,AP19,AV19,AX19:AY19,BH19,BB19,BG19)</f>
        <v>84</v>
      </c>
      <c r="BK19" s="73" t="str">
        <f aca="false">IF(BJ19&gt;90,"A",IF(BJ19&gt;83,"B",IF(BJ19&gt;74,"C",IF(BJ19&gt;67,"D",IF(BJ19&gt;=60,"E","FX")))))</f>
        <v>B</v>
      </c>
    </row>
    <row r="20" customFormat="false" ht="15.75" hidden="false" customHeight="false" outlineLevel="0" collapsed="false">
      <c r="A20" s="59" t="n">
        <f aca="false">A19+1</f>
        <v>18</v>
      </c>
      <c r="B20" s="141" t="s">
        <v>1041</v>
      </c>
      <c r="C20" s="142" t="s">
        <v>177</v>
      </c>
      <c r="D20" s="142" t="s">
        <v>282</v>
      </c>
      <c r="E20" s="62"/>
      <c r="F20" s="63" t="s">
        <v>735</v>
      </c>
      <c r="G20" s="63" t="s">
        <v>735</v>
      </c>
      <c r="H20" s="63" t="s">
        <v>696</v>
      </c>
      <c r="I20" s="63" t="s">
        <v>696</v>
      </c>
      <c r="J20" s="63" t="s">
        <v>735</v>
      </c>
      <c r="K20" s="63" t="s">
        <v>735</v>
      </c>
      <c r="L20" s="63" t="s">
        <v>696</v>
      </c>
      <c r="M20" s="63" t="s">
        <v>696</v>
      </c>
      <c r="N20" s="64"/>
      <c r="O20" s="64"/>
      <c r="P20" s="64"/>
      <c r="Q20" s="64"/>
      <c r="R20" s="64"/>
      <c r="S20" s="65"/>
      <c r="T20" s="66" t="s">
        <v>1042</v>
      </c>
      <c r="U20" s="67" t="n">
        <v>45733</v>
      </c>
      <c r="V20" s="67" t="n">
        <v>45733</v>
      </c>
      <c r="W20" s="67" t="n">
        <v>45733</v>
      </c>
      <c r="X20" s="68" t="n">
        <v>10</v>
      </c>
      <c r="Y20" s="69"/>
      <c r="Z20" s="70" t="n">
        <v>3538</v>
      </c>
      <c r="AA20" s="106" t="n">
        <v>45747</v>
      </c>
      <c r="AB20" s="67" t="n">
        <v>45747</v>
      </c>
      <c r="AC20" s="67" t="n">
        <v>45747</v>
      </c>
      <c r="AD20" s="68" t="n">
        <v>10</v>
      </c>
      <c r="AE20" s="69"/>
      <c r="AF20" s="70" t="n">
        <v>3658</v>
      </c>
      <c r="AG20" s="106" t="n">
        <v>45789</v>
      </c>
      <c r="AH20" s="106" t="n">
        <v>45789</v>
      </c>
      <c r="AI20" s="106" t="n">
        <v>45789</v>
      </c>
      <c r="AJ20" s="68" t="n">
        <v>10</v>
      </c>
      <c r="AK20" s="69"/>
      <c r="AL20" s="70" t="n">
        <v>3444</v>
      </c>
      <c r="AM20" s="106" t="n">
        <v>45803</v>
      </c>
      <c r="AN20" s="106" t="n">
        <v>45803</v>
      </c>
      <c r="AO20" s="106" t="n">
        <v>45803</v>
      </c>
      <c r="AP20" s="68" t="n">
        <v>10</v>
      </c>
      <c r="AQ20" s="69"/>
      <c r="AR20" s="70" t="s">
        <v>737</v>
      </c>
      <c r="AS20" s="70" t="s">
        <v>737</v>
      </c>
      <c r="AT20" s="70" t="s">
        <v>737</v>
      </c>
      <c r="AU20" s="70" t="s">
        <v>737</v>
      </c>
      <c r="AV20" s="68" t="n">
        <v>0</v>
      </c>
      <c r="AW20" s="69"/>
      <c r="AX20" s="68"/>
      <c r="AY20" s="68" t="n">
        <v>0</v>
      </c>
      <c r="AZ20" s="69"/>
      <c r="BA20" s="106" t="n">
        <v>45827</v>
      </c>
      <c r="BB20" s="71" t="n">
        <v>7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45834</v>
      </c>
      <c r="BG20" s="71" t="n">
        <v>27</v>
      </c>
      <c r="BH20" s="68" t="n">
        <v>1</v>
      </c>
      <c r="BI20" s="50"/>
      <c r="BJ20" s="75" t="n">
        <f aca="false">SUM(X20,AD20,AJ20,AP20,AV20,AX20:AY20,BH20,BB20,BG20)</f>
        <v>75</v>
      </c>
      <c r="BK20" s="73" t="str">
        <f aca="false">IF(BJ20&gt;90,"A",IF(BJ20&gt;83,"B",IF(BJ20&gt;74,"C",IF(BJ20&gt;67,"D",IF(BJ20&gt;=60,"E","FX")))))</f>
        <v>C</v>
      </c>
    </row>
    <row r="21" customFormat="false" ht="15.75" hidden="false" customHeight="false" outlineLevel="0" collapsed="false">
      <c r="A21" s="59" t="n">
        <f aca="false">A20+1</f>
        <v>19</v>
      </c>
      <c r="B21" s="60"/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/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/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70"/>
      <c r="V23" s="70"/>
      <c r="W23" s="70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/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67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/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15.75" hidden="false" customHeight="false" outlineLevel="0" collapsed="false">
      <c r="A26" s="59" t="n">
        <f aca="false">A25+1</f>
        <v>24</v>
      </c>
      <c r="B26" s="60" t="str">
        <f aca="false">IFERROR(__xludf.dummyfunction("IFERROR(QUERY('Общий список'!$B:$C, ""SELECT C WHERE B = '""&amp;C26&amp;""' AND B &lt;&gt; '' AND D = '""&amp;$C$1&amp;""'"", 0), """")"),"")</f>
        <v/>
      </c>
      <c r="C26" s="61"/>
      <c r="D26" s="61"/>
      <c r="E26" s="62"/>
      <c r="F26" s="63"/>
      <c r="G26" s="63"/>
      <c r="H26" s="63"/>
      <c r="I26" s="63"/>
      <c r="J26" s="63"/>
      <c r="K26" s="63"/>
      <c r="L26" s="63"/>
      <c r="M26" s="63"/>
      <c r="N26" s="64"/>
      <c r="O26" s="64"/>
      <c r="P26" s="64"/>
      <c r="Q26" s="64"/>
      <c r="R26" s="64"/>
      <c r="S26" s="65"/>
      <c r="T26" s="66"/>
      <c r="U26" s="70"/>
      <c r="V26" s="70"/>
      <c r="W26" s="70"/>
      <c r="X26" s="68"/>
      <c r="Y26" s="69"/>
      <c r="Z26" s="70"/>
      <c r="AA26" s="67"/>
      <c r="AB26" s="67"/>
      <c r="AC26" s="67"/>
      <c r="AD26" s="68"/>
      <c r="AE26" s="69"/>
      <c r="AF26" s="70"/>
      <c r="AG26" s="70"/>
      <c r="AH26" s="70"/>
      <c r="AI26" s="70"/>
      <c r="AJ26" s="68"/>
      <c r="AK26" s="69"/>
      <c r="AL26" s="70"/>
      <c r="AM26" s="70"/>
      <c r="AN26" s="70"/>
      <c r="AO26" s="70"/>
      <c r="AP26" s="68"/>
      <c r="AQ26" s="69"/>
      <c r="AR26" s="70"/>
      <c r="AS26" s="70"/>
      <c r="AT26" s="70"/>
      <c r="AU26" s="70"/>
      <c r="AV26" s="68"/>
      <c r="AW26" s="69"/>
      <c r="AX26" s="68"/>
      <c r="AY26" s="68"/>
      <c r="AZ26" s="69"/>
      <c r="BA26" s="70"/>
      <c r="BB26" s="71"/>
      <c r="BC26" s="72"/>
      <c r="BD26" s="73" t="str">
        <f aca="false">IF(AND(BB26&gt;=6,AP26&gt;=6,AJ26&gt;=6,AD26&gt;=6,X26&gt;=6),"да","нет")</f>
        <v>нет</v>
      </c>
      <c r="BE26" s="72"/>
      <c r="BF26" s="74"/>
      <c r="BG26" s="71"/>
      <c r="BH26" s="68"/>
      <c r="BI26" s="50"/>
      <c r="BJ26" s="75" t="n">
        <f aca="false">SUM(X26,AD26,AJ26,AP26,AV26,AX26:AY26,BH26,BB26,BG26)</f>
        <v>0</v>
      </c>
      <c r="BK26" s="73" t="str">
        <f aca="false">IF(BJ26&gt;90,"A",IF(BJ26&gt;83,"B",IF(BJ26&gt;74,"C",IF(BJ26&gt;67,"D",IF(BJ26&gt;=60,"E","FX")))))</f>
        <v>FX</v>
      </c>
    </row>
    <row r="27" customFormat="false" ht="3.75" hidden="false" customHeight="true" outlineLevel="0" collapsed="false">
      <c r="A27" s="76"/>
      <c r="B27" s="76"/>
      <c r="C27" s="76"/>
      <c r="D27" s="76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9"/>
      <c r="AN27" s="65"/>
      <c r="AO27" s="65"/>
      <c r="AP27" s="65"/>
      <c r="AQ27" s="65"/>
      <c r="AR27" s="65"/>
      <c r="AS27" s="65"/>
      <c r="AT27" s="65"/>
      <c r="AU27" s="65"/>
      <c r="AV27" s="65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80"/>
      <c r="BJ27" s="72"/>
      <c r="BK27" s="72"/>
    </row>
    <row r="28" customFormat="false" ht="15.75" hidden="false" customHeight="false" outlineLevel="0" collapsed="false">
      <c r="A28" s="81"/>
      <c r="B28" s="81" t="s">
        <v>678</v>
      </c>
      <c r="C28" s="81"/>
      <c r="D28" s="81"/>
      <c r="E28" s="69"/>
      <c r="F28" s="70" t="n">
        <f aca="false">COUNTIF(F$3:F$23, "~**")</f>
        <v>0</v>
      </c>
      <c r="G28" s="70" t="n">
        <f aca="false">COUNTIF(G$3:G$23, "~**")</f>
        <v>0</v>
      </c>
      <c r="H28" s="70" t="n">
        <f aca="false">COUNTIF(H$3:H$23, "~**")</f>
        <v>0</v>
      </c>
      <c r="I28" s="70" t="n">
        <f aca="false">COUNTIF(I$3:I$23, "~**")</f>
        <v>0</v>
      </c>
      <c r="J28" s="70" t="n">
        <f aca="false">COUNTIF(J$3:J$23, "~**")</f>
        <v>0</v>
      </c>
      <c r="K28" s="70" t="n">
        <f aca="false">COUNTIF(K$3:K$23, "~**")</f>
        <v>0</v>
      </c>
      <c r="L28" s="70" t="n">
        <f aca="false">COUNTIF(L$3:L$23, "~**")</f>
        <v>0</v>
      </c>
      <c r="M28" s="70" t="n">
        <f aca="false">COUNTIF(M$3:M$23, "~**")</f>
        <v>0</v>
      </c>
      <c r="N28" s="70" t="n">
        <f aca="false">COUNTIF(N$3:N$23, "~**")</f>
        <v>0</v>
      </c>
      <c r="O28" s="70"/>
      <c r="P28" s="70"/>
      <c r="Q28" s="70" t="n">
        <f aca="false">COUNTIF(Q$3:Q$23, "~**")</f>
        <v>0</v>
      </c>
      <c r="R28" s="70" t="n">
        <f aca="false">COUNTIF(R$3:R$23, "~**")</f>
        <v>0</v>
      </c>
      <c r="S28" s="82"/>
      <c r="T28" s="83" t="s">
        <v>679</v>
      </c>
      <c r="U28" s="84"/>
      <c r="V28" s="84"/>
      <c r="W28" s="84"/>
      <c r="X28" s="85" t="n">
        <v>44475</v>
      </c>
      <c r="Y28" s="69"/>
      <c r="Z28" s="70"/>
      <c r="AA28" s="85"/>
      <c r="AB28" s="85"/>
      <c r="AC28" s="85"/>
      <c r="AD28" s="85" t="n">
        <v>44475</v>
      </c>
      <c r="AE28" s="69"/>
      <c r="AF28" s="70"/>
      <c r="AG28" s="85"/>
      <c r="AH28" s="85"/>
      <c r="AI28" s="85"/>
      <c r="AJ28" s="85" t="n">
        <v>44475</v>
      </c>
      <c r="AK28" s="69"/>
      <c r="AL28" s="70"/>
      <c r="AM28" s="85"/>
      <c r="AN28" s="85"/>
      <c r="AO28" s="85"/>
      <c r="AP28" s="85" t="n">
        <v>45205</v>
      </c>
      <c r="AQ28" s="69"/>
      <c r="AR28" s="70"/>
      <c r="AS28" s="70"/>
      <c r="AT28" s="70"/>
      <c r="AU28" s="70"/>
      <c r="AV28" s="70" t="s">
        <v>680</v>
      </c>
      <c r="AW28" s="86"/>
      <c r="AX28" s="87" t="s">
        <v>681</v>
      </c>
      <c r="AY28" s="87" t="s">
        <v>681</v>
      </c>
      <c r="AZ28" s="86"/>
      <c r="BA28" s="87"/>
      <c r="BB28" s="85" t="n">
        <v>44840</v>
      </c>
      <c r="BC28" s="86"/>
      <c r="BD28" s="87"/>
      <c r="BE28" s="69"/>
      <c r="BF28" s="70"/>
      <c r="BG28" s="87" t="s">
        <v>682</v>
      </c>
      <c r="BH28" s="87" t="s">
        <v>683</v>
      </c>
      <c r="BI28" s="80"/>
      <c r="BJ28" s="74"/>
      <c r="BK28" s="74"/>
    </row>
    <row r="29" customFormat="false" ht="15.75" hidden="false" customHeight="false" outlineLevel="0" collapsed="false">
      <c r="A29" s="81"/>
      <c r="B29" s="81" t="s">
        <v>684</v>
      </c>
      <c r="C29" s="81"/>
      <c r="D29" s="81"/>
      <c r="E29" s="69"/>
      <c r="F29" s="70" t="n">
        <f aca="false">COUNTIF(F$3:F$23, "~**")+COUNTIF(F$3:F$23, "Y")</f>
        <v>13</v>
      </c>
      <c r="G29" s="70" t="n">
        <f aca="false">COUNTIF(G$3:G$23, "~**")+COUNTIF(G$3:G$23, "Y")</f>
        <v>12</v>
      </c>
      <c r="H29" s="70" t="n">
        <f aca="false">COUNTIF(H$3:H$23, "~**")+COUNTIF(H$3:H$23, "Y")</f>
        <v>12</v>
      </c>
      <c r="I29" s="70" t="n">
        <f aca="false">COUNTIF(I$3:I$23, "~**")+COUNTIF(I$3:I$23, "Y")</f>
        <v>10</v>
      </c>
      <c r="J29" s="70" t="n">
        <f aca="false">COUNTIF(J$3:J$23, "~**")+COUNTIF(J$3:J$23, "Y")</f>
        <v>7</v>
      </c>
      <c r="K29" s="70" t="n">
        <f aca="false">COUNTIF(K$3:K$23, "~**")+COUNTIF(K$3:K$23, "Y")</f>
        <v>13</v>
      </c>
      <c r="L29" s="70" t="n">
        <f aca="false">COUNTIF(L$3:L$23, "~**")+COUNTIF(L$3:L$23, "Y")</f>
        <v>12</v>
      </c>
      <c r="M29" s="70" t="n">
        <f aca="false">COUNTIF(M$3:M$23, "~**")+COUNTIF(M$3:M$23, "Y")</f>
        <v>12</v>
      </c>
      <c r="N29" s="70" t="n">
        <f aca="false">COUNTIF(N$3:N$23, "~**")+COUNTIF(N$3:N$23, "Y")</f>
        <v>0</v>
      </c>
      <c r="O29" s="70"/>
      <c r="P29" s="70"/>
      <c r="Q29" s="70" t="n">
        <f aca="false">COUNTIF(Q$3:Q$23, "~**")+COUNTIF(Q$3:Q$23, "Y")</f>
        <v>0</v>
      </c>
      <c r="R29" s="70" t="n">
        <f aca="false">COUNTIF(R$3:R$23, "~**")+COUNTIF(R$3:R$23, "Y")</f>
        <v>0</v>
      </c>
      <c r="S29" s="82"/>
      <c r="T29" s="83"/>
      <c r="U29" s="44"/>
      <c r="V29" s="44"/>
      <c r="W29" s="87"/>
      <c r="X29" s="88"/>
      <c r="Y29" s="78"/>
      <c r="Z29" s="88"/>
      <c r="AA29" s="88"/>
      <c r="AB29" s="88"/>
      <c r="AC29" s="87"/>
      <c r="AD29" s="87"/>
      <c r="AE29" s="86"/>
      <c r="AF29" s="87"/>
      <c r="AG29" s="89"/>
      <c r="AH29" s="87"/>
      <c r="AI29" s="87"/>
      <c r="AJ29" s="87"/>
      <c r="AK29" s="86"/>
      <c r="AL29" s="87"/>
      <c r="AM29" s="44"/>
      <c r="AN29" s="44"/>
      <c r="AO29" s="44"/>
      <c r="AP29" s="44"/>
      <c r="AQ29" s="77"/>
      <c r="AR29" s="44"/>
      <c r="AS29" s="44"/>
      <c r="AT29" s="44"/>
      <c r="AU29" s="7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/>
      <c r="C30" s="81"/>
      <c r="D30" s="81"/>
      <c r="E30" s="77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77"/>
      <c r="T30" s="44"/>
      <c r="U30" s="44"/>
      <c r="V30" s="44"/>
      <c r="W30" s="90"/>
      <c r="X30" s="44"/>
      <c r="Y30" s="77"/>
      <c r="Z30" s="44"/>
      <c r="AA30" s="44"/>
      <c r="AB30" s="44"/>
      <c r="AC30" s="90"/>
      <c r="AD30" s="90"/>
      <c r="AE30" s="91"/>
      <c r="AF30" s="90"/>
      <c r="AG30" s="44"/>
      <c r="AH30" s="90"/>
      <c r="AI30" s="44"/>
      <c r="AJ30" s="44"/>
      <c r="AK30" s="77"/>
      <c r="AL30" s="44"/>
      <c r="AM30" s="44"/>
      <c r="AN30" s="44"/>
      <c r="AO30" s="44"/>
      <c r="AP30" s="44"/>
      <c r="AQ30" s="77"/>
      <c r="AR30" s="44"/>
      <c r="AS30" s="44"/>
      <c r="AT30" s="44"/>
      <c r="AU30" s="90"/>
      <c r="AV30" s="90"/>
      <c r="AW30" s="72"/>
      <c r="AX30" s="74"/>
      <c r="AY30" s="74"/>
      <c r="AZ30" s="72"/>
      <c r="BA30" s="74"/>
      <c r="BB30" s="74"/>
      <c r="BC30" s="72"/>
      <c r="BD30" s="74"/>
      <c r="BE30" s="72"/>
      <c r="BF30" s="74"/>
      <c r="BG30" s="74"/>
      <c r="BH30" s="74"/>
      <c r="BI30" s="80"/>
      <c r="BJ30" s="74"/>
      <c r="BK30" s="74"/>
    </row>
    <row r="31" customFormat="false" ht="15.75" hidden="false" customHeight="false" outlineLevel="0" collapsed="false">
      <c r="A31" s="81"/>
      <c r="B31" s="81" t="s">
        <v>685</v>
      </c>
      <c r="C31" s="81"/>
      <c r="D31" s="81"/>
      <c r="E31" s="77"/>
      <c r="F31" s="44" t="s">
        <v>686</v>
      </c>
      <c r="G31" s="44"/>
      <c r="H31" s="44"/>
      <c r="I31" s="44"/>
      <c r="J31" s="44"/>
      <c r="K31" s="44"/>
      <c r="L31" s="44"/>
      <c r="M31" s="44"/>
      <c r="N31" s="44"/>
      <c r="S31" s="76"/>
      <c r="T31" s="81" t="s">
        <v>687</v>
      </c>
      <c r="U31" s="44" t="n">
        <v>0</v>
      </c>
      <c r="V31" s="44" t="n">
        <f aca="false">COUNT(V3:V26)</f>
        <v>18</v>
      </c>
      <c r="W31" s="44" t="n">
        <f aca="false">COUNT(W3:W26)</f>
        <v>18</v>
      </c>
      <c r="X31" s="44" t="n">
        <f aca="false">COUNT(X3:X26)</f>
        <v>18</v>
      </c>
      <c r="Y31" s="77"/>
      <c r="Z31" s="44"/>
      <c r="AA31" s="44" t="n">
        <f aca="false">COUNT(AA3:AA26)</f>
        <v>18</v>
      </c>
      <c r="AB31" s="44" t="n">
        <f aca="false">COUNT(AB3:AB26)</f>
        <v>18</v>
      </c>
      <c r="AC31" s="44" t="n">
        <f aca="false">COUNT(AC3:AC26)</f>
        <v>18</v>
      </c>
      <c r="AD31" s="44" t="n">
        <f aca="false">COUNT(AD3:AD26)</f>
        <v>18</v>
      </c>
      <c r="AE31" s="77"/>
      <c r="AF31" s="44"/>
      <c r="AG31" s="44" t="n">
        <f aca="false">COUNT(AG3:AG26)</f>
        <v>18</v>
      </c>
      <c r="AH31" s="44" t="n">
        <f aca="false">COUNT(AH3:AH26)</f>
        <v>18</v>
      </c>
      <c r="AI31" s="44" t="n">
        <f aca="false">COUNT(AI3:AI26)</f>
        <v>18</v>
      </c>
      <c r="AJ31" s="44" t="n">
        <f aca="false">COUNT(AJ3:AJ26)</f>
        <v>18</v>
      </c>
      <c r="AK31" s="77"/>
      <c r="AL31" s="44"/>
      <c r="AM31" s="44" t="n">
        <f aca="false">COUNT(AM3:AM26)</f>
        <v>18</v>
      </c>
      <c r="AN31" s="44" t="n">
        <f aca="false">COUNT(AN3:AN26)</f>
        <v>18</v>
      </c>
      <c r="AO31" s="44" t="n">
        <f aca="false">COUNT(AO3:AO26)</f>
        <v>18</v>
      </c>
      <c r="AP31" s="44" t="n">
        <f aca="false">COUNT(AP3:AP26)</f>
        <v>18</v>
      </c>
      <c r="AQ31" s="77"/>
      <c r="AR31" s="44"/>
      <c r="AS31" s="44" t="n">
        <f aca="false">COUNT(AS3:AS26)</f>
        <v>12</v>
      </c>
      <c r="AT31" s="44" t="n">
        <f aca="false">COUNT(AT3:AT26)</f>
        <v>12</v>
      </c>
      <c r="AU31" s="44" t="n">
        <f aca="false">COUNT(AU3:AU26)</f>
        <v>12</v>
      </c>
      <c r="AV31" s="44" t="n">
        <f aca="false">COUNT(AV3:AV26)</f>
        <v>18</v>
      </c>
      <c r="AW31" s="77"/>
      <c r="AX31" s="44" t="n">
        <f aca="false">COUNT(AX3:AX26)</f>
        <v>9</v>
      </c>
      <c r="AY31" s="44" t="n">
        <f aca="false">COUNT(AY3:AY26)</f>
        <v>8</v>
      </c>
      <c r="AZ31" s="77"/>
      <c r="BA31" s="44"/>
      <c r="BB31" s="44" t="n">
        <f aca="false">COUNTIF(BB3:BB26, "&gt;=6")</f>
        <v>18</v>
      </c>
      <c r="BC31" s="77"/>
      <c r="BD31" s="44" t="n">
        <f aca="false">COUNTIF(BD3:BD26, "Да")</f>
        <v>18</v>
      </c>
      <c r="BE31" s="77"/>
      <c r="BF31" s="44"/>
      <c r="BG31" s="44" t="n">
        <f aca="false">COUNT(BG3:BG26)</f>
        <v>18</v>
      </c>
      <c r="BH31" s="44" t="n">
        <f aca="false">COUNT(BH3:BH26)</f>
        <v>9</v>
      </c>
      <c r="BI31" s="80"/>
      <c r="BJ31" s="74"/>
      <c r="BK31" s="74"/>
    </row>
    <row r="32" customFormat="false" ht="15.75" hidden="false" customHeight="false" outlineLevel="0" collapsed="false">
      <c r="A32" s="92"/>
      <c r="E32" s="77"/>
      <c r="F32" s="44" t="s">
        <v>688</v>
      </c>
      <c r="G32" s="44"/>
      <c r="H32" s="44"/>
      <c r="I32" s="44"/>
      <c r="J32" s="44"/>
      <c r="K32" s="44"/>
      <c r="L32" s="44"/>
      <c r="M32" s="44"/>
      <c r="N32" s="93"/>
      <c r="S32" s="94"/>
      <c r="T32" s="92" t="s">
        <v>689</v>
      </c>
      <c r="V32" s="93"/>
      <c r="W32" s="93"/>
      <c r="X32" s="95" t="n">
        <f aca="false">IF(COUNTA($B$3:$B$23)&gt;0,COUNTA(X$3:X$23)/COUNTA($B$3:$B$23), 0)</f>
        <v>1</v>
      </c>
      <c r="Y32" s="96"/>
      <c r="Z32" s="93"/>
      <c r="AA32" s="93"/>
      <c r="AB32" s="93"/>
      <c r="AC32" s="93"/>
      <c r="AD32" s="95" t="n">
        <f aca="false">IF(COUNTA($B$3:$B$23)&gt;0,COUNTA(AD$3:AD$23)/COUNTA($B$3:$B$23), 0)</f>
        <v>1</v>
      </c>
      <c r="AE32" s="97"/>
      <c r="AF32" s="98"/>
      <c r="AG32" s="93"/>
      <c r="AH32" s="98"/>
      <c r="AI32" s="93"/>
      <c r="AJ32" s="95" t="n">
        <f aca="false">IF(COUNTA($B$3:$B$23)&gt;0,COUNTA(AJ$3:AJ$23)/COUNTA($B$3:$B$23), 0)</f>
        <v>1</v>
      </c>
      <c r="AK32" s="96"/>
      <c r="AL32" s="93"/>
      <c r="AM32" s="93"/>
      <c r="AN32" s="93"/>
      <c r="AO32" s="93"/>
      <c r="AP32" s="95" t="n">
        <f aca="false">IF(COUNTA($B$3:$B$23)&gt;0,COUNTA(AP$3:AP$23)/COUNTA($B$3:$B$23), 0)</f>
        <v>1</v>
      </c>
      <c r="AQ32" s="96"/>
      <c r="AR32" s="93"/>
      <c r="AS32" s="93"/>
      <c r="AT32" s="93"/>
      <c r="AU32" s="93"/>
      <c r="AV32" s="95" t="n">
        <f aca="false">IF(COUNTA($B$3:$B$23)&gt;0,COUNTA(AV$3:AV$23)/COUNTA($B$3:$B$23), 0)</f>
        <v>1</v>
      </c>
      <c r="AW32" s="99"/>
      <c r="AX32" s="100"/>
      <c r="AY32" s="100"/>
      <c r="AZ32" s="99"/>
      <c r="BA32" s="100"/>
      <c r="BB32" s="95" t="n">
        <f aca="false">IF(COUNTA($B$3:$B$23)&gt;0,COUNTA(BB$3:BB$23)/COUNTA($B$3:$B$23), 0)</f>
        <v>1</v>
      </c>
      <c r="BC32" s="77"/>
      <c r="BD32" s="44" t="n">
        <f aca="false">COUNTIF(BD3:BD26, "Да")</f>
        <v>18</v>
      </c>
      <c r="BE32" s="101"/>
      <c r="BF32" s="102"/>
      <c r="BG32" s="102"/>
      <c r="BH32" s="100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690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false" customHeight="false" outlineLevel="0" collapsed="false">
      <c r="A34" s="92"/>
      <c r="B34" s="92"/>
      <c r="C34" s="92"/>
      <c r="D34" s="92"/>
      <c r="E34" s="77"/>
      <c r="F34" s="44" t="s">
        <v>691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  <row r="37" customFormat="false" ht="15.75" hidden="true" customHeight="false" outlineLevel="0" collapsed="false">
      <c r="A37" s="92"/>
      <c r="B37" s="92"/>
      <c r="C37" s="92"/>
      <c r="D37" s="92"/>
      <c r="E37" s="10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77"/>
      <c r="T37" s="44"/>
      <c r="U37" s="44"/>
      <c r="V37" s="44"/>
      <c r="W37" s="44"/>
      <c r="X37" s="44"/>
      <c r="Y37" s="77"/>
      <c r="Z37" s="44"/>
      <c r="AA37" s="44"/>
      <c r="AB37" s="44"/>
      <c r="AC37" s="44"/>
      <c r="AD37" s="90"/>
      <c r="AE37" s="91"/>
      <c r="AF37" s="90"/>
      <c r="AG37" s="44"/>
      <c r="AH37" s="90"/>
      <c r="AI37" s="44"/>
      <c r="AJ37" s="44"/>
      <c r="AK37" s="77"/>
      <c r="AL37" s="44"/>
      <c r="AM37" s="44"/>
      <c r="AN37" s="44"/>
      <c r="AO37" s="44"/>
      <c r="AP37" s="44"/>
      <c r="AQ37" s="77"/>
      <c r="AR37" s="44"/>
      <c r="AS37" s="44"/>
      <c r="AT37" s="44"/>
      <c r="AU37" s="44"/>
      <c r="AV37" s="44"/>
      <c r="AW37" s="101"/>
      <c r="AX37" s="102"/>
      <c r="AY37" s="102"/>
      <c r="AZ37" s="101"/>
      <c r="BA37" s="102"/>
      <c r="BB37" s="102"/>
      <c r="BC37" s="101"/>
      <c r="BD37" s="102"/>
      <c r="BE37" s="101"/>
      <c r="BF37" s="102"/>
      <c r="BG37" s="102"/>
      <c r="BH37" s="102"/>
      <c r="BI37" s="103"/>
      <c r="BJ37" s="102"/>
      <c r="BK37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6 AA3:AC26 AG3:AI26 AM3:AO26 AS3:AU26">
    <cfRule type="expression" priority="2" aboveAverage="0" equalAverage="0" bottom="0" percent="0" rank="0" text="" dxfId="2">
      <formula>U3&gt;45809</formula>
    </cfRule>
  </conditionalFormatting>
  <conditionalFormatting sqref="BC3:BD26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6">
    <cfRule type="cellIs" priority="5" operator="equal" aboveAverage="0" equalAverage="0" bottom="0" percent="0" rank="0" text="" dxfId="5">
      <formula>"N"</formula>
    </cfRule>
  </conditionalFormatting>
  <conditionalFormatting sqref="BK3:BK23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74EA7"/>
    <outlinePr summaryBelow="0"/>
    <pageSetUpPr fitToPage="false"/>
  </sheetPr>
  <dimension ref="A1:B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8.38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1043</v>
      </c>
      <c r="C1" s="45" t="s">
        <v>1044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45332</v>
      </c>
      <c r="G2" s="55" t="n">
        <f aca="false">F2+14</f>
        <v>45346</v>
      </c>
      <c r="H2" s="55" t="n">
        <f aca="false">G2+14</f>
        <v>45360</v>
      </c>
      <c r="I2" s="55" t="n">
        <f aca="false">H2+14</f>
        <v>45374</v>
      </c>
      <c r="J2" s="55" t="n">
        <f aca="false">I2+14</f>
        <v>45388</v>
      </c>
      <c r="K2" s="55" t="n">
        <f aca="false">J2+14</f>
        <v>45402</v>
      </c>
      <c r="L2" s="55" t="n">
        <f aca="false">K2+14</f>
        <v>45416</v>
      </c>
      <c r="M2" s="55" t="n">
        <f aca="false">L2+14</f>
        <v>45430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75" t="s">
        <v>1045</v>
      </c>
      <c r="C3" s="61" t="s">
        <v>24</v>
      </c>
      <c r="D3" s="61" t="s">
        <v>1046</v>
      </c>
      <c r="E3" s="62"/>
      <c r="F3" s="63" t="s">
        <v>920</v>
      </c>
      <c r="G3" s="63" t="s">
        <v>920</v>
      </c>
      <c r="H3" s="63" t="s">
        <v>920</v>
      </c>
      <c r="I3" s="176" t="s">
        <v>920</v>
      </c>
      <c r="J3" s="176" t="s">
        <v>920</v>
      </c>
      <c r="K3" s="176" t="s">
        <v>920</v>
      </c>
      <c r="L3" s="176" t="s">
        <v>920</v>
      </c>
      <c r="M3" s="63" t="s">
        <v>920</v>
      </c>
      <c r="N3" s="63" t="s">
        <v>920</v>
      </c>
      <c r="O3" s="63" t="s">
        <v>920</v>
      </c>
      <c r="P3" s="63" t="s">
        <v>920</v>
      </c>
      <c r="Q3" s="63" t="s">
        <v>920</v>
      </c>
      <c r="R3" s="63" t="s">
        <v>920</v>
      </c>
      <c r="S3" s="65"/>
      <c r="T3" s="66" t="s">
        <v>1047</v>
      </c>
      <c r="U3" s="67"/>
      <c r="V3" s="67"/>
      <c r="W3" s="67"/>
      <c r="X3" s="68"/>
      <c r="Y3" s="69"/>
      <c r="Z3" s="70"/>
      <c r="AA3" s="67"/>
      <c r="AB3" s="67"/>
      <c r="AC3" s="67"/>
      <c r="AD3" s="68"/>
      <c r="AE3" s="69"/>
      <c r="AF3" s="70"/>
      <c r="AG3" s="70"/>
      <c r="AH3" s="70"/>
      <c r="AI3" s="70"/>
      <c r="AJ3" s="68"/>
      <c r="AK3" s="69"/>
      <c r="AL3" s="70"/>
      <c r="AM3" s="70"/>
      <c r="AN3" s="70"/>
      <c r="AO3" s="70"/>
      <c r="AP3" s="68"/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68" t="n">
        <v>0</v>
      </c>
      <c r="AW3" s="69"/>
      <c r="AX3" s="68"/>
      <c r="AY3" s="68"/>
      <c r="AZ3" s="69"/>
      <c r="BA3" s="70"/>
      <c r="BB3" s="71"/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0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175" t="s">
        <v>28</v>
      </c>
      <c r="C4" s="61" t="s">
        <v>24</v>
      </c>
      <c r="D4" s="61" t="s">
        <v>27</v>
      </c>
      <c r="E4" s="62"/>
      <c r="F4" s="63" t="s">
        <v>920</v>
      </c>
      <c r="G4" s="63" t="s">
        <v>919</v>
      </c>
      <c r="H4" s="63" t="s">
        <v>920</v>
      </c>
      <c r="I4" s="74" t="s">
        <v>734</v>
      </c>
      <c r="J4" s="74" t="s">
        <v>739</v>
      </c>
      <c r="K4" s="74" t="s">
        <v>734</v>
      </c>
      <c r="L4" s="176" t="s">
        <v>920</v>
      </c>
      <c r="M4" s="63" t="s">
        <v>920</v>
      </c>
      <c r="N4" s="63" t="s">
        <v>920</v>
      </c>
      <c r="O4" s="63" t="s">
        <v>920</v>
      </c>
      <c r="P4" s="63" t="s">
        <v>920</v>
      </c>
      <c r="Q4" s="63" t="s">
        <v>920</v>
      </c>
      <c r="R4" s="63" t="s">
        <v>920</v>
      </c>
      <c r="S4" s="65"/>
      <c r="T4" s="66" t="s">
        <v>1048</v>
      </c>
      <c r="U4" s="67" t="n">
        <v>45754</v>
      </c>
      <c r="V4" s="67" t="n">
        <v>45765</v>
      </c>
      <c r="W4" s="67" t="n">
        <v>45765</v>
      </c>
      <c r="X4" s="68" t="n">
        <v>8</v>
      </c>
      <c r="Y4" s="69"/>
      <c r="Z4" s="70" t="n">
        <v>5651</v>
      </c>
      <c r="AA4" s="67"/>
      <c r="AB4" s="67"/>
      <c r="AC4" s="67"/>
      <c r="AD4" s="68"/>
      <c r="AE4" s="69"/>
      <c r="AF4" s="70"/>
      <c r="AG4" s="70"/>
      <c r="AH4" s="70"/>
      <c r="AI4" s="70"/>
      <c r="AJ4" s="68"/>
      <c r="AK4" s="69"/>
      <c r="AL4" s="70"/>
      <c r="AM4" s="70"/>
      <c r="AN4" s="70"/>
      <c r="AO4" s="70"/>
      <c r="AP4" s="68"/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68" t="n">
        <v>0</v>
      </c>
      <c r="AW4" s="69"/>
      <c r="AX4" s="68"/>
      <c r="AY4" s="68"/>
      <c r="AZ4" s="69"/>
      <c r="BA4" s="70"/>
      <c r="BB4" s="71"/>
      <c r="BC4" s="72"/>
      <c r="BD4" s="73" t="str">
        <f aca="false">IF(AND(BB4&gt;=6,AP4&gt;=6,AJ4&gt;=6,AD4&gt;=6,X4&gt;=6),"да","нет")</f>
        <v>нет</v>
      </c>
      <c r="BE4" s="72"/>
      <c r="BF4" s="74"/>
      <c r="BG4" s="71"/>
      <c r="BH4" s="68"/>
      <c r="BI4" s="50"/>
      <c r="BJ4" s="75" t="n">
        <f aca="false">SUM(X4,AD4,AJ4,AP4,AV4,AX4:AY4,BH4,BB4,BG4)</f>
        <v>8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60" t="s">
        <v>30</v>
      </c>
      <c r="C5" s="61" t="s">
        <v>24</v>
      </c>
      <c r="D5" s="61" t="s">
        <v>29</v>
      </c>
      <c r="E5" s="62"/>
      <c r="F5" s="63" t="s">
        <v>919</v>
      </c>
      <c r="G5" s="63" t="s">
        <v>920</v>
      </c>
      <c r="H5" s="63" t="s">
        <v>734</v>
      </c>
      <c r="I5" s="176" t="s">
        <v>920</v>
      </c>
      <c r="J5" s="74" t="s">
        <v>739</v>
      </c>
      <c r="K5" s="74" t="s">
        <v>734</v>
      </c>
      <c r="L5" s="74" t="s">
        <v>734</v>
      </c>
      <c r="M5" s="63" t="s">
        <v>920</v>
      </c>
      <c r="N5" s="63" t="s">
        <v>739</v>
      </c>
      <c r="O5" s="63" t="s">
        <v>920</v>
      </c>
      <c r="P5" s="63" t="s">
        <v>920</v>
      </c>
      <c r="Q5" s="63" t="s">
        <v>920</v>
      </c>
      <c r="R5" s="63" t="s">
        <v>920</v>
      </c>
      <c r="S5" s="65"/>
      <c r="T5" s="66" t="s">
        <v>1049</v>
      </c>
      <c r="U5" s="67" t="n">
        <v>45726</v>
      </c>
      <c r="V5" s="67" t="n">
        <v>45765</v>
      </c>
      <c r="W5" s="67" t="n">
        <v>45765</v>
      </c>
      <c r="X5" s="68" t="n">
        <v>7</v>
      </c>
      <c r="Y5" s="69"/>
      <c r="Z5" s="70" t="n">
        <v>2143</v>
      </c>
      <c r="AA5" s="67" t="n">
        <v>45768</v>
      </c>
      <c r="AB5" s="67" t="n">
        <v>45768</v>
      </c>
      <c r="AC5" s="67" t="n">
        <v>45782</v>
      </c>
      <c r="AD5" s="68" t="n">
        <v>8.5</v>
      </c>
      <c r="AE5" s="69"/>
      <c r="AF5" s="70" t="n">
        <v>56</v>
      </c>
      <c r="AG5" s="106" t="n">
        <v>45830</v>
      </c>
      <c r="AH5" s="106" t="n">
        <v>45830</v>
      </c>
      <c r="AI5" s="106" t="n">
        <v>45830</v>
      </c>
      <c r="AJ5" s="68" t="n">
        <v>6</v>
      </c>
      <c r="AK5" s="69"/>
      <c r="AL5" s="70" t="n">
        <v>56563</v>
      </c>
      <c r="AM5" s="106" t="n">
        <v>45835</v>
      </c>
      <c r="AN5" s="106" t="n">
        <v>45835</v>
      </c>
      <c r="AO5" s="106" t="n">
        <v>45835</v>
      </c>
      <c r="AP5" s="68" t="n">
        <v>8.5</v>
      </c>
      <c r="AQ5" s="69"/>
      <c r="AR5" s="70" t="s">
        <v>737</v>
      </c>
      <c r="AS5" s="70" t="s">
        <v>737</v>
      </c>
      <c r="AT5" s="70" t="s">
        <v>737</v>
      </c>
      <c r="AU5" s="70" t="s">
        <v>737</v>
      </c>
      <c r="AV5" s="68" t="n">
        <v>0</v>
      </c>
      <c r="AW5" s="69"/>
      <c r="AX5" s="68" t="n">
        <v>0</v>
      </c>
      <c r="AY5" s="68" t="n">
        <v>2</v>
      </c>
      <c r="AZ5" s="69"/>
      <c r="BA5" s="106" t="n">
        <v>45835</v>
      </c>
      <c r="BB5" s="71" t="n">
        <v>0.1</v>
      </c>
      <c r="BC5" s="72"/>
      <c r="BD5" s="73" t="str">
        <f aca="false">IF(AND(BB5&gt;=6,AP5&gt;=6,AJ5&gt;=6,AD5&gt;=6,X5&gt;=6),"да","нет")</f>
        <v>нет</v>
      </c>
      <c r="BE5" s="72"/>
      <c r="BF5" s="74"/>
      <c r="BG5" s="71"/>
      <c r="BH5" s="68"/>
      <c r="BI5" s="50"/>
      <c r="BJ5" s="75" t="n">
        <f aca="false">SUM(X5,AD5,AJ5,AP5,AV5,AX5:AY5,BH5,BB5,BG5)</f>
        <v>32.1</v>
      </c>
      <c r="BK5" s="73" t="str">
        <f aca="false">IF(BJ5&gt;90,"A",IF(BJ5&gt;83,"B",IF(BJ5&gt;74,"C",IF(BJ5&gt;67,"D",IF(BJ5&gt;=60,"E","FX")))))</f>
        <v>FX</v>
      </c>
    </row>
    <row r="6" customFormat="false" ht="15.75" hidden="false" customHeight="false" outlineLevel="0" collapsed="false">
      <c r="A6" s="59" t="n">
        <f aca="false">A5+1</f>
        <v>4</v>
      </c>
      <c r="B6" s="60" t="s">
        <v>32</v>
      </c>
      <c r="C6" s="61" t="s">
        <v>24</v>
      </c>
      <c r="D6" s="61" t="s">
        <v>31</v>
      </c>
      <c r="E6" s="62"/>
      <c r="F6" s="63" t="s">
        <v>919</v>
      </c>
      <c r="G6" s="63" t="s">
        <v>734</v>
      </c>
      <c r="H6" s="63" t="s">
        <v>920</v>
      </c>
      <c r="I6" s="74" t="s">
        <v>739</v>
      </c>
      <c r="J6" s="74" t="s">
        <v>734</v>
      </c>
      <c r="K6" s="176" t="s">
        <v>920</v>
      </c>
      <c r="L6" s="74" t="s">
        <v>734</v>
      </c>
      <c r="M6" s="63" t="s">
        <v>734</v>
      </c>
      <c r="N6" s="63" t="s">
        <v>734</v>
      </c>
      <c r="O6" s="63" t="s">
        <v>920</v>
      </c>
      <c r="P6" s="63" t="s">
        <v>738</v>
      </c>
      <c r="Q6" s="63" t="s">
        <v>920</v>
      </c>
      <c r="R6" s="63" t="s">
        <v>920</v>
      </c>
      <c r="S6" s="65"/>
      <c r="T6" s="66" t="s">
        <v>1050</v>
      </c>
      <c r="U6" s="67" t="n">
        <v>45712</v>
      </c>
      <c r="V6" s="67" t="n">
        <v>45712</v>
      </c>
      <c r="W6" s="67" t="n">
        <v>45765</v>
      </c>
      <c r="X6" s="70" t="n">
        <v>8.5</v>
      </c>
      <c r="Y6" s="69"/>
      <c r="Z6" s="70" t="n">
        <v>3212</v>
      </c>
      <c r="AA6" s="67" t="n">
        <v>45782</v>
      </c>
      <c r="AB6" s="67" t="n">
        <v>45816</v>
      </c>
      <c r="AC6" s="67" t="n">
        <v>45816</v>
      </c>
      <c r="AD6" s="68" t="n">
        <v>9</v>
      </c>
      <c r="AE6" s="69"/>
      <c r="AF6" s="70" t="n">
        <v>5930521</v>
      </c>
      <c r="AG6" s="106" t="n">
        <v>45830</v>
      </c>
      <c r="AH6" s="106" t="n">
        <v>45830</v>
      </c>
      <c r="AI6" s="106" t="n">
        <v>45830</v>
      </c>
      <c r="AJ6" s="68" t="n">
        <v>9</v>
      </c>
      <c r="AK6" s="69"/>
      <c r="AL6" s="70" t="n">
        <v>111333999</v>
      </c>
      <c r="AM6" s="106" t="n">
        <v>45835</v>
      </c>
      <c r="AN6" s="106" t="n">
        <v>45835</v>
      </c>
      <c r="AO6" s="106" t="n">
        <v>45835</v>
      </c>
      <c r="AP6" s="68" t="n">
        <v>10</v>
      </c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/>
      <c r="AY6" s="68"/>
      <c r="AZ6" s="69"/>
      <c r="BA6" s="106" t="n">
        <v>45793</v>
      </c>
      <c r="BB6" s="71" t="n">
        <v>8</v>
      </c>
      <c r="BC6" s="72"/>
      <c r="BD6" s="73" t="str">
        <f aca="false">IF(AND(BB6&gt;=6,AP6&gt;=6,AJ6&gt;=6,AD6&gt;=6,X6&gt;=6),"да","нет")</f>
        <v>да</v>
      </c>
      <c r="BE6" s="72"/>
      <c r="BF6" s="74"/>
      <c r="BG6" s="71" t="n">
        <v>25</v>
      </c>
      <c r="BH6" s="68"/>
      <c r="BI6" s="50"/>
      <c r="BJ6" s="126" t="n">
        <f aca="false">SUM(X6,AD6,AJ6,AP6,AV6,AX6:AY6,BH6,BB6,BG6)</f>
        <v>69.5</v>
      </c>
      <c r="BK6" s="73" t="str">
        <f aca="false">IF(BJ6&gt;90,"A",IF(BJ6&gt;83,"B",IF(BJ6&gt;74,"C",IF(BJ6&gt;67,"D",IF(BJ6&gt;=60,"E","FX")))))</f>
        <v>D</v>
      </c>
    </row>
    <row r="7" customFormat="false" ht="15.75" hidden="false" customHeight="false" outlineLevel="0" collapsed="false">
      <c r="A7" s="59" t="n">
        <f aca="false">A6+1</f>
        <v>5</v>
      </c>
      <c r="B7" s="175" t="s">
        <v>1051</v>
      </c>
      <c r="C7" s="61" t="s">
        <v>24</v>
      </c>
      <c r="D7" s="61" t="s">
        <v>1052</v>
      </c>
      <c r="E7" s="62"/>
      <c r="F7" s="63" t="s">
        <v>920</v>
      </c>
      <c r="G7" s="63" t="s">
        <v>920</v>
      </c>
      <c r="H7" s="63" t="s">
        <v>920</v>
      </c>
      <c r="I7" s="176" t="s">
        <v>920</v>
      </c>
      <c r="J7" s="176" t="s">
        <v>920</v>
      </c>
      <c r="K7" s="176" t="s">
        <v>920</v>
      </c>
      <c r="L7" s="176" t="s">
        <v>920</v>
      </c>
      <c r="M7" s="63" t="s">
        <v>920</v>
      </c>
      <c r="N7" s="63" t="s">
        <v>920</v>
      </c>
      <c r="O7" s="63" t="s">
        <v>920</v>
      </c>
      <c r="P7" s="63" t="s">
        <v>920</v>
      </c>
      <c r="Q7" s="63" t="s">
        <v>920</v>
      </c>
      <c r="R7" s="63" t="s">
        <v>920</v>
      </c>
      <c r="S7" s="65"/>
      <c r="T7" s="66" t="s">
        <v>1053</v>
      </c>
      <c r="U7" s="67"/>
      <c r="V7" s="67"/>
      <c r="W7" s="67"/>
      <c r="X7" s="68"/>
      <c r="Y7" s="69"/>
      <c r="Z7" s="70"/>
      <c r="AA7" s="67"/>
      <c r="AB7" s="67"/>
      <c r="AC7" s="67"/>
      <c r="AD7" s="68"/>
      <c r="AE7" s="69"/>
      <c r="AF7" s="70"/>
      <c r="AG7" s="70"/>
      <c r="AH7" s="70"/>
      <c r="AI7" s="70"/>
      <c r="AJ7" s="68"/>
      <c r="AK7" s="69"/>
      <c r="AL7" s="70"/>
      <c r="AM7" s="70"/>
      <c r="AN7" s="70"/>
      <c r="AO7" s="70"/>
      <c r="AP7" s="68"/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68" t="n">
        <v>0</v>
      </c>
      <c r="AW7" s="69"/>
      <c r="AX7" s="68"/>
      <c r="AY7" s="68"/>
      <c r="AZ7" s="69"/>
      <c r="BA7" s="70"/>
      <c r="BB7" s="71"/>
      <c r="BC7" s="72"/>
      <c r="BD7" s="73" t="str">
        <f aca="false">IF(AND(BB7&gt;=6,AP7&gt;=6,AJ7&gt;=6,AD7&gt;=6,X7&gt;=6),"да","нет")</f>
        <v>нет</v>
      </c>
      <c r="BE7" s="72"/>
      <c r="BF7" s="74"/>
      <c r="BG7" s="71"/>
      <c r="BH7" s="68"/>
      <c r="BI7" s="50"/>
      <c r="BJ7" s="75" t="n">
        <f aca="false">SUM(X7,AD7,AJ7,AP7,AV7,AX7:AY7,BH7,BB7,BG7)</f>
        <v>0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175" t="s">
        <v>1054</v>
      </c>
      <c r="C8" s="61" t="s">
        <v>24</v>
      </c>
      <c r="D8" s="61" t="s">
        <v>1055</v>
      </c>
      <c r="E8" s="62"/>
      <c r="F8" s="63" t="s">
        <v>920</v>
      </c>
      <c r="G8" s="63" t="s">
        <v>920</v>
      </c>
      <c r="H8" s="63" t="s">
        <v>920</v>
      </c>
      <c r="I8" s="176" t="s">
        <v>920</v>
      </c>
      <c r="J8" s="176" t="s">
        <v>920</v>
      </c>
      <c r="K8" s="176" t="s">
        <v>920</v>
      </c>
      <c r="L8" s="176" t="s">
        <v>920</v>
      </c>
      <c r="M8" s="63" t="s">
        <v>920</v>
      </c>
      <c r="N8" s="63" t="s">
        <v>920</v>
      </c>
      <c r="O8" s="63" t="s">
        <v>920</v>
      </c>
      <c r="P8" s="63" t="s">
        <v>920</v>
      </c>
      <c r="Q8" s="63" t="s">
        <v>920</v>
      </c>
      <c r="R8" s="63" t="s">
        <v>920</v>
      </c>
      <c r="S8" s="65"/>
      <c r="T8" s="66" t="s">
        <v>1056</v>
      </c>
      <c r="U8" s="67"/>
      <c r="V8" s="67"/>
      <c r="W8" s="67"/>
      <c r="X8" s="68"/>
      <c r="Y8" s="69"/>
      <c r="Z8" s="70"/>
      <c r="AA8" s="67"/>
      <c r="AB8" s="67"/>
      <c r="AC8" s="67"/>
      <c r="AD8" s="68"/>
      <c r="AE8" s="69"/>
      <c r="AF8" s="70"/>
      <c r="AG8" s="70"/>
      <c r="AH8" s="70"/>
      <c r="AI8" s="70"/>
      <c r="AJ8" s="68"/>
      <c r="AK8" s="69"/>
      <c r="AL8" s="70"/>
      <c r="AM8" s="70"/>
      <c r="AN8" s="70"/>
      <c r="AO8" s="70"/>
      <c r="AP8" s="68"/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/>
      <c r="AY8" s="68"/>
      <c r="AZ8" s="69"/>
      <c r="BA8" s="70"/>
      <c r="BB8" s="71"/>
      <c r="BC8" s="72"/>
      <c r="BD8" s="73" t="str">
        <f aca="false">IF(AND(BB8&gt;=6,AP8&gt;=6,AJ8&gt;=6,AD8&gt;=6,X8&gt;=6),"да","нет")</f>
        <v>нет</v>
      </c>
      <c r="BE8" s="72"/>
      <c r="BF8" s="74"/>
      <c r="BG8" s="71"/>
      <c r="BH8" s="68"/>
      <c r="BI8" s="50"/>
      <c r="BJ8" s="75" t="n">
        <f aca="false">SUM(X8,AD8,AJ8,AP8,AV8,AX8:AY8,BH8,BB8,BG8)</f>
        <v>0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175" t="s">
        <v>1057</v>
      </c>
      <c r="C9" s="61" t="s">
        <v>24</v>
      </c>
      <c r="D9" s="61" t="s">
        <v>1058</v>
      </c>
      <c r="E9" s="62"/>
      <c r="F9" s="63" t="s">
        <v>920</v>
      </c>
      <c r="G9" s="63" t="s">
        <v>920</v>
      </c>
      <c r="H9" s="63" t="s">
        <v>920</v>
      </c>
      <c r="I9" s="176" t="s">
        <v>920</v>
      </c>
      <c r="J9" s="176" t="s">
        <v>920</v>
      </c>
      <c r="K9" s="176" t="s">
        <v>920</v>
      </c>
      <c r="L9" s="176" t="s">
        <v>920</v>
      </c>
      <c r="M9" s="63" t="s">
        <v>920</v>
      </c>
      <c r="N9" s="63" t="s">
        <v>920</v>
      </c>
      <c r="O9" s="63" t="s">
        <v>920</v>
      </c>
      <c r="P9" s="63" t="s">
        <v>920</v>
      </c>
      <c r="Q9" s="63" t="s">
        <v>920</v>
      </c>
      <c r="R9" s="63" t="s">
        <v>920</v>
      </c>
      <c r="S9" s="65"/>
      <c r="T9" s="66" t="s">
        <v>1059</v>
      </c>
      <c r="U9" s="67"/>
      <c r="V9" s="67"/>
      <c r="W9" s="67"/>
      <c r="X9" s="68"/>
      <c r="Y9" s="69"/>
      <c r="Z9" s="70"/>
      <c r="AA9" s="67"/>
      <c r="AB9" s="67"/>
      <c r="AC9" s="67"/>
      <c r="AD9" s="68"/>
      <c r="AE9" s="69"/>
      <c r="AF9" s="70"/>
      <c r="AG9" s="70"/>
      <c r="AH9" s="70"/>
      <c r="AI9" s="70"/>
      <c r="AJ9" s="68"/>
      <c r="AK9" s="69"/>
      <c r="AL9" s="70"/>
      <c r="AM9" s="70"/>
      <c r="AN9" s="70"/>
      <c r="AO9" s="70"/>
      <c r="AP9" s="68"/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68" t="n">
        <v>0</v>
      </c>
      <c r="AW9" s="69"/>
      <c r="AX9" s="68"/>
      <c r="AY9" s="68"/>
      <c r="AZ9" s="69"/>
      <c r="BA9" s="70"/>
      <c r="BB9" s="71"/>
      <c r="BC9" s="72"/>
      <c r="BD9" s="73" t="str">
        <f aca="false">IF(AND(BB9&gt;=6,AP9&gt;=6,AJ9&gt;=6,AD9&gt;=6,X9&gt;=6),"да","нет")</f>
        <v>нет</v>
      </c>
      <c r="BE9" s="72"/>
      <c r="BF9" s="74"/>
      <c r="BG9" s="71"/>
      <c r="BH9" s="68"/>
      <c r="BI9" s="50"/>
      <c r="BJ9" s="75" t="n">
        <f aca="false">SUM(X9,AD9,AJ9,AP9,AV9,AX9:AY9,BH9,BB9,BG9)</f>
        <v>0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175" t="s">
        <v>1060</v>
      </c>
      <c r="C10" s="61" t="s">
        <v>24</v>
      </c>
      <c r="D10" s="61" t="s">
        <v>1061</v>
      </c>
      <c r="E10" s="62"/>
      <c r="F10" s="63" t="s">
        <v>920</v>
      </c>
      <c r="G10" s="63" t="s">
        <v>920</v>
      </c>
      <c r="H10" s="63" t="s">
        <v>920</v>
      </c>
      <c r="I10" s="74" t="s">
        <v>734</v>
      </c>
      <c r="J10" s="176" t="s">
        <v>920</v>
      </c>
      <c r="K10" s="176" t="s">
        <v>920</v>
      </c>
      <c r="L10" s="176" t="s">
        <v>920</v>
      </c>
      <c r="M10" s="63" t="s">
        <v>920</v>
      </c>
      <c r="N10" s="63" t="s">
        <v>920</v>
      </c>
      <c r="O10" s="63" t="s">
        <v>920</v>
      </c>
      <c r="P10" s="63" t="s">
        <v>920</v>
      </c>
      <c r="Q10" s="63" t="s">
        <v>920</v>
      </c>
      <c r="R10" s="63" t="s">
        <v>920</v>
      </c>
      <c r="S10" s="65"/>
      <c r="T10" s="66" t="s">
        <v>1062</v>
      </c>
      <c r="U10" s="106" t="n">
        <v>45754</v>
      </c>
      <c r="V10" s="67"/>
      <c r="W10" s="67"/>
      <c r="X10" s="68"/>
      <c r="Y10" s="69"/>
      <c r="Z10" s="70"/>
      <c r="AA10" s="67"/>
      <c r="AB10" s="67"/>
      <c r="AC10" s="67"/>
      <c r="AD10" s="68"/>
      <c r="AE10" s="69"/>
      <c r="AF10" s="70"/>
      <c r="AG10" s="70"/>
      <c r="AH10" s="70"/>
      <c r="AI10" s="70"/>
      <c r="AJ10" s="68"/>
      <c r="AK10" s="69"/>
      <c r="AL10" s="70"/>
      <c r="AM10" s="70"/>
      <c r="AN10" s="70"/>
      <c r="AO10" s="70"/>
      <c r="AP10" s="68"/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68" t="n">
        <v>0</v>
      </c>
      <c r="AW10" s="69"/>
      <c r="AX10" s="68"/>
      <c r="AY10" s="68"/>
      <c r="AZ10" s="69"/>
      <c r="BA10" s="70"/>
      <c r="BB10" s="71"/>
      <c r="BC10" s="72"/>
      <c r="BD10" s="73" t="str">
        <f aca="false">IF(AND(BB10&gt;=6,AP10&gt;=6,AJ10&gt;=6,AD10&gt;=6,X10&gt;=6),"да","нет")</f>
        <v>нет</v>
      </c>
      <c r="BE10" s="72"/>
      <c r="BF10" s="74"/>
      <c r="BG10" s="71"/>
      <c r="BH10" s="68"/>
      <c r="BI10" s="50"/>
      <c r="BJ10" s="75" t="n">
        <f aca="false">SUM(X10,AD10,AJ10,AP10,AV10,AX10:AY10,BH10,BB10,BG10)</f>
        <v>0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175" t="s">
        <v>1063</v>
      </c>
      <c r="C11" s="61" t="s">
        <v>24</v>
      </c>
      <c r="D11" s="61" t="s">
        <v>1064</v>
      </c>
      <c r="E11" s="62"/>
      <c r="F11" s="63" t="s">
        <v>920</v>
      </c>
      <c r="G11" s="63" t="s">
        <v>920</v>
      </c>
      <c r="H11" s="63" t="s">
        <v>920</v>
      </c>
      <c r="I11" s="176" t="s">
        <v>920</v>
      </c>
      <c r="J11" s="176" t="s">
        <v>920</v>
      </c>
      <c r="K11" s="176" t="s">
        <v>920</v>
      </c>
      <c r="L11" s="176" t="s">
        <v>920</v>
      </c>
      <c r="M11" s="63" t="s">
        <v>920</v>
      </c>
      <c r="N11" s="63" t="s">
        <v>920</v>
      </c>
      <c r="O11" s="63" t="s">
        <v>920</v>
      </c>
      <c r="P11" s="63" t="s">
        <v>920</v>
      </c>
      <c r="Q11" s="63" t="s">
        <v>920</v>
      </c>
      <c r="R11" s="63" t="s">
        <v>920</v>
      </c>
      <c r="S11" s="65"/>
      <c r="T11" s="66" t="s">
        <v>1065</v>
      </c>
      <c r="U11" s="67"/>
      <c r="V11" s="67"/>
      <c r="W11" s="67"/>
      <c r="X11" s="68"/>
      <c r="Y11" s="69"/>
      <c r="Z11" s="70"/>
      <c r="AA11" s="67"/>
      <c r="AB11" s="67"/>
      <c r="AC11" s="67"/>
      <c r="AD11" s="68"/>
      <c r="AE11" s="69"/>
      <c r="AF11" s="70"/>
      <c r="AG11" s="70"/>
      <c r="AH11" s="70"/>
      <c r="AI11" s="70"/>
      <c r="AJ11" s="68"/>
      <c r="AK11" s="69"/>
      <c r="AL11" s="70"/>
      <c r="AM11" s="70"/>
      <c r="AN11" s="70"/>
      <c r="AO11" s="70"/>
      <c r="AP11" s="68"/>
      <c r="AQ11" s="69"/>
      <c r="AR11" s="70" t="s">
        <v>737</v>
      </c>
      <c r="AS11" s="70" t="s">
        <v>737</v>
      </c>
      <c r="AT11" s="70" t="s">
        <v>737</v>
      </c>
      <c r="AU11" s="70" t="s">
        <v>737</v>
      </c>
      <c r="AV11" s="68" t="n">
        <v>0</v>
      </c>
      <c r="AW11" s="69"/>
      <c r="AX11" s="68"/>
      <c r="AY11" s="68"/>
      <c r="AZ11" s="69"/>
      <c r="BA11" s="70"/>
      <c r="BB11" s="71"/>
      <c r="BC11" s="72"/>
      <c r="BD11" s="73" t="str">
        <f aca="false">IF(AND(BB11&gt;=6,AP11&gt;=6,AJ11&gt;=6,AD11&gt;=6,X11&gt;=6),"да","нет")</f>
        <v>нет</v>
      </c>
      <c r="BE11" s="72"/>
      <c r="BF11" s="74"/>
      <c r="BG11" s="71"/>
      <c r="BH11" s="68"/>
      <c r="BI11" s="50"/>
      <c r="BJ11" s="75" t="n">
        <f aca="false">SUM(X11,AD11,AJ11,AP11,AV11,AX11:AY11,BH11,BB11,BG11)</f>
        <v>0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73</v>
      </c>
      <c r="C12" s="61" t="s">
        <v>24</v>
      </c>
      <c r="D12" s="61" t="s">
        <v>72</v>
      </c>
      <c r="E12" s="62"/>
      <c r="F12" s="63" t="s">
        <v>919</v>
      </c>
      <c r="G12" s="63" t="s">
        <v>734</v>
      </c>
      <c r="H12" s="63" t="s">
        <v>734</v>
      </c>
      <c r="I12" s="176" t="s">
        <v>920</v>
      </c>
      <c r="J12" s="74" t="s">
        <v>739</v>
      </c>
      <c r="K12" s="74" t="s">
        <v>734</v>
      </c>
      <c r="L12" s="74" t="s">
        <v>734</v>
      </c>
      <c r="M12" s="63" t="s">
        <v>734</v>
      </c>
      <c r="N12" s="63" t="s">
        <v>734</v>
      </c>
      <c r="O12" s="63" t="s">
        <v>920</v>
      </c>
      <c r="P12" s="63" t="s">
        <v>920</v>
      </c>
      <c r="Q12" s="63" t="s">
        <v>920</v>
      </c>
      <c r="R12" s="63" t="s">
        <v>920</v>
      </c>
      <c r="S12" s="65"/>
      <c r="T12" s="66" t="s">
        <v>1066</v>
      </c>
      <c r="U12" s="67" t="n">
        <v>45712</v>
      </c>
      <c r="V12" s="67" t="n">
        <v>45726</v>
      </c>
      <c r="W12" s="67" t="n">
        <v>45726</v>
      </c>
      <c r="X12" s="68" t="n">
        <v>10</v>
      </c>
      <c r="Y12" s="69"/>
      <c r="Z12" s="70" t="n">
        <v>123445</v>
      </c>
      <c r="AA12" s="67" t="n">
        <v>45754</v>
      </c>
      <c r="AB12" s="67" t="n">
        <v>45765</v>
      </c>
      <c r="AC12" s="67" t="n">
        <v>45765</v>
      </c>
      <c r="AD12" s="68" t="n">
        <v>9.5</v>
      </c>
      <c r="AE12" s="69"/>
      <c r="AF12" s="70" t="n">
        <v>456123478</v>
      </c>
      <c r="AG12" s="106" t="n">
        <v>45768</v>
      </c>
      <c r="AH12" s="106" t="n">
        <v>45782</v>
      </c>
      <c r="AI12" s="106" t="n">
        <v>45796</v>
      </c>
      <c r="AJ12" s="68" t="n">
        <v>10</v>
      </c>
      <c r="AK12" s="69"/>
      <c r="AL12" s="70" t="n">
        <v>432432</v>
      </c>
      <c r="AM12" s="106" t="n">
        <v>45816</v>
      </c>
      <c r="AN12" s="106" t="n">
        <v>45816</v>
      </c>
      <c r="AO12" s="106" t="n">
        <v>45816</v>
      </c>
      <c r="AP12" s="68" t="n">
        <v>10</v>
      </c>
      <c r="AQ12" s="69"/>
      <c r="AR12" s="70" t="n">
        <v>4594321</v>
      </c>
      <c r="AS12" s="106" t="n">
        <v>45823</v>
      </c>
      <c r="AT12" s="106" t="n">
        <v>45823</v>
      </c>
      <c r="AU12" s="106" t="n">
        <v>45823</v>
      </c>
      <c r="AV12" s="68" t="n">
        <v>10</v>
      </c>
      <c r="AW12" s="69"/>
      <c r="AX12" s="68" t="n">
        <v>4</v>
      </c>
      <c r="AY12" s="68" t="n">
        <v>2</v>
      </c>
      <c r="AZ12" s="69"/>
      <c r="BA12" s="106" t="n">
        <v>45793</v>
      </c>
      <c r="BB12" s="71" t="n">
        <v>10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45836</v>
      </c>
      <c r="BG12" s="71" t="n">
        <v>27</v>
      </c>
      <c r="BH12" s="68"/>
      <c r="BI12" s="50"/>
      <c r="BJ12" s="75" t="n">
        <f aca="false">SUM(X12,AD12,AJ12,AP12,AV12,AX12:AY12,BH12,BB12,BG12)</f>
        <v>92.5</v>
      </c>
      <c r="BK12" s="73" t="str">
        <f aca="false">IF(BJ12&gt;90,"A",IF(BJ12&gt;83,"B",IF(BJ12&gt;74,"C",IF(BJ12&gt;67,"D",IF(BJ12&gt;=60,"E","FX")))))</f>
        <v>A</v>
      </c>
    </row>
    <row r="13" customFormat="false" ht="15.75" hidden="false" customHeight="false" outlineLevel="0" collapsed="false">
      <c r="A13" s="59" t="n">
        <f aca="false">A12+1</f>
        <v>11</v>
      </c>
      <c r="B13" s="60" t="s">
        <v>75</v>
      </c>
      <c r="C13" s="61" t="s">
        <v>24</v>
      </c>
      <c r="D13" s="61" t="s">
        <v>74</v>
      </c>
      <c r="E13" s="62"/>
      <c r="F13" s="63" t="s">
        <v>920</v>
      </c>
      <c r="G13" s="63" t="s">
        <v>734</v>
      </c>
      <c r="H13" s="63" t="s">
        <v>739</v>
      </c>
      <c r="I13" s="176" t="s">
        <v>920</v>
      </c>
      <c r="J13" s="176" t="s">
        <v>920</v>
      </c>
      <c r="K13" s="74" t="s">
        <v>734</v>
      </c>
      <c r="L13" s="74" t="s">
        <v>734</v>
      </c>
      <c r="M13" s="63" t="s">
        <v>734</v>
      </c>
      <c r="N13" s="63" t="s">
        <v>734</v>
      </c>
      <c r="O13" s="63" t="s">
        <v>920</v>
      </c>
      <c r="P13" s="63" t="s">
        <v>920</v>
      </c>
      <c r="Q13" s="63" t="s">
        <v>920</v>
      </c>
      <c r="R13" s="63" t="s">
        <v>920</v>
      </c>
      <c r="S13" s="65"/>
      <c r="T13" s="66" t="s">
        <v>1067</v>
      </c>
      <c r="U13" s="67" t="n">
        <v>45712</v>
      </c>
      <c r="V13" s="67" t="n">
        <v>45712</v>
      </c>
      <c r="W13" s="67" t="n">
        <v>45712</v>
      </c>
      <c r="X13" s="68" t="n">
        <v>9</v>
      </c>
      <c r="Y13" s="69"/>
      <c r="Z13" s="70" t="n">
        <v>710</v>
      </c>
      <c r="AA13" s="67" t="n">
        <v>45726</v>
      </c>
      <c r="AB13" s="67" t="n">
        <v>45726</v>
      </c>
      <c r="AC13" s="67" t="n">
        <v>45726</v>
      </c>
      <c r="AD13" s="68" t="n">
        <v>10</v>
      </c>
      <c r="AE13" s="69"/>
      <c r="AF13" s="70" t="n">
        <v>4533</v>
      </c>
      <c r="AG13" s="106" t="n">
        <v>45768</v>
      </c>
      <c r="AH13" s="106" t="n">
        <v>45782</v>
      </c>
      <c r="AI13" s="106" t="n">
        <v>45782</v>
      </c>
      <c r="AJ13" s="68" t="n">
        <v>6</v>
      </c>
      <c r="AK13" s="69"/>
      <c r="AL13" s="70" t="n">
        <v>4930</v>
      </c>
      <c r="AM13" s="106" t="n">
        <v>45796</v>
      </c>
      <c r="AN13" s="106" t="n">
        <v>45816</v>
      </c>
      <c r="AO13" s="106" t="n">
        <v>45816</v>
      </c>
      <c r="AP13" s="68" t="n">
        <v>9.5</v>
      </c>
      <c r="AQ13" s="69"/>
      <c r="AR13" s="70" t="n">
        <v>7459</v>
      </c>
      <c r="AS13" s="70" t="s">
        <v>737</v>
      </c>
      <c r="AT13" s="70" t="s">
        <v>737</v>
      </c>
      <c r="AU13" s="70" t="s">
        <v>737</v>
      </c>
      <c r="AV13" s="68" t="n">
        <v>0</v>
      </c>
      <c r="AW13" s="69"/>
      <c r="AX13" s="68"/>
      <c r="AY13" s="68"/>
      <c r="AZ13" s="69"/>
      <c r="BA13" s="106" t="n">
        <v>45793</v>
      </c>
      <c r="BB13" s="71" t="n">
        <v>9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45836</v>
      </c>
      <c r="BG13" s="71" t="n">
        <v>18</v>
      </c>
      <c r="BH13" s="68"/>
      <c r="BI13" s="50"/>
      <c r="BJ13" s="75" t="n">
        <f aca="false">SUM(X13,AD13,AJ13,AP13,AV13,AX13:AY13,BH13,BB13,BG13)</f>
        <v>61.5</v>
      </c>
      <c r="BK13" s="73" t="str">
        <f aca="false">IF(BJ13&gt;90,"A",IF(BJ13&gt;83,"B",IF(BJ13&gt;74,"C",IF(BJ13&gt;67,"D",IF(BJ13&gt;=60,"E","FX")))))</f>
        <v>E</v>
      </c>
    </row>
    <row r="14" customFormat="false" ht="15.75" hidden="false" customHeight="false" outlineLevel="0" collapsed="false">
      <c r="A14" s="59" t="n">
        <f aca="false">A13+1</f>
        <v>12</v>
      </c>
      <c r="B14" s="60" t="s">
        <v>89</v>
      </c>
      <c r="C14" s="61" t="s">
        <v>24</v>
      </c>
      <c r="D14" s="61" t="s">
        <v>88</v>
      </c>
      <c r="E14" s="62"/>
      <c r="F14" s="63" t="s">
        <v>919</v>
      </c>
      <c r="G14" s="63" t="s">
        <v>734</v>
      </c>
      <c r="H14" s="63" t="s">
        <v>739</v>
      </c>
      <c r="I14" s="74" t="s">
        <v>734</v>
      </c>
      <c r="J14" s="176" t="s">
        <v>920</v>
      </c>
      <c r="K14" s="74" t="s">
        <v>734</v>
      </c>
      <c r="L14" s="74" t="s">
        <v>734</v>
      </c>
      <c r="M14" s="63" t="s">
        <v>734</v>
      </c>
      <c r="N14" s="63" t="s">
        <v>734</v>
      </c>
      <c r="O14" s="63" t="s">
        <v>920</v>
      </c>
      <c r="P14" s="63" t="s">
        <v>920</v>
      </c>
      <c r="Q14" s="63" t="s">
        <v>920</v>
      </c>
      <c r="R14" s="63" t="s">
        <v>920</v>
      </c>
      <c r="S14" s="65"/>
      <c r="T14" s="66" t="s">
        <v>1068</v>
      </c>
      <c r="U14" s="67" t="n">
        <v>45712</v>
      </c>
      <c r="V14" s="67" t="n">
        <v>45712</v>
      </c>
      <c r="W14" s="67" t="n">
        <v>45712</v>
      </c>
      <c r="X14" s="68" t="n">
        <v>9</v>
      </c>
      <c r="Y14" s="69"/>
      <c r="Z14" s="70" t="n">
        <v>404</v>
      </c>
      <c r="AA14" s="67" t="n">
        <v>45726</v>
      </c>
      <c r="AB14" s="67" t="n">
        <v>45726</v>
      </c>
      <c r="AC14" s="67" t="n">
        <v>45726</v>
      </c>
      <c r="AD14" s="68" t="n">
        <v>7.5</v>
      </c>
      <c r="AE14" s="69"/>
      <c r="AF14" s="70" t="n">
        <v>4157</v>
      </c>
      <c r="AG14" s="106" t="n">
        <v>45768</v>
      </c>
      <c r="AH14" s="106" t="n">
        <v>45782</v>
      </c>
      <c r="AI14" s="106" t="n">
        <v>45782</v>
      </c>
      <c r="AJ14" s="68" t="n">
        <v>9</v>
      </c>
      <c r="AK14" s="69"/>
      <c r="AL14" s="70" t="n">
        <v>1241</v>
      </c>
      <c r="AM14" s="106" t="n">
        <v>45796</v>
      </c>
      <c r="AN14" s="106" t="n">
        <v>45796</v>
      </c>
      <c r="AO14" s="106" t="n">
        <v>45796</v>
      </c>
      <c r="AP14" s="70" t="n">
        <v>9.5</v>
      </c>
      <c r="AQ14" s="69"/>
      <c r="AR14" s="70" t="n">
        <v>1313</v>
      </c>
      <c r="AS14" s="106" t="n">
        <v>45816</v>
      </c>
      <c r="AT14" s="106" t="n">
        <v>45816</v>
      </c>
      <c r="AU14" s="106" t="n">
        <v>45816</v>
      </c>
      <c r="AV14" s="68" t="n">
        <v>10</v>
      </c>
      <c r="AW14" s="69"/>
      <c r="AX14" s="68" t="n">
        <v>1</v>
      </c>
      <c r="AY14" s="68" t="n">
        <v>2</v>
      </c>
      <c r="AZ14" s="69"/>
      <c r="BA14" s="106" t="n">
        <v>45793</v>
      </c>
      <c r="BB14" s="71" t="n">
        <v>9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45836</v>
      </c>
      <c r="BG14" s="71" t="n">
        <v>29</v>
      </c>
      <c r="BH14" s="68"/>
      <c r="BI14" s="50"/>
      <c r="BJ14" s="75" t="n">
        <f aca="false">SUM(X14,AD14,AJ14,AP14,AV14,AX14:AY14,BH14,BB14,BG14)</f>
        <v>86</v>
      </c>
      <c r="BK14" s="73" t="str">
        <f aca="false">IF(BJ14&gt;90,"A",IF(BJ14&gt;83,"B",IF(BJ14&gt;74,"C",IF(BJ14&gt;67,"D",IF(BJ14&gt;=60,"E","FX")))))</f>
        <v>B</v>
      </c>
    </row>
    <row r="15" customFormat="false" ht="15.75" hidden="false" customHeight="false" outlineLevel="0" collapsed="false">
      <c r="A15" s="59" t="n">
        <f aca="false">A14+1</f>
        <v>13</v>
      </c>
      <c r="B15" s="60" t="s">
        <v>113</v>
      </c>
      <c r="C15" s="61" t="s">
        <v>24</v>
      </c>
      <c r="D15" s="61" t="s">
        <v>112</v>
      </c>
      <c r="E15" s="62"/>
      <c r="F15" s="63" t="s">
        <v>919</v>
      </c>
      <c r="G15" s="63" t="s">
        <v>920</v>
      </c>
      <c r="H15" s="63" t="s">
        <v>920</v>
      </c>
      <c r="I15" s="176" t="s">
        <v>920</v>
      </c>
      <c r="J15" s="176" t="s">
        <v>920</v>
      </c>
      <c r="K15" s="74" t="s">
        <v>739</v>
      </c>
      <c r="L15" s="74" t="s">
        <v>734</v>
      </c>
      <c r="M15" s="63" t="s">
        <v>919</v>
      </c>
      <c r="N15" s="63" t="s">
        <v>920</v>
      </c>
      <c r="O15" s="63" t="s">
        <v>920</v>
      </c>
      <c r="P15" s="63" t="s">
        <v>920</v>
      </c>
      <c r="Q15" s="63" t="s">
        <v>920</v>
      </c>
      <c r="R15" s="63" t="s">
        <v>920</v>
      </c>
      <c r="S15" s="65"/>
      <c r="T15" s="66" t="s">
        <v>1069</v>
      </c>
      <c r="U15" s="67" t="n">
        <v>45768</v>
      </c>
      <c r="V15" s="67" t="n">
        <v>45782</v>
      </c>
      <c r="W15" s="67" t="n">
        <v>45782</v>
      </c>
      <c r="X15" s="70" t="n">
        <v>6.5</v>
      </c>
      <c r="Y15" s="69"/>
      <c r="Z15" s="70" t="n">
        <v>32553</v>
      </c>
      <c r="AA15" s="67" t="n">
        <v>45816</v>
      </c>
      <c r="AB15" s="67" t="n">
        <v>45816</v>
      </c>
      <c r="AC15" s="67" t="n">
        <v>45816</v>
      </c>
      <c r="AD15" s="68" t="n">
        <v>7.5</v>
      </c>
      <c r="AE15" s="69"/>
      <c r="AF15" s="70" t="n">
        <v>2323</v>
      </c>
      <c r="AG15" s="106" t="n">
        <v>45830</v>
      </c>
      <c r="AH15" s="106" t="n">
        <v>45830</v>
      </c>
      <c r="AI15" s="106" t="n">
        <v>45830</v>
      </c>
      <c r="AJ15" s="68" t="n">
        <v>8</v>
      </c>
      <c r="AK15" s="69"/>
      <c r="AL15" s="70" t="n">
        <v>32574</v>
      </c>
      <c r="AM15" s="106" t="n">
        <v>45835</v>
      </c>
      <c r="AN15" s="106" t="n">
        <v>45835</v>
      </c>
      <c r="AO15" s="106" t="n">
        <v>45835</v>
      </c>
      <c r="AP15" s="68" t="n">
        <v>7</v>
      </c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68" t="n">
        <v>0</v>
      </c>
      <c r="AW15" s="69"/>
      <c r="AX15" s="68"/>
      <c r="AY15" s="68"/>
      <c r="AZ15" s="69"/>
      <c r="BA15" s="106" t="n">
        <v>45835</v>
      </c>
      <c r="BB15" s="71" t="n">
        <v>7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45838</v>
      </c>
      <c r="BG15" s="71" t="n">
        <v>26</v>
      </c>
      <c r="BH15" s="68"/>
      <c r="BI15" s="50"/>
      <c r="BJ15" s="126" t="n">
        <f aca="false">SUM(X15,AD15,AJ15,AP15,AV15,AX15:AY15,BH15,BB15,BG15)</f>
        <v>62</v>
      </c>
      <c r="BK15" s="73" t="str">
        <f aca="false">IF(BJ15&gt;90,"A",IF(BJ15&gt;83,"B",IF(BJ15&gt;74,"C",IF(BJ15&gt;67,"D",IF(BJ15&gt;=60,"E","FX")))))</f>
        <v>E</v>
      </c>
    </row>
    <row r="16" customFormat="false" ht="15.75" hidden="false" customHeight="false" outlineLevel="0" collapsed="false">
      <c r="A16" s="59" t="n">
        <f aca="false">A15+1</f>
        <v>14</v>
      </c>
      <c r="B16" s="60" t="s">
        <v>139</v>
      </c>
      <c r="C16" s="61" t="s">
        <v>24</v>
      </c>
      <c r="D16" s="61" t="s">
        <v>138</v>
      </c>
      <c r="E16" s="62"/>
      <c r="F16" s="63" t="s">
        <v>919</v>
      </c>
      <c r="G16" s="63" t="s">
        <v>734</v>
      </c>
      <c r="H16" s="63" t="s">
        <v>734</v>
      </c>
      <c r="I16" s="74" t="s">
        <v>739</v>
      </c>
      <c r="J16" s="74" t="s">
        <v>739</v>
      </c>
      <c r="K16" s="74" t="s">
        <v>734</v>
      </c>
      <c r="L16" s="74" t="s">
        <v>739</v>
      </c>
      <c r="M16" s="63" t="s">
        <v>920</v>
      </c>
      <c r="N16" s="63" t="s">
        <v>920</v>
      </c>
      <c r="O16" s="63" t="s">
        <v>920</v>
      </c>
      <c r="P16" s="63" t="s">
        <v>920</v>
      </c>
      <c r="Q16" s="63" t="s">
        <v>920</v>
      </c>
      <c r="R16" s="63" t="s">
        <v>920</v>
      </c>
      <c r="S16" s="65"/>
      <c r="T16" s="66" t="s">
        <v>1070</v>
      </c>
      <c r="U16" s="67" t="n">
        <v>45712</v>
      </c>
      <c r="V16" s="67" t="n">
        <v>45726</v>
      </c>
      <c r="W16" s="67" t="n">
        <v>45726</v>
      </c>
      <c r="X16" s="68" t="n">
        <v>10</v>
      </c>
      <c r="Y16" s="69"/>
      <c r="Z16" s="70" t="n">
        <v>999999</v>
      </c>
      <c r="AA16" s="67" t="n">
        <v>45754</v>
      </c>
      <c r="AB16" s="67" t="n">
        <v>45765</v>
      </c>
      <c r="AC16" s="67" t="n">
        <v>45765</v>
      </c>
      <c r="AD16" s="68" t="n">
        <v>9.5</v>
      </c>
      <c r="AE16" s="69"/>
      <c r="AF16" s="70" t="n">
        <v>999666333</v>
      </c>
      <c r="AG16" s="106" t="n">
        <v>45768</v>
      </c>
      <c r="AH16" s="106" t="n">
        <v>45782</v>
      </c>
      <c r="AI16" s="106" t="n">
        <v>45782</v>
      </c>
      <c r="AJ16" s="68" t="n">
        <v>10</v>
      </c>
      <c r="AK16" s="69"/>
      <c r="AL16" s="70" t="n">
        <v>5684</v>
      </c>
      <c r="AM16" s="106" t="n">
        <v>45796</v>
      </c>
      <c r="AN16" s="106" t="n">
        <v>45796</v>
      </c>
      <c r="AO16" s="106" t="n">
        <v>45796</v>
      </c>
      <c r="AP16" s="68" t="n">
        <v>10</v>
      </c>
      <c r="AQ16" s="69"/>
      <c r="AR16" s="70" t="n">
        <v>124835</v>
      </c>
      <c r="AS16" s="106" t="n">
        <v>45816</v>
      </c>
      <c r="AT16" s="106" t="n">
        <v>45816</v>
      </c>
      <c r="AU16" s="106" t="n">
        <v>45816</v>
      </c>
      <c r="AV16" s="68" t="n">
        <v>10</v>
      </c>
      <c r="AW16" s="69"/>
      <c r="AX16" s="68" t="n">
        <v>1</v>
      </c>
      <c r="AY16" s="68" t="n">
        <v>2</v>
      </c>
      <c r="AZ16" s="69"/>
      <c r="BA16" s="106" t="n">
        <v>45794</v>
      </c>
      <c r="BB16" s="71" t="n">
        <v>10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45836</v>
      </c>
      <c r="BG16" s="71" t="n">
        <v>29</v>
      </c>
      <c r="BH16" s="68"/>
      <c r="BI16" s="50"/>
      <c r="BJ16" s="75" t="n">
        <f aca="false">SUM(X16,AD16,AJ16,AP16,AV16,AX16:AY16,BH16,BB16,BG16)</f>
        <v>91.5</v>
      </c>
      <c r="BK16" s="73" t="str">
        <f aca="false">IF(BJ16&gt;90,"A",IF(BJ16&gt;83,"B",IF(BJ16&gt;74,"C",IF(BJ16&gt;67,"D",IF(BJ16&gt;=60,"E","FX")))))</f>
        <v>A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145</v>
      </c>
      <c r="C17" s="61" t="s">
        <v>24</v>
      </c>
      <c r="D17" s="61" t="s">
        <v>144</v>
      </c>
      <c r="E17" s="62"/>
      <c r="F17" s="63" t="s">
        <v>919</v>
      </c>
      <c r="G17" s="63" t="s">
        <v>920</v>
      </c>
      <c r="H17" s="63" t="s">
        <v>734</v>
      </c>
      <c r="I17" s="74" t="s">
        <v>734</v>
      </c>
      <c r="J17" s="74" t="s">
        <v>734</v>
      </c>
      <c r="K17" s="74" t="s">
        <v>734</v>
      </c>
      <c r="L17" s="176" t="s">
        <v>920</v>
      </c>
      <c r="M17" s="63" t="s">
        <v>1071</v>
      </c>
      <c r="N17" s="63" t="s">
        <v>920</v>
      </c>
      <c r="O17" s="63" t="s">
        <v>920</v>
      </c>
      <c r="P17" s="63" t="s">
        <v>920</v>
      </c>
      <c r="Q17" s="63" t="s">
        <v>920</v>
      </c>
      <c r="R17" s="63" t="s">
        <v>920</v>
      </c>
      <c r="S17" s="65"/>
      <c r="T17" s="66" t="s">
        <v>1072</v>
      </c>
      <c r="U17" s="67" t="n">
        <v>45754</v>
      </c>
      <c r="V17" s="67" t="n">
        <v>45754</v>
      </c>
      <c r="W17" s="67" t="n">
        <v>45782</v>
      </c>
      <c r="X17" s="70" t="n">
        <v>6.5</v>
      </c>
      <c r="Y17" s="69"/>
      <c r="Z17" s="70" t="n">
        <v>12122</v>
      </c>
      <c r="AA17" s="67" t="n">
        <v>45816</v>
      </c>
      <c r="AB17" s="67" t="n">
        <v>45816</v>
      </c>
      <c r="AC17" s="67" t="n">
        <v>45816</v>
      </c>
      <c r="AD17" s="68" t="n">
        <v>6</v>
      </c>
      <c r="AE17" s="69"/>
      <c r="AF17" s="70" t="n">
        <v>896</v>
      </c>
      <c r="AG17" s="106" t="n">
        <v>45830</v>
      </c>
      <c r="AH17" s="106" t="n">
        <v>45830</v>
      </c>
      <c r="AI17" s="106" t="n">
        <v>45830</v>
      </c>
      <c r="AJ17" s="68" t="n">
        <v>8</v>
      </c>
      <c r="AK17" s="69"/>
      <c r="AL17" s="70" t="n">
        <v>123321</v>
      </c>
      <c r="AM17" s="106" t="n">
        <v>45835</v>
      </c>
      <c r="AN17" s="106" t="n">
        <v>45835</v>
      </c>
      <c r="AO17" s="106" t="n">
        <v>45835</v>
      </c>
      <c r="AP17" s="68" t="n">
        <v>8</v>
      </c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68" t="n">
        <v>0</v>
      </c>
      <c r="AW17" s="69"/>
      <c r="AX17" s="68"/>
      <c r="AY17" s="68"/>
      <c r="AZ17" s="69"/>
      <c r="BA17" s="106" t="n">
        <v>45835</v>
      </c>
      <c r="BB17" s="71" t="n">
        <v>6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45836</v>
      </c>
      <c r="BG17" s="71" t="n">
        <v>26</v>
      </c>
      <c r="BH17" s="68"/>
      <c r="BI17" s="50"/>
      <c r="BJ17" s="126" t="n">
        <f aca="false">SUM(X17,AD17,AJ17,AP17,AV17,AX17:AY17,BH17,BB17,BG17)</f>
        <v>60.5</v>
      </c>
      <c r="BK17" s="73" t="str">
        <f aca="false">IF(BJ17&gt;90,"A",IF(BJ17&gt;83,"B",IF(BJ17&gt;74,"C",IF(BJ17&gt;67,"D",IF(BJ17&gt;=60,"E","FX")))))</f>
        <v>E</v>
      </c>
    </row>
    <row r="18" customFormat="false" ht="15.75" hidden="false" customHeight="false" outlineLevel="0" collapsed="false">
      <c r="A18" s="59" t="n">
        <f aca="false">A17+1</f>
        <v>16</v>
      </c>
      <c r="B18" s="177" t="s">
        <v>167</v>
      </c>
      <c r="C18" s="61" t="s">
        <v>24</v>
      </c>
      <c r="D18" s="61" t="s">
        <v>166</v>
      </c>
      <c r="E18" s="62"/>
      <c r="F18" s="63" t="s">
        <v>919</v>
      </c>
      <c r="G18" s="63" t="s">
        <v>920</v>
      </c>
      <c r="H18" s="63" t="s">
        <v>920</v>
      </c>
      <c r="I18" s="74" t="s">
        <v>919</v>
      </c>
      <c r="J18" s="74" t="s">
        <v>739</v>
      </c>
      <c r="K18" s="74" t="s">
        <v>919</v>
      </c>
      <c r="L18" s="74" t="s">
        <v>734</v>
      </c>
      <c r="M18" s="63" t="s">
        <v>920</v>
      </c>
      <c r="N18" s="63" t="s">
        <v>734</v>
      </c>
      <c r="O18" s="63" t="s">
        <v>920</v>
      </c>
      <c r="P18" s="63" t="s">
        <v>734</v>
      </c>
      <c r="Q18" s="63" t="s">
        <v>920</v>
      </c>
      <c r="R18" s="63" t="s">
        <v>920</v>
      </c>
      <c r="S18" s="65"/>
      <c r="T18" s="66" t="s">
        <v>1073</v>
      </c>
      <c r="U18" s="67" t="n">
        <v>45765</v>
      </c>
      <c r="V18" s="67" t="n">
        <v>45782</v>
      </c>
      <c r="W18" s="67" t="n">
        <v>45782</v>
      </c>
      <c r="X18" s="70" t="n">
        <v>7.5</v>
      </c>
      <c r="Y18" s="69"/>
      <c r="Z18" s="70" t="n">
        <v>12345</v>
      </c>
      <c r="AA18" s="67"/>
      <c r="AB18" s="67"/>
      <c r="AC18" s="67"/>
      <c r="AD18" s="68"/>
      <c r="AE18" s="69"/>
      <c r="AF18" s="70"/>
      <c r="AG18" s="70"/>
      <c r="AH18" s="70"/>
      <c r="AI18" s="70"/>
      <c r="AJ18" s="68"/>
      <c r="AK18" s="69"/>
      <c r="AL18" s="70"/>
      <c r="AM18" s="70"/>
      <c r="AN18" s="70"/>
      <c r="AO18" s="70"/>
      <c r="AP18" s="68"/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/>
      <c r="AY18" s="68"/>
      <c r="AZ18" s="69"/>
      <c r="BA18" s="70"/>
      <c r="BB18" s="71"/>
      <c r="BC18" s="72"/>
      <c r="BD18" s="73" t="str">
        <f aca="false">IF(AND(BB18&gt;=6,AP18&gt;=6,AJ18&gt;=6,AD18&gt;=6,X18&gt;=6),"да","нет")</f>
        <v>нет</v>
      </c>
      <c r="BE18" s="72"/>
      <c r="BF18" s="74"/>
      <c r="BG18" s="71"/>
      <c r="BH18" s="68"/>
      <c r="BI18" s="50"/>
      <c r="BJ18" s="126" t="n">
        <f aca="false">SUM(X18,AD18,AJ18,AP18,AV18,AX18:AY18,BH18,BB18,BG18)</f>
        <v>7.5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f aca="false">A18+1</f>
        <v>17</v>
      </c>
      <c r="B19" s="175" t="s">
        <v>1074</v>
      </c>
      <c r="C19" s="61" t="s">
        <v>24</v>
      </c>
      <c r="D19" s="61" t="s">
        <v>1075</v>
      </c>
      <c r="E19" s="62"/>
      <c r="F19" s="63" t="s">
        <v>919</v>
      </c>
      <c r="G19" s="63" t="s">
        <v>920</v>
      </c>
      <c r="H19" s="63" t="s">
        <v>920</v>
      </c>
      <c r="I19" s="176" t="s">
        <v>920</v>
      </c>
      <c r="J19" s="176" t="s">
        <v>920</v>
      </c>
      <c r="K19" s="176" t="s">
        <v>920</v>
      </c>
      <c r="L19" s="176" t="s">
        <v>920</v>
      </c>
      <c r="M19" s="63" t="s">
        <v>920</v>
      </c>
      <c r="N19" s="63" t="s">
        <v>920</v>
      </c>
      <c r="O19" s="63" t="s">
        <v>920</v>
      </c>
      <c r="P19" s="63" t="s">
        <v>920</v>
      </c>
      <c r="Q19" s="63" t="s">
        <v>920</v>
      </c>
      <c r="R19" s="63" t="s">
        <v>920</v>
      </c>
      <c r="S19" s="65"/>
      <c r="T19" s="66" t="s">
        <v>1076</v>
      </c>
      <c r="U19" s="67"/>
      <c r="V19" s="67"/>
      <c r="W19" s="67"/>
      <c r="X19" s="68"/>
      <c r="Y19" s="69"/>
      <c r="Z19" s="70"/>
      <c r="AA19" s="67"/>
      <c r="AB19" s="67"/>
      <c r="AC19" s="67"/>
      <c r="AD19" s="68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 t="s">
        <v>737</v>
      </c>
      <c r="AS19" s="70" t="s">
        <v>737</v>
      </c>
      <c r="AT19" s="70" t="s">
        <v>737</v>
      </c>
      <c r="AU19" s="70" t="s">
        <v>737</v>
      </c>
      <c r="AV19" s="68" t="n">
        <v>0</v>
      </c>
      <c r="AW19" s="69"/>
      <c r="AX19" s="68"/>
      <c r="AY19" s="68"/>
      <c r="AZ19" s="69"/>
      <c r="BA19" s="70"/>
      <c r="BB19" s="71"/>
      <c r="BC19" s="72"/>
      <c r="BD19" s="73" t="str">
        <f aca="false">IF(AND(BB19&gt;=6,AP19&gt;=6,AJ19&gt;=6,AD19&gt;=6,X19&gt;=6),"да","нет")</f>
        <v>нет</v>
      </c>
      <c r="BE19" s="72"/>
      <c r="BF19" s="74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18</v>
      </c>
      <c r="B20" s="60" t="s">
        <v>23</v>
      </c>
      <c r="C20" s="61" t="s">
        <v>24</v>
      </c>
      <c r="D20" s="61" t="s">
        <v>22</v>
      </c>
      <c r="E20" s="62"/>
      <c r="F20" s="63" t="s">
        <v>919</v>
      </c>
      <c r="G20" s="63" t="s">
        <v>734</v>
      </c>
      <c r="H20" s="63" t="s">
        <v>739</v>
      </c>
      <c r="I20" s="74" t="s">
        <v>734</v>
      </c>
      <c r="J20" s="74" t="s">
        <v>734</v>
      </c>
      <c r="K20" s="74" t="s">
        <v>739</v>
      </c>
      <c r="L20" s="176" t="s">
        <v>920</v>
      </c>
      <c r="M20" s="63" t="s">
        <v>734</v>
      </c>
      <c r="N20" s="63" t="s">
        <v>734</v>
      </c>
      <c r="O20" s="63" t="s">
        <v>920</v>
      </c>
      <c r="P20" s="63" t="s">
        <v>1007</v>
      </c>
      <c r="Q20" s="63" t="s">
        <v>920</v>
      </c>
      <c r="R20" s="63" t="s">
        <v>920</v>
      </c>
      <c r="S20" s="65"/>
      <c r="T20" s="66" t="s">
        <v>1077</v>
      </c>
      <c r="U20" s="67" t="n">
        <v>45712</v>
      </c>
      <c r="V20" s="67" t="n">
        <v>45726</v>
      </c>
      <c r="W20" s="67" t="n">
        <v>45726</v>
      </c>
      <c r="X20" s="70" t="n">
        <v>9.5</v>
      </c>
      <c r="Y20" s="69"/>
      <c r="Z20" s="70" t="n">
        <v>3454</v>
      </c>
      <c r="AA20" s="67" t="n">
        <v>45754</v>
      </c>
      <c r="AB20" s="67" t="n">
        <v>45765</v>
      </c>
      <c r="AC20" s="67" t="n">
        <v>45768</v>
      </c>
      <c r="AD20" s="68" t="n">
        <v>7</v>
      </c>
      <c r="AE20" s="69"/>
      <c r="AF20" s="70" t="n">
        <v>4774</v>
      </c>
      <c r="AG20" s="106" t="n">
        <v>45796</v>
      </c>
      <c r="AH20" s="106" t="n">
        <v>45816</v>
      </c>
      <c r="AI20" s="106" t="n">
        <v>45816</v>
      </c>
      <c r="AJ20" s="68" t="n">
        <v>9</v>
      </c>
      <c r="AK20" s="69"/>
      <c r="AL20" s="70" t="n">
        <v>36</v>
      </c>
      <c r="AM20" s="106" t="n">
        <v>45830</v>
      </c>
      <c r="AN20" s="106" t="n">
        <v>45830</v>
      </c>
      <c r="AO20" s="106" t="n">
        <v>45830</v>
      </c>
      <c r="AP20" s="68" t="n">
        <v>8.5</v>
      </c>
      <c r="AQ20" s="69"/>
      <c r="AR20" s="70" t="s">
        <v>737</v>
      </c>
      <c r="AS20" s="70" t="s">
        <v>737</v>
      </c>
      <c r="AT20" s="70" t="s">
        <v>737</v>
      </c>
      <c r="AU20" s="70" t="s">
        <v>737</v>
      </c>
      <c r="AV20" s="68" t="n">
        <v>0</v>
      </c>
      <c r="AW20" s="69"/>
      <c r="AX20" s="68" t="n">
        <v>0</v>
      </c>
      <c r="AY20" s="68" t="n">
        <v>2</v>
      </c>
      <c r="AZ20" s="69"/>
      <c r="BA20" s="106" t="n">
        <v>45835</v>
      </c>
      <c r="BB20" s="71" t="n">
        <v>0.1</v>
      </c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126" t="n">
        <f aca="false">SUM(X20,AD20,AJ20,AP20,AV20,AX20:AY20,BH20,BB20,BG20)</f>
        <v>36.1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">
        <v>43</v>
      </c>
      <c r="C21" s="61" t="s">
        <v>24</v>
      </c>
      <c r="D21" s="61" t="s">
        <v>42</v>
      </c>
      <c r="E21" s="62"/>
      <c r="F21" s="63" t="s">
        <v>919</v>
      </c>
      <c r="G21" s="63" t="s">
        <v>734</v>
      </c>
      <c r="H21" s="63" t="s">
        <v>734</v>
      </c>
      <c r="I21" s="74" t="s">
        <v>739</v>
      </c>
      <c r="J21" s="74" t="s">
        <v>739</v>
      </c>
      <c r="K21" s="176" t="s">
        <v>920</v>
      </c>
      <c r="L21" s="74" t="s">
        <v>734</v>
      </c>
      <c r="M21" s="63" t="s">
        <v>734</v>
      </c>
      <c r="N21" s="63" t="s">
        <v>734</v>
      </c>
      <c r="O21" s="63" t="s">
        <v>920</v>
      </c>
      <c r="P21" s="63" t="s">
        <v>738</v>
      </c>
      <c r="Q21" s="63" t="s">
        <v>920</v>
      </c>
      <c r="R21" s="63" t="s">
        <v>920</v>
      </c>
      <c r="S21" s="65"/>
      <c r="T21" s="66" t="s">
        <v>1078</v>
      </c>
      <c r="U21" s="67" t="n">
        <v>45712</v>
      </c>
      <c r="V21" s="67" t="n">
        <v>45726</v>
      </c>
      <c r="W21" s="67" t="n">
        <v>45754</v>
      </c>
      <c r="X21" s="68" t="n">
        <v>8.5</v>
      </c>
      <c r="Y21" s="69"/>
      <c r="Z21" s="70" t="n">
        <v>270408</v>
      </c>
      <c r="AA21" s="67" t="n">
        <v>45765</v>
      </c>
      <c r="AB21" s="67" t="n">
        <v>45782</v>
      </c>
      <c r="AC21" s="67" t="n">
        <v>45782</v>
      </c>
      <c r="AD21" s="68" t="n">
        <v>8</v>
      </c>
      <c r="AE21" s="69"/>
      <c r="AF21" s="70" t="n">
        <v>5654</v>
      </c>
      <c r="AG21" s="106" t="n">
        <v>45816</v>
      </c>
      <c r="AH21" s="106" t="n">
        <v>45816</v>
      </c>
      <c r="AI21" s="106" t="n">
        <v>45816</v>
      </c>
      <c r="AJ21" s="68" t="n">
        <v>9</v>
      </c>
      <c r="AK21" s="69"/>
      <c r="AL21" s="70" t="n">
        <v>669933</v>
      </c>
      <c r="AM21" s="106" t="n">
        <v>45830</v>
      </c>
      <c r="AN21" s="106" t="n">
        <v>45830</v>
      </c>
      <c r="AO21" s="106" t="n">
        <v>45830</v>
      </c>
      <c r="AP21" s="68" t="n">
        <v>8.5</v>
      </c>
      <c r="AQ21" s="69"/>
      <c r="AR21" s="70" t="s">
        <v>737</v>
      </c>
      <c r="AS21" s="70" t="s">
        <v>737</v>
      </c>
      <c r="AT21" s="70" t="s">
        <v>737</v>
      </c>
      <c r="AU21" s="70" t="s">
        <v>737</v>
      </c>
      <c r="AV21" s="68" t="n">
        <v>0</v>
      </c>
      <c r="AW21" s="69"/>
      <c r="AX21" s="68"/>
      <c r="AY21" s="68"/>
      <c r="AZ21" s="69"/>
      <c r="BA21" s="106" t="n">
        <v>45794</v>
      </c>
      <c r="BB21" s="71" t="n">
        <v>7</v>
      </c>
      <c r="BC21" s="72"/>
      <c r="BD21" s="73" t="str">
        <f aca="false">IF(AND(BB21&gt;=6,AP21&gt;=6,AJ21&gt;=6,AD21&gt;=6,X21&gt;=6),"да","нет")</f>
        <v>да</v>
      </c>
      <c r="BE21" s="72"/>
      <c r="BF21" s="118" t="n">
        <v>45836</v>
      </c>
      <c r="BG21" s="71" t="n">
        <v>26</v>
      </c>
      <c r="BH21" s="68" t="n">
        <v>1</v>
      </c>
      <c r="BI21" s="50"/>
      <c r="BJ21" s="75" t="n">
        <f aca="false">SUM(X21,AD21,AJ21,AP21,AV21,AX21:AY21,BH21,BB21,BG21)</f>
        <v>68</v>
      </c>
      <c r="BK21" s="73" t="str">
        <f aca="false">IF(BJ21&gt;90,"A",IF(BJ21&gt;83,"B",IF(BJ21&gt;74,"C",IF(BJ21&gt;67,"D",IF(BJ21&gt;=60,"E","FX")))))</f>
        <v>D</v>
      </c>
    </row>
    <row r="22" customFormat="false" ht="15.75" hidden="false" customHeight="false" outlineLevel="0" collapsed="false">
      <c r="A22" s="59" t="n">
        <f aca="false">A21+1</f>
        <v>20</v>
      </c>
      <c r="B22" s="60" t="s">
        <v>55</v>
      </c>
      <c r="C22" s="61" t="s">
        <v>24</v>
      </c>
      <c r="D22" s="61" t="s">
        <v>54</v>
      </c>
      <c r="E22" s="62"/>
      <c r="F22" s="63" t="s">
        <v>919</v>
      </c>
      <c r="G22" s="63" t="s">
        <v>739</v>
      </c>
      <c r="H22" s="63" t="s">
        <v>920</v>
      </c>
      <c r="I22" s="74" t="s">
        <v>734</v>
      </c>
      <c r="J22" s="74" t="s">
        <v>734</v>
      </c>
      <c r="K22" s="176" t="s">
        <v>920</v>
      </c>
      <c r="L22" s="74" t="s">
        <v>739</v>
      </c>
      <c r="M22" s="63" t="s">
        <v>920</v>
      </c>
      <c r="N22" s="63" t="s">
        <v>920</v>
      </c>
      <c r="O22" s="63" t="s">
        <v>920</v>
      </c>
      <c r="P22" s="63" t="s">
        <v>920</v>
      </c>
      <c r="Q22" s="63" t="s">
        <v>920</v>
      </c>
      <c r="R22" s="63" t="s">
        <v>920</v>
      </c>
      <c r="S22" s="65"/>
      <c r="T22" s="66" t="s">
        <v>1079</v>
      </c>
      <c r="U22" s="67" t="n">
        <v>45712</v>
      </c>
      <c r="V22" s="67" t="n">
        <v>45754</v>
      </c>
      <c r="W22" s="67" t="n">
        <v>45765</v>
      </c>
      <c r="X22" s="68" t="n">
        <v>8</v>
      </c>
      <c r="Y22" s="69"/>
      <c r="Z22" s="70" t="n">
        <v>34</v>
      </c>
      <c r="AA22" s="67" t="n">
        <v>45782</v>
      </c>
      <c r="AB22" s="67" t="n">
        <v>45816</v>
      </c>
      <c r="AC22" s="67" t="n">
        <v>45816</v>
      </c>
      <c r="AD22" s="68" t="n">
        <v>8</v>
      </c>
      <c r="AE22" s="69"/>
      <c r="AF22" s="70" t="n">
        <v>1</v>
      </c>
      <c r="AG22" s="106" t="n">
        <v>45823</v>
      </c>
      <c r="AH22" s="106" t="n">
        <v>45823</v>
      </c>
      <c r="AI22" s="106" t="n">
        <v>45823</v>
      </c>
      <c r="AJ22" s="68" t="n">
        <v>9</v>
      </c>
      <c r="AK22" s="69"/>
      <c r="AL22" s="70" t="n">
        <v>4</v>
      </c>
      <c r="AM22" s="106" t="n">
        <v>45835</v>
      </c>
      <c r="AN22" s="106" t="n">
        <v>45835</v>
      </c>
      <c r="AO22" s="106" t="n">
        <v>45835</v>
      </c>
      <c r="AP22" s="68" t="n">
        <v>8.5</v>
      </c>
      <c r="AQ22" s="69"/>
      <c r="AR22" s="70" t="s">
        <v>737</v>
      </c>
      <c r="AS22" s="70" t="s">
        <v>737</v>
      </c>
      <c r="AT22" s="70" t="s">
        <v>737</v>
      </c>
      <c r="AU22" s="70" t="s">
        <v>737</v>
      </c>
      <c r="AV22" s="68" t="n">
        <v>0</v>
      </c>
      <c r="AW22" s="69"/>
      <c r="AX22" s="68"/>
      <c r="AY22" s="68"/>
      <c r="AZ22" s="69"/>
      <c r="BA22" s="106" t="n">
        <v>45835</v>
      </c>
      <c r="BB22" s="71" t="n">
        <v>7</v>
      </c>
      <c r="BC22" s="72"/>
      <c r="BD22" s="73" t="str">
        <f aca="false">IF(AND(BB22&gt;=6,AP22&gt;=6,AJ22&gt;=6,AD22&gt;=6,X22&gt;=6),"да","нет")</f>
        <v>да</v>
      </c>
      <c r="BE22" s="72"/>
      <c r="BF22" s="118" t="n">
        <v>45836</v>
      </c>
      <c r="BG22" s="71" t="n">
        <v>25</v>
      </c>
      <c r="BH22" s="68" t="n">
        <v>2</v>
      </c>
      <c r="BI22" s="50"/>
      <c r="BJ22" s="75" t="n">
        <f aca="false">SUM(X22,AD22,AJ22,AP22,AV22,AX22:AY22,BH22,BB22,BG22)</f>
        <v>67.5</v>
      </c>
      <c r="BK22" s="73" t="str">
        <f aca="false">IF(BJ22&gt;90,"A",IF(BJ22&gt;83,"B",IF(BJ22&gt;74,"C",IF(BJ22&gt;67,"D",IF(BJ22&gt;=60,"E","FX")))))</f>
        <v>D</v>
      </c>
    </row>
    <row r="23" customFormat="false" ht="15.75" hidden="false" customHeight="false" outlineLevel="0" collapsed="false">
      <c r="A23" s="59" t="n">
        <f aca="false">A22+1</f>
        <v>21</v>
      </c>
      <c r="B23" s="60" t="s">
        <v>65</v>
      </c>
      <c r="C23" s="61" t="s">
        <v>24</v>
      </c>
      <c r="D23" s="61" t="s">
        <v>64</v>
      </c>
      <c r="E23" s="62"/>
      <c r="F23" s="63" t="s">
        <v>919</v>
      </c>
      <c r="G23" s="63" t="s">
        <v>919</v>
      </c>
      <c r="H23" s="63" t="s">
        <v>739</v>
      </c>
      <c r="I23" s="74" t="s">
        <v>739</v>
      </c>
      <c r="J23" s="74" t="s">
        <v>734</v>
      </c>
      <c r="K23" s="74" t="s">
        <v>739</v>
      </c>
      <c r="L23" s="74" t="s">
        <v>734</v>
      </c>
      <c r="M23" s="63" t="s">
        <v>734</v>
      </c>
      <c r="N23" s="63" t="s">
        <v>734</v>
      </c>
      <c r="O23" s="63" t="s">
        <v>920</v>
      </c>
      <c r="P23" s="63" t="s">
        <v>1007</v>
      </c>
      <c r="Q23" s="63" t="s">
        <v>920</v>
      </c>
      <c r="R23" s="63" t="s">
        <v>920</v>
      </c>
      <c r="S23" s="65"/>
      <c r="T23" s="66" t="s">
        <v>1080</v>
      </c>
      <c r="U23" s="67" t="n">
        <v>45726</v>
      </c>
      <c r="V23" s="67" t="n">
        <v>45754</v>
      </c>
      <c r="W23" s="67" t="n">
        <v>45765</v>
      </c>
      <c r="X23" s="68" t="n">
        <v>7</v>
      </c>
      <c r="Y23" s="69"/>
      <c r="Z23" s="70" t="n">
        <v>93341</v>
      </c>
      <c r="AA23" s="67" t="n">
        <v>45768</v>
      </c>
      <c r="AB23" s="67" t="n">
        <v>45782</v>
      </c>
      <c r="AC23" s="67" t="n">
        <v>45782</v>
      </c>
      <c r="AD23" s="68" t="n">
        <v>6.5</v>
      </c>
      <c r="AE23" s="69"/>
      <c r="AF23" s="70" t="n">
        <v>5681</v>
      </c>
      <c r="AG23" s="106" t="n">
        <v>45816</v>
      </c>
      <c r="AH23" s="106" t="n">
        <v>45816</v>
      </c>
      <c r="AI23" s="106" t="n">
        <v>45816</v>
      </c>
      <c r="AJ23" s="68" t="n">
        <v>8.5</v>
      </c>
      <c r="AK23" s="69"/>
      <c r="AL23" s="70" t="n">
        <v>339966</v>
      </c>
      <c r="AM23" s="106" t="n">
        <v>45830</v>
      </c>
      <c r="AN23" s="106" t="n">
        <v>45830</v>
      </c>
      <c r="AO23" s="106" t="n">
        <v>45830</v>
      </c>
      <c r="AP23" s="70" t="n">
        <v>8.5</v>
      </c>
      <c r="AQ23" s="69"/>
      <c r="AR23" s="70" t="s">
        <v>737</v>
      </c>
      <c r="AS23" s="70" t="s">
        <v>737</v>
      </c>
      <c r="AT23" s="70" t="s">
        <v>737</v>
      </c>
      <c r="AU23" s="70" t="s">
        <v>737</v>
      </c>
      <c r="AV23" s="68" t="n">
        <v>0</v>
      </c>
      <c r="AW23" s="69"/>
      <c r="AX23" s="68"/>
      <c r="AY23" s="68" t="n">
        <v>1</v>
      </c>
      <c r="AZ23" s="69"/>
      <c r="BA23" s="106" t="n">
        <v>45835</v>
      </c>
      <c r="BB23" s="71" t="n">
        <v>6</v>
      </c>
      <c r="BC23" s="72"/>
      <c r="BD23" s="73" t="str">
        <f aca="false">IF(AND(BB23&gt;=6,AP23&gt;=6,AJ23&gt;=6,AD23&gt;=6,X23&gt;=6),"да","нет")</f>
        <v>да</v>
      </c>
      <c r="BE23" s="72"/>
      <c r="BF23" s="118" t="n">
        <v>45836</v>
      </c>
      <c r="BG23" s="71" t="n">
        <v>29</v>
      </c>
      <c r="BH23" s="68" t="n">
        <v>1</v>
      </c>
      <c r="BI23" s="50"/>
      <c r="BJ23" s="75" t="n">
        <f aca="false">SUM(X23,AD23,AJ23,AP23,AV23,AX23:AY23,BH23,BB23,BG23)</f>
        <v>67.5</v>
      </c>
      <c r="BK23" s="73" t="str">
        <f aca="false">IF(BJ23&gt;90,"A",IF(BJ23&gt;83,"B",IF(BJ23&gt;74,"C",IF(BJ23&gt;67,"D",IF(BJ23&gt;=60,"E","FX")))))</f>
        <v>D</v>
      </c>
    </row>
    <row r="24" customFormat="false" ht="15.75" hidden="false" customHeight="false" outlineLevel="0" collapsed="false">
      <c r="A24" s="59" t="n">
        <f aca="false">A23+1</f>
        <v>22</v>
      </c>
      <c r="B24" s="60" t="s">
        <v>81</v>
      </c>
      <c r="C24" s="61" t="s">
        <v>24</v>
      </c>
      <c r="D24" s="61" t="s">
        <v>80</v>
      </c>
      <c r="E24" s="62"/>
      <c r="F24" s="63" t="s">
        <v>919</v>
      </c>
      <c r="G24" s="63" t="s">
        <v>734</v>
      </c>
      <c r="H24" s="63" t="s">
        <v>734</v>
      </c>
      <c r="I24" s="74" t="s">
        <v>739</v>
      </c>
      <c r="J24" s="74" t="s">
        <v>734</v>
      </c>
      <c r="K24" s="74" t="s">
        <v>734</v>
      </c>
      <c r="L24" s="74" t="s">
        <v>734</v>
      </c>
      <c r="M24" s="63" t="s">
        <v>734</v>
      </c>
      <c r="N24" s="63" t="s">
        <v>920</v>
      </c>
      <c r="O24" s="63" t="s">
        <v>920</v>
      </c>
      <c r="P24" s="63" t="s">
        <v>920</v>
      </c>
      <c r="Q24" s="63" t="s">
        <v>920</v>
      </c>
      <c r="R24" s="63" t="s">
        <v>920</v>
      </c>
      <c r="S24" s="65"/>
      <c r="T24" s="66" t="s">
        <v>1081</v>
      </c>
      <c r="U24" s="106" t="n">
        <v>45712</v>
      </c>
      <c r="V24" s="178" t="n">
        <v>45754</v>
      </c>
      <c r="W24" s="106" t="n">
        <v>45754</v>
      </c>
      <c r="X24" s="70" t="n">
        <v>6.5</v>
      </c>
      <c r="Y24" s="69"/>
      <c r="Z24" s="70" t="n">
        <v>3112</v>
      </c>
      <c r="AA24" s="67" t="n">
        <v>45765</v>
      </c>
      <c r="AB24" s="67" t="n">
        <v>45782</v>
      </c>
      <c r="AC24" s="67" t="n">
        <v>45782</v>
      </c>
      <c r="AD24" s="70" t="n">
        <v>7.5</v>
      </c>
      <c r="AE24" s="69"/>
      <c r="AF24" s="70" t="n">
        <v>3424</v>
      </c>
      <c r="AG24" s="106" t="n">
        <v>45796</v>
      </c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 t="s">
        <v>737</v>
      </c>
      <c r="AS24" s="70" t="s">
        <v>737</v>
      </c>
      <c r="AT24" s="70" t="s">
        <v>737</v>
      </c>
      <c r="AU24" s="70" t="s">
        <v>737</v>
      </c>
      <c r="AV24" s="68" t="n">
        <v>0</v>
      </c>
      <c r="AW24" s="69"/>
      <c r="AX24" s="68"/>
      <c r="AY24" s="68"/>
      <c r="AZ24" s="69"/>
      <c r="BA24" s="106" t="n">
        <v>45793</v>
      </c>
      <c r="BB24" s="71" t="n">
        <v>6</v>
      </c>
      <c r="BC24" s="72"/>
      <c r="BD24" s="73" t="str">
        <f aca="false">IF(AND(BB24&gt;=6,AP24&gt;=6,AJ24&gt;=6,AD24&gt;=6,X24&gt;=6),"да","нет")</f>
        <v>нет</v>
      </c>
      <c r="BE24" s="72"/>
      <c r="BF24" s="118"/>
      <c r="BG24" s="71"/>
      <c r="BH24" s="68"/>
      <c r="BI24" s="50"/>
      <c r="BJ24" s="126" t="n">
        <f aca="false">SUM(X24,AD24,AJ24,AP24,AV24,AX24:AY24,BH24,BB24,BG24)</f>
        <v>20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v>23</v>
      </c>
      <c r="B25" s="60" t="s">
        <v>95</v>
      </c>
      <c r="C25" s="61" t="s">
        <v>24</v>
      </c>
      <c r="D25" s="61" t="s">
        <v>94</v>
      </c>
      <c r="E25" s="62"/>
      <c r="F25" s="63" t="s">
        <v>1082</v>
      </c>
      <c r="G25" s="63" t="s">
        <v>734</v>
      </c>
      <c r="H25" s="63" t="s">
        <v>920</v>
      </c>
      <c r="I25" s="74" t="s">
        <v>734</v>
      </c>
      <c r="J25" s="74" t="s">
        <v>738</v>
      </c>
      <c r="K25" s="74" t="s">
        <v>734</v>
      </c>
      <c r="L25" s="74" t="s">
        <v>734</v>
      </c>
      <c r="M25" s="63" t="s">
        <v>734</v>
      </c>
      <c r="N25" s="63" t="s">
        <v>734</v>
      </c>
      <c r="O25" s="63" t="s">
        <v>920</v>
      </c>
      <c r="P25" s="63" t="s">
        <v>734</v>
      </c>
      <c r="Q25" s="63" t="s">
        <v>920</v>
      </c>
      <c r="R25" s="63" t="s">
        <v>920</v>
      </c>
      <c r="S25" s="65"/>
      <c r="T25" s="66" t="s">
        <v>1083</v>
      </c>
      <c r="U25" s="106" t="n">
        <v>45754</v>
      </c>
      <c r="V25" s="106" t="n">
        <v>45754</v>
      </c>
      <c r="W25" s="106" t="n">
        <v>45754</v>
      </c>
      <c r="X25" s="70" t="n">
        <v>7.5</v>
      </c>
      <c r="Y25" s="69"/>
      <c r="Z25" s="70" t="n">
        <v>1237</v>
      </c>
      <c r="AA25" s="67" t="n">
        <v>45765</v>
      </c>
      <c r="AB25" s="67" t="n">
        <v>45768</v>
      </c>
      <c r="AC25" s="67" t="n">
        <v>45768</v>
      </c>
      <c r="AD25" s="70" t="n">
        <v>9.5</v>
      </c>
      <c r="AE25" s="69"/>
      <c r="AF25" s="70" t="n">
        <v>32164</v>
      </c>
      <c r="AG25" s="106" t="n">
        <v>45782</v>
      </c>
      <c r="AH25" s="106" t="n">
        <v>45796</v>
      </c>
      <c r="AI25" s="106" t="n">
        <v>45796</v>
      </c>
      <c r="AJ25" s="70" t="n">
        <v>8.5</v>
      </c>
      <c r="AK25" s="69"/>
      <c r="AL25" s="70" t="n">
        <v>3242</v>
      </c>
      <c r="AM25" s="106" t="n">
        <v>45816</v>
      </c>
      <c r="AN25" s="106" t="n">
        <v>45830</v>
      </c>
      <c r="AO25" s="106" t="n">
        <v>45830</v>
      </c>
      <c r="AP25" s="68" t="n">
        <v>10</v>
      </c>
      <c r="AQ25" s="69"/>
      <c r="AR25" s="70" t="s">
        <v>737</v>
      </c>
      <c r="AS25" s="70" t="s">
        <v>737</v>
      </c>
      <c r="AT25" s="70" t="s">
        <v>737</v>
      </c>
      <c r="AU25" s="70" t="s">
        <v>737</v>
      </c>
      <c r="AV25" s="68" t="n">
        <v>0</v>
      </c>
      <c r="AW25" s="69"/>
      <c r="AX25" s="68"/>
      <c r="AY25" s="68"/>
      <c r="AZ25" s="69"/>
      <c r="BA25" s="106" t="n">
        <v>45835</v>
      </c>
      <c r="BB25" s="71" t="n">
        <v>7</v>
      </c>
      <c r="BC25" s="72"/>
      <c r="BD25" s="73" t="str">
        <f aca="false">IF(AND(BB25&gt;=6,AP25&gt;=6,AJ25&gt;=6,AD25&gt;=6,X25&gt;=6),"да","нет")</f>
        <v>да</v>
      </c>
      <c r="BE25" s="72"/>
      <c r="BF25" s="118" t="n">
        <v>45836</v>
      </c>
      <c r="BG25" s="71" t="n">
        <v>29</v>
      </c>
      <c r="BH25" s="68" t="n">
        <v>3</v>
      </c>
      <c r="BI25" s="50"/>
      <c r="BJ25" s="126" t="n">
        <f aca="false">SUM(X25,AD25,AJ25,AP25,AV25,AX25:AY25,BH25,BB25,BG25)</f>
        <v>74.5</v>
      </c>
      <c r="BK25" s="73" t="str">
        <f aca="false">IF(BJ25&gt;90,"A",IF(BJ25&gt;83,"B",IF(BJ25&gt;74,"C",IF(BJ25&gt;67,"D",IF(BJ25&gt;=60,"E","FX")))))</f>
        <v>C</v>
      </c>
    </row>
    <row r="26" customFormat="false" ht="15.75" hidden="false" customHeight="false" outlineLevel="0" collapsed="false">
      <c r="A26" s="59" t="n">
        <v>24</v>
      </c>
      <c r="B26" s="175" t="s">
        <v>1084</v>
      </c>
      <c r="C26" s="61" t="s">
        <v>24</v>
      </c>
      <c r="D26" s="61" t="s">
        <v>1085</v>
      </c>
      <c r="E26" s="62"/>
      <c r="F26" s="63" t="s">
        <v>919</v>
      </c>
      <c r="G26" s="63" t="s">
        <v>920</v>
      </c>
      <c r="H26" s="63" t="s">
        <v>920</v>
      </c>
      <c r="I26" s="176" t="s">
        <v>920</v>
      </c>
      <c r="J26" s="176" t="s">
        <v>920</v>
      </c>
      <c r="K26" s="176" t="s">
        <v>920</v>
      </c>
      <c r="L26" s="176" t="s">
        <v>920</v>
      </c>
      <c r="M26" s="63" t="s">
        <v>920</v>
      </c>
      <c r="N26" s="63" t="s">
        <v>920</v>
      </c>
      <c r="O26" s="63" t="s">
        <v>920</v>
      </c>
      <c r="P26" s="63" t="s">
        <v>920</v>
      </c>
      <c r="Q26" s="63" t="s">
        <v>920</v>
      </c>
      <c r="R26" s="63" t="s">
        <v>920</v>
      </c>
      <c r="S26" s="65"/>
      <c r="T26" s="66" t="s">
        <v>1086</v>
      </c>
      <c r="U26" s="70"/>
      <c r="V26" s="70"/>
      <c r="W26" s="70"/>
      <c r="X26" s="68"/>
      <c r="Y26" s="69"/>
      <c r="Z26" s="70"/>
      <c r="AA26" s="67"/>
      <c r="AB26" s="67"/>
      <c r="AC26" s="67"/>
      <c r="AD26" s="68"/>
      <c r="AE26" s="69"/>
      <c r="AF26" s="70"/>
      <c r="AG26" s="70"/>
      <c r="AH26" s="70"/>
      <c r="AI26" s="70"/>
      <c r="AJ26" s="68"/>
      <c r="AK26" s="69"/>
      <c r="AL26" s="70"/>
      <c r="AM26" s="70"/>
      <c r="AN26" s="70"/>
      <c r="AO26" s="70"/>
      <c r="AP26" s="68"/>
      <c r="AQ26" s="69"/>
      <c r="AR26" s="70" t="s">
        <v>737</v>
      </c>
      <c r="AS26" s="70" t="s">
        <v>737</v>
      </c>
      <c r="AT26" s="70" t="s">
        <v>737</v>
      </c>
      <c r="AU26" s="70" t="s">
        <v>737</v>
      </c>
      <c r="AV26" s="68" t="n">
        <v>0</v>
      </c>
      <c r="AW26" s="69"/>
      <c r="AX26" s="68"/>
      <c r="AY26" s="68"/>
      <c r="AZ26" s="69"/>
      <c r="BA26" s="70"/>
      <c r="BB26" s="71"/>
      <c r="BC26" s="72"/>
      <c r="BD26" s="73" t="str">
        <f aca="false">IF(AND(BB26&gt;=6,AP26&gt;=6,AJ26&gt;=6,AD26&gt;=6,X26&gt;=6),"да","нет")</f>
        <v>нет</v>
      </c>
      <c r="BE26" s="72"/>
      <c r="BF26" s="74"/>
      <c r="BG26" s="71"/>
      <c r="BH26" s="68"/>
      <c r="BI26" s="50"/>
      <c r="BJ26" s="75" t="n">
        <f aca="false">SUM(X26,AD26,AJ26,AP26,AV26,AX26:AY26,BH26,BB26,BG26)</f>
        <v>0</v>
      </c>
      <c r="BK26" s="73" t="str">
        <f aca="false">IF(BJ26&gt;90,"A",IF(BJ26&gt;83,"B",IF(BJ26&gt;74,"C",IF(BJ26&gt;67,"D",IF(BJ26&gt;=60,"E","FX")))))</f>
        <v>FX</v>
      </c>
    </row>
    <row r="27" customFormat="false" ht="15.75" hidden="false" customHeight="false" outlineLevel="0" collapsed="false">
      <c r="A27" s="59" t="n">
        <v>25</v>
      </c>
      <c r="B27" s="175" t="s">
        <v>119</v>
      </c>
      <c r="C27" s="61" t="s">
        <v>24</v>
      </c>
      <c r="D27" s="61" t="s">
        <v>118</v>
      </c>
      <c r="E27" s="62"/>
      <c r="F27" s="63" t="s">
        <v>920</v>
      </c>
      <c r="G27" s="63" t="s">
        <v>920</v>
      </c>
      <c r="H27" s="63" t="s">
        <v>920</v>
      </c>
      <c r="I27" s="176" t="s">
        <v>920</v>
      </c>
      <c r="J27" s="74" t="s">
        <v>739</v>
      </c>
      <c r="K27" s="74" t="s">
        <v>739</v>
      </c>
      <c r="L27" s="176" t="s">
        <v>920</v>
      </c>
      <c r="M27" s="63" t="s">
        <v>920</v>
      </c>
      <c r="N27" s="63" t="s">
        <v>920</v>
      </c>
      <c r="O27" s="63" t="s">
        <v>920</v>
      </c>
      <c r="P27" s="63" t="s">
        <v>920</v>
      </c>
      <c r="Q27" s="63" t="s">
        <v>920</v>
      </c>
      <c r="R27" s="63" t="s">
        <v>920</v>
      </c>
      <c r="S27" s="65"/>
      <c r="T27" s="66" t="s">
        <v>1087</v>
      </c>
      <c r="U27" s="106" t="n">
        <v>45765</v>
      </c>
      <c r="V27" s="106" t="n">
        <v>45768</v>
      </c>
      <c r="W27" s="106" t="n">
        <v>45768</v>
      </c>
      <c r="X27" s="68" t="n">
        <v>8</v>
      </c>
      <c r="Y27" s="69"/>
      <c r="Z27" s="70" t="n">
        <v>4342</v>
      </c>
      <c r="AA27" s="67"/>
      <c r="AB27" s="67"/>
      <c r="AC27" s="67"/>
      <c r="AD27" s="68"/>
      <c r="AE27" s="69"/>
      <c r="AF27" s="70"/>
      <c r="AG27" s="70"/>
      <c r="AH27" s="70"/>
      <c r="AI27" s="70"/>
      <c r="AJ27" s="68"/>
      <c r="AK27" s="69"/>
      <c r="AL27" s="70"/>
      <c r="AM27" s="70"/>
      <c r="AN27" s="70"/>
      <c r="AO27" s="70"/>
      <c r="AP27" s="68"/>
      <c r="AQ27" s="69"/>
      <c r="AR27" s="70" t="s">
        <v>737</v>
      </c>
      <c r="AS27" s="70" t="s">
        <v>737</v>
      </c>
      <c r="AT27" s="70" t="s">
        <v>737</v>
      </c>
      <c r="AU27" s="70" t="s">
        <v>737</v>
      </c>
      <c r="AV27" s="68" t="n">
        <v>0</v>
      </c>
      <c r="AW27" s="69"/>
      <c r="AX27" s="68"/>
      <c r="AY27" s="68"/>
      <c r="AZ27" s="69"/>
      <c r="BA27" s="70"/>
      <c r="BB27" s="71"/>
      <c r="BC27" s="72"/>
      <c r="BD27" s="73" t="str">
        <f aca="false">IF(AND(BB27&gt;=6,AP27&gt;=6,AJ27&gt;=6,AD27&gt;=6,X27&gt;=6),"да","нет")</f>
        <v>нет</v>
      </c>
      <c r="BE27" s="72"/>
      <c r="BF27" s="74"/>
      <c r="BG27" s="71"/>
      <c r="BH27" s="68"/>
      <c r="BI27" s="50"/>
      <c r="BJ27" s="75" t="n">
        <f aca="false">SUM(X27,AD27,AJ27,AP27,AV27,AX27:AY27,BH27,BB27,BG27)</f>
        <v>8</v>
      </c>
      <c r="BK27" s="73" t="str">
        <f aca="false">IF(BJ27&gt;90,"A",IF(BJ27&gt;83,"B",IF(BJ27&gt;74,"C",IF(BJ27&gt;67,"D",IF(BJ27&gt;=60,"E","FX")))))</f>
        <v>FX</v>
      </c>
    </row>
    <row r="28" customFormat="false" ht="15.75" hidden="false" customHeight="false" outlineLevel="0" collapsed="false">
      <c r="A28" s="59" t="n">
        <v>26</v>
      </c>
      <c r="B28" s="60" t="s">
        <v>123</v>
      </c>
      <c r="C28" s="61" t="s">
        <v>24</v>
      </c>
      <c r="D28" s="61" t="s">
        <v>122</v>
      </c>
      <c r="E28" s="62"/>
      <c r="F28" s="63" t="s">
        <v>920</v>
      </c>
      <c r="G28" s="63" t="s">
        <v>920</v>
      </c>
      <c r="H28" s="63" t="s">
        <v>920</v>
      </c>
      <c r="I28" s="176" t="s">
        <v>920</v>
      </c>
      <c r="J28" s="176" t="s">
        <v>920</v>
      </c>
      <c r="K28" s="74" t="s">
        <v>739</v>
      </c>
      <c r="L28" s="176" t="s">
        <v>920</v>
      </c>
      <c r="M28" s="63" t="s">
        <v>919</v>
      </c>
      <c r="N28" s="63" t="s">
        <v>734</v>
      </c>
      <c r="O28" s="63" t="s">
        <v>920</v>
      </c>
      <c r="P28" s="63" t="s">
        <v>734</v>
      </c>
      <c r="Q28" s="63" t="s">
        <v>920</v>
      </c>
      <c r="R28" s="63" t="s">
        <v>920</v>
      </c>
      <c r="S28" s="65"/>
      <c r="T28" s="66" t="s">
        <v>1088</v>
      </c>
      <c r="U28" s="106" t="n">
        <v>45768</v>
      </c>
      <c r="V28" s="106" t="n">
        <v>45768</v>
      </c>
      <c r="W28" s="106" t="n">
        <v>45768</v>
      </c>
      <c r="X28" s="68" t="n">
        <v>8</v>
      </c>
      <c r="Y28" s="69"/>
      <c r="Z28" s="70" t="n">
        <v>123</v>
      </c>
      <c r="AA28" s="67" t="n">
        <v>45816</v>
      </c>
      <c r="AB28" s="67" t="n">
        <v>45816</v>
      </c>
      <c r="AC28" s="67" t="n">
        <v>45816</v>
      </c>
      <c r="AD28" s="68" t="n">
        <v>6</v>
      </c>
      <c r="AE28" s="69"/>
      <c r="AF28" s="70" t="n">
        <v>2</v>
      </c>
      <c r="AG28" s="106" t="n">
        <v>45823</v>
      </c>
      <c r="AH28" s="106" t="n">
        <v>45823</v>
      </c>
      <c r="AI28" s="106" t="n">
        <v>45823</v>
      </c>
      <c r="AJ28" s="68" t="n">
        <v>7</v>
      </c>
      <c r="AK28" s="69"/>
      <c r="AL28" s="70" t="n">
        <v>3</v>
      </c>
      <c r="AM28" s="106" t="n">
        <v>45835</v>
      </c>
      <c r="AN28" s="106" t="n">
        <v>45835</v>
      </c>
      <c r="AO28" s="106" t="n">
        <v>45835</v>
      </c>
      <c r="AP28" s="68" t="n">
        <v>7</v>
      </c>
      <c r="AQ28" s="69"/>
      <c r="AR28" s="70" t="s">
        <v>737</v>
      </c>
      <c r="AS28" s="70" t="s">
        <v>737</v>
      </c>
      <c r="AT28" s="70" t="s">
        <v>737</v>
      </c>
      <c r="AU28" s="70" t="s">
        <v>737</v>
      </c>
      <c r="AV28" s="68" t="n">
        <v>0</v>
      </c>
      <c r="AW28" s="69"/>
      <c r="AX28" s="68"/>
      <c r="AY28" s="68"/>
      <c r="AZ28" s="69"/>
      <c r="BA28" s="106" t="n">
        <v>45835</v>
      </c>
      <c r="BB28" s="71" t="n">
        <v>0.1</v>
      </c>
      <c r="BC28" s="72"/>
      <c r="BD28" s="73" t="str">
        <f aca="false">IF(AND(BB28&gt;=6,AP28&gt;=6,AJ28&gt;=6,AD28&gt;=6,X28&gt;=6),"да","нет")</f>
        <v>нет</v>
      </c>
      <c r="BE28" s="72"/>
      <c r="BF28" s="74"/>
      <c r="BG28" s="71"/>
      <c r="BH28" s="68"/>
      <c r="BI28" s="50"/>
      <c r="BJ28" s="75" t="n">
        <f aca="false">SUM(X28,AD28,AJ28,AP28,AV28,AX28:AY28,BH28,BB28,BG28)</f>
        <v>28.1</v>
      </c>
      <c r="BK28" s="73" t="str">
        <f aca="false">IF(BJ28&gt;90,"A",IF(BJ28&gt;83,"B",IF(BJ28&gt;74,"C",IF(BJ28&gt;67,"D",IF(BJ28&gt;=60,"E","FX")))))</f>
        <v>FX</v>
      </c>
    </row>
    <row r="29" customFormat="false" ht="15.75" hidden="false" customHeight="false" outlineLevel="0" collapsed="false">
      <c r="A29" s="59" t="n">
        <v>27</v>
      </c>
      <c r="B29" s="175" t="s">
        <v>1089</v>
      </c>
      <c r="C29" s="61" t="s">
        <v>24</v>
      </c>
      <c r="D29" s="61" t="s">
        <v>1090</v>
      </c>
      <c r="E29" s="62"/>
      <c r="F29" s="63" t="s">
        <v>919</v>
      </c>
      <c r="G29" s="63" t="s">
        <v>734</v>
      </c>
      <c r="H29" s="63" t="s">
        <v>920</v>
      </c>
      <c r="I29" s="176" t="s">
        <v>920</v>
      </c>
      <c r="J29" s="176" t="s">
        <v>920</v>
      </c>
      <c r="K29" s="176" t="s">
        <v>920</v>
      </c>
      <c r="L29" s="176" t="s">
        <v>920</v>
      </c>
      <c r="M29" s="63" t="s">
        <v>920</v>
      </c>
      <c r="N29" s="63" t="s">
        <v>920</v>
      </c>
      <c r="O29" s="63" t="s">
        <v>920</v>
      </c>
      <c r="P29" s="63" t="s">
        <v>920</v>
      </c>
      <c r="Q29" s="63" t="s">
        <v>920</v>
      </c>
      <c r="R29" s="63" t="s">
        <v>920</v>
      </c>
      <c r="S29" s="65"/>
      <c r="T29" s="66" t="s">
        <v>1091</v>
      </c>
      <c r="U29" s="70"/>
      <c r="V29" s="70"/>
      <c r="W29" s="70"/>
      <c r="X29" s="68"/>
      <c r="Y29" s="69"/>
      <c r="Z29" s="70"/>
      <c r="AA29" s="67"/>
      <c r="AB29" s="67"/>
      <c r="AC29" s="67"/>
      <c r="AD29" s="68"/>
      <c r="AE29" s="69"/>
      <c r="AF29" s="70"/>
      <c r="AG29" s="70"/>
      <c r="AH29" s="70"/>
      <c r="AI29" s="70"/>
      <c r="AJ29" s="68"/>
      <c r="AK29" s="69"/>
      <c r="AL29" s="70"/>
      <c r="AM29" s="70"/>
      <c r="AN29" s="70"/>
      <c r="AO29" s="70"/>
      <c r="AP29" s="68"/>
      <c r="AQ29" s="69"/>
      <c r="AR29" s="70" t="s">
        <v>737</v>
      </c>
      <c r="AS29" s="70" t="s">
        <v>737</v>
      </c>
      <c r="AT29" s="70" t="s">
        <v>737</v>
      </c>
      <c r="AU29" s="70" t="s">
        <v>737</v>
      </c>
      <c r="AV29" s="68" t="n">
        <v>0</v>
      </c>
      <c r="AW29" s="69"/>
      <c r="AX29" s="68"/>
      <c r="AY29" s="68"/>
      <c r="AZ29" s="69"/>
      <c r="BA29" s="70"/>
      <c r="BB29" s="71"/>
      <c r="BC29" s="72"/>
      <c r="BD29" s="73" t="str">
        <f aca="false">IF(AND(BB29&gt;=6,AP29&gt;=6,AJ29&gt;=6,AD29&gt;=6,X29&gt;=6),"да","нет")</f>
        <v>нет</v>
      </c>
      <c r="BE29" s="72"/>
      <c r="BF29" s="74"/>
      <c r="BG29" s="71"/>
      <c r="BH29" s="68"/>
      <c r="BI29" s="50"/>
      <c r="BJ29" s="75" t="n">
        <f aca="false">SUM(X29,AD29,AJ29,AP29,AV29,AX29:AY29,BH29,BB29,BG29)</f>
        <v>0</v>
      </c>
      <c r="BK29" s="73" t="str">
        <f aca="false">IF(BJ29&gt;90,"A",IF(BJ29&gt;83,"B",IF(BJ29&gt;74,"C",IF(BJ29&gt;67,"D",IF(BJ29&gt;=60,"E","FX")))))</f>
        <v>FX</v>
      </c>
    </row>
    <row r="30" customFormat="false" ht="15.75" hidden="false" customHeight="false" outlineLevel="0" collapsed="false">
      <c r="A30" s="59" t="n">
        <v>28</v>
      </c>
      <c r="B30" s="175" t="s">
        <v>133</v>
      </c>
      <c r="C30" s="61" t="s">
        <v>24</v>
      </c>
      <c r="D30" s="61" t="s">
        <v>132</v>
      </c>
      <c r="E30" s="62"/>
      <c r="F30" s="63" t="s">
        <v>920</v>
      </c>
      <c r="G30" s="63" t="s">
        <v>920</v>
      </c>
      <c r="H30" s="63" t="s">
        <v>920</v>
      </c>
      <c r="I30" s="176" t="s">
        <v>920</v>
      </c>
      <c r="J30" s="176" t="s">
        <v>920</v>
      </c>
      <c r="K30" s="176" t="s">
        <v>920</v>
      </c>
      <c r="L30" s="176" t="s">
        <v>920</v>
      </c>
      <c r="M30" s="63" t="s">
        <v>920</v>
      </c>
      <c r="N30" s="63" t="s">
        <v>920</v>
      </c>
      <c r="O30" s="63" t="s">
        <v>920</v>
      </c>
      <c r="P30" s="63" t="s">
        <v>920</v>
      </c>
      <c r="Q30" s="63" t="s">
        <v>920</v>
      </c>
      <c r="R30" s="63" t="s">
        <v>920</v>
      </c>
      <c r="S30" s="65"/>
      <c r="T30" s="66" t="s">
        <v>1092</v>
      </c>
      <c r="U30" s="70"/>
      <c r="V30" s="70"/>
      <c r="W30" s="70"/>
      <c r="X30" s="68"/>
      <c r="Y30" s="69"/>
      <c r="Z30" s="70"/>
      <c r="AA30" s="67"/>
      <c r="AB30" s="67"/>
      <c r="AC30" s="67"/>
      <c r="AD30" s="68"/>
      <c r="AE30" s="69"/>
      <c r="AF30" s="70"/>
      <c r="AG30" s="70"/>
      <c r="AH30" s="70"/>
      <c r="AI30" s="70"/>
      <c r="AJ30" s="68"/>
      <c r="AK30" s="69"/>
      <c r="AL30" s="70"/>
      <c r="AM30" s="70"/>
      <c r="AN30" s="70"/>
      <c r="AO30" s="70"/>
      <c r="AP30" s="68"/>
      <c r="AQ30" s="69"/>
      <c r="AR30" s="70" t="s">
        <v>737</v>
      </c>
      <c r="AS30" s="70" t="s">
        <v>737</v>
      </c>
      <c r="AT30" s="70" t="s">
        <v>737</v>
      </c>
      <c r="AU30" s="70" t="s">
        <v>737</v>
      </c>
      <c r="AV30" s="68" t="n">
        <v>0</v>
      </c>
      <c r="AW30" s="69"/>
      <c r="AX30" s="68"/>
      <c r="AY30" s="68"/>
      <c r="AZ30" s="69"/>
      <c r="BA30" s="70"/>
      <c r="BB30" s="71"/>
      <c r="BC30" s="72"/>
      <c r="BD30" s="73" t="str">
        <f aca="false">IF(AND(BB30&gt;=6,AP30&gt;=6,AJ30&gt;=6,AD30&gt;=6,X30&gt;=6),"да","нет")</f>
        <v>нет</v>
      </c>
      <c r="BE30" s="72"/>
      <c r="BF30" s="74"/>
      <c r="BG30" s="71"/>
      <c r="BH30" s="68"/>
      <c r="BI30" s="50"/>
      <c r="BJ30" s="75" t="n">
        <f aca="false">SUM(X30,AD30,AJ30,AP30,AV30,AX30:AY30,BH30,BB30,BG30)</f>
        <v>0</v>
      </c>
      <c r="BK30" s="73" t="str">
        <f aca="false">IF(BJ30&gt;90,"A",IF(BJ30&gt;83,"B",IF(BJ30&gt;74,"C",IF(BJ30&gt;67,"D",IF(BJ30&gt;=60,"E","FX")))))</f>
        <v>FX</v>
      </c>
    </row>
    <row r="31" customFormat="false" ht="15.75" hidden="false" customHeight="false" outlineLevel="0" collapsed="false">
      <c r="A31" s="59" t="n">
        <v>29</v>
      </c>
      <c r="B31" s="60" t="s">
        <v>135</v>
      </c>
      <c r="C31" s="61" t="s">
        <v>24</v>
      </c>
      <c r="D31" s="61" t="s">
        <v>134</v>
      </c>
      <c r="E31" s="62"/>
      <c r="F31" s="63" t="s">
        <v>919</v>
      </c>
      <c r="G31" s="63" t="s">
        <v>734</v>
      </c>
      <c r="H31" s="63" t="s">
        <v>734</v>
      </c>
      <c r="I31" s="74" t="s">
        <v>739</v>
      </c>
      <c r="J31" s="74" t="s">
        <v>734</v>
      </c>
      <c r="K31" s="74" t="s">
        <v>734</v>
      </c>
      <c r="L31" s="176" t="s">
        <v>920</v>
      </c>
      <c r="M31" s="63" t="s">
        <v>734</v>
      </c>
      <c r="N31" s="63" t="s">
        <v>734</v>
      </c>
      <c r="O31" s="63" t="s">
        <v>734</v>
      </c>
      <c r="P31" s="63" t="s">
        <v>920</v>
      </c>
      <c r="Q31" s="63" t="s">
        <v>920</v>
      </c>
      <c r="R31" s="63" t="s">
        <v>920</v>
      </c>
      <c r="S31" s="65"/>
      <c r="T31" s="66" t="s">
        <v>1093</v>
      </c>
      <c r="U31" s="106" t="n">
        <v>45712</v>
      </c>
      <c r="V31" s="106" t="n">
        <v>45726</v>
      </c>
      <c r="W31" s="106" t="n">
        <v>45726</v>
      </c>
      <c r="X31" s="68" t="n">
        <v>9.5</v>
      </c>
      <c r="Y31" s="69"/>
      <c r="Z31" s="70" t="n">
        <v>275</v>
      </c>
      <c r="AA31" s="67" t="n">
        <v>45754</v>
      </c>
      <c r="AB31" s="67" t="n">
        <v>45768</v>
      </c>
      <c r="AC31" s="67" t="n">
        <v>45768</v>
      </c>
      <c r="AD31" s="68" t="n">
        <v>10</v>
      </c>
      <c r="AE31" s="69"/>
      <c r="AF31" s="70" t="n">
        <v>8634</v>
      </c>
      <c r="AG31" s="106" t="n">
        <v>45782</v>
      </c>
      <c r="AH31" s="106" t="n">
        <v>45796</v>
      </c>
      <c r="AI31" s="106" t="n">
        <v>45796</v>
      </c>
      <c r="AJ31" s="70" t="n">
        <v>9.5</v>
      </c>
      <c r="AK31" s="69"/>
      <c r="AL31" s="70" t="n">
        <v>78456</v>
      </c>
      <c r="AM31" s="106" t="n">
        <v>45816</v>
      </c>
      <c r="AN31" s="106" t="n">
        <v>45816</v>
      </c>
      <c r="AO31" s="106" t="n">
        <v>45816</v>
      </c>
      <c r="AP31" s="68" t="n">
        <v>9.5</v>
      </c>
      <c r="AQ31" s="69"/>
      <c r="AR31" s="70" t="n">
        <v>583058</v>
      </c>
      <c r="AS31" s="106" t="n">
        <v>45823</v>
      </c>
      <c r="AT31" s="106" t="n">
        <v>45823</v>
      </c>
      <c r="AU31" s="106" t="n">
        <v>45823</v>
      </c>
      <c r="AV31" s="68" t="n">
        <v>10</v>
      </c>
      <c r="AW31" s="69"/>
      <c r="AX31" s="68"/>
      <c r="AY31" s="68"/>
      <c r="AZ31" s="69"/>
      <c r="BA31" s="106" t="n">
        <v>45793</v>
      </c>
      <c r="BB31" s="71" t="n">
        <v>6</v>
      </c>
      <c r="BC31" s="72"/>
      <c r="BD31" s="73" t="str">
        <f aca="false">IF(AND(BB31&gt;=6,AP31&gt;=6,AJ31&gt;=6,AD31&gt;=6,X31&gt;=6),"да","нет")</f>
        <v>да</v>
      </c>
      <c r="BE31" s="72"/>
      <c r="BF31" s="118" t="n">
        <v>45836</v>
      </c>
      <c r="BG31" s="71" t="n">
        <v>18</v>
      </c>
      <c r="BH31" s="68" t="n">
        <v>2</v>
      </c>
      <c r="BI31" s="50"/>
      <c r="BJ31" s="75" t="n">
        <f aca="false">SUM(X31,AD31,AJ31,AP31,AV31,AX31:AY31,BH31,BB31,BG31)</f>
        <v>74.5</v>
      </c>
      <c r="BK31" s="73" t="str">
        <f aca="false">IF(BJ31&gt;90,"A",IF(BJ31&gt;83,"B",IF(BJ31&gt;74,"C",IF(BJ31&gt;67,"D",IF(BJ31&gt;=60,"E","FX")))))</f>
        <v>C</v>
      </c>
    </row>
    <row r="32" customFormat="false" ht="15.75" hidden="false" customHeight="false" outlineLevel="0" collapsed="false">
      <c r="A32" s="59" t="n">
        <v>30</v>
      </c>
      <c r="B32" s="60" t="s">
        <v>147</v>
      </c>
      <c r="C32" s="61" t="s">
        <v>24</v>
      </c>
      <c r="D32" s="61" t="s">
        <v>146</v>
      </c>
      <c r="E32" s="62"/>
      <c r="F32" s="63" t="s">
        <v>919</v>
      </c>
      <c r="G32" s="63" t="s">
        <v>734</v>
      </c>
      <c r="H32" s="63" t="s">
        <v>734</v>
      </c>
      <c r="I32" s="74" t="s">
        <v>734</v>
      </c>
      <c r="J32" s="74" t="s">
        <v>734</v>
      </c>
      <c r="K32" s="176" t="s">
        <v>920</v>
      </c>
      <c r="L32" s="74" t="s">
        <v>734</v>
      </c>
      <c r="M32" s="63" t="s">
        <v>734</v>
      </c>
      <c r="N32" s="63" t="s">
        <v>739</v>
      </c>
      <c r="O32" s="63" t="s">
        <v>920</v>
      </c>
      <c r="P32" s="63" t="s">
        <v>920</v>
      </c>
      <c r="Q32" s="63" t="s">
        <v>920</v>
      </c>
      <c r="R32" s="63" t="s">
        <v>920</v>
      </c>
      <c r="S32" s="65"/>
      <c r="T32" s="66" t="s">
        <v>1094</v>
      </c>
      <c r="U32" s="106" t="n">
        <v>45712</v>
      </c>
      <c r="V32" s="106" t="n">
        <v>45726</v>
      </c>
      <c r="W32" s="106" t="n">
        <v>45726</v>
      </c>
      <c r="X32" s="68" t="n">
        <v>9</v>
      </c>
      <c r="Y32" s="69"/>
      <c r="Z32" s="70" t="n">
        <v>1720</v>
      </c>
      <c r="AA32" s="67" t="n">
        <v>45754</v>
      </c>
      <c r="AB32" s="67" t="n">
        <v>45765</v>
      </c>
      <c r="AC32" s="67" t="n">
        <v>45765</v>
      </c>
      <c r="AD32" s="68" t="n">
        <v>7</v>
      </c>
      <c r="AE32" s="69"/>
      <c r="AF32" s="70" t="n">
        <v>1428</v>
      </c>
      <c r="AG32" s="106" t="n">
        <v>45782</v>
      </c>
      <c r="AH32" s="106" t="n">
        <v>45796</v>
      </c>
      <c r="AI32" s="106" t="n">
        <v>45796</v>
      </c>
      <c r="AJ32" s="68" t="n">
        <v>9</v>
      </c>
      <c r="AK32" s="69"/>
      <c r="AL32" s="70" t="n">
        <v>6466</v>
      </c>
      <c r="AM32" s="106" t="n">
        <v>45816</v>
      </c>
      <c r="AN32" s="106" t="n">
        <v>45816</v>
      </c>
      <c r="AO32" s="106" t="n">
        <v>45816</v>
      </c>
      <c r="AP32" s="68" t="n">
        <v>9</v>
      </c>
      <c r="AQ32" s="69"/>
      <c r="AR32" s="70" t="s">
        <v>737</v>
      </c>
      <c r="AS32" s="70" t="s">
        <v>737</v>
      </c>
      <c r="AT32" s="70" t="s">
        <v>737</v>
      </c>
      <c r="AU32" s="70" t="s">
        <v>737</v>
      </c>
      <c r="AV32" s="68" t="n">
        <v>0</v>
      </c>
      <c r="AW32" s="69"/>
      <c r="AX32" s="68"/>
      <c r="AY32" s="68"/>
      <c r="AZ32" s="69"/>
      <c r="BA32" s="106" t="n">
        <v>45793</v>
      </c>
      <c r="BB32" s="71" t="n">
        <v>10</v>
      </c>
      <c r="BC32" s="72"/>
      <c r="BD32" s="73" t="str">
        <f aca="false">IF(AND(BB32&gt;=6,AP32&gt;=6,AJ32&gt;=6,AD32&gt;=6,X32&gt;=6),"да","нет")</f>
        <v>да</v>
      </c>
      <c r="BE32" s="72"/>
      <c r="BF32" s="118" t="n">
        <v>45836</v>
      </c>
      <c r="BG32" s="71" t="n">
        <v>20</v>
      </c>
      <c r="BH32" s="68"/>
      <c r="BI32" s="50"/>
      <c r="BJ32" s="75" t="n">
        <f aca="false">SUM(X32,AD32,AJ32,AP32,AV32,AX32:AY32,BH32,BB32,BG32)</f>
        <v>64</v>
      </c>
      <c r="BK32" s="73" t="str">
        <f aca="false">IF(BJ32&gt;90,"A",IF(BJ32&gt;83,"B",IF(BJ32&gt;74,"C",IF(BJ32&gt;67,"D",IF(BJ32&gt;=60,"E","FX")))))</f>
        <v>E</v>
      </c>
    </row>
    <row r="33" customFormat="false" ht="15.75" hidden="false" customHeight="false" outlineLevel="0" collapsed="false">
      <c r="A33" s="59" t="n">
        <v>31</v>
      </c>
      <c r="B33" s="60" t="s">
        <v>41</v>
      </c>
      <c r="C33" s="61" t="s">
        <v>24</v>
      </c>
      <c r="D33" s="61" t="s">
        <v>40</v>
      </c>
      <c r="E33" s="62"/>
      <c r="F33" s="63" t="s">
        <v>919</v>
      </c>
      <c r="G33" s="63" t="s">
        <v>734</v>
      </c>
      <c r="H33" s="63" t="s">
        <v>734</v>
      </c>
      <c r="I33" s="74" t="s">
        <v>734</v>
      </c>
      <c r="J33" s="74" t="s">
        <v>734</v>
      </c>
      <c r="K33" s="74" t="s">
        <v>734</v>
      </c>
      <c r="L33" s="176" t="s">
        <v>920</v>
      </c>
      <c r="M33" s="63" t="s">
        <v>919</v>
      </c>
      <c r="N33" s="63" t="s">
        <v>739</v>
      </c>
      <c r="O33" s="63" t="s">
        <v>920</v>
      </c>
      <c r="P33" s="63" t="s">
        <v>920</v>
      </c>
      <c r="Q33" s="63" t="s">
        <v>920</v>
      </c>
      <c r="R33" s="63" t="s">
        <v>920</v>
      </c>
      <c r="S33" s="65"/>
      <c r="T33" s="66" t="s">
        <v>1095</v>
      </c>
      <c r="U33" s="106" t="n">
        <v>45726</v>
      </c>
      <c r="V33" s="106" t="n">
        <v>45754</v>
      </c>
      <c r="W33" s="106" t="n">
        <v>45754</v>
      </c>
      <c r="X33" s="70" t="n">
        <v>8.5</v>
      </c>
      <c r="Y33" s="69"/>
      <c r="Z33" s="70" t="n">
        <v>2112</v>
      </c>
      <c r="AA33" s="67" t="n">
        <v>45765</v>
      </c>
      <c r="AB33" s="67" t="n">
        <v>45768</v>
      </c>
      <c r="AC33" s="67" t="n">
        <v>45768</v>
      </c>
      <c r="AD33" s="68" t="n">
        <v>10</v>
      </c>
      <c r="AE33" s="69"/>
      <c r="AF33" s="70" t="n">
        <v>24463</v>
      </c>
      <c r="AG33" s="106" t="n">
        <v>45816</v>
      </c>
      <c r="AH33" s="106" t="n">
        <v>45816</v>
      </c>
      <c r="AI33" s="106" t="n">
        <v>45816</v>
      </c>
      <c r="AJ33" s="68" t="n">
        <v>9</v>
      </c>
      <c r="AK33" s="69"/>
      <c r="AL33" s="70" t="n">
        <v>6532</v>
      </c>
      <c r="AM33" s="106" t="n">
        <v>45830</v>
      </c>
      <c r="AN33" s="106" t="n">
        <v>45830</v>
      </c>
      <c r="AO33" s="106" t="n">
        <v>45830</v>
      </c>
      <c r="AP33" s="68" t="n">
        <v>8.5</v>
      </c>
      <c r="AQ33" s="69"/>
      <c r="AR33" s="70" t="s">
        <v>737</v>
      </c>
      <c r="AS33" s="70" t="s">
        <v>737</v>
      </c>
      <c r="AT33" s="70" t="s">
        <v>737</v>
      </c>
      <c r="AU33" s="70" t="s">
        <v>737</v>
      </c>
      <c r="AV33" s="68" t="n">
        <v>0</v>
      </c>
      <c r="AW33" s="69"/>
      <c r="AX33" s="68"/>
      <c r="AY33" s="68"/>
      <c r="AZ33" s="69"/>
      <c r="BA33" s="106" t="n">
        <v>45835</v>
      </c>
      <c r="BB33" s="71" t="n">
        <v>6</v>
      </c>
      <c r="BC33" s="72"/>
      <c r="BD33" s="73" t="str">
        <f aca="false">IF(AND(BB33&gt;=6,AP33&gt;=6,AJ33&gt;=6,AD33&gt;=6,X33&gt;=6),"да","нет")</f>
        <v>да</v>
      </c>
      <c r="BE33" s="72"/>
      <c r="BF33" s="118" t="n">
        <v>45836</v>
      </c>
      <c r="BG33" s="71" t="n">
        <v>18</v>
      </c>
      <c r="BH33" s="68"/>
      <c r="BI33" s="50"/>
      <c r="BJ33" s="126" t="n">
        <f aca="false">SUM(X33,AD33,AJ33,AP33,AV33,AX33:AY33,BH33,BB33,BG33)</f>
        <v>60</v>
      </c>
      <c r="BK33" s="73" t="str">
        <f aca="false">IF(BJ33&gt;90,"A",IF(BJ33&gt;83,"B",IF(BJ33&gt;74,"C",IF(BJ33&gt;67,"D",IF(BJ33&gt;=60,"E","FX")))))</f>
        <v>E</v>
      </c>
    </row>
    <row r="34" customFormat="false" ht="15.75" hidden="false" customHeight="false" outlineLevel="0" collapsed="false">
      <c r="A34" s="59" t="n">
        <v>32</v>
      </c>
      <c r="B34" s="60" t="s">
        <v>163</v>
      </c>
      <c r="C34" s="61" t="s">
        <v>24</v>
      </c>
      <c r="D34" s="61" t="s">
        <v>162</v>
      </c>
      <c r="E34" s="62"/>
      <c r="F34" s="63" t="s">
        <v>919</v>
      </c>
      <c r="G34" s="63" t="s">
        <v>734</v>
      </c>
      <c r="H34" s="63" t="s">
        <v>734</v>
      </c>
      <c r="I34" s="74" t="s">
        <v>734</v>
      </c>
      <c r="J34" s="74" t="s">
        <v>734</v>
      </c>
      <c r="K34" s="176" t="s">
        <v>920</v>
      </c>
      <c r="L34" s="176" t="s">
        <v>920</v>
      </c>
      <c r="M34" s="63" t="s">
        <v>920</v>
      </c>
      <c r="N34" s="63" t="s">
        <v>920</v>
      </c>
      <c r="O34" s="63" t="s">
        <v>734</v>
      </c>
      <c r="P34" s="63" t="s">
        <v>920</v>
      </c>
      <c r="Q34" s="63" t="s">
        <v>920</v>
      </c>
      <c r="R34" s="63" t="s">
        <v>920</v>
      </c>
      <c r="S34" s="65"/>
      <c r="T34" s="179" t="n">
        <v>3447</v>
      </c>
      <c r="U34" s="67" t="n">
        <v>45014</v>
      </c>
      <c r="V34" s="67" t="n">
        <v>45042</v>
      </c>
      <c r="W34" s="67" t="n">
        <v>45042</v>
      </c>
      <c r="X34" s="68" t="n">
        <v>7.5</v>
      </c>
      <c r="Y34" s="69"/>
      <c r="Z34" s="70" t="n">
        <v>3427</v>
      </c>
      <c r="AA34" s="67" t="n">
        <v>45178</v>
      </c>
      <c r="AB34" s="67" t="n">
        <v>45178</v>
      </c>
      <c r="AC34" s="67" t="n">
        <v>45185</v>
      </c>
      <c r="AD34" s="68" t="n">
        <v>6</v>
      </c>
      <c r="AE34" s="69"/>
      <c r="AF34" s="70" t="n">
        <v>3461</v>
      </c>
      <c r="AG34" s="106" t="n">
        <v>45712</v>
      </c>
      <c r="AH34" s="106" t="n">
        <v>45754</v>
      </c>
      <c r="AI34" s="106" t="n">
        <v>45754</v>
      </c>
      <c r="AJ34" s="68" t="n">
        <v>9</v>
      </c>
      <c r="AK34" s="69"/>
      <c r="AL34" s="70" t="n">
        <v>5313</v>
      </c>
      <c r="AM34" s="106" t="n">
        <v>45765</v>
      </c>
      <c r="AN34" s="106" t="n">
        <v>45765</v>
      </c>
      <c r="AO34" s="106" t="n">
        <v>45765</v>
      </c>
      <c r="AP34" s="68" t="n">
        <v>9</v>
      </c>
      <c r="AQ34" s="69"/>
      <c r="AR34" s="70" t="n">
        <v>1321</v>
      </c>
      <c r="AS34" s="106" t="n">
        <v>45823</v>
      </c>
      <c r="AT34" s="106" t="n">
        <v>45823</v>
      </c>
      <c r="AU34" s="106" t="n">
        <v>45823</v>
      </c>
      <c r="AV34" s="68" t="n">
        <v>7</v>
      </c>
      <c r="AW34" s="69"/>
      <c r="AX34" s="68" t="n">
        <v>1</v>
      </c>
      <c r="AY34" s="68" t="n">
        <v>1</v>
      </c>
      <c r="AZ34" s="69"/>
      <c r="BA34" s="106" t="n">
        <v>45835</v>
      </c>
      <c r="BB34" s="71" t="n">
        <v>0.1</v>
      </c>
      <c r="BC34" s="72"/>
      <c r="BD34" s="73" t="str">
        <f aca="false">IF(AND(BB34&gt;=6,AP34&gt;=6,AJ34&gt;=6,AD34&gt;=6,X34&gt;=6),"да","нет")</f>
        <v>нет</v>
      </c>
      <c r="BE34" s="72"/>
      <c r="BF34" s="74"/>
      <c r="BG34" s="71"/>
      <c r="BH34" s="68"/>
      <c r="BI34" s="50"/>
      <c r="BJ34" s="75" t="n">
        <f aca="false">SUM(X34,AD34,AJ34,AP34,AV34,AX34:AY34,BH34,BB34,BG34)</f>
        <v>40.6</v>
      </c>
      <c r="BK34" s="73" t="str">
        <f aca="false">IF(BJ34&gt;90,"A",IF(BJ34&gt;83,"B",IF(BJ34&gt;74,"C",IF(BJ34&gt;67,"D",IF(BJ34&gt;=60,"E","FX")))))</f>
        <v>FX</v>
      </c>
    </row>
    <row r="35" customFormat="false" ht="1.5" hidden="false" customHeight="true" outlineLevel="0" collapsed="false">
      <c r="A35" s="76"/>
      <c r="B35" s="76"/>
      <c r="C35" s="76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9"/>
      <c r="AN35" s="65"/>
      <c r="AO35" s="65"/>
      <c r="AP35" s="65"/>
      <c r="AQ35" s="65"/>
      <c r="AR35" s="65"/>
      <c r="AS35" s="65"/>
      <c r="AT35" s="65"/>
      <c r="AU35" s="65"/>
      <c r="AV35" s="65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80"/>
      <c r="BJ35" s="72"/>
      <c r="BK35" s="72"/>
    </row>
    <row r="36" customFormat="false" ht="15.75" hidden="false" customHeight="false" outlineLevel="0" collapsed="false">
      <c r="A36" s="81"/>
      <c r="B36" s="81" t="s">
        <v>678</v>
      </c>
      <c r="C36" s="81"/>
      <c r="D36" s="81"/>
      <c r="E36" s="69"/>
      <c r="F36" s="70" t="n">
        <f aca="false">COUNTIF(F$3:F$34, "~**")</f>
        <v>0</v>
      </c>
      <c r="G36" s="70" t="n">
        <f aca="false">COUNTIF(G$3:G$34, "~**")</f>
        <v>15</v>
      </c>
      <c r="H36" s="70" t="n">
        <f aca="false">COUNTIF(H$3:H$34, "~**")</f>
        <v>14</v>
      </c>
      <c r="I36" s="70" t="n">
        <f aca="false">COUNTIF(I$3:I$34, "~**")</f>
        <v>16</v>
      </c>
      <c r="J36" s="70" t="n">
        <f aca="false">COUNTIF(J$3:J$34, "~**")</f>
        <v>18</v>
      </c>
      <c r="K36" s="70" t="n">
        <f aca="false">COUNTIF(K$3:K$34, "~**")</f>
        <v>16</v>
      </c>
      <c r="L36" s="70" t="n">
        <f aca="false">COUNTIF(L$3:L$34, "~**")</f>
        <v>14</v>
      </c>
      <c r="M36" s="70" t="n">
        <f aca="false">COUNTIF(M$3:M$34, "~**")</f>
        <v>12</v>
      </c>
      <c r="N36" s="70" t="n">
        <f aca="false">COUNTIF(N$3:N$34, "~**")</f>
        <v>14</v>
      </c>
      <c r="O36" s="70" t="n">
        <f aca="false">COUNTIF(O$3:O$34, "~**")</f>
        <v>2</v>
      </c>
      <c r="P36" s="70" t="n">
        <f aca="false">COUNTIF(P$3:P$34, "~**")</f>
        <v>7</v>
      </c>
      <c r="Q36" s="70" t="n">
        <f aca="false">COUNTIF(Q$3:Q$34, "~**")</f>
        <v>0</v>
      </c>
      <c r="R36" s="70" t="n">
        <f aca="false">COUNTIF(R$3:R$34, "~**")</f>
        <v>0</v>
      </c>
      <c r="S36" s="82"/>
      <c r="T36" s="83" t="s">
        <v>679</v>
      </c>
      <c r="U36" s="84"/>
      <c r="V36" s="84"/>
      <c r="W36" s="84"/>
      <c r="X36" s="85" t="n">
        <v>44475</v>
      </c>
      <c r="Y36" s="69"/>
      <c r="Z36" s="70"/>
      <c r="AA36" s="85"/>
      <c r="AB36" s="85"/>
      <c r="AC36" s="85"/>
      <c r="AD36" s="85" t="n">
        <v>44475</v>
      </c>
      <c r="AE36" s="69"/>
      <c r="AF36" s="70"/>
      <c r="AG36" s="85"/>
      <c r="AH36" s="85"/>
      <c r="AI36" s="85"/>
      <c r="AJ36" s="85" t="n">
        <v>44475</v>
      </c>
      <c r="AK36" s="69"/>
      <c r="AL36" s="70"/>
      <c r="AM36" s="85"/>
      <c r="AN36" s="85"/>
      <c r="AO36" s="85"/>
      <c r="AP36" s="85" t="n">
        <v>45205</v>
      </c>
      <c r="AQ36" s="69"/>
      <c r="AR36" s="70"/>
      <c r="AS36" s="70"/>
      <c r="AT36" s="70"/>
      <c r="AU36" s="70"/>
      <c r="AV36" s="70" t="s">
        <v>680</v>
      </c>
      <c r="AW36" s="86"/>
      <c r="AX36" s="87" t="s">
        <v>681</v>
      </c>
      <c r="AY36" s="87" t="s">
        <v>681</v>
      </c>
      <c r="AZ36" s="86"/>
      <c r="BA36" s="87"/>
      <c r="BB36" s="85" t="n">
        <v>44840</v>
      </c>
      <c r="BC36" s="86"/>
      <c r="BD36" s="87"/>
      <c r="BE36" s="69"/>
      <c r="BF36" s="70"/>
      <c r="BG36" s="87" t="s">
        <v>682</v>
      </c>
      <c r="BH36" s="87" t="s">
        <v>683</v>
      </c>
      <c r="BI36" s="80"/>
      <c r="BJ36" s="74"/>
      <c r="BK36" s="74"/>
    </row>
    <row r="37" customFormat="false" ht="15.75" hidden="false" customHeight="false" outlineLevel="0" collapsed="false">
      <c r="A37" s="81"/>
      <c r="B37" s="81" t="s">
        <v>684</v>
      </c>
      <c r="C37" s="81"/>
      <c r="D37" s="81"/>
      <c r="E37" s="69"/>
      <c r="F37" s="70" t="n">
        <f aca="false">COUNTIF(F$3:F$34, "~**")+COUNTIF(F$3:F$34, "Y")</f>
        <v>20</v>
      </c>
      <c r="G37" s="70" t="n">
        <f aca="false">COUNTIF(G$3:G$34, "~**")+COUNTIF(G$3:G$34, "Y")</f>
        <v>17</v>
      </c>
      <c r="H37" s="70" t="n">
        <f aca="false">COUNTIF(H$3:H$34, "~**")+COUNTIF(H$3:H$34, "Y")</f>
        <v>14</v>
      </c>
      <c r="I37" s="70" t="n">
        <f aca="false">COUNTIF(I$3:I$34, "~**")+COUNTIF(I$3:I$34, "Y")</f>
        <v>17</v>
      </c>
      <c r="J37" s="70" t="n">
        <f aca="false">COUNTIF(J$3:J$34, "~**")+COUNTIF(J$3:J$34, "Y")</f>
        <v>18</v>
      </c>
      <c r="K37" s="70" t="n">
        <f aca="false">COUNTIF(K$3:K$34, "~**")+COUNTIF(K$3:K$34, "Y")</f>
        <v>17</v>
      </c>
      <c r="L37" s="70" t="n">
        <f aca="false">COUNTIF(L$3:L$34, "~**")+COUNTIF(L$3:L$34, "Y")</f>
        <v>14</v>
      </c>
      <c r="M37" s="70" t="n">
        <f aca="false">COUNTIF(M$3:M$34, "~**")+COUNTIF(M$3:M$34, "Y")</f>
        <v>15</v>
      </c>
      <c r="N37" s="70" t="n">
        <f aca="false">COUNTIF(N$3:N$34, "~**")+COUNTIF(N$3:N$34, "Y")</f>
        <v>14</v>
      </c>
      <c r="O37" s="70" t="n">
        <f aca="false">COUNTIF(O$3:O$34, "~**")+COUNTIF(O$3:O$34, "Y")</f>
        <v>2</v>
      </c>
      <c r="P37" s="70" t="n">
        <f aca="false">COUNTIF(P$3:P$34, "~**")+COUNTIF(P$3:P$34, "Y")</f>
        <v>7</v>
      </c>
      <c r="Q37" s="70" t="n">
        <f aca="false">COUNTIF(Q$3:Q$34, "~**")+COUNTIF(Q$3:Q$34, "Y")</f>
        <v>0</v>
      </c>
      <c r="R37" s="70" t="n">
        <f aca="false">COUNTIF(R$3:R$34, "~**")+COUNTIF(R$3:R$34, "Y")</f>
        <v>0</v>
      </c>
      <c r="S37" s="82"/>
      <c r="T37" s="83"/>
      <c r="U37" s="44"/>
      <c r="V37" s="44"/>
      <c r="W37" s="87"/>
      <c r="X37" s="88"/>
      <c r="Y37" s="78"/>
      <c r="Z37" s="88"/>
      <c r="AA37" s="88"/>
      <c r="AB37" s="88"/>
      <c r="AC37" s="87"/>
      <c r="AD37" s="87"/>
      <c r="AE37" s="86"/>
      <c r="AF37" s="87"/>
      <c r="AG37" s="89"/>
      <c r="AH37" s="87"/>
      <c r="AI37" s="87"/>
      <c r="AJ37" s="87"/>
      <c r="AK37" s="86"/>
      <c r="AL37" s="87"/>
      <c r="AM37" s="44"/>
      <c r="AN37" s="44"/>
      <c r="AO37" s="44"/>
      <c r="AP37" s="44"/>
      <c r="AQ37" s="77"/>
      <c r="AR37" s="44"/>
      <c r="AS37" s="44"/>
      <c r="AT37" s="44"/>
      <c r="AU37" s="70"/>
      <c r="AV37" s="90"/>
      <c r="AW37" s="72"/>
      <c r="AX37" s="74"/>
      <c r="AY37" s="74"/>
      <c r="AZ37" s="72"/>
      <c r="BA37" s="74"/>
      <c r="BB37" s="74"/>
      <c r="BC37" s="72"/>
      <c r="BD37" s="74"/>
      <c r="BE37" s="72"/>
      <c r="BF37" s="74"/>
      <c r="BG37" s="74"/>
      <c r="BH37" s="74"/>
      <c r="BI37" s="80"/>
      <c r="BJ37" s="74"/>
      <c r="BK37" s="74"/>
    </row>
    <row r="38" customFormat="false" ht="15.75" hidden="false" customHeight="false" outlineLevel="0" collapsed="false">
      <c r="A38" s="81"/>
      <c r="B38" s="81"/>
      <c r="C38" s="81"/>
      <c r="D38" s="81"/>
      <c r="E38" s="77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77"/>
      <c r="T38" s="44"/>
      <c r="U38" s="44"/>
      <c r="V38" s="44"/>
      <c r="W38" s="90"/>
      <c r="X38" s="44"/>
      <c r="Y38" s="77"/>
      <c r="Z38" s="44"/>
      <c r="AA38" s="44"/>
      <c r="AB38" s="44"/>
      <c r="AC38" s="90"/>
      <c r="AD38" s="90"/>
      <c r="AE38" s="91"/>
      <c r="AF38" s="90"/>
      <c r="AG38" s="44"/>
      <c r="AH38" s="90"/>
      <c r="AI38" s="44"/>
      <c r="AJ38" s="44"/>
      <c r="AK38" s="77"/>
      <c r="AL38" s="44"/>
      <c r="AM38" s="44"/>
      <c r="AN38" s="44"/>
      <c r="AO38" s="44"/>
      <c r="AP38" s="44"/>
      <c r="AQ38" s="77"/>
      <c r="AR38" s="44"/>
      <c r="AS38" s="44"/>
      <c r="AT38" s="44"/>
      <c r="AU38" s="90"/>
      <c r="AV38" s="90"/>
      <c r="AW38" s="72"/>
      <c r="AX38" s="74"/>
      <c r="AY38" s="74"/>
      <c r="AZ38" s="72"/>
      <c r="BA38" s="74"/>
      <c r="BB38" s="74"/>
      <c r="BC38" s="72"/>
      <c r="BD38" s="74"/>
      <c r="BE38" s="72"/>
      <c r="BF38" s="74"/>
      <c r="BG38" s="74"/>
      <c r="BH38" s="74"/>
      <c r="BI38" s="80"/>
      <c r="BJ38" s="74"/>
      <c r="BK38" s="74"/>
    </row>
    <row r="39" customFormat="false" ht="15.75" hidden="false" customHeight="false" outlineLevel="0" collapsed="false">
      <c r="A39" s="81"/>
      <c r="B39" s="81" t="s">
        <v>685</v>
      </c>
      <c r="C39" s="81"/>
      <c r="D39" s="81"/>
      <c r="E39" s="77"/>
      <c r="F39" s="44" t="s">
        <v>686</v>
      </c>
      <c r="G39" s="44"/>
      <c r="H39" s="44"/>
      <c r="I39" s="44"/>
      <c r="J39" s="44"/>
      <c r="K39" s="44"/>
      <c r="L39" s="44"/>
      <c r="M39" s="44"/>
      <c r="N39" s="44"/>
      <c r="S39" s="76"/>
      <c r="T39" s="81" t="s">
        <v>687</v>
      </c>
      <c r="U39" s="44" t="n">
        <f aca="false">COUNT(U3:U34)</f>
        <v>23</v>
      </c>
      <c r="V39" s="44" t="n">
        <f aca="false">COUNT(V3:V34)</f>
        <v>22</v>
      </c>
      <c r="W39" s="44" t="n">
        <f aca="false">COUNT(W3:W34)</f>
        <v>22</v>
      </c>
      <c r="X39" s="44" t="n">
        <f aca="false">COUNT(X3:X34)</f>
        <v>22</v>
      </c>
      <c r="Y39" s="77"/>
      <c r="Z39" s="44"/>
      <c r="AA39" s="44" t="n">
        <f aca="false">COUNT(AA3:AA34)</f>
        <v>19</v>
      </c>
      <c r="AB39" s="44" t="n">
        <f aca="false">COUNT(AB3:AB34)</f>
        <v>19</v>
      </c>
      <c r="AC39" s="44" t="n">
        <f aca="false">COUNT(AC3:AC34)</f>
        <v>19</v>
      </c>
      <c r="AD39" s="44" t="n">
        <f aca="false">COUNT(AD3:AD34)</f>
        <v>19</v>
      </c>
      <c r="AE39" s="77"/>
      <c r="AF39" s="44"/>
      <c r="AG39" s="44" t="n">
        <f aca="false">COUNT(AG3:AG34)</f>
        <v>19</v>
      </c>
      <c r="AH39" s="44" t="n">
        <f aca="false">COUNT(AH3:AH34)</f>
        <v>18</v>
      </c>
      <c r="AI39" s="44" t="n">
        <f aca="false">COUNT(AI3:AI34)</f>
        <v>18</v>
      </c>
      <c r="AJ39" s="44" t="n">
        <f aca="false">COUNT(AJ3:AJ34)</f>
        <v>18</v>
      </c>
      <c r="AK39" s="77"/>
      <c r="AL39" s="44"/>
      <c r="AM39" s="44" t="n">
        <f aca="false">COUNT(AM3:AM34)</f>
        <v>18</v>
      </c>
      <c r="AN39" s="44" t="n">
        <f aca="false">COUNT(AN3:AN34)</f>
        <v>18</v>
      </c>
      <c r="AO39" s="44" t="n">
        <f aca="false">COUNT(AO3:AO34)</f>
        <v>18</v>
      </c>
      <c r="AP39" s="44" t="n">
        <f aca="false">COUNT(AP3:AP34)</f>
        <v>18</v>
      </c>
      <c r="AQ39" s="77"/>
      <c r="AR39" s="44"/>
      <c r="AS39" s="44" t="n">
        <f aca="false">COUNT(AS3:AS34)</f>
        <v>5</v>
      </c>
      <c r="AT39" s="44" t="n">
        <f aca="false">COUNT(AT3:AT34)</f>
        <v>5</v>
      </c>
      <c r="AU39" s="44" t="n">
        <f aca="false">COUNT(AU3:AU34)</f>
        <v>5</v>
      </c>
      <c r="AV39" s="44" t="n">
        <f aca="false">COUNT(AV3:AV34)</f>
        <v>32</v>
      </c>
      <c r="AW39" s="77"/>
      <c r="AX39" s="44" t="n">
        <f aca="false">COUNT(AX3:AX34)</f>
        <v>6</v>
      </c>
      <c r="AY39" s="44" t="n">
        <f aca="false">COUNT(AY3:AY34)</f>
        <v>7</v>
      </c>
      <c r="AZ39" s="77"/>
      <c r="BA39" s="44"/>
      <c r="BB39" s="44" t="n">
        <f aca="false">COUNTIF(BB3:BB34, "&gt;=6")</f>
        <v>15</v>
      </c>
      <c r="BC39" s="77"/>
      <c r="BD39" s="44" t="n">
        <f aca="false">COUNTIF(BD3:BD34, "Да")</f>
        <v>14</v>
      </c>
      <c r="BE39" s="77"/>
      <c r="BF39" s="44"/>
      <c r="BG39" s="44" t="n">
        <f aca="false">COUNT(BG3:BG34)</f>
        <v>14</v>
      </c>
      <c r="BH39" s="44" t="n">
        <f aca="false">COUNT(BH3:BH34)</f>
        <v>5</v>
      </c>
      <c r="BI39" s="80"/>
      <c r="BJ39" s="74"/>
      <c r="BK39" s="74"/>
    </row>
    <row r="40" customFormat="false" ht="15.75" hidden="false" customHeight="false" outlineLevel="0" collapsed="false">
      <c r="A40" s="92"/>
      <c r="E40" s="77"/>
      <c r="F40" s="44" t="s">
        <v>688</v>
      </c>
      <c r="G40" s="44"/>
      <c r="H40" s="44"/>
      <c r="I40" s="44"/>
      <c r="J40" s="44"/>
      <c r="K40" s="44"/>
      <c r="L40" s="44"/>
      <c r="M40" s="44"/>
      <c r="N40" s="93"/>
      <c r="S40" s="94"/>
      <c r="T40" s="92" t="s">
        <v>689</v>
      </c>
      <c r="V40" s="93"/>
      <c r="W40" s="93"/>
      <c r="X40" s="95" t="n">
        <f aca="false">IF(COUNTA($B$3:$B$34)&gt;0,COUNTA(X$3:X$34)/COUNTA($B$3:$B$34), 0)</f>
        <v>0.6875</v>
      </c>
      <c r="Y40" s="96"/>
      <c r="Z40" s="93"/>
      <c r="AA40" s="93"/>
      <c r="AB40" s="93"/>
      <c r="AC40" s="93"/>
      <c r="AD40" s="95" t="n">
        <f aca="false">IF(COUNTA($B$3:$B$34)&gt;0,COUNTA(AD$3:AD$34)/COUNTA($B$3:$B$34), 0)</f>
        <v>0.59375</v>
      </c>
      <c r="AE40" s="97"/>
      <c r="AF40" s="98"/>
      <c r="AG40" s="93"/>
      <c r="AH40" s="98"/>
      <c r="AI40" s="93"/>
      <c r="AJ40" s="95" t="n">
        <f aca="false">IF(COUNTA($B$3:$B$34)&gt;0,COUNTA(AJ$3:AJ$34)/COUNTA($B$3:$B$34), 0)</f>
        <v>0.5625</v>
      </c>
      <c r="AK40" s="96"/>
      <c r="AL40" s="93"/>
      <c r="AM40" s="93"/>
      <c r="AN40" s="93"/>
      <c r="AO40" s="93"/>
      <c r="AP40" s="95" t="n">
        <f aca="false">IF(COUNTA($B$3:$B$34)&gt;0,COUNTA(AP$3:AP$34)/COUNTA($B$3:$B$34), 0)</f>
        <v>0.5625</v>
      </c>
      <c r="AQ40" s="96"/>
      <c r="AR40" s="93"/>
      <c r="AS40" s="93"/>
      <c r="AT40" s="93"/>
      <c r="AU40" s="93"/>
      <c r="AV40" s="95" t="n">
        <f aca="false">IF(COUNTA($B$3:$B$34)&gt;0,COUNTA(AV$3:AV$34)/COUNTA($B$3:$B$34), 0)</f>
        <v>1</v>
      </c>
      <c r="AW40" s="99"/>
      <c r="AX40" s="100"/>
      <c r="AY40" s="100"/>
      <c r="AZ40" s="99"/>
      <c r="BA40" s="100"/>
      <c r="BB40" s="95" t="n">
        <f aca="false">IF(COUNTA($B$3:$B$34)&gt;0,COUNTA(BB$3:BB$34)/COUNTA($B$3:$B$34), 0)</f>
        <v>0.59375</v>
      </c>
      <c r="BC40" s="77"/>
      <c r="BD40" s="44" t="n">
        <f aca="false">COUNTIF(BD3:BD34, "Да")</f>
        <v>14</v>
      </c>
      <c r="BE40" s="101"/>
      <c r="BF40" s="102"/>
      <c r="BG40" s="102"/>
      <c r="BH40" s="100"/>
      <c r="BI40" s="103"/>
      <c r="BJ40" s="102"/>
      <c r="BK40" s="102"/>
    </row>
    <row r="41" customFormat="false" ht="15.75" hidden="false" customHeight="false" outlineLevel="0" collapsed="false">
      <c r="A41" s="92"/>
      <c r="B41" s="92"/>
      <c r="C41" s="92"/>
      <c r="D41" s="92"/>
      <c r="E41" s="77"/>
      <c r="F41" s="44" t="s">
        <v>690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77"/>
      <c r="T41" s="44"/>
      <c r="U41" s="44"/>
      <c r="V41" s="44"/>
      <c r="W41" s="44"/>
      <c r="X41" s="44"/>
      <c r="Y41" s="77"/>
      <c r="Z41" s="44"/>
      <c r="AA41" s="44"/>
      <c r="AB41" s="44"/>
      <c r="AC41" s="44"/>
      <c r="AD41" s="90"/>
      <c r="AE41" s="91"/>
      <c r="AF41" s="90"/>
      <c r="AG41" s="44"/>
      <c r="AH41" s="90"/>
      <c r="AI41" s="44"/>
      <c r="AJ41" s="44"/>
      <c r="AK41" s="77"/>
      <c r="AL41" s="44"/>
      <c r="AM41" s="44"/>
      <c r="AN41" s="44"/>
      <c r="AO41" s="44"/>
      <c r="AP41" s="44"/>
      <c r="AQ41" s="77"/>
      <c r="AR41" s="44"/>
      <c r="AS41" s="44"/>
      <c r="AT41" s="44"/>
      <c r="AU41" s="44"/>
      <c r="AV41" s="44"/>
      <c r="AW41" s="101"/>
      <c r="AX41" s="102"/>
      <c r="AY41" s="102"/>
      <c r="AZ41" s="101"/>
      <c r="BA41" s="102"/>
      <c r="BB41" s="102"/>
      <c r="BC41" s="101"/>
      <c r="BD41" s="102"/>
      <c r="BE41" s="101"/>
      <c r="BF41" s="102"/>
      <c r="BG41" s="102"/>
      <c r="BH41" s="102"/>
      <c r="BI41" s="103"/>
      <c r="BJ41" s="102"/>
      <c r="BK41" s="102"/>
    </row>
    <row r="42" customFormat="false" ht="15.75" hidden="false" customHeight="false" outlineLevel="0" collapsed="false">
      <c r="A42" s="92"/>
      <c r="B42" s="92"/>
      <c r="C42" s="92"/>
      <c r="D42" s="92"/>
      <c r="E42" s="77"/>
      <c r="F42" s="44" t="s">
        <v>691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77"/>
      <c r="T42" s="44"/>
      <c r="U42" s="44"/>
      <c r="V42" s="44"/>
      <c r="W42" s="44"/>
      <c r="X42" s="44"/>
      <c r="Y42" s="77"/>
      <c r="Z42" s="44"/>
      <c r="AA42" s="44"/>
      <c r="AB42" s="44"/>
      <c r="AC42" s="44"/>
      <c r="AD42" s="90"/>
      <c r="AE42" s="91"/>
      <c r="AF42" s="90"/>
      <c r="AG42" s="44"/>
      <c r="AH42" s="90"/>
      <c r="AI42" s="44"/>
      <c r="AJ42" s="44"/>
      <c r="AK42" s="77"/>
      <c r="AL42" s="44"/>
      <c r="AM42" s="44"/>
      <c r="AN42" s="44"/>
      <c r="AO42" s="44"/>
      <c r="AP42" s="44"/>
      <c r="AQ42" s="77"/>
      <c r="AR42" s="44"/>
      <c r="AS42" s="44"/>
      <c r="AT42" s="44"/>
      <c r="AU42" s="44"/>
      <c r="AV42" s="44"/>
      <c r="AW42" s="101"/>
      <c r="AX42" s="102"/>
      <c r="AY42" s="102"/>
      <c r="AZ42" s="101"/>
      <c r="BA42" s="102"/>
      <c r="BB42" s="102"/>
      <c r="BC42" s="101"/>
      <c r="BD42" s="102"/>
      <c r="BE42" s="101"/>
      <c r="BF42" s="102"/>
      <c r="BG42" s="102"/>
      <c r="BH42" s="102"/>
      <c r="BI42" s="103"/>
      <c r="BJ42" s="102"/>
      <c r="BK42" s="102"/>
    </row>
    <row r="43" customFormat="false" ht="15.75" hidden="true" customHeight="false" outlineLevel="0" collapsed="false">
      <c r="A43" s="92"/>
      <c r="B43" s="92"/>
      <c r="C43" s="92"/>
      <c r="D43" s="92"/>
      <c r="E43" s="10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77"/>
      <c r="T43" s="44"/>
      <c r="U43" s="44"/>
      <c r="V43" s="44"/>
      <c r="W43" s="44"/>
      <c r="X43" s="44"/>
      <c r="Y43" s="77"/>
      <c r="Z43" s="44"/>
      <c r="AA43" s="44"/>
      <c r="AB43" s="44"/>
      <c r="AC43" s="44"/>
      <c r="AD43" s="90"/>
      <c r="AE43" s="91"/>
      <c r="AF43" s="90"/>
      <c r="AG43" s="44"/>
      <c r="AH43" s="90"/>
      <c r="AI43" s="44"/>
      <c r="AJ43" s="44"/>
      <c r="AK43" s="77"/>
      <c r="AL43" s="44"/>
      <c r="AM43" s="44"/>
      <c r="AN43" s="44"/>
      <c r="AO43" s="44"/>
      <c r="AP43" s="44"/>
      <c r="AQ43" s="77"/>
      <c r="AR43" s="44"/>
      <c r="AS43" s="44"/>
      <c r="AT43" s="44"/>
      <c r="AU43" s="44"/>
      <c r="AV43" s="44"/>
      <c r="AW43" s="101"/>
      <c r="AX43" s="102"/>
      <c r="AY43" s="102"/>
      <c r="AZ43" s="101"/>
      <c r="BA43" s="102"/>
      <c r="BB43" s="102"/>
      <c r="BC43" s="101"/>
      <c r="BD43" s="102"/>
      <c r="BE43" s="101"/>
      <c r="BF43" s="102"/>
      <c r="BG43" s="102"/>
      <c r="BH43" s="102"/>
      <c r="BI43" s="103"/>
      <c r="BJ43" s="102"/>
      <c r="BK43" s="102"/>
    </row>
    <row r="44" customFormat="false" ht="15.75" hidden="true" customHeight="false" outlineLevel="0" collapsed="false">
      <c r="A44" s="92"/>
      <c r="B44" s="92"/>
      <c r="C44" s="92"/>
      <c r="D44" s="92"/>
      <c r="E44" s="10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77"/>
      <c r="T44" s="44"/>
      <c r="U44" s="44"/>
      <c r="V44" s="44"/>
      <c r="W44" s="44"/>
      <c r="X44" s="44"/>
      <c r="Y44" s="77"/>
      <c r="Z44" s="44"/>
      <c r="AA44" s="44"/>
      <c r="AB44" s="44"/>
      <c r="AC44" s="44"/>
      <c r="AD44" s="90"/>
      <c r="AE44" s="91"/>
      <c r="AF44" s="90"/>
      <c r="AG44" s="44"/>
      <c r="AH44" s="90"/>
      <c r="AI44" s="44"/>
      <c r="AJ44" s="44"/>
      <c r="AK44" s="77"/>
      <c r="AL44" s="44"/>
      <c r="AM44" s="44"/>
      <c r="AN44" s="44"/>
      <c r="AO44" s="44"/>
      <c r="AP44" s="44"/>
      <c r="AQ44" s="77"/>
      <c r="AR44" s="44"/>
      <c r="AS44" s="44"/>
      <c r="AT44" s="44"/>
      <c r="AU44" s="44"/>
      <c r="AV44" s="44"/>
      <c r="AW44" s="101"/>
      <c r="AX44" s="102"/>
      <c r="AY44" s="102"/>
      <c r="AZ44" s="101"/>
      <c r="BA44" s="102"/>
      <c r="BB44" s="102"/>
      <c r="BC44" s="101"/>
      <c r="BD44" s="102"/>
      <c r="BE44" s="101"/>
      <c r="BF44" s="102"/>
      <c r="BG44" s="102"/>
      <c r="BH44" s="102"/>
      <c r="BI44" s="103"/>
      <c r="BJ44" s="102"/>
      <c r="BK44" s="102"/>
    </row>
    <row r="45" customFormat="false" ht="15.75" hidden="true" customHeight="false" outlineLevel="0" collapsed="false">
      <c r="A45" s="92"/>
      <c r="B45" s="92"/>
      <c r="C45" s="92"/>
      <c r="D45" s="92"/>
      <c r="E45" s="10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77"/>
      <c r="T45" s="44"/>
      <c r="U45" s="44"/>
      <c r="V45" s="44"/>
      <c r="W45" s="44"/>
      <c r="X45" s="44"/>
      <c r="Y45" s="77"/>
      <c r="Z45" s="44"/>
      <c r="AA45" s="44"/>
      <c r="AB45" s="44"/>
      <c r="AC45" s="44"/>
      <c r="AD45" s="90"/>
      <c r="AE45" s="91"/>
      <c r="AF45" s="90"/>
      <c r="AG45" s="44"/>
      <c r="AH45" s="90"/>
      <c r="AI45" s="44"/>
      <c r="AJ45" s="44"/>
      <c r="AK45" s="77"/>
      <c r="AL45" s="44"/>
      <c r="AM45" s="44"/>
      <c r="AN45" s="44"/>
      <c r="AO45" s="44"/>
      <c r="AP45" s="44"/>
      <c r="AQ45" s="77"/>
      <c r="AR45" s="44"/>
      <c r="AS45" s="44"/>
      <c r="AT45" s="44"/>
      <c r="AU45" s="44"/>
      <c r="AV45" s="44"/>
      <c r="AW45" s="101"/>
      <c r="AX45" s="102"/>
      <c r="AY45" s="102"/>
      <c r="AZ45" s="101"/>
      <c r="BA45" s="102"/>
      <c r="BB45" s="102"/>
      <c r="BC45" s="101"/>
      <c r="BD45" s="102"/>
      <c r="BE45" s="101"/>
      <c r="BF45" s="102"/>
      <c r="BG45" s="102"/>
      <c r="BH45" s="102"/>
      <c r="BI45" s="103"/>
      <c r="BJ45" s="102"/>
      <c r="BK45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34 AA3:AC34 AG3:AI34 AM3:AO34 AS3:AU34">
    <cfRule type="expression" priority="2" aboveAverage="0" equalAverage="0" bottom="0" percent="0" rank="0" text="" dxfId="2">
      <formula>U3&gt;45809</formula>
    </cfRule>
  </conditionalFormatting>
  <conditionalFormatting sqref="BC3:BD34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34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660</v>
      </c>
      <c r="C1" s="45" t="s">
        <v>661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45706</v>
      </c>
      <c r="G2" s="55" t="n">
        <f aca="false">F2+14</f>
        <v>45720</v>
      </c>
      <c r="H2" s="55" t="n">
        <f aca="false">G2+14</f>
        <v>45734</v>
      </c>
      <c r="I2" s="55" t="n">
        <f aca="false">H2+14</f>
        <v>45748</v>
      </c>
      <c r="J2" s="55" t="n">
        <f aca="false">I2+14</f>
        <v>45762</v>
      </c>
      <c r="K2" s="55" t="n">
        <f aca="false">J2+14</f>
        <v>45776</v>
      </c>
      <c r="L2" s="55" t="n">
        <f aca="false">K2+14</f>
        <v>45790</v>
      </c>
      <c r="M2" s="55" t="n">
        <f aca="false">L2+14</f>
        <v>45804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180" t="n">
        <v>1</v>
      </c>
      <c r="B3" s="181" t="s">
        <v>1096</v>
      </c>
      <c r="C3" s="61" t="s">
        <v>39</v>
      </c>
      <c r="D3" s="182" t="s">
        <v>1097</v>
      </c>
      <c r="E3" s="62"/>
      <c r="F3" s="63" t="s">
        <v>735</v>
      </c>
      <c r="G3" s="63" t="s">
        <v>735</v>
      </c>
      <c r="H3" s="63" t="s">
        <v>735</v>
      </c>
      <c r="I3" s="63" t="s">
        <v>735</v>
      </c>
      <c r="J3" s="63" t="s">
        <v>735</v>
      </c>
      <c r="K3" s="63" t="s">
        <v>735</v>
      </c>
      <c r="L3" s="63"/>
      <c r="M3" s="63"/>
      <c r="N3" s="64"/>
      <c r="O3" s="64"/>
      <c r="P3" s="64"/>
      <c r="Q3" s="64"/>
      <c r="R3" s="64"/>
      <c r="S3" s="65"/>
      <c r="T3" s="66" t="s">
        <v>1098</v>
      </c>
      <c r="U3" s="67"/>
      <c r="V3" s="67"/>
      <c r="W3" s="67"/>
      <c r="X3" s="68"/>
      <c r="Y3" s="69"/>
      <c r="Z3" s="70"/>
      <c r="AA3" s="67"/>
      <c r="AB3" s="67"/>
      <c r="AC3" s="67"/>
      <c r="AD3" s="68"/>
      <c r="AE3" s="69"/>
      <c r="AF3" s="70"/>
      <c r="AG3" s="70"/>
      <c r="AH3" s="70"/>
      <c r="AI3" s="70"/>
      <c r="AJ3" s="68"/>
      <c r="AK3" s="69"/>
      <c r="AL3" s="70"/>
      <c r="AM3" s="70"/>
      <c r="AN3" s="70"/>
      <c r="AO3" s="70"/>
      <c r="AP3" s="68"/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68" t="n">
        <v>0</v>
      </c>
      <c r="AW3" s="69"/>
      <c r="AX3" s="68"/>
      <c r="AY3" s="68"/>
      <c r="AZ3" s="69"/>
      <c r="BA3" s="70"/>
      <c r="BB3" s="71"/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0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180" t="n">
        <f aca="false">A3+1</f>
        <v>2</v>
      </c>
      <c r="B4" s="181" t="s">
        <v>61</v>
      </c>
      <c r="C4" s="61" t="s">
        <v>39</v>
      </c>
      <c r="D4" s="182" t="s">
        <v>60</v>
      </c>
      <c r="E4" s="62"/>
      <c r="F4" s="63" t="s">
        <v>696</v>
      </c>
      <c r="G4" s="63" t="s">
        <v>734</v>
      </c>
      <c r="H4" s="63" t="s">
        <v>734</v>
      </c>
      <c r="I4" s="63" t="s">
        <v>735</v>
      </c>
      <c r="J4" s="63" t="s">
        <v>696</v>
      </c>
      <c r="K4" s="63" t="s">
        <v>696</v>
      </c>
      <c r="L4" s="63" t="s">
        <v>696</v>
      </c>
      <c r="M4" s="63" t="s">
        <v>696</v>
      </c>
      <c r="N4" s="64"/>
      <c r="O4" s="64"/>
      <c r="P4" s="64"/>
      <c r="Q4" s="64"/>
      <c r="R4" s="64"/>
      <c r="S4" s="65"/>
      <c r="T4" s="66" t="s">
        <v>1099</v>
      </c>
      <c r="U4" s="106" t="n">
        <v>45734</v>
      </c>
      <c r="V4" s="67" t="n">
        <v>45734</v>
      </c>
      <c r="W4" s="67" t="n">
        <v>45734</v>
      </c>
      <c r="X4" s="68" t="n">
        <v>10</v>
      </c>
      <c r="Y4" s="69"/>
      <c r="Z4" s="70" t="n">
        <v>4574</v>
      </c>
      <c r="AA4" s="67" t="n">
        <v>45776</v>
      </c>
      <c r="AB4" s="67" t="n">
        <v>45776</v>
      </c>
      <c r="AC4" s="67" t="n">
        <v>45776</v>
      </c>
      <c r="AD4" s="70" t="n">
        <v>9.5</v>
      </c>
      <c r="AE4" s="69"/>
      <c r="AF4" s="70" t="n">
        <v>3574</v>
      </c>
      <c r="AG4" s="106" t="n">
        <v>45804</v>
      </c>
      <c r="AH4" s="106" t="n">
        <v>45804</v>
      </c>
      <c r="AI4" s="106" t="n">
        <v>45804</v>
      </c>
      <c r="AJ4" s="68" t="n">
        <v>10</v>
      </c>
      <c r="AK4" s="69"/>
      <c r="AL4" s="70" t="n">
        <v>3286</v>
      </c>
      <c r="AM4" s="106" t="n">
        <v>45814</v>
      </c>
      <c r="AN4" s="106" t="n">
        <v>45814</v>
      </c>
      <c r="AO4" s="106" t="n">
        <v>45814</v>
      </c>
      <c r="AP4" s="68" t="n">
        <v>9.5</v>
      </c>
      <c r="AQ4" s="69"/>
      <c r="AR4" s="70" t="n">
        <v>7469</v>
      </c>
      <c r="AS4" s="70" t="s">
        <v>737</v>
      </c>
      <c r="AT4" s="70" t="s">
        <v>737</v>
      </c>
      <c r="AU4" s="70" t="s">
        <v>737</v>
      </c>
      <c r="AV4" s="68" t="n">
        <v>0</v>
      </c>
      <c r="AW4" s="69"/>
      <c r="AX4" s="68" t="n">
        <v>0</v>
      </c>
      <c r="AY4" s="68" t="n">
        <v>0</v>
      </c>
      <c r="AZ4" s="69"/>
      <c r="BA4" s="106" t="n">
        <v>45792</v>
      </c>
      <c r="BB4" s="71" t="n">
        <v>6</v>
      </c>
      <c r="BC4" s="72"/>
      <c r="BD4" s="73" t="str">
        <f aca="false">IF(AND(BB4&gt;=6,AP4&gt;=6,AJ4&gt;=6,AD4&gt;=6,X4&gt;=6),"да","нет")</f>
        <v>да</v>
      </c>
      <c r="BE4" s="72"/>
      <c r="BF4" s="118" t="n">
        <v>45836</v>
      </c>
      <c r="BG4" s="71" t="n">
        <v>0</v>
      </c>
      <c r="BH4" s="68"/>
      <c r="BI4" s="50"/>
      <c r="BJ4" s="75" t="n">
        <f aca="false">SUM(X4,AD4,AJ4,AP4,AV4,AX4:AY4,BH4,BB4,BG4)</f>
        <v>45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180" t="n">
        <f aca="false">A4+1</f>
        <v>3</v>
      </c>
      <c r="B5" s="181" t="s">
        <v>63</v>
      </c>
      <c r="C5" s="61" t="s">
        <v>39</v>
      </c>
      <c r="D5" s="182" t="s">
        <v>62</v>
      </c>
      <c r="E5" s="62"/>
      <c r="F5" s="63" t="s">
        <v>696</v>
      </c>
      <c r="G5" s="63" t="s">
        <v>696</v>
      </c>
      <c r="H5" s="63" t="s">
        <v>734</v>
      </c>
      <c r="I5" s="63" t="s">
        <v>696</v>
      </c>
      <c r="J5" s="63" t="s">
        <v>696</v>
      </c>
      <c r="K5" s="63" t="s">
        <v>696</v>
      </c>
      <c r="L5" s="63" t="s">
        <v>696</v>
      </c>
      <c r="M5" s="63"/>
      <c r="N5" s="64"/>
      <c r="O5" s="64"/>
      <c r="P5" s="64"/>
      <c r="Q5" s="64"/>
      <c r="R5" s="64"/>
      <c r="S5" s="65"/>
      <c r="T5" s="66" t="s">
        <v>1100</v>
      </c>
      <c r="U5" s="67" t="n">
        <v>45734</v>
      </c>
      <c r="V5" s="67" t="n">
        <v>45734</v>
      </c>
      <c r="W5" s="67" t="n">
        <v>45734</v>
      </c>
      <c r="X5" s="68" t="n">
        <v>10</v>
      </c>
      <c r="Y5" s="69"/>
      <c r="Z5" s="70" t="n">
        <v>3685</v>
      </c>
      <c r="AA5" s="67" t="n">
        <v>45748</v>
      </c>
      <c r="AB5" s="67" t="n">
        <v>45748</v>
      </c>
      <c r="AC5" s="67" t="n">
        <v>45748</v>
      </c>
      <c r="AD5" s="68" t="n">
        <v>10</v>
      </c>
      <c r="AE5" s="69"/>
      <c r="AF5" s="70" t="n">
        <v>4658</v>
      </c>
      <c r="AG5" s="106" t="n">
        <v>45776</v>
      </c>
      <c r="AH5" s="106" t="n">
        <v>45776</v>
      </c>
      <c r="AI5" s="106" t="n">
        <v>45776</v>
      </c>
      <c r="AJ5" s="68" t="n">
        <v>10</v>
      </c>
      <c r="AK5" s="69"/>
      <c r="AL5" s="70" t="n">
        <v>6418</v>
      </c>
      <c r="AM5" s="106" t="n">
        <v>45790</v>
      </c>
      <c r="AN5" s="106" t="n">
        <v>45790</v>
      </c>
      <c r="AO5" s="106" t="n">
        <v>45790</v>
      </c>
      <c r="AP5" s="68" t="n">
        <v>10</v>
      </c>
      <c r="AQ5" s="69"/>
      <c r="AR5" s="70" t="n">
        <v>3245</v>
      </c>
      <c r="AS5" s="106" t="n">
        <v>45814</v>
      </c>
      <c r="AT5" s="106" t="n">
        <v>45814</v>
      </c>
      <c r="AU5" s="106" t="n">
        <v>45814</v>
      </c>
      <c r="AV5" s="68" t="n">
        <v>10</v>
      </c>
      <c r="AW5" s="69"/>
      <c r="AX5" s="68" t="n">
        <v>1</v>
      </c>
      <c r="AY5" s="68" t="n">
        <v>1</v>
      </c>
      <c r="AZ5" s="69"/>
      <c r="BA5" s="106" t="n">
        <v>45792</v>
      </c>
      <c r="BB5" s="71" t="n">
        <v>6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45836</v>
      </c>
      <c r="BG5" s="71" t="n">
        <v>30</v>
      </c>
      <c r="BH5" s="68" t="n">
        <v>3</v>
      </c>
      <c r="BI5" s="50"/>
      <c r="BJ5" s="75" t="n">
        <f aca="false">SUM(X5,AD5,AJ5,AP5,AV5,AX5:AY5,BH5,BB5,BG5)</f>
        <v>91</v>
      </c>
      <c r="BK5" s="73" t="str">
        <f aca="false">IF(BJ5&gt;90,"A",IF(BJ5&gt;83,"B",IF(BJ5&gt;74,"C",IF(BJ5&gt;67,"D",IF(BJ5&gt;=60,"E","FX")))))</f>
        <v>A</v>
      </c>
    </row>
    <row r="6" customFormat="false" ht="15.75" hidden="false" customHeight="false" outlineLevel="0" collapsed="false">
      <c r="A6" s="180" t="n">
        <f aca="false">A5+1</f>
        <v>4</v>
      </c>
      <c r="B6" s="181" t="s">
        <v>85</v>
      </c>
      <c r="C6" s="61" t="s">
        <v>39</v>
      </c>
      <c r="D6" s="182" t="s">
        <v>84</v>
      </c>
      <c r="E6" s="62"/>
      <c r="F6" s="63" t="s">
        <v>696</v>
      </c>
      <c r="G6" s="63" t="s">
        <v>735</v>
      </c>
      <c r="H6" s="63" t="s">
        <v>735</v>
      </c>
      <c r="I6" s="63" t="s">
        <v>735</v>
      </c>
      <c r="J6" s="63" t="s">
        <v>735</v>
      </c>
      <c r="K6" s="63" t="s">
        <v>696</v>
      </c>
      <c r="L6" s="63"/>
      <c r="M6" s="63"/>
      <c r="N6" s="64"/>
      <c r="O6" s="64"/>
      <c r="P6" s="64"/>
      <c r="Q6" s="64"/>
      <c r="R6" s="64"/>
      <c r="S6" s="65"/>
      <c r="T6" s="66" t="s">
        <v>1101</v>
      </c>
      <c r="U6" s="67" t="n">
        <v>45776</v>
      </c>
      <c r="V6" s="67" t="n">
        <v>45776</v>
      </c>
      <c r="W6" s="67" t="n">
        <v>45776</v>
      </c>
      <c r="X6" s="68" t="n">
        <v>10</v>
      </c>
      <c r="Y6" s="69"/>
      <c r="Z6" s="70" t="n">
        <v>3444</v>
      </c>
      <c r="AA6" s="67" t="n">
        <v>45776</v>
      </c>
      <c r="AB6" s="67" t="n">
        <v>45776</v>
      </c>
      <c r="AC6" s="67" t="n">
        <v>45776</v>
      </c>
      <c r="AD6" s="68" t="n">
        <v>8</v>
      </c>
      <c r="AE6" s="69"/>
      <c r="AF6" s="70" t="n">
        <v>6413</v>
      </c>
      <c r="AG6" s="70"/>
      <c r="AH6" s="70"/>
      <c r="AI6" s="70"/>
      <c r="AJ6" s="68"/>
      <c r="AK6" s="69"/>
      <c r="AL6" s="70"/>
      <c r="AM6" s="70"/>
      <c r="AN6" s="70"/>
      <c r="AO6" s="70"/>
      <c r="AP6" s="68"/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/>
      <c r="AY6" s="68"/>
      <c r="AZ6" s="69"/>
      <c r="BA6" s="70"/>
      <c r="BB6" s="71"/>
      <c r="BC6" s="72"/>
      <c r="BD6" s="73" t="str">
        <f aca="false">IF(AND(BB6&gt;=6,AP6&gt;=6,AJ6&gt;=6,AD6&gt;=6,X6&gt;=6),"да","нет")</f>
        <v>нет</v>
      </c>
      <c r="BE6" s="72"/>
      <c r="BF6" s="74"/>
      <c r="BG6" s="71"/>
      <c r="BH6" s="68"/>
      <c r="BI6" s="50"/>
      <c r="BJ6" s="75" t="n">
        <f aca="false">SUM(X6,AD6,AJ6,AP6,AV6,AX6:AY6,BH6,BB6,BG6)</f>
        <v>18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180" t="n">
        <f aca="false">A6+1</f>
        <v>5</v>
      </c>
      <c r="B7" s="183" t="s">
        <v>1102</v>
      </c>
      <c r="C7" s="61" t="s">
        <v>39</v>
      </c>
      <c r="D7" s="182" t="s">
        <v>1103</v>
      </c>
      <c r="E7" s="62"/>
      <c r="F7" s="63" t="s">
        <v>696</v>
      </c>
      <c r="G7" s="63" t="s">
        <v>696</v>
      </c>
      <c r="H7" s="63" t="s">
        <v>735</v>
      </c>
      <c r="I7" s="63" t="s">
        <v>735</v>
      </c>
      <c r="J7" s="63" t="s">
        <v>735</v>
      </c>
      <c r="K7" s="63" t="s">
        <v>735</v>
      </c>
      <c r="L7" s="63"/>
      <c r="M7" s="63"/>
      <c r="N7" s="64"/>
      <c r="O7" s="64"/>
      <c r="P7" s="64"/>
      <c r="Q7" s="64"/>
      <c r="R7" s="64"/>
      <c r="S7" s="65"/>
      <c r="T7" s="66" t="s">
        <v>1104</v>
      </c>
      <c r="U7" s="67"/>
      <c r="V7" s="67"/>
      <c r="W7" s="67"/>
      <c r="X7" s="68"/>
      <c r="Y7" s="69"/>
      <c r="Z7" s="70"/>
      <c r="AA7" s="67"/>
      <c r="AB7" s="67"/>
      <c r="AC7" s="67"/>
      <c r="AD7" s="68"/>
      <c r="AE7" s="69"/>
      <c r="AF7" s="70"/>
      <c r="AG7" s="70"/>
      <c r="AH7" s="70"/>
      <c r="AI7" s="70"/>
      <c r="AJ7" s="68"/>
      <c r="AK7" s="69"/>
      <c r="AL7" s="70"/>
      <c r="AM7" s="70"/>
      <c r="AN7" s="70"/>
      <c r="AO7" s="70"/>
      <c r="AP7" s="68"/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68" t="n">
        <v>0</v>
      </c>
      <c r="AW7" s="69"/>
      <c r="AX7" s="68"/>
      <c r="AY7" s="68"/>
      <c r="AZ7" s="69"/>
      <c r="BA7" s="70"/>
      <c r="BB7" s="71"/>
      <c r="BC7" s="72"/>
      <c r="BD7" s="73" t="str">
        <f aca="false">IF(AND(BB7&gt;=6,AP7&gt;=6,AJ7&gt;=6,AD7&gt;=6,X7&gt;=6),"да","нет")</f>
        <v>нет</v>
      </c>
      <c r="BE7" s="72"/>
      <c r="BF7" s="74"/>
      <c r="BG7" s="71"/>
      <c r="BH7" s="68"/>
      <c r="BI7" s="50"/>
      <c r="BJ7" s="75" t="n">
        <f aca="false">SUM(X7,AD7,AJ7,AP7,AV7,AX7:AY7,BH7,BB7,BG7)</f>
        <v>0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180" t="n">
        <f aca="false">A7+1</f>
        <v>6</v>
      </c>
      <c r="B8" s="183" t="s">
        <v>1105</v>
      </c>
      <c r="C8" s="61" t="s">
        <v>39</v>
      </c>
      <c r="D8" s="182" t="s">
        <v>1106</v>
      </c>
      <c r="E8" s="62"/>
      <c r="F8" s="63" t="s">
        <v>735</v>
      </c>
      <c r="G8" s="63" t="s">
        <v>735</v>
      </c>
      <c r="H8" s="63" t="s">
        <v>735</v>
      </c>
      <c r="I8" s="63" t="s">
        <v>735</v>
      </c>
      <c r="J8" s="63" t="s">
        <v>735</v>
      </c>
      <c r="K8" s="63" t="s">
        <v>735</v>
      </c>
      <c r="L8" s="63"/>
      <c r="M8" s="63"/>
      <c r="N8" s="64"/>
      <c r="O8" s="64"/>
      <c r="P8" s="64"/>
      <c r="Q8" s="64"/>
      <c r="R8" s="64"/>
      <c r="S8" s="65"/>
      <c r="T8" s="66" t="s">
        <v>1107</v>
      </c>
      <c r="U8" s="67"/>
      <c r="V8" s="67"/>
      <c r="W8" s="67"/>
      <c r="X8" s="68"/>
      <c r="Y8" s="69"/>
      <c r="Z8" s="70"/>
      <c r="AA8" s="67"/>
      <c r="AB8" s="67"/>
      <c r="AC8" s="67"/>
      <c r="AD8" s="68"/>
      <c r="AE8" s="69"/>
      <c r="AF8" s="70"/>
      <c r="AG8" s="70"/>
      <c r="AH8" s="70"/>
      <c r="AI8" s="70"/>
      <c r="AJ8" s="68"/>
      <c r="AK8" s="69"/>
      <c r="AL8" s="70"/>
      <c r="AM8" s="70"/>
      <c r="AN8" s="70"/>
      <c r="AO8" s="70"/>
      <c r="AP8" s="68"/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/>
      <c r="AY8" s="68"/>
      <c r="AZ8" s="69"/>
      <c r="BA8" s="70"/>
      <c r="BB8" s="71"/>
      <c r="BC8" s="72"/>
      <c r="BD8" s="73" t="str">
        <f aca="false">IF(AND(BB8&gt;=6,AP8&gt;=6,AJ8&gt;=6,AD8&gt;=6,X8&gt;=6),"да","нет")</f>
        <v>нет</v>
      </c>
      <c r="BE8" s="72"/>
      <c r="BF8" s="74"/>
      <c r="BG8" s="71"/>
      <c r="BH8" s="68"/>
      <c r="BI8" s="50"/>
      <c r="BJ8" s="75" t="n">
        <f aca="false">SUM(X8,AD8,AJ8,AP8,AV8,AX8:AY8,BH8,BB8,BG8)</f>
        <v>0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180" t="n">
        <f aca="false">A8+1</f>
        <v>7</v>
      </c>
      <c r="B9" s="181" t="s">
        <v>107</v>
      </c>
      <c r="C9" s="61" t="s">
        <v>39</v>
      </c>
      <c r="D9" s="182" t="s">
        <v>106</v>
      </c>
      <c r="E9" s="62"/>
      <c r="F9" s="63" t="s">
        <v>696</v>
      </c>
      <c r="G9" s="63" t="s">
        <v>734</v>
      </c>
      <c r="H9" s="63" t="s">
        <v>734</v>
      </c>
      <c r="I9" s="63" t="s">
        <v>696</v>
      </c>
      <c r="J9" s="63" t="s">
        <v>735</v>
      </c>
      <c r="K9" s="63" t="s">
        <v>696</v>
      </c>
      <c r="L9" s="63" t="s">
        <v>696</v>
      </c>
      <c r="M9" s="63"/>
      <c r="N9" s="64"/>
      <c r="O9" s="64"/>
      <c r="P9" s="64"/>
      <c r="Q9" s="64"/>
      <c r="R9" s="64"/>
      <c r="S9" s="65"/>
      <c r="T9" s="66" t="s">
        <v>1108</v>
      </c>
      <c r="U9" s="106" t="n">
        <v>45734</v>
      </c>
      <c r="V9" s="67" t="n">
        <v>45734</v>
      </c>
      <c r="W9" s="67" t="n">
        <v>45734</v>
      </c>
      <c r="X9" s="68" t="n">
        <v>10</v>
      </c>
      <c r="Y9" s="69"/>
      <c r="Z9" s="70" t="n">
        <v>5647</v>
      </c>
      <c r="AA9" s="67" t="n">
        <v>45748</v>
      </c>
      <c r="AB9" s="67" t="n">
        <v>45748</v>
      </c>
      <c r="AC9" s="67" t="n">
        <v>45748</v>
      </c>
      <c r="AD9" s="68" t="n">
        <v>9</v>
      </c>
      <c r="AE9" s="69"/>
      <c r="AF9" s="70" t="n">
        <v>7348</v>
      </c>
      <c r="AG9" s="106" t="n">
        <v>45776</v>
      </c>
      <c r="AH9" s="106" t="n">
        <v>45776</v>
      </c>
      <c r="AI9" s="106" t="n">
        <v>45776</v>
      </c>
      <c r="AJ9" s="70" t="n">
        <v>10</v>
      </c>
      <c r="AK9" s="69"/>
      <c r="AL9" s="70" t="n">
        <v>6442</v>
      </c>
      <c r="AM9" s="106" t="n">
        <v>45790</v>
      </c>
      <c r="AN9" s="106" t="n">
        <v>45790</v>
      </c>
      <c r="AO9" s="106" t="n">
        <v>45790</v>
      </c>
      <c r="AP9" s="68" t="n">
        <v>10</v>
      </c>
      <c r="AQ9" s="69"/>
      <c r="AR9" s="70" t="n">
        <v>4387</v>
      </c>
      <c r="AS9" s="70" t="s">
        <v>737</v>
      </c>
      <c r="AT9" s="70" t="s">
        <v>737</v>
      </c>
      <c r="AU9" s="70" t="s">
        <v>737</v>
      </c>
      <c r="AV9" s="68" t="n">
        <v>0</v>
      </c>
      <c r="AW9" s="69"/>
      <c r="AX9" s="68"/>
      <c r="AY9" s="68"/>
      <c r="AZ9" s="69"/>
      <c r="BA9" s="106" t="n">
        <v>45792</v>
      </c>
      <c r="BB9" s="71" t="n">
        <v>6</v>
      </c>
      <c r="BC9" s="72"/>
      <c r="BD9" s="73" t="str">
        <f aca="false">IF(AND(BB9&gt;=6,AP9&gt;=6,AJ9&gt;=6,AD9&gt;=6,X9&gt;=6),"да","нет")</f>
        <v>да</v>
      </c>
      <c r="BE9" s="72"/>
      <c r="BF9" s="118" t="n">
        <v>45836</v>
      </c>
      <c r="BG9" s="71" t="n">
        <v>29</v>
      </c>
      <c r="BH9" s="68" t="n">
        <v>1</v>
      </c>
      <c r="BI9" s="50"/>
      <c r="BJ9" s="75" t="n">
        <f aca="false">SUM(X9,AD9,AJ9,AP9,AV9,AX9:AY9,BH9,BB9,BG9)</f>
        <v>75</v>
      </c>
      <c r="BK9" s="73" t="str">
        <f aca="false">IF(BJ9&gt;90,"A",IF(BJ9&gt;83,"B",IF(BJ9&gt;74,"C",IF(BJ9&gt;67,"D",IF(BJ9&gt;=60,"E","FX")))))</f>
        <v>C</v>
      </c>
    </row>
    <row r="10" customFormat="false" ht="15.75" hidden="false" customHeight="false" outlineLevel="0" collapsed="false">
      <c r="A10" s="184" t="n">
        <f aca="false">A9+1</f>
        <v>8</v>
      </c>
      <c r="B10" s="181" t="s">
        <v>109</v>
      </c>
      <c r="C10" s="61" t="s">
        <v>39</v>
      </c>
      <c r="D10" s="182" t="s">
        <v>108</v>
      </c>
      <c r="E10" s="62"/>
      <c r="F10" s="63" t="s">
        <v>696</v>
      </c>
      <c r="G10" s="63" t="s">
        <v>696</v>
      </c>
      <c r="H10" s="63" t="s">
        <v>696</v>
      </c>
      <c r="I10" s="63" t="s">
        <v>734</v>
      </c>
      <c r="J10" s="63" t="s">
        <v>735</v>
      </c>
      <c r="K10" s="63" t="s">
        <v>735</v>
      </c>
      <c r="L10" s="63" t="s">
        <v>734</v>
      </c>
      <c r="M10" s="63" t="s">
        <v>734</v>
      </c>
      <c r="N10" s="64"/>
      <c r="O10" s="64"/>
      <c r="P10" s="64"/>
      <c r="Q10" s="64"/>
      <c r="R10" s="64"/>
      <c r="S10" s="65"/>
      <c r="T10" s="66" t="s">
        <v>1109</v>
      </c>
      <c r="U10" s="67" t="n">
        <f aca="false">U9</f>
        <v>45734</v>
      </c>
      <c r="V10" s="67" t="n">
        <f aca="false">U10</f>
        <v>45734</v>
      </c>
      <c r="W10" s="67" t="n">
        <f aca="false">V10</f>
        <v>45734</v>
      </c>
      <c r="X10" s="68" t="n">
        <v>9.5</v>
      </c>
      <c r="Y10" s="69"/>
      <c r="Z10" s="70" t="n">
        <v>4523</v>
      </c>
      <c r="AA10" s="67" t="n">
        <v>45748</v>
      </c>
      <c r="AB10" s="67" t="n">
        <f aca="false">AA10</f>
        <v>45748</v>
      </c>
      <c r="AC10" s="67" t="n">
        <v>45762</v>
      </c>
      <c r="AD10" s="68" t="n">
        <v>10</v>
      </c>
      <c r="AE10" s="69"/>
      <c r="AF10" s="70" t="n">
        <v>9876</v>
      </c>
      <c r="AG10" s="106" t="n">
        <v>45790</v>
      </c>
      <c r="AH10" s="106" t="n">
        <v>45790</v>
      </c>
      <c r="AI10" s="106" t="n">
        <v>45790</v>
      </c>
      <c r="AJ10" s="68" t="n">
        <v>10</v>
      </c>
      <c r="AK10" s="69"/>
      <c r="AL10" s="70" t="n">
        <v>3198</v>
      </c>
      <c r="AM10" s="106" t="n">
        <v>45804</v>
      </c>
      <c r="AN10" s="106" t="n">
        <v>45804</v>
      </c>
      <c r="AO10" s="106" t="n">
        <v>45833</v>
      </c>
      <c r="AP10" s="68" t="n">
        <v>9</v>
      </c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68" t="n">
        <v>0</v>
      </c>
      <c r="AW10" s="69"/>
      <c r="AX10" s="68"/>
      <c r="AY10" s="68"/>
      <c r="AZ10" s="69"/>
      <c r="BA10" s="106" t="n">
        <v>45799</v>
      </c>
      <c r="BB10" s="71" t="n">
        <v>7</v>
      </c>
      <c r="BC10" s="72"/>
      <c r="BD10" s="73" t="str">
        <f aca="false">IF(AND(BB10&gt;=6,AP10&gt;=6,AJ10&gt;=6,AD10&gt;=6,X10&gt;=6),"да","нет")</f>
        <v>да</v>
      </c>
      <c r="BE10" s="72"/>
      <c r="BF10" s="74"/>
      <c r="BG10" s="71"/>
      <c r="BH10" s="68"/>
      <c r="BI10" s="50"/>
      <c r="BJ10" s="75" t="n">
        <f aca="false">SUM(X10,AD10,AJ10,AP10,AV10,AX10:AY10,BH10,BB10,BG10)</f>
        <v>45.5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180" t="n">
        <f aca="false">A10+1</f>
        <v>9</v>
      </c>
      <c r="B11" s="181" t="s">
        <v>111</v>
      </c>
      <c r="C11" s="61" t="s">
        <v>39</v>
      </c>
      <c r="D11" s="182" t="s">
        <v>110</v>
      </c>
      <c r="E11" s="62"/>
      <c r="F11" s="63" t="s">
        <v>673</v>
      </c>
      <c r="G11" s="63" t="s">
        <v>696</v>
      </c>
      <c r="H11" s="63" t="s">
        <v>696</v>
      </c>
      <c r="I11" s="63" t="s">
        <v>696</v>
      </c>
      <c r="J11" s="63" t="s">
        <v>696</v>
      </c>
      <c r="K11" s="63" t="s">
        <v>696</v>
      </c>
      <c r="L11" s="63" t="s">
        <v>696</v>
      </c>
      <c r="M11" s="63" t="s">
        <v>696</v>
      </c>
      <c r="N11" s="64"/>
      <c r="O11" s="64"/>
      <c r="P11" s="64"/>
      <c r="Q11" s="64"/>
      <c r="R11" s="64"/>
      <c r="S11" s="65"/>
      <c r="T11" s="66" t="s">
        <v>1110</v>
      </c>
      <c r="U11" s="67" t="n">
        <v>45734</v>
      </c>
      <c r="V11" s="106" t="n">
        <v>45734</v>
      </c>
      <c r="W11" s="67" t="n">
        <v>45734</v>
      </c>
      <c r="X11" s="68" t="n">
        <v>10</v>
      </c>
      <c r="Y11" s="69"/>
      <c r="Z11" s="70" t="n">
        <v>3459</v>
      </c>
      <c r="AA11" s="67" t="n">
        <v>45776</v>
      </c>
      <c r="AB11" s="67" t="n">
        <v>45776</v>
      </c>
      <c r="AC11" s="67" t="n">
        <v>45776</v>
      </c>
      <c r="AD11" s="68" t="n">
        <v>10</v>
      </c>
      <c r="AE11" s="69"/>
      <c r="AF11" s="70" t="n">
        <v>6412</v>
      </c>
      <c r="AG11" s="106" t="n">
        <v>45790</v>
      </c>
      <c r="AH11" s="106" t="n">
        <v>45790</v>
      </c>
      <c r="AI11" s="106" t="n">
        <v>45790</v>
      </c>
      <c r="AJ11" s="68" t="n">
        <v>8</v>
      </c>
      <c r="AK11" s="69"/>
      <c r="AL11" s="70" t="n">
        <v>3264</v>
      </c>
      <c r="AM11" s="106" t="n">
        <v>45804</v>
      </c>
      <c r="AN11" s="106" t="n">
        <v>45804</v>
      </c>
      <c r="AO11" s="106" t="n">
        <v>45804</v>
      </c>
      <c r="AP11" s="68" t="n">
        <v>10</v>
      </c>
      <c r="AQ11" s="69"/>
      <c r="AR11" s="70" t="n">
        <v>3872</v>
      </c>
      <c r="AS11" s="106" t="n">
        <v>45814</v>
      </c>
      <c r="AT11" s="106" t="n">
        <v>45814</v>
      </c>
      <c r="AU11" s="106" t="n">
        <v>45814</v>
      </c>
      <c r="AV11" s="68" t="n">
        <v>10</v>
      </c>
      <c r="AW11" s="69"/>
      <c r="AX11" s="68"/>
      <c r="AY11" s="68"/>
      <c r="AZ11" s="69"/>
      <c r="BA11" s="106" t="n">
        <v>45827</v>
      </c>
      <c r="BB11" s="71" t="n">
        <v>7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45836</v>
      </c>
      <c r="BG11" s="71" t="n">
        <v>24</v>
      </c>
      <c r="BH11" s="68"/>
      <c r="BI11" s="50"/>
      <c r="BJ11" s="75" t="n">
        <f aca="false">SUM(X11,AD11,AJ11,AP11,AV11,AX11:AY11,BH11,BB11,BG11)</f>
        <v>79</v>
      </c>
      <c r="BK11" s="73" t="str">
        <f aca="false">IF(BJ11&gt;90,"A",IF(BJ11&gt;83,"B",IF(BJ11&gt;74,"C",IF(BJ11&gt;67,"D",IF(BJ11&gt;=60,"E","FX")))))</f>
        <v>C</v>
      </c>
    </row>
    <row r="12" customFormat="false" ht="15.75" hidden="false" customHeight="false" outlineLevel="0" collapsed="false">
      <c r="A12" s="180" t="n">
        <f aca="false">A11+1</f>
        <v>10</v>
      </c>
      <c r="B12" s="181" t="s">
        <v>121</v>
      </c>
      <c r="C12" s="61" t="s">
        <v>39</v>
      </c>
      <c r="D12" s="182" t="s">
        <v>120</v>
      </c>
      <c r="E12" s="62"/>
      <c r="F12" s="63" t="s">
        <v>673</v>
      </c>
      <c r="G12" s="63" t="s">
        <v>735</v>
      </c>
      <c r="H12" s="63" t="s">
        <v>734</v>
      </c>
      <c r="I12" s="63" t="s">
        <v>696</v>
      </c>
      <c r="J12" s="63" t="s">
        <v>696</v>
      </c>
      <c r="K12" s="63" t="s">
        <v>696</v>
      </c>
      <c r="L12" s="63" t="s">
        <v>696</v>
      </c>
      <c r="M12" s="63" t="s">
        <v>696</v>
      </c>
      <c r="N12" s="64"/>
      <c r="O12" s="64"/>
      <c r="P12" s="64"/>
      <c r="Q12" s="64"/>
      <c r="R12" s="64"/>
      <c r="S12" s="65"/>
      <c r="T12" s="66" t="s">
        <v>1111</v>
      </c>
      <c r="U12" s="67" t="n">
        <v>45776</v>
      </c>
      <c r="V12" s="67" t="n">
        <v>45776</v>
      </c>
      <c r="W12" s="67" t="n">
        <v>45776</v>
      </c>
      <c r="X12" s="68" t="n">
        <v>10</v>
      </c>
      <c r="Y12" s="69"/>
      <c r="Z12" s="70" t="n">
        <v>3586</v>
      </c>
      <c r="AA12" s="67" t="n">
        <v>45790</v>
      </c>
      <c r="AB12" s="67" t="n">
        <v>45790</v>
      </c>
      <c r="AC12" s="67" t="n">
        <v>45790</v>
      </c>
      <c r="AD12" s="68" t="n">
        <v>9.5</v>
      </c>
      <c r="AE12" s="69"/>
      <c r="AF12" s="70" t="n">
        <v>2548</v>
      </c>
      <c r="AG12" s="106" t="n">
        <v>45790</v>
      </c>
      <c r="AH12" s="106" t="n">
        <v>45790</v>
      </c>
      <c r="AI12" s="106" t="n">
        <v>45790</v>
      </c>
      <c r="AJ12" s="68" t="n">
        <v>10</v>
      </c>
      <c r="AK12" s="69"/>
      <c r="AL12" s="70" t="n">
        <v>3279</v>
      </c>
      <c r="AM12" s="106" t="n">
        <v>45804</v>
      </c>
      <c r="AN12" s="106" t="n">
        <v>45804</v>
      </c>
      <c r="AO12" s="106" t="n">
        <v>45804</v>
      </c>
      <c r="AP12" s="68" t="n">
        <v>10</v>
      </c>
      <c r="AQ12" s="69"/>
      <c r="AR12" s="70" t="n">
        <v>3255</v>
      </c>
      <c r="AS12" s="106" t="n">
        <v>45814</v>
      </c>
      <c r="AT12" s="106" t="n">
        <v>45814</v>
      </c>
      <c r="AU12" s="106" t="n">
        <v>45814</v>
      </c>
      <c r="AV12" s="68" t="n">
        <v>10</v>
      </c>
      <c r="AW12" s="69"/>
      <c r="AX12" s="68"/>
      <c r="AY12" s="68"/>
      <c r="AZ12" s="69"/>
      <c r="BA12" s="106" t="n">
        <v>45827</v>
      </c>
      <c r="BB12" s="71" t="n">
        <v>7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45836</v>
      </c>
      <c r="BG12" s="71" t="n">
        <v>0</v>
      </c>
      <c r="BH12" s="68"/>
      <c r="BI12" s="50"/>
      <c r="BJ12" s="75" t="n">
        <f aca="false">SUM(X12,AD12,AJ12,AP12,AV12,AX12:AY12,BH12,BB12,BG12)</f>
        <v>56.5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180" t="n">
        <f aca="false">A12+1</f>
        <v>11</v>
      </c>
      <c r="B13" s="181" t="s">
        <v>125</v>
      </c>
      <c r="C13" s="61" t="s">
        <v>39</v>
      </c>
      <c r="D13" s="182" t="s">
        <v>124</v>
      </c>
      <c r="E13" s="62"/>
      <c r="F13" s="63" t="s">
        <v>696</v>
      </c>
      <c r="G13" s="63" t="s">
        <v>735</v>
      </c>
      <c r="H13" s="63" t="s">
        <v>734</v>
      </c>
      <c r="I13" s="63" t="s">
        <v>696</v>
      </c>
      <c r="J13" s="63" t="s">
        <v>696</v>
      </c>
      <c r="K13" s="63" t="s">
        <v>696</v>
      </c>
      <c r="L13" s="63" t="s">
        <v>696</v>
      </c>
      <c r="M13" s="63"/>
      <c r="N13" s="64"/>
      <c r="O13" s="64"/>
      <c r="P13" s="64"/>
      <c r="Q13" s="64"/>
      <c r="R13" s="64"/>
      <c r="S13" s="65"/>
      <c r="T13" s="66" t="s">
        <v>1112</v>
      </c>
      <c r="U13" s="67" t="n">
        <v>45734</v>
      </c>
      <c r="V13" s="67" t="n">
        <v>45734</v>
      </c>
      <c r="W13" s="67" t="n">
        <v>45734</v>
      </c>
      <c r="X13" s="68" t="n">
        <v>10</v>
      </c>
      <c r="Y13" s="69"/>
      <c r="Z13" s="70" t="n">
        <v>3374</v>
      </c>
      <c r="AA13" s="67" t="n">
        <v>45748</v>
      </c>
      <c r="AB13" s="67" t="n">
        <v>45748</v>
      </c>
      <c r="AC13" s="67" t="n">
        <v>45748</v>
      </c>
      <c r="AD13" s="68" t="n">
        <v>10</v>
      </c>
      <c r="AE13" s="69"/>
      <c r="AF13" s="70" t="n">
        <v>3287</v>
      </c>
      <c r="AG13" s="106" t="n">
        <v>45776</v>
      </c>
      <c r="AH13" s="106" t="n">
        <v>45776</v>
      </c>
      <c r="AI13" s="106" t="n">
        <v>45776</v>
      </c>
      <c r="AJ13" s="68" t="n">
        <v>10</v>
      </c>
      <c r="AK13" s="69"/>
      <c r="AL13" s="70" t="n">
        <v>3286</v>
      </c>
      <c r="AM13" s="106" t="n">
        <v>45790</v>
      </c>
      <c r="AN13" s="106" t="n">
        <v>45790</v>
      </c>
      <c r="AO13" s="106" t="n">
        <v>45790</v>
      </c>
      <c r="AP13" s="68" t="n">
        <v>10</v>
      </c>
      <c r="AQ13" s="69"/>
      <c r="AR13" s="70" t="n">
        <v>2387</v>
      </c>
      <c r="AS13" s="106" t="n">
        <v>45814</v>
      </c>
      <c r="AT13" s="106" t="n">
        <v>45814</v>
      </c>
      <c r="AU13" s="106" t="n">
        <v>45814</v>
      </c>
      <c r="AV13" s="68" t="n">
        <v>10</v>
      </c>
      <c r="AW13" s="69"/>
      <c r="AX13" s="68" t="n">
        <v>0</v>
      </c>
      <c r="AY13" s="68"/>
      <c r="AZ13" s="69"/>
      <c r="BA13" s="106" t="n">
        <v>45827</v>
      </c>
      <c r="BB13" s="71" t="n">
        <v>7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45836</v>
      </c>
      <c r="BG13" s="71" t="n">
        <v>24</v>
      </c>
      <c r="BH13" s="68"/>
      <c r="BI13" s="50"/>
      <c r="BJ13" s="75" t="n">
        <f aca="false">SUM(X13,AD13,AJ13,AP13,AV13,AX13:AY13,BH13,BB13,BG13)</f>
        <v>81</v>
      </c>
      <c r="BK13" s="73" t="str">
        <f aca="false">IF(BJ13&gt;90,"A",IF(BJ13&gt;83,"B",IF(BJ13&gt;74,"C",IF(BJ13&gt;67,"D",IF(BJ13&gt;=60,"E","FX")))))</f>
        <v>C</v>
      </c>
    </row>
    <row r="14" customFormat="false" ht="15.75" hidden="false" customHeight="false" outlineLevel="0" collapsed="false">
      <c r="A14" s="180" t="n">
        <v>12</v>
      </c>
      <c r="B14" s="181" t="s">
        <v>1113</v>
      </c>
      <c r="C14" s="61" t="s">
        <v>39</v>
      </c>
      <c r="D14" s="182" t="s">
        <v>136</v>
      </c>
      <c r="E14" s="62"/>
      <c r="F14" s="63" t="s">
        <v>696</v>
      </c>
      <c r="G14" s="63" t="s">
        <v>735</v>
      </c>
      <c r="H14" s="63" t="s">
        <v>696</v>
      </c>
      <c r="I14" s="63" t="s">
        <v>696</v>
      </c>
      <c r="J14" s="63" t="s">
        <v>739</v>
      </c>
      <c r="K14" s="63" t="s">
        <v>696</v>
      </c>
      <c r="L14" s="63" t="s">
        <v>696</v>
      </c>
      <c r="M14" s="63" t="s">
        <v>696</v>
      </c>
      <c r="N14" s="64"/>
      <c r="O14" s="64"/>
      <c r="P14" s="64"/>
      <c r="Q14" s="64"/>
      <c r="R14" s="64"/>
      <c r="S14" s="65"/>
      <c r="T14" s="66" t="s">
        <v>1114</v>
      </c>
      <c r="U14" s="67" t="n">
        <v>45763</v>
      </c>
      <c r="V14" s="67" t="n">
        <v>45763</v>
      </c>
      <c r="W14" s="67" t="n">
        <v>45770</v>
      </c>
      <c r="X14" s="68" t="n">
        <v>8</v>
      </c>
      <c r="Y14" s="69"/>
      <c r="Z14" s="70" t="n">
        <v>4002</v>
      </c>
      <c r="AA14" s="67" t="n">
        <v>45776</v>
      </c>
      <c r="AB14" s="67" t="n">
        <v>45776</v>
      </c>
      <c r="AC14" s="67" t="n">
        <v>45776</v>
      </c>
      <c r="AD14" s="70" t="n">
        <v>9</v>
      </c>
      <c r="AE14" s="69"/>
      <c r="AF14" s="70" t="n">
        <v>3485</v>
      </c>
      <c r="AG14" s="106" t="n">
        <v>45790</v>
      </c>
      <c r="AH14" s="106" t="n">
        <v>45790</v>
      </c>
      <c r="AI14" s="106" t="n">
        <v>45790</v>
      </c>
      <c r="AJ14" s="68" t="n">
        <v>10</v>
      </c>
      <c r="AK14" s="69"/>
      <c r="AL14" s="70" t="n">
        <v>8732</v>
      </c>
      <c r="AM14" s="106" t="n">
        <v>45804</v>
      </c>
      <c r="AN14" s="106" t="n">
        <v>45804</v>
      </c>
      <c r="AO14" s="106" t="n">
        <v>45804</v>
      </c>
      <c r="AP14" s="68" t="n">
        <v>10</v>
      </c>
      <c r="AQ14" s="69"/>
      <c r="AR14" s="70" t="n">
        <v>6573</v>
      </c>
      <c r="AS14" s="70" t="s">
        <v>737</v>
      </c>
      <c r="AT14" s="70" t="s">
        <v>737</v>
      </c>
      <c r="AU14" s="70" t="s">
        <v>737</v>
      </c>
      <c r="AV14" s="68" t="n">
        <v>0</v>
      </c>
      <c r="AW14" s="69"/>
      <c r="AX14" s="68" t="n">
        <v>0</v>
      </c>
      <c r="AY14" s="68" t="n">
        <v>1</v>
      </c>
      <c r="AZ14" s="69"/>
      <c r="BA14" s="106" t="n">
        <v>45792</v>
      </c>
      <c r="BB14" s="71" t="n">
        <v>6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45818</v>
      </c>
      <c r="BG14" s="185" t="n">
        <v>18</v>
      </c>
      <c r="BH14" s="68" t="n">
        <v>0</v>
      </c>
      <c r="BI14" s="50"/>
      <c r="BJ14" s="75" t="n">
        <f aca="false">SUM(X14,AD14,AJ14,AP14,AV14,AX14:AY14,BH14,BB14,BG14)</f>
        <v>62</v>
      </c>
      <c r="BK14" s="73" t="str">
        <f aca="false">IF(BJ14&gt;90,"A",IF(BJ14&gt;83,"B",IF(BJ14&gt;74,"C",IF(BJ14&gt;67,"D",IF(BJ14&gt;=60,"E","FX")))))</f>
        <v>E</v>
      </c>
    </row>
    <row r="15" customFormat="false" ht="15.75" hidden="false" customHeight="false" outlineLevel="0" collapsed="false">
      <c r="A15" s="180" t="n">
        <v>13</v>
      </c>
      <c r="B15" s="183" t="s">
        <v>1115</v>
      </c>
      <c r="C15" s="61" t="s">
        <v>39</v>
      </c>
      <c r="D15" s="182" t="s">
        <v>1116</v>
      </c>
      <c r="E15" s="62"/>
      <c r="F15" s="63" t="s">
        <v>735</v>
      </c>
      <c r="G15" s="63" t="s">
        <v>735</v>
      </c>
      <c r="H15" s="63" t="s">
        <v>735</v>
      </c>
      <c r="I15" s="63" t="s">
        <v>735</v>
      </c>
      <c r="J15" s="63" t="s">
        <v>735</v>
      </c>
      <c r="K15" s="63" t="s">
        <v>735</v>
      </c>
      <c r="L15" s="63"/>
      <c r="M15" s="63"/>
      <c r="N15" s="64"/>
      <c r="O15" s="64"/>
      <c r="P15" s="64"/>
      <c r="Q15" s="64"/>
      <c r="R15" s="64"/>
      <c r="S15" s="65"/>
      <c r="T15" s="66" t="s">
        <v>1117</v>
      </c>
      <c r="U15" s="67"/>
      <c r="V15" s="67"/>
      <c r="W15" s="67"/>
      <c r="X15" s="68"/>
      <c r="Y15" s="69"/>
      <c r="Z15" s="70"/>
      <c r="AA15" s="67"/>
      <c r="AB15" s="67"/>
      <c r="AC15" s="67"/>
      <c r="AD15" s="68"/>
      <c r="AE15" s="69"/>
      <c r="AF15" s="70"/>
      <c r="AG15" s="70"/>
      <c r="AH15" s="70"/>
      <c r="AI15" s="70"/>
      <c r="AJ15" s="68"/>
      <c r="AK15" s="69"/>
      <c r="AL15" s="70"/>
      <c r="AM15" s="70"/>
      <c r="AN15" s="70"/>
      <c r="AO15" s="70"/>
      <c r="AP15" s="68"/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68" t="n">
        <v>0</v>
      </c>
      <c r="AW15" s="69"/>
      <c r="AX15" s="68"/>
      <c r="AY15" s="68"/>
      <c r="AZ15" s="69"/>
      <c r="BA15" s="70"/>
      <c r="BB15" s="71"/>
      <c r="BC15" s="72"/>
      <c r="BD15" s="73" t="str">
        <f aca="false">IF(AND(BB15&gt;=6,AP15&gt;=6,AJ15&gt;=6,AD15&gt;=6,X15&gt;=6),"да","нет")</f>
        <v>нет</v>
      </c>
      <c r="BE15" s="72"/>
      <c r="BF15" s="74"/>
      <c r="BG15" s="71"/>
      <c r="BH15" s="68"/>
      <c r="BI15" s="50"/>
      <c r="BJ15" s="75" t="n">
        <f aca="false">SUM(X15,AD15,AJ15,AP15,AV15,AX15:AY15,BH15,BB15,BG15)</f>
        <v>0</v>
      </c>
      <c r="BK15" s="73" t="str">
        <f aca="false">IF(BJ15&gt;90,"A",IF(BJ15&gt;83,"B",IF(BJ15&gt;74,"C",IF(BJ15&gt;67,"D",IF(BJ15&gt;=60,"E","FX")))))</f>
        <v>FX</v>
      </c>
    </row>
    <row r="16" customFormat="false" ht="15.75" hidden="false" customHeight="false" outlineLevel="0" collapsed="false">
      <c r="A16" s="180" t="n">
        <f aca="false">A15+1</f>
        <v>14</v>
      </c>
      <c r="B16" s="183" t="s">
        <v>1118</v>
      </c>
      <c r="C16" s="61" t="s">
        <v>39</v>
      </c>
      <c r="D16" s="182" t="s">
        <v>1119</v>
      </c>
      <c r="E16" s="62"/>
      <c r="F16" s="63" t="s">
        <v>735</v>
      </c>
      <c r="G16" s="63" t="s">
        <v>735</v>
      </c>
      <c r="H16" s="63" t="s">
        <v>735</v>
      </c>
      <c r="I16" s="63" t="s">
        <v>735</v>
      </c>
      <c r="J16" s="63" t="s">
        <v>735</v>
      </c>
      <c r="K16" s="63" t="s">
        <v>735</v>
      </c>
      <c r="L16" s="63"/>
      <c r="M16" s="63"/>
      <c r="N16" s="64"/>
      <c r="O16" s="64"/>
      <c r="P16" s="64"/>
      <c r="Q16" s="64"/>
      <c r="R16" s="64"/>
      <c r="S16" s="65"/>
      <c r="T16" s="66" t="s">
        <v>1120</v>
      </c>
      <c r="U16" s="67"/>
      <c r="V16" s="67"/>
      <c r="W16" s="67"/>
      <c r="X16" s="68"/>
      <c r="Y16" s="69"/>
      <c r="Z16" s="70"/>
      <c r="AA16" s="67"/>
      <c r="AB16" s="67"/>
      <c r="AC16" s="67"/>
      <c r="AD16" s="68"/>
      <c r="AE16" s="69"/>
      <c r="AF16" s="70"/>
      <c r="AG16" s="70"/>
      <c r="AH16" s="70"/>
      <c r="AI16" s="70"/>
      <c r="AJ16" s="68"/>
      <c r="AK16" s="69"/>
      <c r="AL16" s="70"/>
      <c r="AM16" s="70"/>
      <c r="AN16" s="70"/>
      <c r="AO16" s="70"/>
      <c r="AP16" s="68"/>
      <c r="AQ16" s="69"/>
      <c r="AR16" s="70" t="s">
        <v>737</v>
      </c>
      <c r="AS16" s="70" t="s">
        <v>737</v>
      </c>
      <c r="AT16" s="70" t="s">
        <v>737</v>
      </c>
      <c r="AU16" s="70" t="s">
        <v>737</v>
      </c>
      <c r="AV16" s="68" t="n">
        <v>0</v>
      </c>
      <c r="AW16" s="69"/>
      <c r="AX16" s="68"/>
      <c r="AY16" s="68"/>
      <c r="AZ16" s="69"/>
      <c r="BA16" s="70"/>
      <c r="BB16" s="71"/>
      <c r="BC16" s="72"/>
      <c r="BD16" s="73" t="str">
        <f aca="false">IF(AND(BB16&gt;=6,AP16&gt;=6,AJ16&gt;=6,AD16&gt;=6,X16&gt;=6),"да","нет")</f>
        <v>нет</v>
      </c>
      <c r="BE16" s="72"/>
      <c r="BF16" s="74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180" t="n">
        <f aca="false">A16+1</f>
        <v>15</v>
      </c>
      <c r="B17" s="181" t="s">
        <v>165</v>
      </c>
      <c r="C17" s="61" t="s">
        <v>39</v>
      </c>
      <c r="D17" s="182" t="s">
        <v>164</v>
      </c>
      <c r="E17" s="62"/>
      <c r="F17" s="63" t="s">
        <v>696</v>
      </c>
      <c r="G17" s="63" t="s">
        <v>735</v>
      </c>
      <c r="H17" s="63" t="s">
        <v>735</v>
      </c>
      <c r="I17" s="63" t="s">
        <v>734</v>
      </c>
      <c r="J17" s="63" t="s">
        <v>734</v>
      </c>
      <c r="K17" s="63" t="s">
        <v>735</v>
      </c>
      <c r="L17" s="63"/>
      <c r="M17" s="63" t="s">
        <v>696</v>
      </c>
      <c r="N17" s="64"/>
      <c r="O17" s="64"/>
      <c r="P17" s="64"/>
      <c r="Q17" s="64"/>
      <c r="R17" s="64"/>
      <c r="S17" s="65"/>
      <c r="T17" s="66" t="s">
        <v>1121</v>
      </c>
      <c r="U17" s="67" t="n">
        <v>45748</v>
      </c>
      <c r="V17" s="67" t="n">
        <v>45748</v>
      </c>
      <c r="W17" s="67" t="n">
        <v>45748</v>
      </c>
      <c r="X17" s="68" t="n">
        <v>9.5</v>
      </c>
      <c r="Y17" s="69"/>
      <c r="Z17" s="70" t="n">
        <v>7644</v>
      </c>
      <c r="AA17" s="67" t="n">
        <v>45804</v>
      </c>
      <c r="AB17" s="67" t="n">
        <v>45804</v>
      </c>
      <c r="AC17" s="67" t="n">
        <v>45804</v>
      </c>
      <c r="AD17" s="68" t="n">
        <v>10</v>
      </c>
      <c r="AE17" s="69"/>
      <c r="AF17" s="70" t="n">
        <v>2175</v>
      </c>
      <c r="AG17" s="70"/>
      <c r="AH17" s="70"/>
      <c r="AI17" s="70"/>
      <c r="AJ17" s="68"/>
      <c r="AK17" s="69"/>
      <c r="AL17" s="70"/>
      <c r="AM17" s="70"/>
      <c r="AN17" s="70"/>
      <c r="AO17" s="70"/>
      <c r="AP17" s="68"/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68" t="n">
        <v>0</v>
      </c>
      <c r="AW17" s="69"/>
      <c r="AX17" s="68"/>
      <c r="AY17" s="68"/>
      <c r="AZ17" s="69"/>
      <c r="BA17" s="106" t="n">
        <v>45792</v>
      </c>
      <c r="BB17" s="71" t="n">
        <v>0</v>
      </c>
      <c r="BC17" s="72"/>
      <c r="BD17" s="73" t="str">
        <f aca="false">IF(AND(BB17&gt;=6,AP17&gt;=6,AJ17&gt;=6,AD17&gt;=6,X17&gt;=6),"да","нет")</f>
        <v>нет</v>
      </c>
      <c r="BE17" s="72"/>
      <c r="BF17" s="74"/>
      <c r="BG17" s="71"/>
      <c r="BH17" s="68"/>
      <c r="BI17" s="50"/>
      <c r="BJ17" s="75" t="n">
        <f aca="false">SUM(X17,AD17,AJ17,AP17,AV17,AX17:AY17,BH17,BB17,BG17)</f>
        <v>19.5</v>
      </c>
      <c r="BK17" s="73" t="str">
        <f aca="false">IF(BJ17&gt;90,"A",IF(BJ17&gt;83,"B",IF(BJ17&gt;74,"C",IF(BJ17&gt;67,"D",IF(BJ17&gt;=60,"E","FX")))))</f>
        <v>FX</v>
      </c>
    </row>
    <row r="18" customFormat="false" ht="15.75" hidden="false" customHeight="false" outlineLevel="0" collapsed="false">
      <c r="A18" s="184" t="n">
        <f aca="false">A17+1</f>
        <v>16</v>
      </c>
      <c r="B18" s="60" t="s">
        <v>1122</v>
      </c>
      <c r="C18" s="61" t="s">
        <v>39</v>
      </c>
      <c r="D18" s="186" t="s">
        <v>1123</v>
      </c>
      <c r="E18" s="62"/>
      <c r="F18" s="63" t="s">
        <v>735</v>
      </c>
      <c r="G18" s="63" t="s">
        <v>735</v>
      </c>
      <c r="H18" s="63" t="s">
        <v>735</v>
      </c>
      <c r="I18" s="63" t="s">
        <v>735</v>
      </c>
      <c r="J18" s="63" t="s">
        <v>735</v>
      </c>
      <c r="K18" s="63" t="s">
        <v>735</v>
      </c>
      <c r="L18" s="63" t="s">
        <v>735</v>
      </c>
      <c r="M18" s="63" t="s">
        <v>735</v>
      </c>
      <c r="N18" s="64"/>
      <c r="O18" s="64"/>
      <c r="P18" s="64"/>
      <c r="Q18" s="64"/>
      <c r="R18" s="64"/>
      <c r="S18" s="65"/>
      <c r="T18" s="66"/>
      <c r="U18" s="67"/>
      <c r="V18" s="67"/>
      <c r="W18" s="67"/>
      <c r="X18" s="68"/>
      <c r="Y18" s="69"/>
      <c r="Z18" s="70"/>
      <c r="AA18" s="67"/>
      <c r="AB18" s="67"/>
      <c r="AC18" s="67"/>
      <c r="AD18" s="68"/>
      <c r="AE18" s="69"/>
      <c r="AF18" s="70"/>
      <c r="AG18" s="70"/>
      <c r="AH18" s="70"/>
      <c r="AI18" s="70"/>
      <c r="AJ18" s="68"/>
      <c r="AK18" s="69"/>
      <c r="AL18" s="70"/>
      <c r="AM18" s="70"/>
      <c r="AN18" s="70"/>
      <c r="AO18" s="70"/>
      <c r="AP18" s="68"/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 t="n">
        <v>0</v>
      </c>
      <c r="AY18" s="68"/>
      <c r="AZ18" s="69"/>
      <c r="BA18" s="70"/>
      <c r="BB18" s="71"/>
      <c r="BC18" s="72"/>
      <c r="BD18" s="73" t="str">
        <f aca="false">IF(AND(BB18&gt;=6,AP18&gt;=6,AJ18&gt;=6,AD18&gt;=6,X18&gt;=6),"да","нет")</f>
        <v>нет</v>
      </c>
      <c r="BE18" s="72"/>
      <c r="BF18" s="74"/>
      <c r="BG18" s="71"/>
      <c r="BH18" s="68"/>
      <c r="BI18" s="50"/>
      <c r="BJ18" s="75" t="n">
        <f aca="false">SUM(X18,AD18,AJ18,AP18,AV18,AX18:AY18,BH18,BB18,BG18)</f>
        <v>0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180" t="n">
        <f aca="false">A18+1</f>
        <v>17</v>
      </c>
      <c r="B19" s="60" t="s">
        <v>38</v>
      </c>
      <c r="C19" s="61" t="s">
        <v>39</v>
      </c>
      <c r="D19" s="186" t="s">
        <v>37</v>
      </c>
      <c r="E19" s="62"/>
      <c r="F19" s="63" t="s">
        <v>696</v>
      </c>
      <c r="G19" s="63" t="s">
        <v>696</v>
      </c>
      <c r="H19" s="63" t="s">
        <v>734</v>
      </c>
      <c r="I19" s="63" t="s">
        <v>735</v>
      </c>
      <c r="J19" s="63" t="s">
        <v>735</v>
      </c>
      <c r="K19" s="63" t="s">
        <v>696</v>
      </c>
      <c r="L19" s="63" t="s">
        <v>696</v>
      </c>
      <c r="M19" s="63" t="s">
        <v>696</v>
      </c>
      <c r="N19" s="64"/>
      <c r="O19" s="64"/>
      <c r="P19" s="64"/>
      <c r="Q19" s="64"/>
      <c r="R19" s="64"/>
      <c r="S19" s="65"/>
      <c r="T19" s="66" t="s">
        <v>1124</v>
      </c>
      <c r="U19" s="67" t="n">
        <v>45734</v>
      </c>
      <c r="V19" s="67" t="n">
        <v>45734</v>
      </c>
      <c r="W19" s="67" t="n">
        <v>45734</v>
      </c>
      <c r="X19" s="187" t="n">
        <v>10</v>
      </c>
      <c r="Y19" s="69"/>
      <c r="Z19" s="70" t="n">
        <v>6580</v>
      </c>
      <c r="AA19" s="67" t="n">
        <v>45776</v>
      </c>
      <c r="AB19" s="67" t="n">
        <v>45776</v>
      </c>
      <c r="AC19" s="67" t="n">
        <v>45776</v>
      </c>
      <c r="AD19" s="70" t="n">
        <v>9.5</v>
      </c>
      <c r="AE19" s="69"/>
      <c r="AF19" s="70" t="n">
        <v>6473</v>
      </c>
      <c r="AG19" s="106" t="n">
        <v>45790</v>
      </c>
      <c r="AH19" s="106" t="n">
        <v>45790</v>
      </c>
      <c r="AI19" s="106" t="n">
        <v>45790</v>
      </c>
      <c r="AJ19" s="68" t="n">
        <v>9.5</v>
      </c>
      <c r="AK19" s="69"/>
      <c r="AL19" s="70" t="n">
        <v>7438</v>
      </c>
      <c r="AM19" s="106" t="n">
        <v>45804</v>
      </c>
      <c r="AN19" s="106" t="n">
        <v>45804</v>
      </c>
      <c r="AO19" s="106" t="n">
        <v>45804</v>
      </c>
      <c r="AP19" s="68" t="n">
        <v>10</v>
      </c>
      <c r="AQ19" s="69"/>
      <c r="AR19" s="70" t="n">
        <v>3245</v>
      </c>
      <c r="AS19" s="70" t="s">
        <v>737</v>
      </c>
      <c r="AT19" s="70" t="s">
        <v>737</v>
      </c>
      <c r="AU19" s="70" t="s">
        <v>737</v>
      </c>
      <c r="AV19" s="68" t="n">
        <v>0</v>
      </c>
      <c r="AW19" s="69"/>
      <c r="AX19" s="68" t="n">
        <v>0</v>
      </c>
      <c r="AY19" s="68"/>
      <c r="AZ19" s="69"/>
      <c r="BA19" s="106" t="n">
        <v>45827</v>
      </c>
      <c r="BB19" s="71" t="n">
        <v>7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45836</v>
      </c>
      <c r="BG19" s="71" t="n">
        <v>29</v>
      </c>
      <c r="BH19" s="68"/>
      <c r="BI19" s="50"/>
      <c r="BJ19" s="188" t="n">
        <f aca="false">SUM(X19,AD19,AJ19,AP19,AV19,AX19:AY19,BH19,BB19,BG19)</f>
        <v>75</v>
      </c>
      <c r="BK19" s="73" t="str">
        <f aca="false">IF(BJ19&gt;90,"A",IF(BJ19&gt;83,"B",IF(BJ19&gt;74,"C",IF(BJ19&gt;67,"D",IF(BJ19&gt;=60,"E","FX")))))</f>
        <v>C</v>
      </c>
    </row>
    <row r="20" customFormat="false" ht="15.75" hidden="false" customHeight="false" outlineLevel="0" collapsed="false">
      <c r="A20" s="184" t="n">
        <f aca="false">A19+1</f>
        <v>18</v>
      </c>
      <c r="B20" s="60" t="s">
        <v>67</v>
      </c>
      <c r="C20" s="61" t="s">
        <v>39</v>
      </c>
      <c r="D20" s="186" t="s">
        <v>66</v>
      </c>
      <c r="E20" s="62"/>
      <c r="F20" s="63" t="s">
        <v>696</v>
      </c>
      <c r="G20" s="63" t="s">
        <v>735</v>
      </c>
      <c r="H20" s="63" t="s">
        <v>735</v>
      </c>
      <c r="I20" s="63" t="s">
        <v>735</v>
      </c>
      <c r="J20" s="63" t="s">
        <v>735</v>
      </c>
      <c r="K20" s="63" t="s">
        <v>735</v>
      </c>
      <c r="L20" s="63" t="s">
        <v>735</v>
      </c>
      <c r="M20" s="63" t="s">
        <v>735</v>
      </c>
      <c r="N20" s="64"/>
      <c r="O20" s="64"/>
      <c r="P20" s="64"/>
      <c r="Q20" s="64"/>
      <c r="R20" s="64"/>
      <c r="S20" s="65"/>
      <c r="T20" s="66" t="s">
        <v>1125</v>
      </c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 t="s">
        <v>737</v>
      </c>
      <c r="AS20" s="70" t="s">
        <v>737</v>
      </c>
      <c r="AT20" s="70" t="s">
        <v>737</v>
      </c>
      <c r="AU20" s="70" t="s">
        <v>737</v>
      </c>
      <c r="AV20" s="68" t="n">
        <v>0</v>
      </c>
      <c r="AW20" s="69"/>
      <c r="AX20" s="68"/>
      <c r="AY20" s="68"/>
      <c r="AZ20" s="69"/>
      <c r="BA20" s="106"/>
      <c r="BB20" s="71"/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184" t="n">
        <f aca="false">A20+1</f>
        <v>19</v>
      </c>
      <c r="B21" s="60" t="s">
        <v>69</v>
      </c>
      <c r="C21" s="61" t="s">
        <v>39</v>
      </c>
      <c r="D21" s="186" t="s">
        <v>68</v>
      </c>
      <c r="E21" s="62"/>
      <c r="F21" s="63" t="s">
        <v>696</v>
      </c>
      <c r="G21" s="63" t="s">
        <v>734</v>
      </c>
      <c r="H21" s="63" t="s">
        <v>734</v>
      </c>
      <c r="I21" s="63" t="s">
        <v>735</v>
      </c>
      <c r="J21" s="63" t="s">
        <v>734</v>
      </c>
      <c r="K21" s="63" t="s">
        <v>735</v>
      </c>
      <c r="L21" s="63" t="s">
        <v>735</v>
      </c>
      <c r="M21" s="63" t="s">
        <v>734</v>
      </c>
      <c r="N21" s="64"/>
      <c r="O21" s="64"/>
      <c r="P21" s="64"/>
      <c r="Q21" s="64"/>
      <c r="R21" s="64"/>
      <c r="S21" s="65"/>
      <c r="T21" s="66" t="s">
        <v>1126</v>
      </c>
      <c r="U21" s="189" t="n">
        <v>45734</v>
      </c>
      <c r="V21" s="67" t="n">
        <f aca="false">U21</f>
        <v>45734</v>
      </c>
      <c r="W21" s="67" t="n">
        <f aca="false">V21</f>
        <v>45734</v>
      </c>
      <c r="X21" s="68" t="n">
        <v>8</v>
      </c>
      <c r="Y21" s="69"/>
      <c r="Z21" s="70" t="n">
        <v>12346</v>
      </c>
      <c r="AA21" s="106" t="n">
        <v>45776</v>
      </c>
      <c r="AB21" s="67" t="n">
        <f aca="false">AA21</f>
        <v>45776</v>
      </c>
      <c r="AC21" s="67" t="n">
        <f aca="false">AB21</f>
        <v>45776</v>
      </c>
      <c r="AD21" s="68" t="n">
        <v>10</v>
      </c>
      <c r="AE21" s="69"/>
      <c r="AF21" s="70" t="n">
        <v>1505</v>
      </c>
      <c r="AG21" s="106" t="n">
        <v>45804</v>
      </c>
      <c r="AH21" s="106" t="n">
        <v>45804</v>
      </c>
      <c r="AI21" s="106" t="n">
        <v>45804</v>
      </c>
      <c r="AJ21" s="68" t="n">
        <v>8</v>
      </c>
      <c r="AK21" s="69"/>
      <c r="AL21" s="70" t="n">
        <v>89298</v>
      </c>
      <c r="AM21" s="106" t="n">
        <v>45833</v>
      </c>
      <c r="AN21" s="106" t="n">
        <v>45833</v>
      </c>
      <c r="AO21" s="106" t="n">
        <v>45833</v>
      </c>
      <c r="AP21" s="68" t="n">
        <v>6</v>
      </c>
      <c r="AQ21" s="69"/>
      <c r="AR21" s="70" t="s">
        <v>737</v>
      </c>
      <c r="AS21" s="70" t="s">
        <v>737</v>
      </c>
      <c r="AT21" s="70" t="s">
        <v>737</v>
      </c>
      <c r="AU21" s="70" t="s">
        <v>737</v>
      </c>
      <c r="AV21" s="68" t="n">
        <v>0</v>
      </c>
      <c r="AW21" s="69"/>
      <c r="AX21" s="68"/>
      <c r="AY21" s="68"/>
      <c r="AZ21" s="69"/>
      <c r="BA21" s="106" t="n">
        <v>45799</v>
      </c>
      <c r="BB21" s="71" t="n">
        <v>7</v>
      </c>
      <c r="BC21" s="72"/>
      <c r="BD21" s="73" t="str">
        <f aca="false">IF(AND(BB21&gt;=6,AP21&gt;=6,AJ21&gt;=6,AD21&gt;=6,X21&gt;=6),"да","нет")</f>
        <v>да</v>
      </c>
      <c r="BE21" s="72"/>
      <c r="BF21" s="118" t="n">
        <v>45836</v>
      </c>
      <c r="BG21" s="71" t="n">
        <v>29</v>
      </c>
      <c r="BH21" s="68"/>
      <c r="BI21" s="50"/>
      <c r="BJ21" s="75" t="n">
        <f aca="false">SUM(X21,AD21,AJ21,AP21,AV21,AX21:AY21,BH21,BB21,BG21)</f>
        <v>68</v>
      </c>
      <c r="BK21" s="73" t="str">
        <f aca="false">IF(BJ21&gt;90,"A",IF(BJ21&gt;83,"B",IF(BJ21&gt;74,"C",IF(BJ21&gt;67,"D",IF(BJ21&gt;=60,"E","FX")))))</f>
        <v>D</v>
      </c>
    </row>
    <row r="22" customFormat="false" ht="15.75" hidden="false" customHeight="false" outlineLevel="0" collapsed="false">
      <c r="A22" s="184" t="n">
        <f aca="false">A21+1</f>
        <v>20</v>
      </c>
      <c r="B22" s="60" t="s">
        <v>77</v>
      </c>
      <c r="C22" s="61" t="s">
        <v>39</v>
      </c>
      <c r="D22" s="186" t="s">
        <v>76</v>
      </c>
      <c r="E22" s="62"/>
      <c r="F22" s="63" t="s">
        <v>696</v>
      </c>
      <c r="G22" s="63" t="s">
        <v>696</v>
      </c>
      <c r="H22" s="63" t="s">
        <v>734</v>
      </c>
      <c r="I22" s="63" t="s">
        <v>734</v>
      </c>
      <c r="J22" s="63" t="s">
        <v>738</v>
      </c>
      <c r="K22" s="63" t="s">
        <v>734</v>
      </c>
      <c r="L22" s="63" t="s">
        <v>738</v>
      </c>
      <c r="M22" s="63" t="s">
        <v>734</v>
      </c>
      <c r="N22" s="64"/>
      <c r="O22" s="64"/>
      <c r="P22" s="64"/>
      <c r="Q22" s="64"/>
      <c r="R22" s="64"/>
      <c r="S22" s="65"/>
      <c r="T22" s="66" t="s">
        <v>1127</v>
      </c>
      <c r="U22" s="67" t="n">
        <v>45762</v>
      </c>
      <c r="V22" s="67" t="n">
        <v>45762</v>
      </c>
      <c r="W22" s="67" t="n">
        <v>45776</v>
      </c>
      <c r="X22" s="68" t="n">
        <v>7</v>
      </c>
      <c r="Y22" s="69"/>
      <c r="Z22" s="70" t="n">
        <v>66655</v>
      </c>
      <c r="AA22" s="67" t="n">
        <v>45790</v>
      </c>
      <c r="AB22" s="67" t="n">
        <v>45790</v>
      </c>
      <c r="AC22" s="67" t="n">
        <v>45790</v>
      </c>
      <c r="AD22" s="68" t="n">
        <v>7.5</v>
      </c>
      <c r="AE22" s="69"/>
      <c r="AF22" s="70" t="n">
        <v>1884</v>
      </c>
      <c r="AG22" s="106" t="n">
        <v>45804</v>
      </c>
      <c r="AH22" s="106" t="n">
        <v>45804</v>
      </c>
      <c r="AI22" s="70"/>
      <c r="AJ22" s="68"/>
      <c r="AK22" s="69"/>
      <c r="AL22" s="70"/>
      <c r="AM22" s="70"/>
      <c r="AN22" s="70"/>
      <c r="AO22" s="70"/>
      <c r="AP22" s="68"/>
      <c r="AQ22" s="69"/>
      <c r="AR22" s="70" t="s">
        <v>737</v>
      </c>
      <c r="AS22" s="70" t="s">
        <v>737</v>
      </c>
      <c r="AT22" s="70" t="s">
        <v>737</v>
      </c>
      <c r="AU22" s="70" t="s">
        <v>737</v>
      </c>
      <c r="AV22" s="68" t="n">
        <v>0</v>
      </c>
      <c r="AW22" s="69"/>
      <c r="AX22" s="68"/>
      <c r="AY22" s="68"/>
      <c r="AZ22" s="69"/>
      <c r="BA22" s="106" t="n">
        <v>45799</v>
      </c>
      <c r="BB22" s="71" t="n">
        <v>7</v>
      </c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21.5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184" t="n">
        <f aca="false">A22+1</f>
        <v>21</v>
      </c>
      <c r="B23" s="60" t="s">
        <v>79</v>
      </c>
      <c r="C23" s="61" t="s">
        <v>39</v>
      </c>
      <c r="D23" s="186" t="s">
        <v>78</v>
      </c>
      <c r="E23" s="62"/>
      <c r="F23" s="63" t="s">
        <v>735</v>
      </c>
      <c r="G23" s="63" t="s">
        <v>696</v>
      </c>
      <c r="H23" s="63" t="s">
        <v>696</v>
      </c>
      <c r="I23" s="63" t="s">
        <v>739</v>
      </c>
      <c r="J23" s="63" t="s">
        <v>739</v>
      </c>
      <c r="K23" s="63" t="s">
        <v>734</v>
      </c>
      <c r="L23" s="63" t="s">
        <v>734</v>
      </c>
      <c r="M23" s="63" t="s">
        <v>735</v>
      </c>
      <c r="N23" s="64"/>
      <c r="O23" s="64"/>
      <c r="P23" s="64"/>
      <c r="Q23" s="64"/>
      <c r="R23" s="64"/>
      <c r="S23" s="65"/>
      <c r="T23" s="66" t="s">
        <v>1128</v>
      </c>
      <c r="U23" s="67" t="n">
        <v>45748</v>
      </c>
      <c r="V23" s="67" t="n">
        <v>45748</v>
      </c>
      <c r="W23" s="67" t="n">
        <v>45762</v>
      </c>
      <c r="X23" s="68" t="n">
        <v>7.5</v>
      </c>
      <c r="Y23" s="69"/>
      <c r="Z23" s="70" t="n">
        <v>55555</v>
      </c>
      <c r="AA23" s="67" t="n">
        <v>45776</v>
      </c>
      <c r="AB23" s="67" t="n">
        <v>45776</v>
      </c>
      <c r="AC23" s="67" t="n">
        <v>45804</v>
      </c>
      <c r="AD23" s="68" t="n">
        <v>9</v>
      </c>
      <c r="AE23" s="69"/>
      <c r="AF23" s="70" t="n">
        <v>1399</v>
      </c>
      <c r="AG23" s="106" t="n">
        <v>45791</v>
      </c>
      <c r="AH23" s="106" t="n">
        <v>45791</v>
      </c>
      <c r="AI23" s="106" t="n">
        <v>45823</v>
      </c>
      <c r="AJ23" s="68" t="n">
        <v>8</v>
      </c>
      <c r="AK23" s="69"/>
      <c r="AL23" s="70" t="n">
        <v>5298</v>
      </c>
      <c r="AM23" s="70"/>
      <c r="AN23" s="70"/>
      <c r="AO23" s="70"/>
      <c r="AP23" s="68"/>
      <c r="AQ23" s="69"/>
      <c r="AR23" s="70" t="s">
        <v>737</v>
      </c>
      <c r="AS23" s="70" t="s">
        <v>737</v>
      </c>
      <c r="AT23" s="70" t="s">
        <v>737</v>
      </c>
      <c r="AU23" s="70" t="s">
        <v>737</v>
      </c>
      <c r="AV23" s="68" t="n">
        <v>0</v>
      </c>
      <c r="AW23" s="69"/>
      <c r="AX23" s="68"/>
      <c r="AY23" s="68"/>
      <c r="AZ23" s="69"/>
      <c r="BA23" s="106" t="n">
        <v>45799</v>
      </c>
      <c r="BB23" s="71" t="n">
        <v>6</v>
      </c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30.5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184" t="n">
        <f aca="false">A23+1</f>
        <v>22</v>
      </c>
      <c r="B24" s="60" t="s">
        <v>97</v>
      </c>
      <c r="C24" s="61" t="s">
        <v>39</v>
      </c>
      <c r="D24" s="186" t="s">
        <v>96</v>
      </c>
      <c r="E24" s="62"/>
      <c r="F24" s="63" t="s">
        <v>696</v>
      </c>
      <c r="G24" s="63" t="s">
        <v>734</v>
      </c>
      <c r="H24" s="63" t="s">
        <v>734</v>
      </c>
      <c r="I24" s="63" t="s">
        <v>735</v>
      </c>
      <c r="J24" s="63" t="s">
        <v>696</v>
      </c>
      <c r="K24" s="63" t="s">
        <v>739</v>
      </c>
      <c r="L24" s="63" t="s">
        <v>734</v>
      </c>
      <c r="M24" s="63" t="s">
        <v>735</v>
      </c>
      <c r="N24" s="64"/>
      <c r="O24" s="64"/>
      <c r="P24" s="64"/>
      <c r="Q24" s="64"/>
      <c r="R24" s="64"/>
      <c r="S24" s="65"/>
      <c r="T24" s="66" t="s">
        <v>1129</v>
      </c>
      <c r="U24" s="123" t="n">
        <v>45719</v>
      </c>
      <c r="V24" s="123" t="n">
        <v>45719</v>
      </c>
      <c r="W24" s="123" t="n">
        <v>45719</v>
      </c>
      <c r="X24" s="68" t="n">
        <v>10</v>
      </c>
      <c r="Y24" s="69"/>
      <c r="Z24" s="70" t="s">
        <v>1130</v>
      </c>
      <c r="AA24" s="123" t="n">
        <v>45748</v>
      </c>
      <c r="AB24" s="123" t="n">
        <v>45748</v>
      </c>
      <c r="AC24" s="123" t="n">
        <v>45748</v>
      </c>
      <c r="AD24" s="68" t="n">
        <v>10</v>
      </c>
      <c r="AE24" s="69"/>
      <c r="AF24" s="70" t="n">
        <v>77777</v>
      </c>
      <c r="AG24" s="106" t="n">
        <v>45762</v>
      </c>
      <c r="AH24" s="106" t="n">
        <f aca="false">AG24</f>
        <v>45762</v>
      </c>
      <c r="AI24" s="106" t="n">
        <v>45762</v>
      </c>
      <c r="AJ24" s="68" t="n">
        <v>10</v>
      </c>
      <c r="AK24" s="69"/>
      <c r="AL24" s="70" t="n">
        <v>12345</v>
      </c>
      <c r="AM24" s="106" t="n">
        <v>45776</v>
      </c>
      <c r="AN24" s="106" t="n">
        <v>45776</v>
      </c>
      <c r="AO24" s="106" t="n">
        <v>45776</v>
      </c>
      <c r="AP24" s="68" t="n">
        <v>10</v>
      </c>
      <c r="AQ24" s="69"/>
      <c r="AR24" s="44" t="n">
        <v>26648</v>
      </c>
      <c r="AS24" s="106" t="n">
        <v>45790</v>
      </c>
      <c r="AT24" s="106" t="n">
        <v>45790</v>
      </c>
      <c r="AU24" s="106" t="n">
        <v>45790</v>
      </c>
      <c r="AV24" s="68" t="n">
        <v>10</v>
      </c>
      <c r="AW24" s="69"/>
      <c r="AX24" s="68" t="n">
        <v>0</v>
      </c>
      <c r="AY24" s="68" t="n">
        <v>1</v>
      </c>
      <c r="AZ24" s="69"/>
      <c r="BA24" s="106" t="n">
        <v>45799</v>
      </c>
      <c r="BB24" s="71" t="n">
        <v>7.5</v>
      </c>
      <c r="BC24" s="72"/>
      <c r="BD24" s="73" t="str">
        <f aca="false">IF(AND(BB24&gt;=6,AP24&gt;=6,AJ24&gt;=6,AD24&gt;=6,X24&gt;=6),"да","нет")</f>
        <v>да</v>
      </c>
      <c r="BE24" s="72"/>
      <c r="BF24" s="118" t="n">
        <v>45836</v>
      </c>
      <c r="BG24" s="71" t="n">
        <v>29</v>
      </c>
      <c r="BH24" s="68" t="n">
        <v>3</v>
      </c>
      <c r="BI24" s="50"/>
      <c r="BJ24" s="75" t="n">
        <f aca="false">SUM(X24,AD24,AJ24,AP24,AV24,AX24:AY24,BH24,BB24,BG24)</f>
        <v>90.5</v>
      </c>
      <c r="BK24" s="73" t="str">
        <f aca="false">IF(BJ24&gt;90,"A",IF(BJ24&gt;83,"B",IF(BJ24&gt;74,"C",IF(BJ24&gt;67,"D",IF(BJ24&gt;=60,"E","FX")))))</f>
        <v>A</v>
      </c>
    </row>
    <row r="25" customFormat="false" ht="15.75" hidden="false" customHeight="false" outlineLevel="0" collapsed="false">
      <c r="A25" s="184" t="n">
        <f aca="false">A24+1</f>
        <v>23</v>
      </c>
      <c r="B25" s="60" t="s">
        <v>99</v>
      </c>
      <c r="C25" s="61" t="s">
        <v>39</v>
      </c>
      <c r="D25" s="186" t="s">
        <v>98</v>
      </c>
      <c r="E25" s="62"/>
      <c r="F25" s="63" t="s">
        <v>696</v>
      </c>
      <c r="G25" s="63" t="s">
        <v>735</v>
      </c>
      <c r="H25" s="63" t="s">
        <v>696</v>
      </c>
      <c r="I25" s="63" t="s">
        <v>734</v>
      </c>
      <c r="J25" s="63" t="s">
        <v>734</v>
      </c>
      <c r="K25" s="63" t="s">
        <v>734</v>
      </c>
      <c r="L25" s="63" t="s">
        <v>734</v>
      </c>
      <c r="M25" s="63" t="s">
        <v>734</v>
      </c>
      <c r="N25" s="64"/>
      <c r="O25" s="64"/>
      <c r="P25" s="64"/>
      <c r="Q25" s="64"/>
      <c r="R25" s="64"/>
      <c r="S25" s="65"/>
      <c r="T25" s="66" t="s">
        <v>1131</v>
      </c>
      <c r="U25" s="106" t="n">
        <v>45762</v>
      </c>
      <c r="V25" s="106" t="n">
        <v>45762</v>
      </c>
      <c r="W25" s="106" t="n">
        <v>45790</v>
      </c>
      <c r="X25" s="68" t="n">
        <v>7</v>
      </c>
      <c r="Y25" s="69"/>
      <c r="Z25" s="44" t="n">
        <v>12351</v>
      </c>
      <c r="AA25" s="67" t="n">
        <v>45804</v>
      </c>
      <c r="AB25" s="67" t="n">
        <v>45804</v>
      </c>
      <c r="AC25" s="67" t="n">
        <f aca="false">AB25</f>
        <v>45804</v>
      </c>
      <c r="AD25" s="68" t="n">
        <v>8</v>
      </c>
      <c r="AE25" s="69"/>
      <c r="AF25" s="44" t="n">
        <v>31234</v>
      </c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 t="s">
        <v>737</v>
      </c>
      <c r="AS25" s="70" t="s">
        <v>737</v>
      </c>
      <c r="AT25" s="70" t="s">
        <v>737</v>
      </c>
      <c r="AU25" s="70" t="s">
        <v>737</v>
      </c>
      <c r="AV25" s="68" t="n">
        <v>0</v>
      </c>
      <c r="AW25" s="69"/>
      <c r="AX25" s="68" t="n">
        <v>1</v>
      </c>
      <c r="AY25" s="68"/>
      <c r="AZ25" s="69"/>
      <c r="BA25" s="106" t="n">
        <v>45799</v>
      </c>
      <c r="BB25" s="71" t="n">
        <v>0</v>
      </c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16</v>
      </c>
      <c r="BK25" s="73" t="str">
        <f aca="false">IF(BJ25&gt;90,"A",IF(BJ25&gt;83,"B",IF(BJ25&gt;74,"C",IF(BJ25&gt;67,"D",IF(BJ25&gt;=60,"E","FX")))))</f>
        <v>FX</v>
      </c>
    </row>
    <row r="26" customFormat="false" ht="15.75" hidden="false" customHeight="false" outlineLevel="0" collapsed="false">
      <c r="A26" s="184" t="n">
        <f aca="false">A25+1</f>
        <v>24</v>
      </c>
      <c r="B26" s="60" t="s">
        <v>1132</v>
      </c>
      <c r="C26" s="61" t="s">
        <v>39</v>
      </c>
      <c r="D26" s="186" t="s">
        <v>1133</v>
      </c>
      <c r="E26" s="62"/>
      <c r="F26" s="63" t="s">
        <v>696</v>
      </c>
      <c r="G26" s="63" t="s">
        <v>696</v>
      </c>
      <c r="H26" s="63" t="s">
        <v>696</v>
      </c>
      <c r="I26" s="63" t="s">
        <v>735</v>
      </c>
      <c r="J26" s="63" t="s">
        <v>735</v>
      </c>
      <c r="K26" s="63" t="s">
        <v>735</v>
      </c>
      <c r="L26" s="63" t="s">
        <v>735</v>
      </c>
      <c r="M26" s="63" t="s">
        <v>735</v>
      </c>
      <c r="N26" s="64"/>
      <c r="O26" s="64"/>
      <c r="P26" s="64"/>
      <c r="Q26" s="64"/>
      <c r="R26" s="64"/>
      <c r="S26" s="65"/>
      <c r="T26" s="66" t="s">
        <v>1134</v>
      </c>
      <c r="U26" s="70"/>
      <c r="V26" s="70"/>
      <c r="W26" s="70"/>
      <c r="X26" s="68"/>
      <c r="Y26" s="69"/>
      <c r="Z26" s="70"/>
      <c r="AA26" s="67"/>
      <c r="AB26" s="67"/>
      <c r="AC26" s="67"/>
      <c r="AD26" s="68"/>
      <c r="AE26" s="69"/>
      <c r="AF26" s="70"/>
      <c r="AG26" s="70"/>
      <c r="AH26" s="70"/>
      <c r="AI26" s="70"/>
      <c r="AJ26" s="68"/>
      <c r="AK26" s="69"/>
      <c r="AL26" s="70"/>
      <c r="AM26" s="70"/>
      <c r="AN26" s="70"/>
      <c r="AO26" s="70"/>
      <c r="AP26" s="68"/>
      <c r="AQ26" s="69"/>
      <c r="AR26" s="70" t="s">
        <v>737</v>
      </c>
      <c r="AS26" s="70" t="s">
        <v>737</v>
      </c>
      <c r="AT26" s="70" t="s">
        <v>737</v>
      </c>
      <c r="AU26" s="70" t="s">
        <v>737</v>
      </c>
      <c r="AV26" s="68" t="n">
        <v>0</v>
      </c>
      <c r="AW26" s="69"/>
      <c r="AX26" s="68"/>
      <c r="AY26" s="68"/>
      <c r="AZ26" s="69"/>
      <c r="BA26" s="106"/>
      <c r="BB26" s="71"/>
      <c r="BC26" s="72"/>
      <c r="BD26" s="73" t="str">
        <f aca="false">IF(AND(BB26&gt;=6,AP26&gt;=6,AJ26&gt;=6,AD26&gt;=6,X26&gt;=6),"да","нет")</f>
        <v>нет</v>
      </c>
      <c r="BE26" s="72"/>
      <c r="BF26" s="74"/>
      <c r="BG26" s="71"/>
      <c r="BH26" s="68"/>
      <c r="BI26" s="50"/>
      <c r="BJ26" s="75" t="n">
        <f aca="false">SUM(X26,AD26,AJ26,AP26,AV26,AX26:AY26,BH26,BB26,BG26)</f>
        <v>0</v>
      </c>
      <c r="BK26" s="73" t="str">
        <f aca="false">IF(BJ26&gt;90,"A",IF(BJ26&gt;83,"B",IF(BJ26&gt;74,"C",IF(BJ26&gt;67,"D",IF(BJ26&gt;=60,"E","FX")))))</f>
        <v>FX</v>
      </c>
    </row>
    <row r="27" customFormat="false" ht="15" hidden="false" customHeight="true" outlineLevel="0" collapsed="false">
      <c r="A27" s="184" t="n">
        <f aca="false">A26+1</f>
        <v>25</v>
      </c>
      <c r="B27" s="44" t="s">
        <v>117</v>
      </c>
      <c r="C27" s="61" t="s">
        <v>39</v>
      </c>
      <c r="D27" s="186" t="s">
        <v>116</v>
      </c>
      <c r="E27" s="62"/>
      <c r="F27" s="74" t="s">
        <v>696</v>
      </c>
      <c r="G27" s="63" t="s">
        <v>696</v>
      </c>
      <c r="H27" s="63" t="s">
        <v>734</v>
      </c>
      <c r="I27" s="63" t="s">
        <v>735</v>
      </c>
      <c r="J27" s="63" t="s">
        <v>734</v>
      </c>
      <c r="K27" s="63" t="s">
        <v>735</v>
      </c>
      <c r="L27" s="63" t="s">
        <v>734</v>
      </c>
      <c r="M27" s="63" t="s">
        <v>734</v>
      </c>
      <c r="N27" s="64"/>
      <c r="O27" s="64"/>
      <c r="P27" s="64"/>
      <c r="Q27" s="64"/>
      <c r="R27" s="64"/>
      <c r="S27" s="65"/>
      <c r="T27" s="44" t="n">
        <v>3138</v>
      </c>
      <c r="U27" s="190" t="n">
        <f aca="false">U28</f>
        <v>45734</v>
      </c>
      <c r="V27" s="190" t="n">
        <f aca="false">V28</f>
        <v>45734</v>
      </c>
      <c r="W27" s="190" t="n">
        <f aca="false">V27</f>
        <v>45734</v>
      </c>
      <c r="X27" s="44" t="n">
        <v>9</v>
      </c>
      <c r="Y27" s="69"/>
      <c r="Z27" s="44" t="n">
        <v>12350</v>
      </c>
      <c r="AA27" s="123" t="n">
        <v>45762</v>
      </c>
      <c r="AB27" s="123" t="n">
        <v>45762</v>
      </c>
      <c r="AC27" s="123" t="n">
        <v>45790</v>
      </c>
      <c r="AD27" s="44" t="n">
        <v>9</v>
      </c>
      <c r="AE27" s="69"/>
      <c r="AF27" s="44" t="n">
        <v>3125</v>
      </c>
      <c r="AG27" s="123" t="n">
        <v>45804</v>
      </c>
      <c r="AH27" s="123" t="n">
        <v>45804</v>
      </c>
      <c r="AI27" s="190" t="n">
        <f aca="false">AH27</f>
        <v>45804</v>
      </c>
      <c r="AJ27" s="44" t="n">
        <v>9</v>
      </c>
      <c r="AK27" s="69"/>
      <c r="AL27" s="44" t="n">
        <v>8392</v>
      </c>
      <c r="AM27" s="123" t="n">
        <v>45833</v>
      </c>
      <c r="AN27" s="190" t="n">
        <f aca="false">AM27</f>
        <v>45833</v>
      </c>
      <c r="AO27" s="190" t="n">
        <f aca="false">AN27</f>
        <v>45833</v>
      </c>
      <c r="AP27" s="44" t="n">
        <v>6.5</v>
      </c>
      <c r="AQ27" s="69"/>
      <c r="AR27" s="44" t="s">
        <v>737</v>
      </c>
      <c r="AS27" s="44" t="s">
        <v>737</v>
      </c>
      <c r="AT27" s="44" t="s">
        <v>737</v>
      </c>
      <c r="AU27" s="44" t="s">
        <v>737</v>
      </c>
      <c r="AV27" s="44" t="n">
        <v>0</v>
      </c>
      <c r="AW27" s="69"/>
      <c r="AX27" s="44" t="n">
        <v>0</v>
      </c>
      <c r="AY27" s="44" t="n">
        <v>2</v>
      </c>
      <c r="AZ27" s="69"/>
      <c r="BA27" s="106" t="n">
        <v>45799</v>
      </c>
      <c r="BB27" s="71" t="n">
        <v>7</v>
      </c>
      <c r="BC27" s="72"/>
      <c r="BD27" s="73" t="str">
        <f aca="false">IF(AND(BB27&gt;=6,AP27&gt;=6,AJ27&gt;=6,AD27&gt;=6,X27&gt;=6),"да","нет")</f>
        <v>да</v>
      </c>
      <c r="BE27" s="72"/>
      <c r="BF27" s="123" t="n">
        <v>45836</v>
      </c>
      <c r="BG27" s="44" t="n">
        <v>25</v>
      </c>
      <c r="BI27" s="50"/>
      <c r="BJ27" s="126" t="n">
        <f aca="false">SUM(X27,AD27,AJ27,AP27,AV27,AX27:AY27,BH27,BB27,BG27)</f>
        <v>67.5</v>
      </c>
      <c r="BK27" s="73" t="str">
        <f aca="false">IF(BJ27&gt;90,"A",IF(BJ27&gt;83,"B",IF(BJ27&gt;74,"C",IF(BJ27&gt;67,"D",IF(BJ27&gt;=60,"E","FX")))))</f>
        <v>D</v>
      </c>
    </row>
    <row r="28" customFormat="false" ht="15.75" hidden="false" customHeight="false" outlineLevel="0" collapsed="false">
      <c r="A28" s="184" t="n">
        <f aca="false">A27+1</f>
        <v>26</v>
      </c>
      <c r="B28" s="44" t="s">
        <v>129</v>
      </c>
      <c r="C28" s="61" t="s">
        <v>39</v>
      </c>
      <c r="D28" s="186" t="s">
        <v>128</v>
      </c>
      <c r="E28" s="62"/>
      <c r="F28" s="74" t="s">
        <v>696</v>
      </c>
      <c r="G28" s="63" t="s">
        <v>735</v>
      </c>
      <c r="H28" s="63" t="s">
        <v>696</v>
      </c>
      <c r="I28" s="63" t="s">
        <v>734</v>
      </c>
      <c r="J28" s="63" t="s">
        <v>739</v>
      </c>
      <c r="K28" s="63" t="s">
        <v>735</v>
      </c>
      <c r="L28" s="63" t="s">
        <v>739</v>
      </c>
      <c r="M28" s="63" t="s">
        <v>734</v>
      </c>
      <c r="N28" s="64"/>
      <c r="O28" s="64"/>
      <c r="P28" s="64"/>
      <c r="Q28" s="64"/>
      <c r="R28" s="64"/>
      <c r="S28" s="65"/>
      <c r="T28" s="44" t="n">
        <v>3139</v>
      </c>
      <c r="U28" s="190" t="n">
        <f aca="false">U29</f>
        <v>45734</v>
      </c>
      <c r="V28" s="190" t="n">
        <f aca="false">V29</f>
        <v>45734</v>
      </c>
      <c r="W28" s="123" t="n">
        <v>45748</v>
      </c>
      <c r="X28" s="44" t="n">
        <v>8.5</v>
      </c>
      <c r="Y28" s="69"/>
      <c r="Z28" s="44" t="n">
        <v>45678</v>
      </c>
      <c r="AA28" s="123" t="n">
        <v>45672</v>
      </c>
      <c r="AB28" s="123" t="n">
        <v>45762</v>
      </c>
      <c r="AC28" s="123" t="n">
        <v>45762</v>
      </c>
      <c r="AD28" s="44" t="n">
        <v>7.5</v>
      </c>
      <c r="AE28" s="69"/>
      <c r="AF28" s="44" t="n">
        <v>88888</v>
      </c>
      <c r="AG28" s="123" t="n">
        <v>45790</v>
      </c>
      <c r="AH28" s="123" t="n">
        <v>45790</v>
      </c>
      <c r="AI28" s="123" t="n">
        <v>45790</v>
      </c>
      <c r="AJ28" s="44" t="n">
        <v>8</v>
      </c>
      <c r="AK28" s="69"/>
      <c r="AL28" s="44" t="n">
        <v>1010</v>
      </c>
      <c r="AM28" s="123" t="n">
        <v>45804</v>
      </c>
      <c r="AN28" s="123" t="n">
        <v>45804</v>
      </c>
      <c r="AO28" s="123" t="n">
        <v>45833</v>
      </c>
      <c r="AP28" s="44" t="n">
        <v>8</v>
      </c>
      <c r="AQ28" s="69"/>
      <c r="AR28" s="44" t="s">
        <v>737</v>
      </c>
      <c r="AS28" s="44" t="s">
        <v>737</v>
      </c>
      <c r="AT28" s="44" t="s">
        <v>737</v>
      </c>
      <c r="AU28" s="44" t="s">
        <v>737</v>
      </c>
      <c r="AV28" s="44" t="n">
        <v>0</v>
      </c>
      <c r="AW28" s="69"/>
      <c r="AX28" s="44" t="n">
        <v>0</v>
      </c>
      <c r="AY28" s="44" t="n">
        <v>0</v>
      </c>
      <c r="AZ28" s="69"/>
      <c r="BA28" s="106" t="n">
        <v>45799</v>
      </c>
      <c r="BB28" s="71" t="n">
        <v>7</v>
      </c>
      <c r="BC28" s="72"/>
      <c r="BD28" s="73" t="str">
        <f aca="false">IF(AND(BB28&gt;=6,AP28&gt;=6,AJ28&gt;=6,AD28&gt;=6,X28&gt;=6),"да","нет")</f>
        <v>да</v>
      </c>
      <c r="BE28" s="72"/>
      <c r="BF28" s="123" t="n">
        <v>45836</v>
      </c>
      <c r="BG28" s="44" t="n">
        <v>29</v>
      </c>
      <c r="BI28" s="50"/>
      <c r="BJ28" s="126" t="n">
        <f aca="false">SUM(X28,AD28,AJ28,AP28,AV28,AX28:AY28,BH28,BB28,BG28)</f>
        <v>68</v>
      </c>
      <c r="BK28" s="73" t="str">
        <f aca="false">IF(BJ28&gt;90,"A",IF(BJ28&gt;83,"B",IF(BJ28&gt;74,"C",IF(BJ28&gt;67,"D",IF(BJ28&gt;=60,"E","FX")))))</f>
        <v>D</v>
      </c>
    </row>
    <row r="29" customFormat="false" ht="15.75" hidden="false" customHeight="false" outlineLevel="0" collapsed="false">
      <c r="A29" s="184" t="n">
        <f aca="false">A28+1</f>
        <v>27</v>
      </c>
      <c r="B29" s="44" t="s">
        <v>131</v>
      </c>
      <c r="C29" s="61" t="s">
        <v>39</v>
      </c>
      <c r="D29" s="186" t="s">
        <v>130</v>
      </c>
      <c r="E29" s="62"/>
      <c r="F29" s="74" t="s">
        <v>696</v>
      </c>
      <c r="G29" s="63" t="s">
        <v>734</v>
      </c>
      <c r="H29" s="63" t="s">
        <v>734</v>
      </c>
      <c r="I29" s="63" t="s">
        <v>735</v>
      </c>
      <c r="J29" s="63" t="s">
        <v>735</v>
      </c>
      <c r="K29" s="63" t="s">
        <v>735</v>
      </c>
      <c r="L29" s="63" t="s">
        <v>734</v>
      </c>
      <c r="M29" s="63" t="s">
        <v>734</v>
      </c>
      <c r="N29" s="64"/>
      <c r="O29" s="64"/>
      <c r="P29" s="64"/>
      <c r="Q29" s="64"/>
      <c r="R29" s="64"/>
      <c r="S29" s="65"/>
      <c r="T29" s="44" t="n">
        <v>3140</v>
      </c>
      <c r="U29" s="123" t="n">
        <v>45734</v>
      </c>
      <c r="V29" s="190" t="n">
        <f aca="false">U29</f>
        <v>45734</v>
      </c>
      <c r="W29" s="190" t="n">
        <f aca="false">V29</f>
        <v>45734</v>
      </c>
      <c r="X29" s="44" t="n">
        <v>9.5</v>
      </c>
      <c r="Y29" s="69"/>
      <c r="Z29" s="44" t="n">
        <v>12345</v>
      </c>
      <c r="AA29" s="123" t="n">
        <v>45790</v>
      </c>
      <c r="AB29" s="123" t="n">
        <v>45790</v>
      </c>
      <c r="AC29" s="123" t="n">
        <v>45790</v>
      </c>
      <c r="AD29" s="44" t="n">
        <v>7.5</v>
      </c>
      <c r="AE29" s="69"/>
      <c r="AF29" s="44" t="n">
        <v>1111</v>
      </c>
      <c r="AG29" s="123" t="n">
        <v>45804</v>
      </c>
      <c r="AH29" s="123" t="n">
        <v>45804</v>
      </c>
      <c r="AI29" s="123" t="n">
        <v>45804</v>
      </c>
      <c r="AJ29" s="44" t="n">
        <v>8</v>
      </c>
      <c r="AK29" s="69"/>
      <c r="AL29" s="44" t="n">
        <v>123456</v>
      </c>
      <c r="AM29" s="123" t="n">
        <v>45833</v>
      </c>
      <c r="AN29" s="190" t="n">
        <f aca="false">AM29</f>
        <v>45833</v>
      </c>
      <c r="AQ29" s="69"/>
      <c r="AR29" s="44" t="s">
        <v>737</v>
      </c>
      <c r="AS29" s="44" t="s">
        <v>737</v>
      </c>
      <c r="AT29" s="44" t="s">
        <v>737</v>
      </c>
      <c r="AU29" s="44" t="s">
        <v>737</v>
      </c>
      <c r="AV29" s="44" t="n">
        <v>0</v>
      </c>
      <c r="AW29" s="69"/>
      <c r="AX29" s="44" t="n">
        <v>0</v>
      </c>
      <c r="AY29" s="44" t="n">
        <v>0</v>
      </c>
      <c r="AZ29" s="69"/>
      <c r="BA29" s="106" t="n">
        <v>45799</v>
      </c>
      <c r="BB29" s="71" t="n">
        <v>0</v>
      </c>
      <c r="BC29" s="72"/>
      <c r="BD29" s="73" t="str">
        <f aca="false">IF(AND(BB29&gt;=6,AP29&gt;=6,AJ29&gt;=6,AD29&gt;=6,X29&gt;=6),"да","нет")</f>
        <v>нет</v>
      </c>
      <c r="BE29" s="72"/>
      <c r="BF29" s="123"/>
      <c r="BI29" s="50"/>
      <c r="BJ29" s="126" t="n">
        <f aca="false">SUM(X29,AD29,AJ29,AP29,AV29,AX29:AY29,BH29,BB29,BG29)</f>
        <v>25</v>
      </c>
      <c r="BK29" s="73" t="str">
        <f aca="false">IF(BJ29&gt;90,"A",IF(BJ29&gt;83,"B",IF(BJ29&gt;74,"C",IF(BJ29&gt;67,"D",IF(BJ29&gt;=60,"E","FX")))))</f>
        <v>FX</v>
      </c>
    </row>
    <row r="30" customFormat="false" ht="15.75" hidden="false" customHeight="false" outlineLevel="0" collapsed="false">
      <c r="A30" s="184" t="n">
        <f aca="false">A29+1</f>
        <v>28</v>
      </c>
      <c r="B30" s="44" t="s">
        <v>143</v>
      </c>
      <c r="C30" s="61" t="s">
        <v>39</v>
      </c>
      <c r="D30" s="186" t="s">
        <v>142</v>
      </c>
      <c r="E30" s="62"/>
      <c r="F30" s="74" t="s">
        <v>696</v>
      </c>
      <c r="G30" s="63" t="s">
        <v>734</v>
      </c>
      <c r="H30" s="63" t="s">
        <v>734</v>
      </c>
      <c r="I30" s="63" t="s">
        <v>734</v>
      </c>
      <c r="J30" s="63" t="s">
        <v>734</v>
      </c>
      <c r="K30" s="63" t="s">
        <v>735</v>
      </c>
      <c r="L30" s="63" t="s">
        <v>696</v>
      </c>
      <c r="M30" s="63" t="s">
        <v>735</v>
      </c>
      <c r="N30" s="64"/>
      <c r="O30" s="64"/>
      <c r="P30" s="64"/>
      <c r="Q30" s="64"/>
      <c r="R30" s="64"/>
      <c r="S30" s="65"/>
      <c r="T30" s="44" t="n">
        <v>4141</v>
      </c>
      <c r="U30" s="123" t="n">
        <v>45719</v>
      </c>
      <c r="V30" s="123" t="n">
        <v>45719</v>
      </c>
      <c r="W30" s="123" t="n">
        <v>45719</v>
      </c>
      <c r="X30" s="44" t="n">
        <v>10</v>
      </c>
      <c r="Y30" s="69"/>
      <c r="Z30" s="44" t="n">
        <v>8841</v>
      </c>
      <c r="AA30" s="190" t="n">
        <f aca="false">AA32</f>
        <v>45748</v>
      </c>
      <c r="AB30" s="190" t="n">
        <f aca="false">AA30</f>
        <v>45748</v>
      </c>
      <c r="AC30" s="190" t="n">
        <f aca="false">AB30</f>
        <v>45748</v>
      </c>
      <c r="AD30" s="44" t="n">
        <v>10</v>
      </c>
      <c r="AE30" s="69"/>
      <c r="AF30" s="44" t="n">
        <v>66666</v>
      </c>
      <c r="AG30" s="123" t="n">
        <v>45748</v>
      </c>
      <c r="AH30" s="190" t="n">
        <f aca="false">AG30</f>
        <v>45748</v>
      </c>
      <c r="AI30" s="190" t="n">
        <f aca="false">AH30</f>
        <v>45748</v>
      </c>
      <c r="AJ30" s="44" t="n">
        <v>10</v>
      </c>
      <c r="AK30" s="69"/>
      <c r="AL30" s="44" t="n">
        <v>88888</v>
      </c>
      <c r="AM30" s="123" t="n">
        <v>45762</v>
      </c>
      <c r="AN30" s="190" t="n">
        <f aca="false">AM30</f>
        <v>45762</v>
      </c>
      <c r="AO30" s="123" t="n">
        <v>45762</v>
      </c>
      <c r="AP30" s="44" t="n">
        <v>10</v>
      </c>
      <c r="AQ30" s="69"/>
      <c r="AR30" s="44" t="n">
        <v>26647</v>
      </c>
      <c r="AS30" s="123" t="n">
        <v>45790</v>
      </c>
      <c r="AT30" s="123" t="n">
        <v>45790</v>
      </c>
      <c r="AU30" s="123" t="n">
        <v>45790</v>
      </c>
      <c r="AV30" s="44" t="n">
        <v>10</v>
      </c>
      <c r="AW30" s="69"/>
      <c r="AX30" s="44" t="n">
        <v>1</v>
      </c>
      <c r="AZ30" s="69"/>
      <c r="BA30" s="106" t="n">
        <v>45799</v>
      </c>
      <c r="BB30" s="71" t="n">
        <v>7</v>
      </c>
      <c r="BC30" s="72"/>
      <c r="BD30" s="73" t="str">
        <f aca="false">IF(AND(BB30&gt;=6,AP30&gt;=6,AJ30&gt;=6,AD30&gt;=6,X30&gt;=6),"да","нет")</f>
        <v>да</v>
      </c>
      <c r="BE30" s="72"/>
      <c r="BF30" s="123" t="n">
        <v>45836</v>
      </c>
      <c r="BG30" s="44" t="n">
        <v>28</v>
      </c>
      <c r="BI30" s="50"/>
      <c r="BJ30" s="126" t="n">
        <f aca="false">SUM(X30,AD30,AJ30,AP30,AV30,AX30:AY30,BH30,BB30,BG30)</f>
        <v>86</v>
      </c>
      <c r="BK30" s="73" t="str">
        <f aca="false">IF(BJ30&gt;90,"A",IF(BJ30&gt;83,"B",IF(BJ30&gt;74,"C",IF(BJ30&gt;67,"D",IF(BJ30&gt;=60,"E","FX")))))</f>
        <v>B</v>
      </c>
    </row>
    <row r="31" customFormat="false" ht="15.75" hidden="false" customHeight="false" outlineLevel="0" collapsed="false">
      <c r="A31" s="184" t="n">
        <f aca="false">A30+1</f>
        <v>29</v>
      </c>
      <c r="B31" s="44" t="s">
        <v>149</v>
      </c>
      <c r="C31" s="61" t="s">
        <v>39</v>
      </c>
      <c r="D31" s="186" t="s">
        <v>148</v>
      </c>
      <c r="E31" s="62"/>
      <c r="F31" s="74" t="s">
        <v>696</v>
      </c>
      <c r="G31" s="63" t="s">
        <v>734</v>
      </c>
      <c r="H31" s="63" t="s">
        <v>734</v>
      </c>
      <c r="I31" s="63" t="s">
        <v>696</v>
      </c>
      <c r="J31" s="63" t="s">
        <v>734</v>
      </c>
      <c r="K31" s="63" t="s">
        <v>735</v>
      </c>
      <c r="L31" s="63" t="s">
        <v>734</v>
      </c>
      <c r="M31" s="63" t="s">
        <v>739</v>
      </c>
      <c r="N31" s="64"/>
      <c r="O31" s="64"/>
      <c r="P31" s="64"/>
      <c r="Q31" s="64"/>
      <c r="R31" s="64"/>
      <c r="S31" s="65"/>
      <c r="T31" s="44" t="n">
        <v>4142</v>
      </c>
      <c r="U31" s="123" t="n">
        <f aca="false">U30</f>
        <v>45719</v>
      </c>
      <c r="V31" s="190" t="n">
        <f aca="false">V30</f>
        <v>45719</v>
      </c>
      <c r="W31" s="190" t="n">
        <f aca="false">W30</f>
        <v>45719</v>
      </c>
      <c r="X31" s="44" t="n">
        <v>10</v>
      </c>
      <c r="Y31" s="69"/>
      <c r="Z31" s="70" t="s">
        <v>1135</v>
      </c>
      <c r="AA31" s="123" t="n">
        <v>45748</v>
      </c>
      <c r="AB31" s="123" t="n">
        <v>45748</v>
      </c>
      <c r="AC31" s="123" t="n">
        <v>45748</v>
      </c>
      <c r="AD31" s="44" t="n">
        <v>10</v>
      </c>
      <c r="AE31" s="69"/>
      <c r="AF31" s="44" t="n">
        <v>55555</v>
      </c>
      <c r="AG31" s="190" t="n">
        <f aca="false">AG30</f>
        <v>45748</v>
      </c>
      <c r="AH31" s="190" t="n">
        <f aca="false">AH30</f>
        <v>45748</v>
      </c>
      <c r="AI31" s="190" t="n">
        <f aca="false">AH31</f>
        <v>45748</v>
      </c>
      <c r="AJ31" s="44" t="n">
        <v>10</v>
      </c>
      <c r="AK31" s="69"/>
      <c r="AL31" s="44" t="n">
        <v>77777</v>
      </c>
      <c r="AM31" s="123" t="n">
        <v>45762</v>
      </c>
      <c r="AN31" s="190" t="n">
        <f aca="false">AM31</f>
        <v>45762</v>
      </c>
      <c r="AO31" s="123" t="n">
        <v>45790</v>
      </c>
      <c r="AP31" s="44" t="n">
        <v>10</v>
      </c>
      <c r="AQ31" s="69"/>
      <c r="AR31" s="44" t="n">
        <v>26649</v>
      </c>
      <c r="AS31" s="123" t="n">
        <v>45790</v>
      </c>
      <c r="AT31" s="123" t="n">
        <v>45804</v>
      </c>
      <c r="AU31" s="123" t="n">
        <v>45804</v>
      </c>
      <c r="AV31" s="44" t="n">
        <v>10</v>
      </c>
      <c r="AW31" s="69"/>
      <c r="AX31" s="44" t="n">
        <v>2</v>
      </c>
      <c r="AY31" s="44" t="n">
        <v>1</v>
      </c>
      <c r="AZ31" s="69"/>
      <c r="BA31" s="106" t="n">
        <v>45799</v>
      </c>
      <c r="BB31" s="71" t="n">
        <v>8</v>
      </c>
      <c r="BC31" s="72"/>
      <c r="BD31" s="73" t="str">
        <f aca="false">IF(AND(BB31&gt;=6,AP31&gt;=6,AJ31&gt;=6,AD31&gt;=6,X31&gt;=6),"да","нет")</f>
        <v>да</v>
      </c>
      <c r="BE31" s="72"/>
      <c r="BF31" s="123" t="n">
        <v>45836</v>
      </c>
      <c r="BG31" s="44" t="n">
        <v>27</v>
      </c>
      <c r="BH31" s="44" t="n">
        <v>3</v>
      </c>
      <c r="BI31" s="50"/>
      <c r="BJ31" s="126" t="n">
        <f aca="false">SUM(X31,AD31,AJ31,AP31,AV31,AX31:AY31,BH31,BB31,BG31)</f>
        <v>91</v>
      </c>
      <c r="BK31" s="73" t="str">
        <f aca="false">IF(BJ31&gt;90,"A",IF(BJ31&gt;83,"B",IF(BJ31&gt;74,"C",IF(BJ31&gt;67,"D",IF(BJ31&gt;=60,"E","FX")))))</f>
        <v>A</v>
      </c>
    </row>
    <row r="32" customFormat="false" ht="15.75" hidden="false" customHeight="false" outlineLevel="0" collapsed="false">
      <c r="A32" s="184" t="n">
        <f aca="false">A31+1</f>
        <v>30</v>
      </c>
      <c r="B32" s="44" t="s">
        <v>1136</v>
      </c>
      <c r="C32" s="61" t="s">
        <v>39</v>
      </c>
      <c r="D32" s="186" t="s">
        <v>152</v>
      </c>
      <c r="E32" s="62"/>
      <c r="F32" s="74" t="s">
        <v>696</v>
      </c>
      <c r="G32" s="63" t="s">
        <v>734</v>
      </c>
      <c r="H32" s="63" t="s">
        <v>734</v>
      </c>
      <c r="I32" s="63" t="s">
        <v>734</v>
      </c>
      <c r="J32" s="63" t="s">
        <v>735</v>
      </c>
      <c r="K32" s="63" t="s">
        <v>696</v>
      </c>
      <c r="L32" s="63" t="s">
        <v>696</v>
      </c>
      <c r="M32" s="63" t="s">
        <v>734</v>
      </c>
      <c r="N32" s="64"/>
      <c r="O32" s="64"/>
      <c r="P32" s="64"/>
      <c r="Q32" s="64"/>
      <c r="R32" s="64"/>
      <c r="S32" s="65"/>
      <c r="T32" s="44" t="n">
        <v>4143</v>
      </c>
      <c r="U32" s="190" t="n">
        <f aca="false">U33</f>
        <v>45734</v>
      </c>
      <c r="V32" s="190" t="n">
        <f aca="false">U32</f>
        <v>45734</v>
      </c>
      <c r="W32" s="190" t="n">
        <f aca="false">V32</f>
        <v>45734</v>
      </c>
      <c r="X32" s="44" t="n">
        <v>9.5</v>
      </c>
      <c r="Y32" s="69"/>
      <c r="Z32" s="44" t="n">
        <v>12348</v>
      </c>
      <c r="AA32" s="123" t="n">
        <v>45748</v>
      </c>
      <c r="AB32" s="190" t="n">
        <f aca="false">AA32</f>
        <v>45748</v>
      </c>
      <c r="AC32" s="123" t="n">
        <v>45748</v>
      </c>
      <c r="AD32" s="44" t="n">
        <v>9</v>
      </c>
      <c r="AE32" s="69"/>
      <c r="AF32" s="44" t="n">
        <v>12345</v>
      </c>
      <c r="AG32" s="123" t="n">
        <v>45776</v>
      </c>
      <c r="AH32" s="123" t="n">
        <v>45776</v>
      </c>
      <c r="AI32" s="123" t="n">
        <v>45790</v>
      </c>
      <c r="AJ32" s="44" t="n">
        <v>9.5</v>
      </c>
      <c r="AK32" s="69"/>
      <c r="AL32" s="44" t="n">
        <v>99999</v>
      </c>
      <c r="AM32" s="123" t="n">
        <v>45804</v>
      </c>
      <c r="AN32" s="123" t="n">
        <v>45804</v>
      </c>
      <c r="AO32" s="123" t="n">
        <v>45833</v>
      </c>
      <c r="AP32" s="44" t="n">
        <v>7</v>
      </c>
      <c r="AQ32" s="69"/>
      <c r="AR32" s="44" t="s">
        <v>737</v>
      </c>
      <c r="AS32" s="44" t="s">
        <v>737</v>
      </c>
      <c r="AT32" s="44" t="s">
        <v>737</v>
      </c>
      <c r="AU32" s="44" t="s">
        <v>737</v>
      </c>
      <c r="AV32" s="44" t="n">
        <v>0</v>
      </c>
      <c r="AW32" s="69"/>
      <c r="AZ32" s="69"/>
      <c r="BA32" s="106" t="n">
        <v>45799</v>
      </c>
      <c r="BB32" s="71" t="n">
        <v>0</v>
      </c>
      <c r="BC32" s="72"/>
      <c r="BD32" s="73" t="str">
        <f aca="false">IF(AND(BB32&gt;=6,AP32&gt;=6,AJ32&gt;=6,AD32&gt;=6,X32&gt;=6),"да","нет")</f>
        <v>нет</v>
      </c>
      <c r="BE32" s="72"/>
      <c r="BF32" s="123"/>
      <c r="BI32" s="50"/>
      <c r="BJ32" s="126" t="n">
        <f aca="false">SUM(X32,AD32,AJ32,AP32,AV32,AX32:AY32,BH32,BB32,BG32)</f>
        <v>35</v>
      </c>
      <c r="BK32" s="73" t="str">
        <f aca="false">IF(BJ32&gt;90,"A",IF(BJ32&gt;83,"B",IF(BJ32&gt;74,"C",IF(BJ32&gt;67,"D",IF(BJ32&gt;=60,"E","FX")))))</f>
        <v>FX</v>
      </c>
    </row>
    <row r="33" customFormat="false" ht="15.75" hidden="false" customHeight="false" outlineLevel="0" collapsed="false">
      <c r="A33" s="184" t="n">
        <f aca="false">A32+1</f>
        <v>31</v>
      </c>
      <c r="B33" s="44" t="s">
        <v>155</v>
      </c>
      <c r="C33" s="61" t="s">
        <v>39</v>
      </c>
      <c r="D33" s="186" t="s">
        <v>154</v>
      </c>
      <c r="E33" s="62"/>
      <c r="F33" s="74" t="s">
        <v>696</v>
      </c>
      <c r="G33" s="63" t="s">
        <v>734</v>
      </c>
      <c r="H33" s="63" t="s">
        <v>734</v>
      </c>
      <c r="I33" s="63" t="s">
        <v>696</v>
      </c>
      <c r="J33" s="63" t="s">
        <v>734</v>
      </c>
      <c r="K33" s="63" t="s">
        <v>696</v>
      </c>
      <c r="L33" s="63" t="s">
        <v>734</v>
      </c>
      <c r="M33" s="63" t="s">
        <v>696</v>
      </c>
      <c r="N33" s="64"/>
      <c r="O33" s="64"/>
      <c r="P33" s="64"/>
      <c r="Q33" s="64"/>
      <c r="R33" s="64"/>
      <c r="S33" s="65"/>
      <c r="T33" s="44" t="n">
        <v>4144</v>
      </c>
      <c r="U33" s="123" t="n">
        <v>45734</v>
      </c>
      <c r="V33" s="190" t="n">
        <f aca="false">U33</f>
        <v>45734</v>
      </c>
      <c r="W33" s="190" t="n">
        <f aca="false">V33</f>
        <v>45734</v>
      </c>
      <c r="X33" s="44" t="n">
        <v>10</v>
      </c>
      <c r="Y33" s="69"/>
      <c r="Z33" s="44" t="n">
        <v>12347</v>
      </c>
      <c r="AA33" s="123" t="n">
        <v>45762</v>
      </c>
      <c r="AB33" s="123" t="n">
        <v>45762</v>
      </c>
      <c r="AC33" s="123" t="n">
        <v>45790</v>
      </c>
      <c r="AD33" s="44" t="n">
        <v>8</v>
      </c>
      <c r="AE33" s="69"/>
      <c r="AF33" s="44" t="n">
        <v>45678</v>
      </c>
      <c r="AG33" s="123" t="n">
        <v>45790</v>
      </c>
      <c r="AH33" s="190" t="n">
        <f aca="false">AG33</f>
        <v>45790</v>
      </c>
      <c r="AI33" s="123" t="n">
        <v>45804</v>
      </c>
      <c r="AJ33" s="44" t="n">
        <v>9</v>
      </c>
      <c r="AK33" s="69"/>
      <c r="AL33" s="44" t="n">
        <v>8814</v>
      </c>
      <c r="AM33" s="123" t="n">
        <v>45833</v>
      </c>
      <c r="AN33" s="123" t="n">
        <v>45833</v>
      </c>
      <c r="AO33" s="123" t="n">
        <v>45833</v>
      </c>
      <c r="AP33" s="44" t="n">
        <v>7</v>
      </c>
      <c r="AQ33" s="69"/>
      <c r="AR33" s="44" t="s">
        <v>737</v>
      </c>
      <c r="AS33" s="44" t="s">
        <v>737</v>
      </c>
      <c r="AT33" s="44" t="s">
        <v>737</v>
      </c>
      <c r="AU33" s="44" t="s">
        <v>737</v>
      </c>
      <c r="AV33" s="44" t="n">
        <v>0</v>
      </c>
      <c r="AW33" s="69"/>
      <c r="AX33" s="44" t="n">
        <v>0</v>
      </c>
      <c r="AZ33" s="69"/>
      <c r="BA33" s="106" t="n">
        <v>45799</v>
      </c>
      <c r="BB33" s="71" t="n">
        <v>6</v>
      </c>
      <c r="BC33" s="72"/>
      <c r="BD33" s="73" t="str">
        <f aca="false">IF(AND(BB33&gt;=6,AP33&gt;=6,AJ33&gt;=6,AD33&gt;=6,X33&gt;=6),"да","нет")</f>
        <v>да</v>
      </c>
      <c r="BE33" s="72"/>
      <c r="BF33" s="123" t="n">
        <v>45836</v>
      </c>
      <c r="BG33" s="44" t="n">
        <v>24</v>
      </c>
      <c r="BI33" s="50"/>
      <c r="BJ33" s="126" t="n">
        <f aca="false">SUM(X33,AD33,AJ33,AP33,AV33,AX33:AY33,BH33,BB33,BG33)</f>
        <v>64</v>
      </c>
      <c r="BK33" s="73" t="str">
        <f aca="false">IF(BJ33&gt;90,"A",IF(BJ33&gt;83,"B",IF(BJ33&gt;74,"C",IF(BJ33&gt;67,"D",IF(BJ33&gt;=60,"E","FX")))))</f>
        <v>E</v>
      </c>
    </row>
    <row r="34" customFormat="false" ht="15.75" hidden="false" customHeight="false" outlineLevel="0" collapsed="false">
      <c r="A34" s="92"/>
      <c r="E34" s="62"/>
      <c r="S34" s="65"/>
      <c r="Y34" s="69"/>
      <c r="AE34" s="69"/>
      <c r="AK34" s="69"/>
      <c r="AQ34" s="69"/>
      <c r="AW34" s="69"/>
      <c r="AZ34" s="69"/>
      <c r="BC34" s="72"/>
      <c r="BD34" s="73" t="str">
        <f aca="false">IF(AND(BB34&gt;=6,AP34&gt;=6,AJ34&gt;=6,AD34&gt;=6,X34&gt;=6),"да","нет")</f>
        <v>нет</v>
      </c>
      <c r="BE34" s="72"/>
      <c r="BI34" s="50"/>
      <c r="BJ34" s="126" t="n">
        <f aca="false">SUM(X34,AD34,AJ34,AP34,AV34,AX34:AY34,BH34,BB34,BG34)</f>
        <v>0</v>
      </c>
      <c r="BK34" s="73" t="str">
        <f aca="false">IF(BJ34&gt;90,"A",IF(BJ34&gt;83,"B",IF(BJ34&gt;74,"C",IF(BJ34&gt;67,"D",IF(BJ34&gt;=60,"E","FX")))))</f>
        <v>FX</v>
      </c>
    </row>
    <row r="35" customFormat="false" ht="15.75" hidden="false" customHeight="false" outlineLevel="0" collapsed="false">
      <c r="A35" s="92"/>
      <c r="B35" s="92"/>
      <c r="C35" s="92"/>
      <c r="D35" s="92"/>
      <c r="E35" s="10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69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69"/>
      <c r="AX35" s="102"/>
      <c r="AY35" s="102"/>
      <c r="AZ35" s="69"/>
      <c r="BA35" s="102"/>
      <c r="BB35" s="102"/>
      <c r="BC35" s="101"/>
      <c r="BD35" s="102"/>
      <c r="BE35" s="101"/>
      <c r="BF35" s="102"/>
      <c r="BG35" s="102"/>
      <c r="BH35" s="102"/>
      <c r="BI35" s="50"/>
      <c r="BJ35" s="102"/>
      <c r="BK35" s="102"/>
    </row>
    <row r="36" customFormat="false" ht="15.75" hidden="fals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  <row r="37" customFormat="false" ht="15.75" hidden="false" customHeight="false" outlineLevel="0" collapsed="false">
      <c r="A37" s="92"/>
      <c r="B37" s="92"/>
      <c r="C37" s="92"/>
      <c r="D37" s="92"/>
      <c r="E37" s="10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77"/>
      <c r="T37" s="44"/>
      <c r="U37" s="44"/>
      <c r="V37" s="44"/>
      <c r="W37" s="44"/>
      <c r="X37" s="44"/>
      <c r="Y37" s="77"/>
      <c r="Z37" s="44"/>
      <c r="AA37" s="44"/>
      <c r="AB37" s="44"/>
      <c r="AC37" s="44"/>
      <c r="AD37" s="90"/>
      <c r="AE37" s="91"/>
      <c r="AF37" s="90"/>
      <c r="AG37" s="44"/>
      <c r="AH37" s="90"/>
      <c r="AI37" s="44"/>
      <c r="AJ37" s="44"/>
      <c r="AK37" s="77"/>
      <c r="AL37" s="44"/>
      <c r="AM37" s="44"/>
      <c r="AN37" s="44"/>
      <c r="AO37" s="44"/>
      <c r="AP37" s="44"/>
      <c r="AQ37" s="77"/>
      <c r="AR37" s="44"/>
      <c r="AS37" s="44"/>
      <c r="AT37" s="44"/>
      <c r="AU37" s="44"/>
      <c r="AV37" s="44"/>
      <c r="AW37" s="101"/>
      <c r="AX37" s="102"/>
      <c r="AY37" s="102"/>
      <c r="AZ37" s="101"/>
      <c r="BA37" s="102"/>
      <c r="BB37" s="102"/>
      <c r="BC37" s="101"/>
      <c r="BD37" s="102"/>
      <c r="BE37" s="101"/>
      <c r="BF37" s="102"/>
      <c r="BG37" s="102"/>
      <c r="BH37" s="102"/>
      <c r="BI37" s="103"/>
      <c r="BJ37" s="102"/>
      <c r="BK37" s="102"/>
    </row>
    <row r="38" customFormat="false" ht="15.75" hidden="false" customHeight="false" outlineLevel="0" collapsed="false">
      <c r="A38" s="92"/>
      <c r="B38" s="92"/>
      <c r="C38" s="92"/>
      <c r="D38" s="92"/>
      <c r="E38" s="10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77"/>
      <c r="T38" s="44"/>
      <c r="U38" s="44"/>
      <c r="V38" s="44"/>
      <c r="W38" s="44"/>
      <c r="X38" s="44"/>
      <c r="Y38" s="77"/>
      <c r="Z38" s="44"/>
      <c r="AA38" s="44"/>
      <c r="AB38" s="44"/>
      <c r="AC38" s="44"/>
      <c r="AD38" s="90"/>
      <c r="AE38" s="91"/>
      <c r="AF38" s="90"/>
      <c r="AG38" s="44"/>
      <c r="AH38" s="90"/>
      <c r="AI38" s="44"/>
      <c r="AJ38" s="44"/>
      <c r="AK38" s="77"/>
      <c r="AL38" s="44"/>
      <c r="AM38" s="44"/>
      <c r="AN38" s="44"/>
      <c r="AO38" s="44"/>
      <c r="AP38" s="44"/>
      <c r="AQ38" s="77"/>
      <c r="AR38" s="44"/>
      <c r="AS38" s="44"/>
      <c r="AT38" s="44"/>
      <c r="AU38" s="44"/>
      <c r="AV38" s="44"/>
      <c r="AW38" s="101"/>
      <c r="AX38" s="102"/>
      <c r="AY38" s="102"/>
      <c r="AZ38" s="101"/>
      <c r="BA38" s="102"/>
      <c r="BB38" s="102"/>
      <c r="BC38" s="101"/>
      <c r="BD38" s="102"/>
      <c r="BE38" s="101"/>
      <c r="BF38" s="102"/>
      <c r="BG38" s="102"/>
      <c r="BH38" s="102"/>
      <c r="BI38" s="103"/>
      <c r="BJ38" s="102"/>
      <c r="BK38" s="102"/>
    </row>
    <row r="39" customFormat="false" ht="15.75" hidden="false" customHeight="false" outlineLevel="0" collapsed="false">
      <c r="A39" s="92"/>
      <c r="B39" s="92"/>
      <c r="C39" s="92"/>
      <c r="D39" s="92"/>
      <c r="E39" s="10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77"/>
      <c r="T39" s="44"/>
      <c r="U39" s="44"/>
      <c r="V39" s="44"/>
      <c r="W39" s="44"/>
      <c r="X39" s="44"/>
      <c r="Y39" s="77"/>
      <c r="Z39" s="44"/>
      <c r="AA39" s="44"/>
      <c r="AB39" s="44"/>
      <c r="AC39" s="44"/>
      <c r="AD39" s="90"/>
      <c r="AE39" s="91"/>
      <c r="AF39" s="90"/>
      <c r="AG39" s="44"/>
      <c r="AH39" s="90"/>
      <c r="AI39" s="44"/>
      <c r="AJ39" s="44"/>
      <c r="AK39" s="77"/>
      <c r="AL39" s="44"/>
      <c r="AM39" s="44"/>
      <c r="AN39" s="44"/>
      <c r="AO39" s="44"/>
      <c r="AP39" s="44"/>
      <c r="AQ39" s="77"/>
      <c r="AR39" s="44"/>
      <c r="AS39" s="44"/>
      <c r="AT39" s="44"/>
      <c r="AU39" s="44"/>
      <c r="AV39" s="44"/>
      <c r="AW39" s="101"/>
      <c r="AX39" s="102"/>
      <c r="AY39" s="102"/>
      <c r="AZ39" s="101"/>
      <c r="BA39" s="102"/>
      <c r="BB39" s="102"/>
      <c r="BC39" s="101"/>
      <c r="BD39" s="102"/>
      <c r="BE39" s="101"/>
      <c r="BF39" s="102"/>
      <c r="BG39" s="102"/>
      <c r="BH39" s="102"/>
      <c r="BI39" s="103"/>
      <c r="BJ39" s="102"/>
      <c r="BK39" s="102"/>
    </row>
    <row r="40" customFormat="false" ht="15.75" hidden="false" customHeight="false" outlineLevel="0" collapsed="false">
      <c r="A40" s="92"/>
      <c r="B40" s="92" t="s">
        <v>1137</v>
      </c>
      <c r="C40" s="92"/>
      <c r="D40" s="92"/>
      <c r="E40" s="10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77"/>
      <c r="T40" s="44" t="s">
        <v>1138</v>
      </c>
      <c r="U40" s="44"/>
      <c r="V40" s="44"/>
      <c r="W40" s="44"/>
      <c r="X40" s="44"/>
      <c r="Y40" s="77"/>
      <c r="Z40" s="44" t="s">
        <v>1139</v>
      </c>
      <c r="AA40" s="44"/>
      <c r="AB40" s="44"/>
      <c r="AC40" s="44"/>
      <c r="AD40" s="90"/>
      <c r="AE40" s="91"/>
      <c r="AF40" s="90"/>
      <c r="AG40" s="44"/>
      <c r="AH40" s="90"/>
      <c r="AI40" s="44"/>
      <c r="AJ40" s="44"/>
      <c r="AK40" s="77"/>
      <c r="AL40" s="44"/>
      <c r="AM40" s="44"/>
      <c r="AN40" s="44"/>
      <c r="AO40" s="44"/>
      <c r="AP40" s="44"/>
      <c r="AQ40" s="77"/>
      <c r="AR40" s="44"/>
      <c r="AS40" s="44"/>
      <c r="AT40" s="44"/>
      <c r="AU40" s="44"/>
      <c r="AV40" s="44"/>
      <c r="AW40" s="101"/>
      <c r="AX40" s="102"/>
      <c r="AY40" s="102"/>
      <c r="AZ40" s="101"/>
      <c r="BA40" s="102"/>
      <c r="BB40" s="102"/>
      <c r="BC40" s="101"/>
      <c r="BD40" s="102"/>
      <c r="BE40" s="101"/>
      <c r="BF40" s="102"/>
      <c r="BG40" s="102"/>
      <c r="BH40" s="102"/>
      <c r="BI40" s="103"/>
      <c r="BJ40" s="102"/>
      <c r="BK40" s="102"/>
    </row>
    <row r="41" customFormat="false" ht="15.75" hidden="false" customHeight="false" outlineLevel="0" collapsed="false">
      <c r="A41" s="92"/>
      <c r="B41" s="191" t="s">
        <v>137</v>
      </c>
      <c r="C41" s="191" t="s">
        <v>1140</v>
      </c>
      <c r="D41" s="191"/>
      <c r="E41" s="192"/>
      <c r="F41" s="193"/>
      <c r="G41" s="193"/>
      <c r="H41" s="193"/>
      <c r="I41" s="193"/>
      <c r="J41" s="193"/>
      <c r="K41" s="193"/>
      <c r="L41" s="193"/>
      <c r="M41" s="193"/>
      <c r="N41" s="194"/>
      <c r="O41" s="194"/>
      <c r="P41" s="194"/>
      <c r="Q41" s="194"/>
      <c r="R41" s="194"/>
      <c r="S41" s="195"/>
      <c r="T41" s="66" t="s">
        <v>1114</v>
      </c>
      <c r="U41" s="67" t="n">
        <v>45734</v>
      </c>
      <c r="V41" s="67" t="n">
        <v>45734</v>
      </c>
      <c r="W41" s="67" t="n">
        <v>45734</v>
      </c>
      <c r="X41" s="196" t="n">
        <v>18</v>
      </c>
      <c r="Y41" s="77"/>
      <c r="Z41" s="70" t="n">
        <v>3685</v>
      </c>
      <c r="AA41" s="123" t="n">
        <v>45748</v>
      </c>
      <c r="AB41" s="123" t="n">
        <v>45748</v>
      </c>
      <c r="AC41" s="123" t="n">
        <v>45748</v>
      </c>
      <c r="AD41" s="70" t="n">
        <v>18</v>
      </c>
      <c r="AE41" s="91"/>
      <c r="AF41" s="90"/>
      <c r="AG41" s="44"/>
      <c r="AH41" s="90"/>
      <c r="AI41" s="44"/>
      <c r="AJ41" s="44"/>
      <c r="AK41" s="77"/>
      <c r="AL41" s="44"/>
      <c r="AM41" s="44"/>
      <c r="AN41" s="44"/>
      <c r="AO41" s="44"/>
      <c r="AP41" s="44"/>
      <c r="AQ41" s="77"/>
      <c r="AR41" s="44"/>
      <c r="AS41" s="44"/>
      <c r="AT41" s="44"/>
      <c r="AU41" s="44"/>
      <c r="AV41" s="44"/>
      <c r="AW41" s="101"/>
      <c r="AX41" s="102"/>
      <c r="AY41" s="102"/>
      <c r="AZ41" s="101"/>
      <c r="BA41" s="102"/>
      <c r="BB41" s="102"/>
      <c r="BC41" s="101"/>
      <c r="BD41" s="102"/>
      <c r="BE41" s="101"/>
      <c r="BF41" s="102"/>
      <c r="BG41" s="102"/>
      <c r="BH41" s="102"/>
      <c r="BI41" s="103"/>
      <c r="BJ41" s="102"/>
      <c r="BK41" s="102"/>
    </row>
    <row r="42" customFormat="false" ht="15.75" hidden="false" customHeight="false" outlineLevel="0" collapsed="false">
      <c r="A42" s="76"/>
      <c r="B42" s="76"/>
      <c r="C42" s="76"/>
      <c r="D42" s="7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9"/>
      <c r="AN42" s="65"/>
      <c r="AO42" s="65"/>
      <c r="AP42" s="65"/>
      <c r="AQ42" s="65"/>
      <c r="AR42" s="65"/>
      <c r="AS42" s="65"/>
      <c r="AT42" s="65"/>
      <c r="AU42" s="65"/>
      <c r="AV42" s="65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80"/>
      <c r="BJ42" s="72"/>
      <c r="BK42" s="72"/>
    </row>
    <row r="43" customFormat="false" ht="15.75" hidden="false" customHeight="false" outlineLevel="0" collapsed="false">
      <c r="A43" s="92"/>
      <c r="B43" s="81" t="s">
        <v>678</v>
      </c>
      <c r="C43" s="81"/>
      <c r="D43" s="81"/>
      <c r="E43" s="69"/>
      <c r="F43" s="70" t="n">
        <f aca="false">COUNTIF(F$3:F$23, "~**")</f>
        <v>0</v>
      </c>
      <c r="G43" s="70" t="n">
        <f aca="false">COUNTIF(G$3:G$23, "~**")</f>
        <v>3</v>
      </c>
      <c r="H43" s="70" t="n">
        <f aca="false">COUNTIF(H$3:H$23, "~**")</f>
        <v>8</v>
      </c>
      <c r="I43" s="70" t="n">
        <f aca="false">COUNTIF(I$3:I$23, "~**")</f>
        <v>4</v>
      </c>
      <c r="J43" s="70" t="n">
        <f aca="false">COUNTIF(J$3:J$23, "~**")</f>
        <v>5</v>
      </c>
      <c r="K43" s="70" t="n">
        <f aca="false">COUNTIF(K$3:K$23, "~**")</f>
        <v>2</v>
      </c>
      <c r="L43" s="70" t="n">
        <f aca="false">COUNTIF(L$3:L$23, "~**")</f>
        <v>3</v>
      </c>
      <c r="M43" s="70" t="n">
        <f aca="false">COUNTIF(M$3:M$23, "~**")</f>
        <v>3</v>
      </c>
      <c r="N43" s="70" t="n">
        <f aca="false">COUNTIF(N$3:N$23, "~**")</f>
        <v>0</v>
      </c>
      <c r="O43" s="70"/>
      <c r="P43" s="70"/>
      <c r="Q43" s="70" t="n">
        <f aca="false">COUNTIF(Q$3:Q$23, "~**")</f>
        <v>0</v>
      </c>
      <c r="R43" s="70" t="n">
        <f aca="false">COUNTIF(R$3:R$23, "~**")</f>
        <v>0</v>
      </c>
      <c r="S43" s="82"/>
      <c r="T43" s="83" t="s">
        <v>679</v>
      </c>
      <c r="U43" s="84"/>
      <c r="V43" s="84"/>
      <c r="W43" s="84"/>
      <c r="X43" s="85" t="n">
        <v>44475</v>
      </c>
      <c r="Y43" s="69"/>
      <c r="Z43" s="70"/>
      <c r="AA43" s="85"/>
      <c r="AB43" s="85"/>
      <c r="AC43" s="85"/>
      <c r="AD43" s="85" t="n">
        <v>44475</v>
      </c>
      <c r="AE43" s="69"/>
      <c r="AF43" s="70"/>
      <c r="AG43" s="85"/>
      <c r="AH43" s="85"/>
      <c r="AI43" s="85"/>
      <c r="AJ43" s="85" t="n">
        <v>44475</v>
      </c>
      <c r="AK43" s="69"/>
      <c r="AL43" s="70"/>
      <c r="AM43" s="85"/>
      <c r="AN43" s="85"/>
      <c r="AO43" s="85"/>
      <c r="AP43" s="85" t="n">
        <v>45205</v>
      </c>
      <c r="AQ43" s="69"/>
      <c r="AR43" s="70"/>
      <c r="AS43" s="70"/>
      <c r="AT43" s="70"/>
      <c r="AU43" s="70"/>
      <c r="AV43" s="70" t="s">
        <v>680</v>
      </c>
      <c r="AW43" s="86"/>
      <c r="AX43" s="87" t="s">
        <v>681</v>
      </c>
      <c r="AY43" s="87" t="s">
        <v>681</v>
      </c>
      <c r="AZ43" s="86"/>
      <c r="BA43" s="87"/>
      <c r="BB43" s="85" t="n">
        <v>44840</v>
      </c>
      <c r="BC43" s="86"/>
      <c r="BD43" s="87"/>
      <c r="BE43" s="69"/>
      <c r="BF43" s="70"/>
      <c r="BG43" s="87" t="s">
        <v>682</v>
      </c>
      <c r="BH43" s="87" t="s">
        <v>683</v>
      </c>
      <c r="BI43" s="80"/>
      <c r="BJ43" s="74"/>
      <c r="BK43" s="74"/>
    </row>
    <row r="44" customFormat="false" ht="15.75" hidden="false" customHeight="false" outlineLevel="0" collapsed="false">
      <c r="A44" s="92"/>
      <c r="B44" s="81" t="s">
        <v>684</v>
      </c>
      <c r="C44" s="81"/>
      <c r="D44" s="81"/>
      <c r="E44" s="69"/>
      <c r="F44" s="70" t="n">
        <f aca="false">COUNTIF(F$3:F$23, "~**")+COUNTIF(F$3:F$23, "Y")</f>
        <v>13</v>
      </c>
      <c r="G44" s="70" t="n">
        <f aca="false">COUNTIF(G$3:G$23, "~**")+COUNTIF(G$3:G$23, "Y")</f>
        <v>10</v>
      </c>
      <c r="H44" s="70" t="n">
        <f aca="false">COUNTIF(H$3:H$23, "~**")+COUNTIF(H$3:H$23, "Y")</f>
        <v>12</v>
      </c>
      <c r="I44" s="70" t="n">
        <f aca="false">COUNTIF(I$3:I$23, "~**")+COUNTIF(I$3:I$23, "Y")</f>
        <v>10</v>
      </c>
      <c r="J44" s="70" t="n">
        <f aca="false">COUNTIF(J$3:J$23, "~**")+COUNTIF(J$3:J$23, "Y")</f>
        <v>10</v>
      </c>
      <c r="K44" s="70" t="n">
        <f aca="false">COUNTIF(K$3:K$23, "~**")+COUNTIF(K$3:K$23, "Y")</f>
        <v>11</v>
      </c>
      <c r="L44" s="70" t="n">
        <f aca="false">COUNTIF(L$3:L$23, "~**")+COUNTIF(L$3:L$23, "Y")</f>
        <v>11</v>
      </c>
      <c r="M44" s="70" t="n">
        <f aca="false">COUNTIF(M$3:M$23, "~**")+COUNTIF(M$3:M$23, "Y")</f>
        <v>9</v>
      </c>
      <c r="N44" s="70" t="n">
        <f aca="false">COUNTIF(N$3:N$23, "~**")+COUNTIF(N$3:N$23, "Y")</f>
        <v>0</v>
      </c>
      <c r="O44" s="70"/>
      <c r="P44" s="70"/>
      <c r="Q44" s="70" t="n">
        <f aca="false">COUNTIF(Q$3:Q$23, "~**")+COUNTIF(Q$3:Q$23, "Y")</f>
        <v>0</v>
      </c>
      <c r="R44" s="70" t="n">
        <f aca="false">COUNTIF(R$3:R$23, "~**")+COUNTIF(R$3:R$23, "Y")</f>
        <v>0</v>
      </c>
      <c r="S44" s="82"/>
      <c r="T44" s="83"/>
      <c r="U44" s="44"/>
      <c r="V44" s="44"/>
      <c r="W44" s="87"/>
      <c r="X44" s="88"/>
      <c r="Y44" s="78"/>
      <c r="Z44" s="88"/>
      <c r="AA44" s="88"/>
      <c r="AB44" s="88"/>
      <c r="AC44" s="87"/>
      <c r="AD44" s="87"/>
      <c r="AE44" s="86"/>
      <c r="AF44" s="87"/>
      <c r="AG44" s="89"/>
      <c r="AH44" s="87"/>
      <c r="AI44" s="87"/>
      <c r="AJ44" s="87"/>
      <c r="AK44" s="86"/>
      <c r="AL44" s="87"/>
      <c r="AM44" s="44"/>
      <c r="AN44" s="44"/>
      <c r="AO44" s="44"/>
      <c r="AP44" s="44"/>
      <c r="AQ44" s="77"/>
      <c r="AR44" s="44"/>
      <c r="AS44" s="44"/>
      <c r="AT44" s="44"/>
      <c r="AU44" s="70"/>
      <c r="AV44" s="90"/>
      <c r="AW44" s="72"/>
      <c r="AX44" s="74"/>
      <c r="AY44" s="74"/>
      <c r="AZ44" s="72"/>
      <c r="BA44" s="74"/>
      <c r="BB44" s="74"/>
      <c r="BC44" s="72"/>
      <c r="BD44" s="74"/>
      <c r="BE44" s="72"/>
      <c r="BF44" s="74"/>
      <c r="BG44" s="74"/>
      <c r="BH44" s="74"/>
      <c r="BI44" s="80"/>
      <c r="BJ44" s="74"/>
      <c r="BK44" s="74"/>
    </row>
    <row r="45" customFormat="false" ht="15.75" hidden="false" customHeight="false" outlineLevel="0" collapsed="false">
      <c r="A45" s="92"/>
      <c r="B45" s="81"/>
      <c r="C45" s="81"/>
      <c r="D45" s="81"/>
      <c r="E45" s="77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77"/>
      <c r="T45" s="44"/>
      <c r="U45" s="44"/>
      <c r="V45" s="44"/>
      <c r="W45" s="90"/>
      <c r="X45" s="44"/>
      <c r="Y45" s="77"/>
      <c r="Z45" s="44"/>
      <c r="AA45" s="44"/>
      <c r="AB45" s="44"/>
      <c r="AC45" s="90"/>
      <c r="AD45" s="90"/>
      <c r="AE45" s="91"/>
      <c r="AF45" s="90"/>
      <c r="AG45" s="44"/>
      <c r="AH45" s="90"/>
      <c r="AI45" s="44"/>
      <c r="AJ45" s="44"/>
      <c r="AK45" s="77"/>
      <c r="AL45" s="44"/>
      <c r="AM45" s="44"/>
      <c r="AN45" s="44"/>
      <c r="AO45" s="44"/>
      <c r="AP45" s="44"/>
      <c r="AQ45" s="77"/>
      <c r="AR45" s="44"/>
      <c r="AS45" s="44"/>
      <c r="AT45" s="44"/>
      <c r="AU45" s="90"/>
      <c r="AV45" s="90"/>
      <c r="AW45" s="72"/>
      <c r="AX45" s="74"/>
      <c r="AY45" s="74"/>
      <c r="AZ45" s="72"/>
      <c r="BA45" s="74"/>
      <c r="BB45" s="74"/>
      <c r="BC45" s="72"/>
      <c r="BD45" s="74"/>
      <c r="BE45" s="72"/>
      <c r="BF45" s="74"/>
      <c r="BG45" s="74"/>
      <c r="BH45" s="74"/>
      <c r="BI45" s="80"/>
      <c r="BJ45" s="74"/>
      <c r="BK45" s="74"/>
    </row>
    <row r="46" customFormat="false" ht="15.75" hidden="false" customHeight="false" outlineLevel="0" collapsed="false">
      <c r="A46" s="92"/>
      <c r="B46" s="81" t="s">
        <v>685</v>
      </c>
      <c r="C46" s="81"/>
      <c r="D46" s="81"/>
      <c r="E46" s="77"/>
      <c r="F46" s="44" t="s">
        <v>686</v>
      </c>
      <c r="G46" s="44"/>
      <c r="H46" s="44"/>
      <c r="I46" s="44"/>
      <c r="J46" s="44"/>
      <c r="K46" s="44"/>
      <c r="L46" s="44"/>
      <c r="M46" s="44"/>
      <c r="N46" s="44"/>
      <c r="S46" s="76"/>
      <c r="T46" s="81" t="s">
        <v>687</v>
      </c>
      <c r="U46" s="44" t="n">
        <v>0</v>
      </c>
      <c r="V46" s="44" t="n">
        <f aca="false">COUNT(V3:V26)</f>
        <v>16</v>
      </c>
      <c r="W46" s="44" t="n">
        <f aca="false">COUNT(W3:W26)</f>
        <v>16</v>
      </c>
      <c r="X46" s="44" t="n">
        <f aca="false">COUNT(X3:X26)</f>
        <v>16</v>
      </c>
      <c r="Y46" s="77"/>
      <c r="Z46" s="44"/>
      <c r="AA46" s="44" t="n">
        <f aca="false">COUNT(AA3:AA26)</f>
        <v>16</v>
      </c>
      <c r="AB46" s="44" t="n">
        <f aca="false">COUNT(AB3:AB26)</f>
        <v>16</v>
      </c>
      <c r="AC46" s="44" t="n">
        <f aca="false">COUNT(AC3:AC26)</f>
        <v>16</v>
      </c>
      <c r="AD46" s="44" t="n">
        <f aca="false">COUNT(AD3:AD26)</f>
        <v>16</v>
      </c>
      <c r="AE46" s="77"/>
      <c r="AF46" s="44"/>
      <c r="AG46" s="44" t="n">
        <f aca="false">COUNT(AG3:AG26)</f>
        <v>13</v>
      </c>
      <c r="AH46" s="44" t="n">
        <f aca="false">COUNT(AH3:AH26)</f>
        <v>13</v>
      </c>
      <c r="AI46" s="44" t="n">
        <f aca="false">COUNT(AI3:AI26)</f>
        <v>12</v>
      </c>
      <c r="AJ46" s="44" t="n">
        <f aca="false">COUNT(AJ3:AJ26)</f>
        <v>12</v>
      </c>
      <c r="AK46" s="77"/>
      <c r="AL46" s="44"/>
      <c r="AM46" s="44" t="n">
        <f aca="false">COUNT(AM3:AM26)</f>
        <v>11</v>
      </c>
      <c r="AN46" s="44" t="n">
        <f aca="false">COUNT(AN3:AN26)</f>
        <v>11</v>
      </c>
      <c r="AO46" s="44" t="n">
        <f aca="false">COUNT(AO3:AO26)</f>
        <v>11</v>
      </c>
      <c r="AP46" s="44" t="n">
        <f aca="false">COUNT(AP3:AP26)</f>
        <v>11</v>
      </c>
      <c r="AQ46" s="77"/>
      <c r="AR46" s="44"/>
      <c r="AS46" s="44" t="n">
        <f aca="false">COUNT(AS3:AS26)</f>
        <v>5</v>
      </c>
      <c r="AT46" s="44" t="n">
        <f aca="false">COUNT(AT3:AT26)</f>
        <v>5</v>
      </c>
      <c r="AU46" s="44" t="n">
        <f aca="false">COUNT(AU3:AU26)</f>
        <v>5</v>
      </c>
      <c r="AV46" s="44" t="n">
        <f aca="false">COUNT(AV3:AV26)</f>
        <v>24</v>
      </c>
      <c r="AW46" s="77"/>
      <c r="AX46" s="44" t="n">
        <f aca="false">COUNT(AX3:AX26)</f>
        <v>8</v>
      </c>
      <c r="AY46" s="44" t="n">
        <f aca="false">COUNT(AY3:AY26)</f>
        <v>4</v>
      </c>
      <c r="AZ46" s="77"/>
      <c r="BA46" s="44"/>
      <c r="BB46" s="44" t="n">
        <f aca="false">COUNTIF(BB3:BB26, "&gt;=6")</f>
        <v>13</v>
      </c>
      <c r="BC46" s="77"/>
      <c r="BD46" s="44" t="n">
        <f aca="false">COUNTIF(BD3:BD26, "Да")</f>
        <v>11</v>
      </c>
      <c r="BE46" s="77"/>
      <c r="BF46" s="44"/>
      <c r="BG46" s="44" t="n">
        <f aca="false">COUNT(BG3:BG26)</f>
        <v>10</v>
      </c>
      <c r="BH46" s="44" t="n">
        <f aca="false">COUNT(BH3:BH26)</f>
        <v>4</v>
      </c>
      <c r="BI46" s="80"/>
      <c r="BJ46" s="74"/>
      <c r="BK46" s="74"/>
    </row>
    <row r="47" customFormat="false" ht="15.75" hidden="false" customHeight="false" outlineLevel="0" collapsed="false">
      <c r="A47" s="92"/>
      <c r="E47" s="77"/>
      <c r="F47" s="44" t="s">
        <v>688</v>
      </c>
      <c r="G47" s="44"/>
      <c r="H47" s="44"/>
      <c r="I47" s="44"/>
      <c r="J47" s="44"/>
      <c r="K47" s="44"/>
      <c r="L47" s="44"/>
      <c r="M47" s="44"/>
      <c r="N47" s="93"/>
      <c r="S47" s="94"/>
      <c r="T47" s="92" t="s">
        <v>689</v>
      </c>
      <c r="V47" s="93"/>
      <c r="W47" s="93"/>
      <c r="X47" s="95" t="n">
        <f aca="false">IF(COUNTA($B$3:$B$23)&gt;0,COUNTA(X$3:X$23)/COUNTA($B$3:$B$23), 0)</f>
        <v>0.6666666667</v>
      </c>
      <c r="Y47" s="96"/>
      <c r="Z47" s="93"/>
      <c r="AA47" s="93"/>
      <c r="AB47" s="93"/>
      <c r="AC47" s="93"/>
      <c r="AD47" s="95" t="n">
        <f aca="false">IF(COUNTA($B$3:$B$23)&gt;0,COUNTA(AD$3:AD$23)/COUNTA($B$3:$B$23), 0)</f>
        <v>0.6666666667</v>
      </c>
      <c r="AE47" s="97"/>
      <c r="AF47" s="98"/>
      <c r="AG47" s="93"/>
      <c r="AH47" s="98"/>
      <c r="AI47" s="93"/>
      <c r="AJ47" s="95" t="n">
        <f aca="false">IF(COUNTA($B$3:$B$23)&gt;0,COUNTA(AJ$3:AJ$23)/COUNTA($B$3:$B$23), 0)</f>
        <v>0.5238095238</v>
      </c>
      <c r="AK47" s="96"/>
      <c r="AL47" s="93"/>
      <c r="AM47" s="93"/>
      <c r="AN47" s="93"/>
      <c r="AO47" s="93"/>
      <c r="AP47" s="95" t="n">
        <f aca="false">IF(COUNTA($B$3:$B$23)&gt;0,COUNTA(AP$3:AP$23)/COUNTA($B$3:$B$23), 0)</f>
        <v>0.4761904762</v>
      </c>
      <c r="AQ47" s="96"/>
      <c r="AR47" s="93"/>
      <c r="AS47" s="93"/>
      <c r="AT47" s="93"/>
      <c r="AU47" s="93"/>
      <c r="AV47" s="95" t="n">
        <f aca="false">IF(COUNTA($B$3:$B$23)&gt;0,COUNTA(AV$3:AV$23)/COUNTA($B$3:$B$23), 0)</f>
        <v>1</v>
      </c>
      <c r="AW47" s="99"/>
      <c r="AX47" s="100"/>
      <c r="AY47" s="100"/>
      <c r="AZ47" s="99"/>
      <c r="BA47" s="100"/>
      <c r="BB47" s="95" t="n">
        <f aca="false">IF(COUNTA($B$3:$B$23)&gt;0,COUNTA(BB$3:BB$23)/COUNTA($B$3:$B$23), 0)</f>
        <v>0.619047619</v>
      </c>
      <c r="BC47" s="77"/>
      <c r="BD47" s="44" t="n">
        <f aca="false">COUNTIF(BD3:BD26, "Да")</f>
        <v>11</v>
      </c>
      <c r="BE47" s="101"/>
      <c r="BF47" s="102"/>
      <c r="BG47" s="102"/>
      <c r="BH47" s="100"/>
      <c r="BI47" s="103"/>
      <c r="BJ47" s="102"/>
      <c r="BK47" s="102"/>
    </row>
    <row r="48" customFormat="false" ht="15.75" hidden="false" customHeight="false" outlineLevel="0" collapsed="false">
      <c r="A48" s="92"/>
      <c r="B48" s="92"/>
      <c r="C48" s="92"/>
      <c r="D48" s="92"/>
      <c r="E48" s="77"/>
      <c r="F48" s="44" t="s">
        <v>690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7"/>
      <c r="T48" s="44"/>
      <c r="U48" s="44"/>
      <c r="V48" s="44"/>
      <c r="W48" s="44"/>
      <c r="X48" s="44"/>
      <c r="Y48" s="77"/>
      <c r="Z48" s="44"/>
      <c r="AA48" s="44"/>
      <c r="AB48" s="44"/>
      <c r="AC48" s="44"/>
      <c r="AD48" s="90"/>
      <c r="AE48" s="91"/>
      <c r="AF48" s="90"/>
      <c r="AG48" s="44"/>
      <c r="AH48" s="90"/>
      <c r="AI48" s="44"/>
      <c r="AJ48" s="44"/>
      <c r="AK48" s="77"/>
      <c r="AL48" s="44"/>
      <c r="AM48" s="44"/>
      <c r="AN48" s="44"/>
      <c r="AO48" s="44"/>
      <c r="AP48" s="44"/>
      <c r="AQ48" s="77"/>
      <c r="AR48" s="44"/>
      <c r="AS48" s="44"/>
      <c r="AT48" s="44"/>
      <c r="AU48" s="44"/>
      <c r="AV48" s="44"/>
      <c r="AW48" s="101"/>
      <c r="AX48" s="102"/>
      <c r="AY48" s="102"/>
      <c r="AZ48" s="101"/>
      <c r="BA48" s="102"/>
      <c r="BB48" s="102"/>
      <c r="BC48" s="101"/>
      <c r="BD48" s="102"/>
      <c r="BE48" s="101"/>
      <c r="BF48" s="102"/>
      <c r="BG48" s="102"/>
      <c r="BH48" s="102"/>
      <c r="BI48" s="103"/>
      <c r="BJ48" s="102"/>
      <c r="BK48" s="102"/>
    </row>
    <row r="49" customFormat="false" ht="15.75" hidden="false" customHeight="false" outlineLevel="0" collapsed="false">
      <c r="A49" s="92"/>
      <c r="B49" s="92"/>
      <c r="C49" s="92"/>
      <c r="D49" s="92"/>
      <c r="E49" s="77"/>
      <c r="F49" s="44" t="s">
        <v>691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77"/>
      <c r="T49" s="44"/>
      <c r="U49" s="44"/>
      <c r="V49" s="44"/>
      <c r="W49" s="44"/>
      <c r="X49" s="44"/>
      <c r="Y49" s="77"/>
      <c r="Z49" s="44"/>
      <c r="AA49" s="44"/>
      <c r="AB49" s="44"/>
      <c r="AC49" s="44"/>
      <c r="AD49" s="90"/>
      <c r="AE49" s="91"/>
      <c r="AF49" s="90"/>
      <c r="AG49" s="44"/>
      <c r="AH49" s="90"/>
      <c r="AI49" s="44"/>
      <c r="AJ49" s="44"/>
      <c r="AK49" s="77"/>
      <c r="AL49" s="44"/>
      <c r="AM49" s="44"/>
      <c r="AN49" s="44"/>
      <c r="AO49" s="44"/>
      <c r="AP49" s="44"/>
      <c r="AQ49" s="77"/>
      <c r="AR49" s="44"/>
      <c r="AS49" s="44"/>
      <c r="AT49" s="44"/>
      <c r="AU49" s="44"/>
      <c r="AV49" s="44"/>
      <c r="AW49" s="101"/>
      <c r="AX49" s="102"/>
      <c r="AY49" s="102"/>
      <c r="AZ49" s="101"/>
      <c r="BA49" s="102"/>
      <c r="BB49" s="102"/>
      <c r="BC49" s="101"/>
      <c r="BD49" s="102"/>
      <c r="BE49" s="101"/>
      <c r="BF49" s="102"/>
      <c r="BG49" s="102"/>
      <c r="BH49" s="102"/>
      <c r="BI49" s="103"/>
      <c r="BJ49" s="102"/>
      <c r="BK49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3 AA3:AC23 AG3:AI26 AM3:AO26 AS3:AU26 U25:W26 AA25:AC26">
    <cfRule type="expression" priority="2" aboveAverage="0" equalAverage="0" bottom="0" percent="0" rank="0" text="" dxfId="2">
      <formula>U3&gt;45809</formula>
    </cfRule>
  </conditionalFormatting>
  <conditionalFormatting sqref="BC3:BD34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E34 F3:F26 G3:R33">
    <cfRule type="cellIs" priority="5" operator="equal" aboveAverage="0" equalAverage="0" bottom="0" percent="0" rank="0" text="" dxfId="5">
      <formula>"N"</formula>
    </cfRule>
  </conditionalFormatting>
  <conditionalFormatting sqref="BK3:BK23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660</v>
      </c>
      <c r="C1" s="45" t="s">
        <v>661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45327</v>
      </c>
      <c r="G2" s="55" t="n">
        <f aca="false">F2+14</f>
        <v>45341</v>
      </c>
      <c r="H2" s="55" t="n">
        <f aca="false">G2+14</f>
        <v>45355</v>
      </c>
      <c r="I2" s="55" t="n">
        <f aca="false">H2+14</f>
        <v>45369</v>
      </c>
      <c r="J2" s="55" t="n">
        <f aca="false">I2+14</f>
        <v>45383</v>
      </c>
      <c r="K2" s="55" t="n">
        <f aca="false">J2+14</f>
        <v>45397</v>
      </c>
      <c r="L2" s="55" t="n">
        <f aca="false">K2+14</f>
        <v>45411</v>
      </c>
      <c r="M2" s="55" t="n">
        <f aca="false">L2+14</f>
        <v>45425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60" t="str">
        <f aca="false">IFERROR(__xludf.dummyfunction("IFERROR(QUERY('Общий список'!$B:$C, ""SELECT C WHERE B = '""&amp;C3&amp;""' AND B &lt;&gt; '' AND D = '""&amp;$C$1&amp;""'"", 0), """")"),"")</f>
        <v/>
      </c>
      <c r="C3" s="61"/>
      <c r="D3" s="61"/>
      <c r="E3" s="62"/>
      <c r="F3" s="63"/>
      <c r="G3" s="63"/>
      <c r="H3" s="63"/>
      <c r="I3" s="63"/>
      <c r="J3" s="63"/>
      <c r="K3" s="63"/>
      <c r="L3" s="63"/>
      <c r="M3" s="63"/>
      <c r="N3" s="64"/>
      <c r="O3" s="64"/>
      <c r="P3" s="64"/>
      <c r="Q3" s="64"/>
      <c r="R3" s="64"/>
      <c r="S3" s="65"/>
      <c r="T3" s="66"/>
      <c r="U3" s="67"/>
      <c r="V3" s="67"/>
      <c r="W3" s="67"/>
      <c r="X3" s="68"/>
      <c r="Y3" s="69"/>
      <c r="Z3" s="70"/>
      <c r="AA3" s="67"/>
      <c r="AB3" s="67"/>
      <c r="AC3" s="67"/>
      <c r="AD3" s="68"/>
      <c r="AE3" s="69"/>
      <c r="AF3" s="70"/>
      <c r="AG3" s="70"/>
      <c r="AH3" s="70"/>
      <c r="AI3" s="70"/>
      <c r="AJ3" s="68"/>
      <c r="AK3" s="69"/>
      <c r="AL3" s="70"/>
      <c r="AM3" s="70"/>
      <c r="AN3" s="70"/>
      <c r="AO3" s="70"/>
      <c r="AP3" s="68"/>
      <c r="AQ3" s="69"/>
      <c r="AR3" s="70"/>
      <c r="AS3" s="70"/>
      <c r="AT3" s="70"/>
      <c r="AU3" s="70"/>
      <c r="AV3" s="68"/>
      <c r="AW3" s="69"/>
      <c r="AX3" s="68"/>
      <c r="AY3" s="68"/>
      <c r="AZ3" s="69"/>
      <c r="BA3" s="70"/>
      <c r="BB3" s="71"/>
      <c r="BC3" s="72"/>
      <c r="BD3" s="73" t="str">
        <f aca="false">IF(AND(BB3&gt;=6,AP3&gt;=12,AJ3&gt;=6,AD3&gt;=6,X3&gt;=6),"да","нет")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0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60" t="str">
        <f aca="false">IFERROR(__xludf.dummyfunction("IFERROR(QUERY('Общий список'!$B:$C, ""SELECT C WHERE B = '""&amp;C4&amp;""' AND B &lt;&gt; '' AND D = '""&amp;$C$1&amp;""'"", 0), """")"),"")</f>
        <v/>
      </c>
      <c r="C4" s="61"/>
      <c r="D4" s="61"/>
      <c r="E4" s="62"/>
      <c r="F4" s="63"/>
      <c r="G4" s="63"/>
      <c r="H4" s="63"/>
      <c r="I4" s="63"/>
      <c r="J4" s="63"/>
      <c r="K4" s="63"/>
      <c r="L4" s="63"/>
      <c r="M4" s="63"/>
      <c r="N4" s="64"/>
      <c r="O4" s="64"/>
      <c r="P4" s="64"/>
      <c r="Q4" s="64"/>
      <c r="R4" s="64"/>
      <c r="S4" s="65"/>
      <c r="T4" s="66"/>
      <c r="U4" s="67"/>
      <c r="V4" s="67"/>
      <c r="W4" s="67"/>
      <c r="X4" s="68"/>
      <c r="Y4" s="69"/>
      <c r="Z4" s="70"/>
      <c r="AA4" s="67"/>
      <c r="AB4" s="67"/>
      <c r="AC4" s="67"/>
      <c r="AD4" s="68"/>
      <c r="AE4" s="69"/>
      <c r="AF4" s="70"/>
      <c r="AG4" s="70"/>
      <c r="AH4" s="70"/>
      <c r="AI4" s="70"/>
      <c r="AJ4" s="68"/>
      <c r="AK4" s="69"/>
      <c r="AL4" s="70"/>
      <c r="AM4" s="70"/>
      <c r="AN4" s="70"/>
      <c r="AO4" s="70"/>
      <c r="AP4" s="68"/>
      <c r="AQ4" s="69"/>
      <c r="AR4" s="70"/>
      <c r="AS4" s="70"/>
      <c r="AT4" s="70"/>
      <c r="AU4" s="70"/>
      <c r="AV4" s="68"/>
      <c r="AW4" s="69"/>
      <c r="AX4" s="68"/>
      <c r="AY4" s="68"/>
      <c r="AZ4" s="69"/>
      <c r="BA4" s="70"/>
      <c r="BB4" s="71"/>
      <c r="BC4" s="72"/>
      <c r="BD4" s="73" t="str">
        <f aca="false">IF(AND(BB4&gt;=6,AP4&gt;=12,AJ4&gt;=6,AD4&gt;=6,X4&gt;=6),"да","нет")</f>
        <v>нет</v>
      </c>
      <c r="BE4" s="72"/>
      <c r="BF4" s="74"/>
      <c r="BG4" s="71"/>
      <c r="BH4" s="68"/>
      <c r="BI4" s="50"/>
      <c r="BJ4" s="75" t="n">
        <f aca="false">SUM(X4,AD4,AJ4,AP4,AV4,AX4:AY4,BH4,BB4,BG4)</f>
        <v>0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60" t="str">
        <f aca="false">IFERROR(__xludf.dummyfunction("IFERROR(QUERY('Общий список'!$B:$C, ""SELECT C WHERE B = '""&amp;C5&amp;""' AND B &lt;&gt; '' AND D = '""&amp;$C$1&amp;""'"", 0), """")"),"")</f>
        <v/>
      </c>
      <c r="C5" s="61"/>
      <c r="D5" s="61"/>
      <c r="E5" s="62"/>
      <c r="F5" s="63"/>
      <c r="G5" s="63"/>
      <c r="H5" s="63"/>
      <c r="I5" s="63"/>
      <c r="J5" s="63"/>
      <c r="K5" s="63"/>
      <c r="L5" s="63"/>
      <c r="M5" s="63"/>
      <c r="N5" s="64"/>
      <c r="O5" s="64"/>
      <c r="P5" s="64"/>
      <c r="Q5" s="64"/>
      <c r="R5" s="64"/>
      <c r="S5" s="65"/>
      <c r="T5" s="66"/>
      <c r="U5" s="67"/>
      <c r="V5" s="67"/>
      <c r="W5" s="67"/>
      <c r="X5" s="68"/>
      <c r="Y5" s="69"/>
      <c r="Z5" s="70"/>
      <c r="AA5" s="67"/>
      <c r="AB5" s="67"/>
      <c r="AC5" s="67"/>
      <c r="AD5" s="68"/>
      <c r="AE5" s="69"/>
      <c r="AF5" s="70"/>
      <c r="AG5" s="70"/>
      <c r="AH5" s="70"/>
      <c r="AI5" s="70"/>
      <c r="AJ5" s="68"/>
      <c r="AK5" s="69"/>
      <c r="AL5" s="70"/>
      <c r="AM5" s="70"/>
      <c r="AN5" s="70"/>
      <c r="AO5" s="70"/>
      <c r="AP5" s="68"/>
      <c r="AQ5" s="69"/>
      <c r="AR5" s="70"/>
      <c r="AS5" s="70"/>
      <c r="AT5" s="70"/>
      <c r="AU5" s="70"/>
      <c r="AV5" s="68"/>
      <c r="AW5" s="69"/>
      <c r="AX5" s="68"/>
      <c r="AY5" s="68"/>
      <c r="AZ5" s="69"/>
      <c r="BA5" s="70"/>
      <c r="BB5" s="71"/>
      <c r="BC5" s="72"/>
      <c r="BD5" s="73" t="str">
        <f aca="false">IF(AND(BB5&gt;=6,AP5&gt;=12,AJ5&gt;=6,AD5&gt;=6,X5&gt;=6),"да","нет")</f>
        <v>нет</v>
      </c>
      <c r="BE5" s="72"/>
      <c r="BF5" s="74"/>
      <c r="BG5" s="71"/>
      <c r="BH5" s="68"/>
      <c r="BI5" s="50"/>
      <c r="BJ5" s="75" t="n">
        <f aca="false">SUM(X5,AD5,AJ5,AP5,AV5,AX5:AY5,BH5,BB5,BG5)</f>
        <v>0</v>
      </c>
      <c r="BK5" s="73" t="str">
        <f aca="false">IF(BJ5&gt;90,"A",IF(BJ5&gt;83,"B",IF(BJ5&gt;74,"C",IF(BJ5&gt;67,"D",IF(BJ5&gt;=60,"E","FX")))))</f>
        <v>FX</v>
      </c>
    </row>
    <row r="6" customFormat="false" ht="15.75" hidden="false" customHeight="false" outlineLevel="0" collapsed="false">
      <c r="A6" s="59" t="n">
        <f aca="false">A5+1</f>
        <v>4</v>
      </c>
      <c r="B6" s="60" t="str">
        <f aca="false">IFERROR(__xludf.dummyfunction("IFERROR(QUERY('Общий список'!$B:$C, ""SELECT C WHERE B = '""&amp;C6&amp;""' AND B &lt;&gt; '' AND D = '""&amp;$C$1&amp;""'"", 0), """")"),"")</f>
        <v/>
      </c>
      <c r="C6" s="61"/>
      <c r="D6" s="61"/>
      <c r="E6" s="62"/>
      <c r="F6" s="63"/>
      <c r="G6" s="63"/>
      <c r="H6" s="63"/>
      <c r="I6" s="63"/>
      <c r="J6" s="63"/>
      <c r="K6" s="63"/>
      <c r="L6" s="63"/>
      <c r="M6" s="63"/>
      <c r="N6" s="64"/>
      <c r="O6" s="64"/>
      <c r="P6" s="64"/>
      <c r="Q6" s="64"/>
      <c r="R6" s="64"/>
      <c r="S6" s="65"/>
      <c r="T6" s="66"/>
      <c r="U6" s="67"/>
      <c r="V6" s="67"/>
      <c r="W6" s="67"/>
      <c r="X6" s="68"/>
      <c r="Y6" s="69"/>
      <c r="Z6" s="70"/>
      <c r="AA6" s="67"/>
      <c r="AB6" s="67"/>
      <c r="AC6" s="67"/>
      <c r="AD6" s="68"/>
      <c r="AE6" s="69"/>
      <c r="AF6" s="70"/>
      <c r="AG6" s="70"/>
      <c r="AH6" s="70"/>
      <c r="AI6" s="70"/>
      <c r="AJ6" s="68"/>
      <c r="AK6" s="69"/>
      <c r="AL6" s="70"/>
      <c r="AM6" s="70"/>
      <c r="AN6" s="70"/>
      <c r="AO6" s="70"/>
      <c r="AP6" s="68"/>
      <c r="AQ6" s="69"/>
      <c r="AR6" s="70"/>
      <c r="AS6" s="70"/>
      <c r="AT6" s="70"/>
      <c r="AU6" s="70"/>
      <c r="AV6" s="68"/>
      <c r="AW6" s="69"/>
      <c r="AX6" s="68"/>
      <c r="AY6" s="68"/>
      <c r="AZ6" s="69"/>
      <c r="BA6" s="70"/>
      <c r="BB6" s="71"/>
      <c r="BC6" s="72"/>
      <c r="BD6" s="73" t="str">
        <f aca="false">IF(AND(BB6&gt;=6,AP6&gt;=12,AJ6&gt;=6,AD6&gt;=6,X6&gt;=6),"да","нет")</f>
        <v>нет</v>
      </c>
      <c r="BE6" s="72"/>
      <c r="BF6" s="74"/>
      <c r="BG6" s="71"/>
      <c r="BH6" s="68"/>
      <c r="BI6" s="50"/>
      <c r="BJ6" s="75" t="n">
        <f aca="false">SUM(X6,AD6,AJ6,AP6,AV6,AX6:AY6,BH6,BB6,BG6)</f>
        <v>0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60" t="str">
        <f aca="false">IFERROR(__xludf.dummyfunction("IFERROR(QUERY('Общий список'!$B:$C, ""SELECT C WHERE B = '""&amp;C7&amp;""' AND B &lt;&gt; '' AND D = '""&amp;$C$1&amp;""'"", 0), """")"),"")</f>
        <v/>
      </c>
      <c r="C7" s="61"/>
      <c r="D7" s="61"/>
      <c r="E7" s="62"/>
      <c r="F7" s="63"/>
      <c r="G7" s="63"/>
      <c r="H7" s="63"/>
      <c r="I7" s="63"/>
      <c r="J7" s="63"/>
      <c r="K7" s="63"/>
      <c r="L7" s="63"/>
      <c r="M7" s="63"/>
      <c r="N7" s="64"/>
      <c r="O7" s="64"/>
      <c r="P7" s="64"/>
      <c r="Q7" s="64"/>
      <c r="R7" s="64"/>
      <c r="S7" s="65"/>
      <c r="T7" s="66"/>
      <c r="U7" s="67"/>
      <c r="V7" s="67"/>
      <c r="W7" s="67"/>
      <c r="X7" s="68"/>
      <c r="Y7" s="69"/>
      <c r="Z7" s="70"/>
      <c r="AA7" s="67"/>
      <c r="AB7" s="67"/>
      <c r="AC7" s="67"/>
      <c r="AD7" s="68"/>
      <c r="AE7" s="69"/>
      <c r="AF7" s="70"/>
      <c r="AG7" s="70"/>
      <c r="AH7" s="70"/>
      <c r="AI7" s="70"/>
      <c r="AJ7" s="68"/>
      <c r="AK7" s="69"/>
      <c r="AL7" s="70"/>
      <c r="AM7" s="70"/>
      <c r="AN7" s="70"/>
      <c r="AO7" s="70"/>
      <c r="AP7" s="68"/>
      <c r="AQ7" s="69"/>
      <c r="AR7" s="70"/>
      <c r="AS7" s="70"/>
      <c r="AT7" s="70"/>
      <c r="AU7" s="70"/>
      <c r="AV7" s="68"/>
      <c r="AW7" s="69"/>
      <c r="AX7" s="68"/>
      <c r="AY7" s="68"/>
      <c r="AZ7" s="69"/>
      <c r="BA7" s="70"/>
      <c r="BB7" s="71"/>
      <c r="BC7" s="72"/>
      <c r="BD7" s="73" t="str">
        <f aca="false">IF(AND(BB7&gt;=6,AP7&gt;=12,AJ7&gt;=6,AD7&gt;=6,X7&gt;=6),"да","нет")</f>
        <v>нет</v>
      </c>
      <c r="BE7" s="72"/>
      <c r="BF7" s="74"/>
      <c r="BG7" s="71"/>
      <c r="BH7" s="68"/>
      <c r="BI7" s="50"/>
      <c r="BJ7" s="75" t="n">
        <f aca="false">SUM(X7,AD7,AJ7,AP7,AV7,AX7:AY7,BH7,BB7,BG7)</f>
        <v>0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60" t="str">
        <f aca="false">IFERROR(__xludf.dummyfunction("IFERROR(QUERY('Общий список'!$B:$C, ""SELECT C WHERE B = '""&amp;C8&amp;""' AND B &lt;&gt; '' AND D = '""&amp;$C$1&amp;""'"", 0), """")"),"")</f>
        <v/>
      </c>
      <c r="C8" s="61"/>
      <c r="D8" s="61"/>
      <c r="E8" s="62"/>
      <c r="F8" s="63"/>
      <c r="G8" s="63"/>
      <c r="H8" s="63"/>
      <c r="I8" s="63"/>
      <c r="J8" s="63"/>
      <c r="K8" s="63"/>
      <c r="L8" s="63"/>
      <c r="M8" s="63"/>
      <c r="N8" s="64"/>
      <c r="O8" s="64"/>
      <c r="P8" s="64"/>
      <c r="Q8" s="64"/>
      <c r="R8" s="64"/>
      <c r="S8" s="65"/>
      <c r="T8" s="66"/>
      <c r="U8" s="67"/>
      <c r="V8" s="67"/>
      <c r="W8" s="67"/>
      <c r="X8" s="68"/>
      <c r="Y8" s="69"/>
      <c r="Z8" s="70"/>
      <c r="AA8" s="67"/>
      <c r="AB8" s="67"/>
      <c r="AC8" s="67"/>
      <c r="AD8" s="68"/>
      <c r="AE8" s="69"/>
      <c r="AF8" s="70"/>
      <c r="AG8" s="70"/>
      <c r="AH8" s="70"/>
      <c r="AI8" s="70"/>
      <c r="AJ8" s="68"/>
      <c r="AK8" s="69"/>
      <c r="AL8" s="70"/>
      <c r="AM8" s="70"/>
      <c r="AN8" s="70"/>
      <c r="AO8" s="70"/>
      <c r="AP8" s="68"/>
      <c r="AQ8" s="69"/>
      <c r="AR8" s="70"/>
      <c r="AS8" s="70"/>
      <c r="AT8" s="70"/>
      <c r="AU8" s="70"/>
      <c r="AV8" s="68"/>
      <c r="AW8" s="69"/>
      <c r="AX8" s="68"/>
      <c r="AY8" s="68"/>
      <c r="AZ8" s="69"/>
      <c r="BA8" s="70"/>
      <c r="BB8" s="71"/>
      <c r="BC8" s="72"/>
      <c r="BD8" s="73" t="str">
        <f aca="false">IF(AND(BB8&gt;=6,AP8&gt;=12,AJ8&gt;=6,AD8&gt;=6,X8&gt;=6),"да","нет")</f>
        <v>нет</v>
      </c>
      <c r="BE8" s="72"/>
      <c r="BF8" s="74"/>
      <c r="BG8" s="71"/>
      <c r="BH8" s="68"/>
      <c r="BI8" s="50"/>
      <c r="BJ8" s="75" t="n">
        <f aca="false">SUM(X8,AD8,AJ8,AP8,AV8,AX8:AY8,BH8,BB8,BG8)</f>
        <v>0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60" t="str">
        <f aca="false">IFERROR(__xludf.dummyfunction("IFERROR(QUERY('Общий список'!$B:$C, ""SELECT C WHERE B = '""&amp;C9&amp;""' AND B &lt;&gt; '' AND D = '""&amp;$C$1&amp;""'"", 0), """")"),"")</f>
        <v/>
      </c>
      <c r="C9" s="61"/>
      <c r="D9" s="61"/>
      <c r="E9" s="62"/>
      <c r="F9" s="63"/>
      <c r="G9" s="63"/>
      <c r="H9" s="63"/>
      <c r="I9" s="63"/>
      <c r="J9" s="63"/>
      <c r="K9" s="63"/>
      <c r="L9" s="63"/>
      <c r="M9" s="63"/>
      <c r="N9" s="64"/>
      <c r="O9" s="64"/>
      <c r="P9" s="64"/>
      <c r="Q9" s="64"/>
      <c r="R9" s="64"/>
      <c r="S9" s="65"/>
      <c r="T9" s="66"/>
      <c r="U9" s="67"/>
      <c r="V9" s="67"/>
      <c r="W9" s="67"/>
      <c r="X9" s="68"/>
      <c r="Y9" s="69"/>
      <c r="Z9" s="70"/>
      <c r="AA9" s="67"/>
      <c r="AB9" s="67"/>
      <c r="AC9" s="67"/>
      <c r="AD9" s="68"/>
      <c r="AE9" s="69"/>
      <c r="AF9" s="70"/>
      <c r="AG9" s="70"/>
      <c r="AH9" s="70"/>
      <c r="AI9" s="70"/>
      <c r="AJ9" s="68"/>
      <c r="AK9" s="69"/>
      <c r="AL9" s="70"/>
      <c r="AM9" s="70"/>
      <c r="AN9" s="70"/>
      <c r="AO9" s="70"/>
      <c r="AP9" s="68"/>
      <c r="AQ9" s="69"/>
      <c r="AR9" s="70"/>
      <c r="AS9" s="70"/>
      <c r="AT9" s="70"/>
      <c r="AU9" s="70"/>
      <c r="AV9" s="68"/>
      <c r="AW9" s="69"/>
      <c r="AX9" s="68"/>
      <c r="AY9" s="68"/>
      <c r="AZ9" s="69"/>
      <c r="BA9" s="70"/>
      <c r="BB9" s="71"/>
      <c r="BC9" s="72"/>
      <c r="BD9" s="73" t="str">
        <f aca="false">IF(AND(BB9&gt;=6,AP9&gt;=12,AJ9&gt;=6,AD9&gt;=6,X9&gt;=6),"да","нет")</f>
        <v>нет</v>
      </c>
      <c r="BE9" s="72"/>
      <c r="BF9" s="74"/>
      <c r="BG9" s="71"/>
      <c r="BH9" s="68"/>
      <c r="BI9" s="50"/>
      <c r="BJ9" s="75" t="n">
        <f aca="false">SUM(X9,AD9,AJ9,AP9,AV9,AX9:AY9,BH9,BB9,BG9)</f>
        <v>0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60" t="str">
        <f aca="false">IFERROR(__xludf.dummyfunction("IFERROR(QUERY('Общий список'!$B:$C, ""SELECT C WHERE B = '""&amp;C10&amp;""' AND B &lt;&gt; '' AND D = '""&amp;$C$1&amp;""'"", 0), """")"),"")</f>
        <v/>
      </c>
      <c r="C10" s="61"/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4"/>
      <c r="O10" s="64"/>
      <c r="P10" s="64"/>
      <c r="Q10" s="64"/>
      <c r="R10" s="64"/>
      <c r="S10" s="65"/>
      <c r="T10" s="66"/>
      <c r="U10" s="67"/>
      <c r="V10" s="67"/>
      <c r="W10" s="67"/>
      <c r="X10" s="68"/>
      <c r="Y10" s="69"/>
      <c r="Z10" s="70"/>
      <c r="AA10" s="67"/>
      <c r="AB10" s="67"/>
      <c r="AC10" s="67"/>
      <c r="AD10" s="68"/>
      <c r="AE10" s="69"/>
      <c r="AF10" s="70"/>
      <c r="AG10" s="70"/>
      <c r="AH10" s="70"/>
      <c r="AI10" s="70"/>
      <c r="AJ10" s="68"/>
      <c r="AK10" s="69"/>
      <c r="AL10" s="70"/>
      <c r="AM10" s="70"/>
      <c r="AN10" s="70"/>
      <c r="AO10" s="70"/>
      <c r="AP10" s="68"/>
      <c r="AQ10" s="69"/>
      <c r="AR10" s="70"/>
      <c r="AS10" s="70"/>
      <c r="AT10" s="70"/>
      <c r="AU10" s="70"/>
      <c r="AV10" s="68"/>
      <c r="AW10" s="69"/>
      <c r="AX10" s="68"/>
      <c r="AY10" s="68"/>
      <c r="AZ10" s="69"/>
      <c r="BA10" s="70"/>
      <c r="BB10" s="71"/>
      <c r="BC10" s="72"/>
      <c r="BD10" s="73" t="str">
        <f aca="false">IF(AND(BB10&gt;=6,AP10&gt;=12,AJ10&gt;=6,AD10&gt;=6,X10&gt;=6),"да","нет")</f>
        <v>нет</v>
      </c>
      <c r="BE10" s="72"/>
      <c r="BF10" s="74"/>
      <c r="BG10" s="71"/>
      <c r="BH10" s="68"/>
      <c r="BI10" s="50"/>
      <c r="BJ10" s="75" t="n">
        <f aca="false">SUM(X10,AD10,AJ10,AP10,AV10,AX10:AY10,BH10,BB10,BG10)</f>
        <v>0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60" t="str">
        <f aca="false">IFERROR(__xludf.dummyfunction("IFERROR(QUERY('Общий список'!$B:$C, ""SELECT C WHERE B = '""&amp;C11&amp;""' AND B &lt;&gt; '' AND D = '""&amp;$C$1&amp;""'"", 0), """")"),"")</f>
        <v/>
      </c>
      <c r="C11" s="61"/>
      <c r="D11" s="61"/>
      <c r="E11" s="62"/>
      <c r="F11" s="63"/>
      <c r="G11" s="63"/>
      <c r="H11" s="63"/>
      <c r="I11" s="63"/>
      <c r="J11" s="63"/>
      <c r="K11" s="63"/>
      <c r="L11" s="63"/>
      <c r="M11" s="63"/>
      <c r="N11" s="64"/>
      <c r="O11" s="64"/>
      <c r="P11" s="64"/>
      <c r="Q11" s="64"/>
      <c r="R11" s="64"/>
      <c r="S11" s="65"/>
      <c r="T11" s="66"/>
      <c r="U11" s="67"/>
      <c r="V11" s="67"/>
      <c r="W11" s="67"/>
      <c r="X11" s="68"/>
      <c r="Y11" s="69"/>
      <c r="Z11" s="70"/>
      <c r="AA11" s="67"/>
      <c r="AB11" s="67"/>
      <c r="AC11" s="67"/>
      <c r="AD11" s="68"/>
      <c r="AE11" s="69"/>
      <c r="AF11" s="70"/>
      <c r="AG11" s="70"/>
      <c r="AH11" s="70"/>
      <c r="AI11" s="70"/>
      <c r="AJ11" s="68"/>
      <c r="AK11" s="69"/>
      <c r="AL11" s="70"/>
      <c r="AM11" s="70"/>
      <c r="AN11" s="70"/>
      <c r="AO11" s="70"/>
      <c r="AP11" s="68"/>
      <c r="AQ11" s="69"/>
      <c r="AR11" s="70"/>
      <c r="AS11" s="70"/>
      <c r="AT11" s="70"/>
      <c r="AU11" s="70"/>
      <c r="AV11" s="68"/>
      <c r="AW11" s="69"/>
      <c r="AX11" s="68"/>
      <c r="AY11" s="68"/>
      <c r="AZ11" s="69"/>
      <c r="BA11" s="70"/>
      <c r="BB11" s="71"/>
      <c r="BC11" s="72"/>
      <c r="BD11" s="73" t="str">
        <f aca="false">IF(AND(BB11&gt;=6,AP11&gt;=12,AJ11&gt;=6,AD11&gt;=6,X11&gt;=6),"да","нет")</f>
        <v>нет</v>
      </c>
      <c r="BE11" s="72"/>
      <c r="BF11" s="74"/>
      <c r="BG11" s="71"/>
      <c r="BH11" s="68"/>
      <c r="BI11" s="50"/>
      <c r="BJ11" s="75" t="n">
        <f aca="false">SUM(X11,AD11,AJ11,AP11,AV11,AX11:AY11,BH11,BB11,BG11)</f>
        <v>0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60" t="str">
        <f aca="false">IFERROR(__xludf.dummyfunction("IFERROR(QUERY('Общий список'!$B:$C, ""SELECT C WHERE B = '""&amp;C12&amp;""' AND B &lt;&gt; '' AND D = '""&amp;$C$1&amp;""'"", 0), """")"),"")</f>
        <v/>
      </c>
      <c r="C12" s="61"/>
      <c r="D12" s="61"/>
      <c r="E12" s="62"/>
      <c r="F12" s="63"/>
      <c r="G12" s="63"/>
      <c r="H12" s="63"/>
      <c r="I12" s="63"/>
      <c r="J12" s="63"/>
      <c r="K12" s="63"/>
      <c r="L12" s="63"/>
      <c r="M12" s="63"/>
      <c r="N12" s="64"/>
      <c r="O12" s="64"/>
      <c r="P12" s="64"/>
      <c r="Q12" s="64"/>
      <c r="R12" s="64"/>
      <c r="S12" s="65"/>
      <c r="T12" s="66"/>
      <c r="U12" s="67"/>
      <c r="V12" s="67"/>
      <c r="W12" s="67"/>
      <c r="X12" s="68"/>
      <c r="Y12" s="69"/>
      <c r="Z12" s="70"/>
      <c r="AA12" s="67"/>
      <c r="AB12" s="67"/>
      <c r="AC12" s="67"/>
      <c r="AD12" s="68"/>
      <c r="AE12" s="69"/>
      <c r="AF12" s="70"/>
      <c r="AG12" s="70"/>
      <c r="AH12" s="70"/>
      <c r="AI12" s="70"/>
      <c r="AJ12" s="68"/>
      <c r="AK12" s="69"/>
      <c r="AL12" s="70"/>
      <c r="AM12" s="70"/>
      <c r="AN12" s="70"/>
      <c r="AO12" s="70"/>
      <c r="AP12" s="68"/>
      <c r="AQ12" s="69"/>
      <c r="AR12" s="70"/>
      <c r="AS12" s="70"/>
      <c r="AT12" s="70"/>
      <c r="AU12" s="70"/>
      <c r="AV12" s="68"/>
      <c r="AW12" s="69"/>
      <c r="AX12" s="68"/>
      <c r="AY12" s="68"/>
      <c r="AZ12" s="69"/>
      <c r="BA12" s="70"/>
      <c r="BB12" s="71"/>
      <c r="BC12" s="72"/>
      <c r="BD12" s="73" t="str">
        <f aca="false">IF(AND(BB12&gt;=6,AP12&gt;=12,AJ12&gt;=6,AD12&gt;=6,X12&gt;=6),"да","нет")</f>
        <v>нет</v>
      </c>
      <c r="BE12" s="72"/>
      <c r="BF12" s="74"/>
      <c r="BG12" s="71"/>
      <c r="BH12" s="68"/>
      <c r="BI12" s="50"/>
      <c r="BJ12" s="75" t="n">
        <f aca="false">SUM(X12,AD12,AJ12,AP12,AV12,AX12:AY12,BH12,BB12,BG12)</f>
        <v>0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60" t="str">
        <f aca="false">IFERROR(__xludf.dummyfunction("IFERROR(QUERY('Общий список'!$B:$C, ""SELECT C WHERE B = '""&amp;C13&amp;""' AND B &lt;&gt; '' AND D = '""&amp;$C$1&amp;""'"", 0), """")"),"")</f>
        <v/>
      </c>
      <c r="C13" s="61"/>
      <c r="D13" s="61"/>
      <c r="E13" s="62"/>
      <c r="F13" s="63"/>
      <c r="G13" s="63"/>
      <c r="H13" s="63"/>
      <c r="I13" s="63"/>
      <c r="J13" s="63"/>
      <c r="K13" s="63"/>
      <c r="L13" s="63"/>
      <c r="M13" s="63"/>
      <c r="N13" s="64"/>
      <c r="O13" s="64"/>
      <c r="P13" s="64"/>
      <c r="Q13" s="64"/>
      <c r="R13" s="64"/>
      <c r="S13" s="65"/>
      <c r="T13" s="66"/>
      <c r="U13" s="67"/>
      <c r="V13" s="67"/>
      <c r="W13" s="67"/>
      <c r="X13" s="68"/>
      <c r="Y13" s="69"/>
      <c r="Z13" s="70"/>
      <c r="AA13" s="67"/>
      <c r="AB13" s="67"/>
      <c r="AC13" s="67"/>
      <c r="AD13" s="68"/>
      <c r="AE13" s="69"/>
      <c r="AF13" s="70"/>
      <c r="AG13" s="70"/>
      <c r="AH13" s="70"/>
      <c r="AI13" s="70"/>
      <c r="AJ13" s="68"/>
      <c r="AK13" s="69"/>
      <c r="AL13" s="70"/>
      <c r="AM13" s="70"/>
      <c r="AN13" s="70"/>
      <c r="AO13" s="70"/>
      <c r="AP13" s="68"/>
      <c r="AQ13" s="69"/>
      <c r="AR13" s="70"/>
      <c r="AS13" s="70"/>
      <c r="AT13" s="70"/>
      <c r="AU13" s="70"/>
      <c r="AV13" s="68"/>
      <c r="AW13" s="69"/>
      <c r="AX13" s="68"/>
      <c r="AY13" s="68"/>
      <c r="AZ13" s="69"/>
      <c r="BA13" s="70"/>
      <c r="BB13" s="71"/>
      <c r="BC13" s="72"/>
      <c r="BD13" s="73" t="str">
        <f aca="false">IF(AND(BB13&gt;=6,AP13&gt;=12,AJ13&gt;=6,AD13&gt;=6,X13&gt;=6),"да","нет")</f>
        <v>нет</v>
      </c>
      <c r="BE13" s="72"/>
      <c r="BF13" s="74"/>
      <c r="BG13" s="71"/>
      <c r="BH13" s="68"/>
      <c r="BI13" s="50"/>
      <c r="BJ13" s="75" t="n">
        <f aca="false">SUM(X13,AD13,AJ13,AP13,AV13,AX13:AY13,BH13,BB13,BG13)</f>
        <v>0</v>
      </c>
      <c r="BK13" s="73" t="str">
        <f aca="false">IF(BJ13&gt;90,"A",IF(BJ13&gt;83,"B",IF(BJ13&gt;74,"C",IF(BJ13&gt;67,"D",IF(BJ13&gt;=60,"E","FX")))))</f>
        <v>FX</v>
      </c>
    </row>
    <row r="14" customFormat="false" ht="15.75" hidden="false" customHeight="false" outlineLevel="0" collapsed="false">
      <c r="A14" s="59" t="n">
        <f aca="false">A13+1</f>
        <v>12</v>
      </c>
      <c r="B14" s="60" t="str">
        <f aca="false">IFERROR(__xludf.dummyfunction("IFERROR(QUERY('Общий список'!$B:$C, ""SELECT C WHERE B = '""&amp;C14&amp;""' AND B &lt;&gt; '' AND D = '""&amp;$C$1&amp;""'"", 0), """")"),"")</f>
        <v/>
      </c>
      <c r="C14" s="61"/>
      <c r="D14" s="61"/>
      <c r="E14" s="62"/>
      <c r="F14" s="63"/>
      <c r="G14" s="63"/>
      <c r="H14" s="63"/>
      <c r="I14" s="63"/>
      <c r="J14" s="63"/>
      <c r="K14" s="63"/>
      <c r="L14" s="63"/>
      <c r="M14" s="63"/>
      <c r="N14" s="64"/>
      <c r="O14" s="64"/>
      <c r="P14" s="64"/>
      <c r="Q14" s="64"/>
      <c r="R14" s="64"/>
      <c r="S14" s="65"/>
      <c r="T14" s="66"/>
      <c r="U14" s="67"/>
      <c r="V14" s="67"/>
      <c r="W14" s="67"/>
      <c r="X14" s="68"/>
      <c r="Y14" s="69"/>
      <c r="Z14" s="70"/>
      <c r="AA14" s="67"/>
      <c r="AB14" s="67"/>
      <c r="AC14" s="67"/>
      <c r="AD14" s="68"/>
      <c r="AE14" s="69"/>
      <c r="AF14" s="70"/>
      <c r="AG14" s="70"/>
      <c r="AH14" s="70"/>
      <c r="AI14" s="70"/>
      <c r="AJ14" s="68"/>
      <c r="AK14" s="69"/>
      <c r="AL14" s="70"/>
      <c r="AM14" s="70"/>
      <c r="AN14" s="70"/>
      <c r="AO14" s="70"/>
      <c r="AP14" s="68"/>
      <c r="AQ14" s="69"/>
      <c r="AR14" s="70"/>
      <c r="AS14" s="70"/>
      <c r="AT14" s="70"/>
      <c r="AU14" s="70"/>
      <c r="AV14" s="68"/>
      <c r="AW14" s="69"/>
      <c r="AX14" s="68"/>
      <c r="AY14" s="68"/>
      <c r="AZ14" s="69"/>
      <c r="BA14" s="70"/>
      <c r="BB14" s="71"/>
      <c r="BC14" s="72"/>
      <c r="BD14" s="73" t="str">
        <f aca="false">IF(AND(BB14&gt;=6,AP14&gt;=12,AJ14&gt;=6,AD14&gt;=6,X14&gt;=6),"да","нет")</f>
        <v>нет</v>
      </c>
      <c r="BE14" s="72"/>
      <c r="BF14" s="74"/>
      <c r="BG14" s="71"/>
      <c r="BH14" s="68"/>
      <c r="BI14" s="50"/>
      <c r="BJ14" s="75" t="n">
        <f aca="false">SUM(X14,AD14,AJ14,AP14,AV14,AX14:AY14,BH14,BB14,BG14)</f>
        <v>0</v>
      </c>
      <c r="BK14" s="73" t="str">
        <f aca="false">IF(BJ14&gt;90,"A",IF(BJ14&gt;83,"B",IF(BJ14&gt;74,"C",IF(BJ14&gt;67,"D",IF(BJ14&gt;=60,"E","FX")))))</f>
        <v>FX</v>
      </c>
    </row>
    <row r="15" customFormat="false" ht="15.75" hidden="false" customHeight="false" outlineLevel="0" collapsed="false">
      <c r="A15" s="59" t="n">
        <f aca="false">A14+1</f>
        <v>13</v>
      </c>
      <c r="B15" s="60" t="str">
        <f aca="false">IFERROR(__xludf.dummyfunction("IFERROR(QUERY('Общий список'!$B:$C, ""SELECT C WHERE B = '""&amp;C15&amp;""' AND B &lt;&gt; '' AND D = '""&amp;$C$1&amp;""'"", 0), """")"),"")</f>
        <v/>
      </c>
      <c r="C15" s="61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64"/>
      <c r="O15" s="64"/>
      <c r="P15" s="64"/>
      <c r="Q15" s="64"/>
      <c r="R15" s="64"/>
      <c r="S15" s="65"/>
      <c r="T15" s="66"/>
      <c r="U15" s="67"/>
      <c r="V15" s="67"/>
      <c r="W15" s="67"/>
      <c r="X15" s="68"/>
      <c r="Y15" s="69"/>
      <c r="Z15" s="70"/>
      <c r="AA15" s="67"/>
      <c r="AB15" s="67"/>
      <c r="AC15" s="67"/>
      <c r="AD15" s="68"/>
      <c r="AE15" s="69"/>
      <c r="AF15" s="70"/>
      <c r="AG15" s="70"/>
      <c r="AH15" s="70"/>
      <c r="AI15" s="70"/>
      <c r="AJ15" s="68"/>
      <c r="AK15" s="69"/>
      <c r="AL15" s="70"/>
      <c r="AM15" s="70"/>
      <c r="AN15" s="70"/>
      <c r="AO15" s="70"/>
      <c r="AP15" s="68"/>
      <c r="AQ15" s="69"/>
      <c r="AR15" s="70"/>
      <c r="AS15" s="70"/>
      <c r="AT15" s="70"/>
      <c r="AU15" s="70"/>
      <c r="AV15" s="68"/>
      <c r="AW15" s="69"/>
      <c r="AX15" s="68"/>
      <c r="AY15" s="68"/>
      <c r="AZ15" s="69"/>
      <c r="BA15" s="70"/>
      <c r="BB15" s="71"/>
      <c r="BC15" s="72"/>
      <c r="BD15" s="73" t="str">
        <f aca="false">IF(AND(BB15&gt;=6,AP15&gt;=12,AJ15&gt;=6,AD15&gt;=6,X15&gt;=6),"да","нет")</f>
        <v>нет</v>
      </c>
      <c r="BE15" s="72"/>
      <c r="BF15" s="74"/>
      <c r="BG15" s="71"/>
      <c r="BH15" s="68"/>
      <c r="BI15" s="50"/>
      <c r="BJ15" s="75" t="n">
        <f aca="false">SUM(X15,AD15,AJ15,AP15,AV15,AX15:AY15,BH15,BB15,BG15)</f>
        <v>0</v>
      </c>
      <c r="BK15" s="73" t="str">
        <f aca="false">IF(BJ15&gt;90,"A",IF(BJ15&gt;83,"B",IF(BJ15&gt;74,"C",IF(BJ15&gt;67,"D",IF(BJ15&gt;=60,"E","FX")))))</f>
        <v>FX</v>
      </c>
    </row>
    <row r="16" customFormat="false" ht="15.75" hidden="false" customHeight="false" outlineLevel="0" collapsed="false">
      <c r="A16" s="59" t="n">
        <f aca="false">A15+1</f>
        <v>14</v>
      </c>
      <c r="B16" s="60" t="str">
        <f aca="false">IFERROR(__xludf.dummyfunction("IFERROR(QUERY('Общий список'!$B:$C, ""SELECT C WHERE B = '""&amp;C16&amp;""' AND B &lt;&gt; '' AND D = '""&amp;$C$1&amp;""'"", 0), """")"),"")</f>
        <v/>
      </c>
      <c r="C16" s="61"/>
      <c r="D16" s="61"/>
      <c r="E16" s="62"/>
      <c r="F16" s="63"/>
      <c r="G16" s="63"/>
      <c r="H16" s="63"/>
      <c r="I16" s="63"/>
      <c r="J16" s="63"/>
      <c r="K16" s="63"/>
      <c r="L16" s="63"/>
      <c r="M16" s="63"/>
      <c r="N16" s="64"/>
      <c r="O16" s="64"/>
      <c r="P16" s="64"/>
      <c r="Q16" s="64"/>
      <c r="R16" s="64"/>
      <c r="S16" s="65"/>
      <c r="T16" s="66"/>
      <c r="U16" s="67"/>
      <c r="V16" s="67"/>
      <c r="W16" s="67"/>
      <c r="X16" s="68"/>
      <c r="Y16" s="69"/>
      <c r="Z16" s="70"/>
      <c r="AA16" s="67"/>
      <c r="AB16" s="67"/>
      <c r="AC16" s="67"/>
      <c r="AD16" s="68"/>
      <c r="AE16" s="69"/>
      <c r="AF16" s="70"/>
      <c r="AG16" s="70"/>
      <c r="AH16" s="70"/>
      <c r="AI16" s="70"/>
      <c r="AJ16" s="68"/>
      <c r="AK16" s="69"/>
      <c r="AL16" s="70"/>
      <c r="AM16" s="70"/>
      <c r="AN16" s="70"/>
      <c r="AO16" s="70"/>
      <c r="AP16" s="68"/>
      <c r="AQ16" s="69"/>
      <c r="AR16" s="70"/>
      <c r="AS16" s="70"/>
      <c r="AT16" s="70"/>
      <c r="AU16" s="70"/>
      <c r="AV16" s="68"/>
      <c r="AW16" s="69"/>
      <c r="AX16" s="68"/>
      <c r="AY16" s="68"/>
      <c r="AZ16" s="69"/>
      <c r="BA16" s="70"/>
      <c r="BB16" s="71"/>
      <c r="BC16" s="72"/>
      <c r="BD16" s="73" t="str">
        <f aca="false">IF(AND(BB16&gt;=6,AP16&gt;=12,AJ16&gt;=6,AD16&gt;=6,X16&gt;=6),"да","нет")</f>
        <v>нет</v>
      </c>
      <c r="BE16" s="72"/>
      <c r="BF16" s="74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f aca="false">A16+1</f>
        <v>15</v>
      </c>
      <c r="B17" s="60" t="str">
        <f aca="false">IFERROR(__xludf.dummyfunction("IFERROR(QUERY('Общий список'!$B:$C, ""SELECT C WHERE B = '""&amp;C17&amp;""' AND B &lt;&gt; '' AND D = '""&amp;$C$1&amp;""'"", 0), """")"),"")</f>
        <v/>
      </c>
      <c r="C17" s="61"/>
      <c r="D17" s="61"/>
      <c r="E17" s="62"/>
      <c r="F17" s="63"/>
      <c r="G17" s="63"/>
      <c r="H17" s="63"/>
      <c r="I17" s="63"/>
      <c r="J17" s="63"/>
      <c r="K17" s="63"/>
      <c r="L17" s="63"/>
      <c r="M17" s="63"/>
      <c r="N17" s="64"/>
      <c r="O17" s="64"/>
      <c r="P17" s="64"/>
      <c r="Q17" s="64"/>
      <c r="R17" s="64"/>
      <c r="S17" s="65"/>
      <c r="T17" s="66"/>
      <c r="U17" s="67"/>
      <c r="V17" s="67"/>
      <c r="W17" s="67"/>
      <c r="X17" s="68"/>
      <c r="Y17" s="69"/>
      <c r="Z17" s="70"/>
      <c r="AA17" s="67"/>
      <c r="AB17" s="67"/>
      <c r="AC17" s="67"/>
      <c r="AD17" s="68"/>
      <c r="AE17" s="69"/>
      <c r="AF17" s="70"/>
      <c r="AG17" s="70"/>
      <c r="AH17" s="70"/>
      <c r="AI17" s="70"/>
      <c r="AJ17" s="68"/>
      <c r="AK17" s="69"/>
      <c r="AL17" s="70"/>
      <c r="AM17" s="70"/>
      <c r="AN17" s="70"/>
      <c r="AO17" s="70"/>
      <c r="AP17" s="68"/>
      <c r="AQ17" s="69"/>
      <c r="AR17" s="70"/>
      <c r="AS17" s="70"/>
      <c r="AT17" s="70"/>
      <c r="AU17" s="70"/>
      <c r="AV17" s="68"/>
      <c r="AW17" s="69"/>
      <c r="AX17" s="68"/>
      <c r="AY17" s="68"/>
      <c r="AZ17" s="69"/>
      <c r="BA17" s="70"/>
      <c r="BB17" s="71"/>
      <c r="BC17" s="72"/>
      <c r="BD17" s="73" t="str">
        <f aca="false">IF(AND(BB17&gt;=6,AP17&gt;=12,AJ17&gt;=6,AD17&gt;=6,X17&gt;=6),"да","нет")</f>
        <v>нет</v>
      </c>
      <c r="BE17" s="72"/>
      <c r="BF17" s="74"/>
      <c r="BG17" s="71"/>
      <c r="BH17" s="68"/>
      <c r="BI17" s="50"/>
      <c r="BJ17" s="75" t="n">
        <f aca="false">SUM(X17,AD17,AJ17,AP17,AV17,AX17:AY17,BH17,BB17,BG17)</f>
        <v>0</v>
      </c>
      <c r="BK17" s="73" t="str">
        <f aca="false">IF(BJ17&gt;90,"A",IF(BJ17&gt;83,"B",IF(BJ17&gt;74,"C",IF(BJ17&gt;67,"D",IF(BJ17&gt;=60,"E","FX")))))</f>
        <v>FX</v>
      </c>
    </row>
    <row r="18" customFormat="false" ht="15.75" hidden="false" customHeight="false" outlineLevel="0" collapsed="false">
      <c r="A18" s="59" t="n">
        <f aca="false">A17+1</f>
        <v>16</v>
      </c>
      <c r="B18" s="60" t="str">
        <f aca="false">IFERROR(__xludf.dummyfunction("IFERROR(QUERY('Общий список'!$B:$C, ""SELECT C WHERE B = '""&amp;C18&amp;""' AND B &lt;&gt; '' AND D = '""&amp;$C$1&amp;""'"", 0), """")"),"")</f>
        <v/>
      </c>
      <c r="C18" s="61"/>
      <c r="D18" s="61"/>
      <c r="E18" s="62"/>
      <c r="F18" s="63"/>
      <c r="G18" s="63"/>
      <c r="H18" s="63"/>
      <c r="I18" s="63"/>
      <c r="J18" s="63"/>
      <c r="K18" s="63"/>
      <c r="L18" s="63"/>
      <c r="M18" s="63"/>
      <c r="N18" s="64"/>
      <c r="O18" s="64"/>
      <c r="P18" s="64"/>
      <c r="Q18" s="64"/>
      <c r="R18" s="64"/>
      <c r="S18" s="65"/>
      <c r="T18" s="66"/>
      <c r="U18" s="67"/>
      <c r="V18" s="67"/>
      <c r="W18" s="67"/>
      <c r="X18" s="68"/>
      <c r="Y18" s="69"/>
      <c r="Z18" s="70"/>
      <c r="AA18" s="67"/>
      <c r="AB18" s="67"/>
      <c r="AC18" s="67"/>
      <c r="AD18" s="68"/>
      <c r="AE18" s="69"/>
      <c r="AF18" s="70"/>
      <c r="AG18" s="70"/>
      <c r="AH18" s="70"/>
      <c r="AI18" s="70"/>
      <c r="AJ18" s="68"/>
      <c r="AK18" s="69"/>
      <c r="AL18" s="70"/>
      <c r="AM18" s="70"/>
      <c r="AN18" s="70"/>
      <c r="AO18" s="70"/>
      <c r="AP18" s="68"/>
      <c r="AQ18" s="69"/>
      <c r="AR18" s="70"/>
      <c r="AS18" s="70"/>
      <c r="AT18" s="70"/>
      <c r="AU18" s="70"/>
      <c r="AV18" s="68"/>
      <c r="AW18" s="69"/>
      <c r="AX18" s="68"/>
      <c r="AY18" s="68"/>
      <c r="AZ18" s="69"/>
      <c r="BA18" s="70"/>
      <c r="BB18" s="71"/>
      <c r="BC18" s="72"/>
      <c r="BD18" s="73" t="str">
        <f aca="false">IF(AND(BB18&gt;=6,AP18&gt;=12,AJ18&gt;=6,AD18&gt;=6,X18&gt;=6),"да","нет")</f>
        <v>нет</v>
      </c>
      <c r="BE18" s="72"/>
      <c r="BF18" s="74"/>
      <c r="BG18" s="71"/>
      <c r="BH18" s="68"/>
      <c r="BI18" s="50"/>
      <c r="BJ18" s="75" t="n">
        <f aca="false">SUM(X18,AD18,AJ18,AP18,AV18,AX18:AY18,BH18,BB18,BG18)</f>
        <v>0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f aca="false">A18+1</f>
        <v>17</v>
      </c>
      <c r="B19" s="60" t="str">
        <f aca="false">IFERROR(__xludf.dummyfunction("IFERROR(QUERY('Общий список'!$B:$C, ""SELECT C WHERE B = '""&amp;C19&amp;""' AND B &lt;&gt; '' AND D = '""&amp;$C$1&amp;""'"", 0), """")"),"")</f>
        <v/>
      </c>
      <c r="C19" s="61"/>
      <c r="D19" s="61"/>
      <c r="E19" s="62"/>
      <c r="F19" s="63"/>
      <c r="G19" s="63"/>
      <c r="H19" s="63"/>
      <c r="I19" s="63"/>
      <c r="J19" s="63"/>
      <c r="K19" s="63"/>
      <c r="L19" s="63"/>
      <c r="M19" s="63"/>
      <c r="N19" s="64"/>
      <c r="O19" s="64"/>
      <c r="P19" s="64"/>
      <c r="Q19" s="64"/>
      <c r="R19" s="64"/>
      <c r="S19" s="65"/>
      <c r="T19" s="66"/>
      <c r="U19" s="67"/>
      <c r="V19" s="67"/>
      <c r="W19" s="67"/>
      <c r="X19" s="68"/>
      <c r="Y19" s="69"/>
      <c r="Z19" s="70"/>
      <c r="AA19" s="67"/>
      <c r="AB19" s="67"/>
      <c r="AC19" s="67"/>
      <c r="AD19" s="68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/>
      <c r="AS19" s="70"/>
      <c r="AT19" s="70"/>
      <c r="AU19" s="70"/>
      <c r="AV19" s="68"/>
      <c r="AW19" s="69"/>
      <c r="AX19" s="68"/>
      <c r="AY19" s="68"/>
      <c r="AZ19" s="69"/>
      <c r="BA19" s="70"/>
      <c r="BB19" s="71"/>
      <c r="BC19" s="72"/>
      <c r="BD19" s="73" t="str">
        <f aca="false">IF(AND(BB19&gt;=6,AP19&gt;=12,AJ19&gt;=6,AD19&gt;=6,X19&gt;=6),"да","нет")</f>
        <v>нет</v>
      </c>
      <c r="BE19" s="72"/>
      <c r="BF19" s="74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18</v>
      </c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/>
      <c r="H20" s="63"/>
      <c r="I20" s="63"/>
      <c r="J20" s="63"/>
      <c r="K20" s="63"/>
      <c r="L20" s="63"/>
      <c r="M20" s="63"/>
      <c r="N20" s="64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IF(AND(BB20&gt;=6,AP20&gt;=12,AJ20&gt;=6,AD20&gt;=6,X20&gt;=6),"да","нет")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IF(AND(BB21&gt;=6,AP21&gt;=12,AJ21&gt;=6,AD21&gt;=6,X21&gt;=6),"да","нет")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IF(AND(BB22&gt;=6,AP22&gt;=12,AJ22&gt;=6,AD22&gt;=6,X22&gt;=6),"да","нет")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67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IF(AND(BB23&gt;=6,AP23&gt;=12,AJ23&gt;=6,AD23&gt;=6,X23&gt;=6),"да","нет")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IF(AND(BB24&gt;=6,AP24&gt;=12,AJ24&gt;=6,AD24&gt;=6,X24&gt;=6),"да","нет")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IF(AND(BB25&gt;=6,AP25&gt;=12,AJ25&gt;=6,AD25&gt;=6,X25&gt;=6),"да","нет")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COUNTIF(F$3:F$22, "~**")</f>
        <v>0</v>
      </c>
      <c r="G27" s="70" t="n">
        <f aca="false">COUNTIF(G$3:G$22, "~**")</f>
        <v>0</v>
      </c>
      <c r="H27" s="70" t="n">
        <f aca="false">COUNTIF(H$3:H$22, "~**")</f>
        <v>0</v>
      </c>
      <c r="I27" s="70" t="n">
        <f aca="false">COUNTIF(I$3:I$22, "~**")</f>
        <v>0</v>
      </c>
      <c r="J27" s="70" t="n">
        <f aca="false">COUNTIF(J$3:J$22, "~**")</f>
        <v>0</v>
      </c>
      <c r="K27" s="70" t="n">
        <f aca="false">COUNTIF(K$3:K$22, "~**")</f>
        <v>0</v>
      </c>
      <c r="L27" s="70" t="n">
        <f aca="false">COUNTIF(L$3:L$22, "~**")</f>
        <v>0</v>
      </c>
      <c r="M27" s="70" t="n">
        <f aca="false">COUNTIF(M$3:M$22, "~**")</f>
        <v>0</v>
      </c>
      <c r="N27" s="70" t="n">
        <f aca="false">COUNTIF(N$3:N$22, "~**")</f>
        <v>0</v>
      </c>
      <c r="O27" s="70"/>
      <c r="P27" s="70"/>
      <c r="Q27" s="70" t="n">
        <f aca="false">COUNTIF(Q$3:Q$22, "~**")</f>
        <v>0</v>
      </c>
      <c r="R27" s="70" t="n">
        <f aca="false">COUNTIF(R$3:R$22,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COUNTIF(F$3:F$22, "~**")+COUNTIF(F$3:F$22, "Y")</f>
        <v>0</v>
      </c>
      <c r="G28" s="70" t="n">
        <f aca="false">COUNTIF(G$3:G$22, "~**")+COUNTIF(G$3:G$22, "Y")</f>
        <v>0</v>
      </c>
      <c r="H28" s="70" t="n">
        <f aca="false">COUNTIF(H$3:H$22, "~**")+COUNTIF(H$3:H$22, "Y")</f>
        <v>0</v>
      </c>
      <c r="I28" s="70" t="n">
        <f aca="false">COUNTIF(I$3:I$22, "~**")+COUNTIF(I$3:I$22, "Y")</f>
        <v>0</v>
      </c>
      <c r="J28" s="70" t="n">
        <f aca="false">COUNTIF(J$3:J$22, "~**")+COUNTIF(J$3:J$22, "Y")</f>
        <v>0</v>
      </c>
      <c r="K28" s="70" t="n">
        <f aca="false">COUNTIF(K$3:K$22, "~**")+COUNTIF(K$3:K$22, "Y")</f>
        <v>0</v>
      </c>
      <c r="L28" s="70" t="n">
        <f aca="false">COUNTIF(L$3:L$22, "~**")+COUNTIF(L$3:L$22, "Y")</f>
        <v>0</v>
      </c>
      <c r="M28" s="70" t="n">
        <f aca="false">COUNTIF(M$3:M$22, "~**")+COUNTIF(M$3:M$22, "Y")</f>
        <v>0</v>
      </c>
      <c r="N28" s="70" t="n">
        <f aca="false">COUNTIF(N$3:N$22, "~**")+COUNTIF(N$3:N$22, "Y")</f>
        <v>0</v>
      </c>
      <c r="O28" s="70"/>
      <c r="P28" s="70"/>
      <c r="Q28" s="70" t="n">
        <f aca="false">COUNTIF(Q$3:Q$22, "~**")+COUNTIF(Q$3:Q$22, "Y")</f>
        <v>0</v>
      </c>
      <c r="R28" s="70" t="n">
        <f aca="false">COUNTIF(R$3:R$22, "~**")+COUNTIF(R$3:R$22,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0</v>
      </c>
      <c r="W30" s="44" t="n">
        <f aca="false">COUNT(W3:W25)</f>
        <v>0</v>
      </c>
      <c r="X30" s="44" t="n">
        <f aca="false">COUNT(X3:X25)</f>
        <v>0</v>
      </c>
      <c r="Y30" s="77"/>
      <c r="Z30" s="44"/>
      <c r="AA30" s="44" t="n">
        <f aca="false">COUNT(AA3:AA25)</f>
        <v>0</v>
      </c>
      <c r="AB30" s="44" t="n">
        <f aca="false">COUNT(AB3:AB25)</f>
        <v>0</v>
      </c>
      <c r="AC30" s="44" t="n">
        <f aca="false">COUNT(AC3:AC25)</f>
        <v>0</v>
      </c>
      <c r="AD30" s="44" t="n">
        <f aca="false">COUNT(AD3:AD25)</f>
        <v>0</v>
      </c>
      <c r="AE30" s="77"/>
      <c r="AF30" s="44"/>
      <c r="AG30" s="44" t="n">
        <f aca="false">COUNT(AG3:AG25)</f>
        <v>0</v>
      </c>
      <c r="AH30" s="44" t="n">
        <f aca="false">COUNT(AH3:AH25)</f>
        <v>0</v>
      </c>
      <c r="AI30" s="44" t="n">
        <f aca="false">COUNT(AI3:AI25)</f>
        <v>0</v>
      </c>
      <c r="AJ30" s="44" t="n">
        <f aca="false">COUNT(AJ3:AJ25)</f>
        <v>0</v>
      </c>
      <c r="AK30" s="77"/>
      <c r="AL30" s="44"/>
      <c r="AM30" s="44" t="n">
        <f aca="false">COUNT(AM3:AM25)</f>
        <v>0</v>
      </c>
      <c r="AN30" s="44" t="n">
        <f aca="false">COUNT(AN3:AN25)</f>
        <v>0</v>
      </c>
      <c r="AO30" s="44" t="n">
        <f aca="false">COUNT(AO3:AO25)</f>
        <v>0</v>
      </c>
      <c r="AP30" s="44" t="n">
        <f aca="false">COUNT(AP3:AP25)</f>
        <v>0</v>
      </c>
      <c r="AQ30" s="77"/>
      <c r="AR30" s="44"/>
      <c r="AS30" s="44" t="n">
        <f aca="false">COUNT(AS3:AS25)</f>
        <v>0</v>
      </c>
      <c r="AT30" s="44" t="n">
        <f aca="false">COUNT(AT3:AT25)</f>
        <v>0</v>
      </c>
      <c r="AU30" s="44" t="n">
        <f aca="false">COUNT(AU3:AU25)</f>
        <v>0</v>
      </c>
      <c r="AV30" s="44" t="n">
        <f aca="false">COUNT(AV3:AV25)</f>
        <v>0</v>
      </c>
      <c r="AW30" s="77"/>
      <c r="AX30" s="44" t="n">
        <f aca="false">COUNT(AX3:AX25)</f>
        <v>0</v>
      </c>
      <c r="AY30" s="44" t="n">
        <f aca="false">COUNT(AY3:AY25)</f>
        <v>0</v>
      </c>
      <c r="AZ30" s="77"/>
      <c r="BA30" s="44"/>
      <c r="BB30" s="44" t="n">
        <f aca="false">COUNTIF(BB3:BB25, "&gt;=6")</f>
        <v>0</v>
      </c>
      <c r="BC30" s="77"/>
      <c r="BD30" s="44" t="n">
        <f aca="false">COUNTIF(BD3:BD25, "Да")</f>
        <v>0</v>
      </c>
      <c r="BE30" s="77"/>
      <c r="BF30" s="44"/>
      <c r="BG30" s="44" t="n">
        <f aca="false">COUNT(BG3:BG25)</f>
        <v>0</v>
      </c>
      <c r="BH30" s="44" t="n">
        <f aca="false">COUNT(BH3:BH25)</f>
        <v>0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95" t="n">
        <f aca="false">IF(COUNTA($B$3:$B$22)&gt;0,COUNTA(X$3:X$22)/COUNTA($B$3:$B$22), 0)</f>
        <v>0</v>
      </c>
      <c r="Y31" s="96"/>
      <c r="Z31" s="93"/>
      <c r="AA31" s="93"/>
      <c r="AB31" s="93"/>
      <c r="AC31" s="93"/>
      <c r="AD31" s="95" t="n">
        <f aca="false">IF(COUNTA($B$3:$B$22)&gt;0,COUNTA(AD$3:AD$22)/COUNTA($B$3:$B$22), 0)</f>
        <v>0</v>
      </c>
      <c r="AE31" s="97"/>
      <c r="AF31" s="98"/>
      <c r="AG31" s="93"/>
      <c r="AH31" s="98"/>
      <c r="AI31" s="93"/>
      <c r="AJ31" s="95" t="n">
        <f aca="false">IF(COUNTA($B$3:$B$22)&gt;0,COUNTA(AJ$3:AJ$22)/COUNTA($B$3:$B$22), 0)</f>
        <v>0</v>
      </c>
      <c r="AK31" s="96"/>
      <c r="AL31" s="93"/>
      <c r="AM31" s="93"/>
      <c r="AN31" s="93"/>
      <c r="AO31" s="93"/>
      <c r="AP31" s="95" t="n">
        <f aca="false">IF(COUNTA($B$3:$B$22)&gt;0,COUNTA(AP$3:AP$22)/COUNTA($B$3:$B$22), 0)</f>
        <v>0</v>
      </c>
      <c r="AQ31" s="96"/>
      <c r="AR31" s="93"/>
      <c r="AS31" s="93"/>
      <c r="AT31" s="93"/>
      <c r="AU31" s="93"/>
      <c r="AV31" s="95" t="n">
        <f aca="false">IF(COUNTA($B$3:$B$22)&gt;0,COUNTA(AV$3:AV$22)/COUNTA($B$3:$B$22), 0)</f>
        <v>0</v>
      </c>
      <c r="AW31" s="99"/>
      <c r="AX31" s="100"/>
      <c r="AY31" s="100"/>
      <c r="AZ31" s="99"/>
      <c r="BA31" s="100"/>
      <c r="BB31" s="95" t="n">
        <f aca="false">IF(COUNTA($B$3:$B$22)&gt;0,COUNTA(BB$3:BB$22)/COUNTA($B$3:$B$22), 0)</f>
        <v>0</v>
      </c>
      <c r="BC31" s="77"/>
      <c r="BD31" s="44" t="n">
        <f aca="false">COUNTIF(BD3:BD25, "Да")</f>
        <v>0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fals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fals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fals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">
    <cfRule type="expression" priority="2" aboveAverage="0" equalAverage="0" bottom="0" percent="0" rank="0" text="" dxfId="2">
      <formula>U3&gt;45809</formula>
    </cfRule>
  </conditionalFormatting>
  <conditionalFormatting sqref="BC3:BD25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FF"/>
    <outlinePr summaryBelow="0"/>
    <pageSetUpPr fitToPage="false"/>
  </sheetPr>
  <dimension ref="A1:B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51.38"/>
    <col collapsed="false" customWidth="true" hidden="false" outlineLevel="0" max="3" min="3" style="0" width="11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8.38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1141</v>
      </c>
      <c r="C1" s="45" t="s">
        <v>1142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45703</v>
      </c>
      <c r="G2" s="55" t="n">
        <f aca="false">F2+14</f>
        <v>45717</v>
      </c>
      <c r="H2" s="55" t="n">
        <f aca="false">G2+14</f>
        <v>45731</v>
      </c>
      <c r="I2" s="55" t="n">
        <f aca="false">H2+14</f>
        <v>45745</v>
      </c>
      <c r="J2" s="55" t="n">
        <f aca="false">I2+14</f>
        <v>45759</v>
      </c>
      <c r="K2" s="55" t="n">
        <f aca="false">J2+14</f>
        <v>45773</v>
      </c>
      <c r="L2" s="55" t="n">
        <f aca="false">K2+14</f>
        <v>45787</v>
      </c>
      <c r="M2" s="55" t="n">
        <f aca="false">L2+14</f>
        <v>45801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60" t="s">
        <v>26</v>
      </c>
      <c r="C3" s="61" t="s">
        <v>21</v>
      </c>
      <c r="D3" s="61" t="s">
        <v>25</v>
      </c>
      <c r="E3" s="62"/>
      <c r="F3" s="63" t="s">
        <v>919</v>
      </c>
      <c r="G3" s="63" t="s">
        <v>919</v>
      </c>
      <c r="H3" s="63" t="s">
        <v>734</v>
      </c>
      <c r="I3" s="63" t="s">
        <v>734</v>
      </c>
      <c r="J3" s="63" t="s">
        <v>739</v>
      </c>
      <c r="K3" s="63" t="s">
        <v>734</v>
      </c>
      <c r="L3" s="63" t="s">
        <v>734</v>
      </c>
      <c r="M3" s="63" t="s">
        <v>919</v>
      </c>
      <c r="N3" s="63" t="s">
        <v>734</v>
      </c>
      <c r="O3" s="63" t="s">
        <v>734</v>
      </c>
      <c r="P3" s="63" t="s">
        <v>920</v>
      </c>
      <c r="Q3" s="63" t="s">
        <v>920</v>
      </c>
      <c r="R3" s="63" t="s">
        <v>920</v>
      </c>
      <c r="S3" s="65"/>
      <c r="T3" s="66" t="s">
        <v>1143</v>
      </c>
      <c r="U3" s="106" t="n">
        <v>45759</v>
      </c>
      <c r="V3" s="106" t="n">
        <v>45759</v>
      </c>
      <c r="W3" s="106" t="n">
        <v>45759</v>
      </c>
      <c r="X3" s="87" t="n">
        <v>9.5</v>
      </c>
      <c r="Y3" s="69"/>
      <c r="Z3" s="70" t="n">
        <v>653</v>
      </c>
      <c r="AA3" s="67" t="n">
        <v>45793</v>
      </c>
      <c r="AB3" s="67" t="n">
        <v>45793</v>
      </c>
      <c r="AC3" s="67" t="n">
        <v>45793</v>
      </c>
      <c r="AD3" s="87" t="n">
        <v>10</v>
      </c>
      <c r="AE3" s="69"/>
      <c r="AF3" s="70" t="n">
        <v>997</v>
      </c>
      <c r="AG3" s="106" t="n">
        <v>45801</v>
      </c>
      <c r="AH3" s="106" t="n">
        <v>45801</v>
      </c>
      <c r="AI3" s="106" t="n">
        <v>45801</v>
      </c>
      <c r="AJ3" s="87" t="n">
        <v>10</v>
      </c>
      <c r="AK3" s="69"/>
      <c r="AL3" s="70" t="n">
        <v>676</v>
      </c>
      <c r="AM3" s="106" t="n">
        <v>45822</v>
      </c>
      <c r="AN3" s="106" t="n">
        <v>45822</v>
      </c>
      <c r="AO3" s="106" t="n">
        <v>45822</v>
      </c>
      <c r="AP3" s="68" t="n">
        <v>10</v>
      </c>
      <c r="AQ3" s="69"/>
      <c r="AR3" s="70" t="n">
        <v>441</v>
      </c>
      <c r="AS3" s="106" t="n">
        <v>45828</v>
      </c>
      <c r="AT3" s="106" t="n">
        <v>45828</v>
      </c>
      <c r="AU3" s="106" t="n">
        <v>45828</v>
      </c>
      <c r="AV3" s="87" t="n">
        <v>10</v>
      </c>
      <c r="AW3" s="69"/>
      <c r="AX3" s="68" t="n">
        <v>0</v>
      </c>
      <c r="AY3" s="68"/>
      <c r="AZ3" s="69"/>
      <c r="BA3" s="67" t="n">
        <v>45826</v>
      </c>
      <c r="BB3" s="87" t="n">
        <v>6</v>
      </c>
      <c r="BC3" s="72"/>
      <c r="BD3" s="73" t="str">
        <f aca="false">IF(AND(BB3&gt;=6,AP3&gt;=6,AJ3&gt;=6,AD3&gt;=6,X3&gt;=6),"да","нет")</f>
        <v>да</v>
      </c>
      <c r="BE3" s="72"/>
      <c r="BF3" s="118" t="n">
        <v>45836</v>
      </c>
      <c r="BG3" s="71"/>
      <c r="BH3" s="68"/>
      <c r="BI3" s="50"/>
      <c r="BJ3" s="107" t="n">
        <f aca="false">SUM(X3,AD3,AJ3,AP3,AV3,AX3:AY3,BH3,BB3,BG3)</f>
        <v>55.5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60" t="s">
        <v>34</v>
      </c>
      <c r="C4" s="61" t="s">
        <v>21</v>
      </c>
      <c r="D4" s="61" t="s">
        <v>33</v>
      </c>
      <c r="E4" s="62"/>
      <c r="F4" s="63" t="s">
        <v>920</v>
      </c>
      <c r="G4" s="63" t="s">
        <v>920</v>
      </c>
      <c r="H4" s="63" t="s">
        <v>920</v>
      </c>
      <c r="I4" s="63" t="s">
        <v>920</v>
      </c>
      <c r="J4" s="63" t="s">
        <v>920</v>
      </c>
      <c r="K4" s="63" t="s">
        <v>734</v>
      </c>
      <c r="L4" s="63" t="s">
        <v>734</v>
      </c>
      <c r="M4" s="63" t="s">
        <v>920</v>
      </c>
      <c r="N4" s="63" t="s">
        <v>920</v>
      </c>
      <c r="O4" s="63" t="s">
        <v>920</v>
      </c>
      <c r="P4" s="63" t="s">
        <v>920</v>
      </c>
      <c r="Q4" s="63" t="s">
        <v>920</v>
      </c>
      <c r="R4" s="63" t="s">
        <v>920</v>
      </c>
      <c r="S4" s="65"/>
      <c r="T4" s="66" t="s">
        <v>1144</v>
      </c>
      <c r="U4" s="67"/>
      <c r="V4" s="67"/>
      <c r="W4" s="67"/>
      <c r="X4" s="87"/>
      <c r="Y4" s="69"/>
      <c r="Z4" s="70"/>
      <c r="AA4" s="67"/>
      <c r="AB4" s="67"/>
      <c r="AC4" s="67"/>
      <c r="AD4" s="87"/>
      <c r="AE4" s="69"/>
      <c r="AF4" s="70"/>
      <c r="AG4" s="70"/>
      <c r="AH4" s="70"/>
      <c r="AI4" s="70"/>
      <c r="AJ4" s="87"/>
      <c r="AK4" s="69"/>
      <c r="AL4" s="70"/>
      <c r="AM4" s="70"/>
      <c r="AN4" s="70"/>
      <c r="AO4" s="70"/>
      <c r="AP4" s="68"/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87" t="n">
        <v>0</v>
      </c>
      <c r="AW4" s="69"/>
      <c r="AX4" s="68"/>
      <c r="AY4" s="68"/>
      <c r="AZ4" s="69"/>
      <c r="BA4" s="106" t="n">
        <v>45794</v>
      </c>
      <c r="BB4" s="87" t="n">
        <v>0.01</v>
      </c>
      <c r="BC4" s="72"/>
      <c r="BD4" s="73" t="str">
        <f aca="false">IF(AND(BB4&gt;=6,AP4&gt;=6,AJ4&gt;=6,AD4&gt;=6,X4&gt;=6),"да","нет")</f>
        <v>нет</v>
      </c>
      <c r="BE4" s="72"/>
      <c r="BF4" s="74"/>
      <c r="BG4" s="71"/>
      <c r="BH4" s="68"/>
      <c r="BI4" s="50"/>
      <c r="BJ4" s="107" t="n">
        <f aca="false">SUM(X4,AD4,AJ4,AP4,AV4,AX4:AY4,BH4,BB4,BG4)</f>
        <v>0.01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60" t="s">
        <v>49</v>
      </c>
      <c r="C5" s="61" t="s">
        <v>21</v>
      </c>
      <c r="D5" s="61" t="s">
        <v>48</v>
      </c>
      <c r="E5" s="62"/>
      <c r="F5" s="63" t="s">
        <v>919</v>
      </c>
      <c r="G5" s="63" t="s">
        <v>734</v>
      </c>
      <c r="H5" s="63" t="s">
        <v>734</v>
      </c>
      <c r="I5" s="63" t="s">
        <v>734</v>
      </c>
      <c r="J5" s="63" t="s">
        <v>739</v>
      </c>
      <c r="K5" s="63" t="s">
        <v>739</v>
      </c>
      <c r="L5" s="63" t="s">
        <v>739</v>
      </c>
      <c r="M5" s="63" t="s">
        <v>734</v>
      </c>
      <c r="N5" s="63" t="s">
        <v>920</v>
      </c>
      <c r="O5" s="63" t="s">
        <v>734</v>
      </c>
      <c r="P5" s="63" t="s">
        <v>920</v>
      </c>
      <c r="Q5" s="63" t="s">
        <v>920</v>
      </c>
      <c r="R5" s="63" t="s">
        <v>920</v>
      </c>
      <c r="S5" s="65"/>
      <c r="T5" s="66" t="s">
        <v>1145</v>
      </c>
      <c r="U5" s="67" t="n">
        <v>45745</v>
      </c>
      <c r="V5" s="106" t="n">
        <v>45759</v>
      </c>
      <c r="W5" s="106" t="n">
        <v>45759</v>
      </c>
      <c r="X5" s="87" t="n">
        <v>8.5</v>
      </c>
      <c r="Y5" s="69"/>
      <c r="Z5" s="70" t="n">
        <v>678</v>
      </c>
      <c r="AA5" s="67" t="n">
        <v>45773</v>
      </c>
      <c r="AB5" s="67" t="n">
        <v>45773</v>
      </c>
      <c r="AC5" s="67" t="n">
        <v>45773</v>
      </c>
      <c r="AD5" s="87" t="n">
        <v>10</v>
      </c>
      <c r="AE5" s="69"/>
      <c r="AF5" s="70" t="n">
        <v>735</v>
      </c>
      <c r="AG5" s="106" t="n">
        <v>45801</v>
      </c>
      <c r="AH5" s="106" t="n">
        <v>45801</v>
      </c>
      <c r="AI5" s="106" t="n">
        <v>45801</v>
      </c>
      <c r="AJ5" s="87" t="n">
        <v>9</v>
      </c>
      <c r="AK5" s="69"/>
      <c r="AL5" s="70" t="n">
        <v>998</v>
      </c>
      <c r="AM5" s="106" t="n">
        <v>45828</v>
      </c>
      <c r="AN5" s="106" t="n">
        <v>45828</v>
      </c>
      <c r="AO5" s="106" t="n">
        <v>45828</v>
      </c>
      <c r="AP5" s="68" t="n">
        <v>8.5</v>
      </c>
      <c r="AQ5" s="69"/>
      <c r="AR5" s="70" t="s">
        <v>737</v>
      </c>
      <c r="AS5" s="70" t="s">
        <v>737</v>
      </c>
      <c r="AT5" s="70" t="s">
        <v>737</v>
      </c>
      <c r="AU5" s="70" t="s">
        <v>737</v>
      </c>
      <c r="AV5" s="87" t="n">
        <v>0</v>
      </c>
      <c r="AW5" s="69"/>
      <c r="AX5" s="68" t="n">
        <v>2</v>
      </c>
      <c r="AY5" s="68" t="n">
        <v>1</v>
      </c>
      <c r="AZ5" s="69"/>
      <c r="BA5" s="106" t="n">
        <v>45794</v>
      </c>
      <c r="BB5" s="87" t="n">
        <v>7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45836</v>
      </c>
      <c r="BG5" s="71" t="n">
        <v>18</v>
      </c>
      <c r="BH5" s="68"/>
      <c r="BI5" s="50"/>
      <c r="BJ5" s="107" t="n">
        <f aca="false">SUM(X5,AD5,AJ5,AP5,AV5,AX5:AY5,BH5,BB5,BG5)</f>
        <v>64</v>
      </c>
      <c r="BK5" s="73" t="str">
        <f aca="false">IF(BJ5&gt;90,"A",IF(BJ5&gt;83,"B",IF(BJ5&gt;74,"C",IF(BJ5&gt;67,"D",IF(BJ5&gt;=60,"E","FX")))))</f>
        <v>E</v>
      </c>
    </row>
    <row r="6" customFormat="false" ht="15.75" hidden="false" customHeight="false" outlineLevel="0" collapsed="false">
      <c r="A6" s="59" t="n">
        <f aca="false">A5+1</f>
        <v>4</v>
      </c>
      <c r="B6" s="60" t="s">
        <v>51</v>
      </c>
      <c r="C6" s="61" t="s">
        <v>21</v>
      </c>
      <c r="D6" s="61" t="s">
        <v>50</v>
      </c>
      <c r="E6" s="62"/>
      <c r="F6" s="63" t="s">
        <v>919</v>
      </c>
      <c r="G6" s="63" t="s">
        <v>739</v>
      </c>
      <c r="H6" s="63" t="s">
        <v>734</v>
      </c>
      <c r="I6" s="63" t="s">
        <v>734</v>
      </c>
      <c r="J6" s="63" t="s">
        <v>739</v>
      </c>
      <c r="K6" s="63" t="s">
        <v>734</v>
      </c>
      <c r="L6" s="63" t="s">
        <v>920</v>
      </c>
      <c r="M6" s="63" t="s">
        <v>734</v>
      </c>
      <c r="N6" s="63" t="s">
        <v>920</v>
      </c>
      <c r="O6" s="63" t="s">
        <v>920</v>
      </c>
      <c r="P6" s="63" t="s">
        <v>920</v>
      </c>
      <c r="Q6" s="63" t="s">
        <v>920</v>
      </c>
      <c r="R6" s="63" t="s">
        <v>920</v>
      </c>
      <c r="S6" s="65"/>
      <c r="T6" s="66" t="s">
        <v>1146</v>
      </c>
      <c r="U6" s="67" t="n">
        <v>45731</v>
      </c>
      <c r="V6" s="67" t="n">
        <v>45731</v>
      </c>
      <c r="W6" s="67" t="n">
        <v>45731</v>
      </c>
      <c r="X6" s="87" t="n">
        <v>10</v>
      </c>
      <c r="Y6" s="69"/>
      <c r="Z6" s="70" t="n">
        <v>553</v>
      </c>
      <c r="AA6" s="67" t="n">
        <v>45754</v>
      </c>
      <c r="AB6" s="67" t="n">
        <v>45754</v>
      </c>
      <c r="AC6" s="67" t="n">
        <v>45754</v>
      </c>
      <c r="AD6" s="87" t="n">
        <v>10</v>
      </c>
      <c r="AE6" s="69"/>
      <c r="AF6" s="70" t="n">
        <v>443</v>
      </c>
      <c r="AG6" s="106" t="n">
        <v>45759</v>
      </c>
      <c r="AH6" s="106" t="n">
        <v>45759</v>
      </c>
      <c r="AI6" s="106" t="n">
        <v>45759</v>
      </c>
      <c r="AJ6" s="87" t="n">
        <v>10</v>
      </c>
      <c r="AK6" s="69"/>
      <c r="AL6" s="70" t="n">
        <v>664</v>
      </c>
      <c r="AM6" s="106" t="n">
        <v>45794</v>
      </c>
      <c r="AN6" s="106" t="n">
        <v>45794</v>
      </c>
      <c r="AO6" s="106" t="n">
        <v>45794</v>
      </c>
      <c r="AP6" s="68" t="n">
        <v>10</v>
      </c>
      <c r="AQ6" s="69"/>
      <c r="AR6" s="70" t="n">
        <v>213</v>
      </c>
      <c r="AS6" s="106" t="n">
        <v>45801</v>
      </c>
      <c r="AT6" s="106" t="n">
        <v>45801</v>
      </c>
      <c r="AU6" s="106" t="n">
        <v>45801</v>
      </c>
      <c r="AV6" s="87" t="n">
        <v>10</v>
      </c>
      <c r="AW6" s="69"/>
      <c r="AX6" s="68" t="n">
        <v>2</v>
      </c>
      <c r="AY6" s="68" t="n">
        <v>1</v>
      </c>
      <c r="AZ6" s="69"/>
      <c r="BA6" s="106" t="n">
        <v>45794</v>
      </c>
      <c r="BB6" s="87" t="n">
        <v>10</v>
      </c>
      <c r="BC6" s="72"/>
      <c r="BD6" s="73" t="str">
        <f aca="false">IF(AND(BB6&gt;=6,AP6&gt;=6,AJ6&gt;=6,AD6&gt;=6,X6&gt;=6),"да","нет")</f>
        <v>да</v>
      </c>
      <c r="BE6" s="72"/>
      <c r="BF6" s="118" t="n">
        <v>45836</v>
      </c>
      <c r="BG6" s="71" t="n">
        <v>26</v>
      </c>
      <c r="BH6" s="68" t="n">
        <v>2</v>
      </c>
      <c r="BI6" s="50"/>
      <c r="BJ6" s="107" t="n">
        <f aca="false">SUM(X6,AD6,AJ6,AP6,AV6,AX6:AY6,BH6,BB6,BG6)</f>
        <v>91</v>
      </c>
      <c r="BK6" s="73" t="str">
        <f aca="false">IF(BJ6&gt;90,"A",IF(BJ6&gt;83,"B",IF(BJ6&gt;74,"C",IF(BJ6&gt;67,"D",IF(BJ6&gt;=60,"E","FX")))))</f>
        <v>A</v>
      </c>
    </row>
    <row r="7" customFormat="false" ht="15.75" hidden="false" customHeight="false" outlineLevel="0" collapsed="false">
      <c r="A7" s="59" t="n">
        <f aca="false">A6+1</f>
        <v>5</v>
      </c>
      <c r="B7" s="60" t="s">
        <v>53</v>
      </c>
      <c r="C7" s="61" t="s">
        <v>21</v>
      </c>
      <c r="D7" s="61" t="s">
        <v>52</v>
      </c>
      <c r="E7" s="62"/>
      <c r="F7" s="63" t="s">
        <v>919</v>
      </c>
      <c r="G7" s="63" t="s">
        <v>734</v>
      </c>
      <c r="H7" s="63" t="s">
        <v>734</v>
      </c>
      <c r="I7" s="63" t="s">
        <v>734</v>
      </c>
      <c r="J7" s="63" t="s">
        <v>734</v>
      </c>
      <c r="K7" s="63" t="s">
        <v>919</v>
      </c>
      <c r="L7" s="63" t="s">
        <v>739</v>
      </c>
      <c r="M7" s="63" t="s">
        <v>739</v>
      </c>
      <c r="N7" s="63" t="s">
        <v>734</v>
      </c>
      <c r="O7" s="63" t="s">
        <v>920</v>
      </c>
      <c r="P7" s="63" t="s">
        <v>920</v>
      </c>
      <c r="Q7" s="63" t="s">
        <v>920</v>
      </c>
      <c r="R7" s="63" t="s">
        <v>920</v>
      </c>
      <c r="S7" s="65"/>
      <c r="T7" s="66" t="s">
        <v>1147</v>
      </c>
      <c r="U7" s="67" t="n">
        <v>45745</v>
      </c>
      <c r="V7" s="67" t="n">
        <v>45745</v>
      </c>
      <c r="W7" s="67" t="n">
        <v>45745</v>
      </c>
      <c r="X7" s="87" t="n">
        <v>8</v>
      </c>
      <c r="Y7" s="69"/>
      <c r="Z7" s="70" t="n">
        <v>551</v>
      </c>
      <c r="AA7" s="67" t="n">
        <v>45788</v>
      </c>
      <c r="AB7" s="67" t="n">
        <v>45788</v>
      </c>
      <c r="AC7" s="67" t="n">
        <v>45788</v>
      </c>
      <c r="AD7" s="87" t="n">
        <v>8</v>
      </c>
      <c r="AE7" s="69"/>
      <c r="AF7" s="70" t="n">
        <v>997</v>
      </c>
      <c r="AG7" s="106" t="n">
        <v>45801</v>
      </c>
      <c r="AH7" s="106" t="n">
        <v>45801</v>
      </c>
      <c r="AI7" s="106" t="n">
        <v>45801</v>
      </c>
      <c r="AJ7" s="87" t="n">
        <v>8</v>
      </c>
      <c r="AK7" s="69"/>
      <c r="AL7" s="70" t="n">
        <v>635</v>
      </c>
      <c r="AM7" s="106" t="n">
        <v>45822</v>
      </c>
      <c r="AN7" s="106" t="n">
        <v>45822</v>
      </c>
      <c r="AO7" s="106" t="n">
        <v>45822</v>
      </c>
      <c r="AP7" s="68" t="n">
        <v>8</v>
      </c>
      <c r="AQ7" s="69"/>
      <c r="AR7" s="70" t="n">
        <v>872</v>
      </c>
      <c r="AS7" s="70" t="s">
        <v>737</v>
      </c>
      <c r="AT7" s="70" t="s">
        <v>737</v>
      </c>
      <c r="AU7" s="70" t="s">
        <v>737</v>
      </c>
      <c r="AV7" s="87" t="n">
        <v>0</v>
      </c>
      <c r="AW7" s="69"/>
      <c r="AX7" s="68" t="n">
        <v>0</v>
      </c>
      <c r="AY7" s="68"/>
      <c r="AZ7" s="69"/>
      <c r="BA7" s="67" t="n">
        <v>45826</v>
      </c>
      <c r="BB7" s="87" t="n">
        <v>6</v>
      </c>
      <c r="BC7" s="72"/>
      <c r="BD7" s="73" t="str">
        <f aca="false">IF(AND(BB7&gt;=6,AP7&gt;=6,AJ7&gt;=6,AD7&gt;=6,X7&gt;=6),"да","нет")</f>
        <v>да</v>
      </c>
      <c r="BE7" s="72"/>
      <c r="BF7" s="118" t="n">
        <v>45836</v>
      </c>
      <c r="BG7" s="71" t="n">
        <v>0</v>
      </c>
      <c r="BH7" s="68"/>
      <c r="BI7" s="50"/>
      <c r="BJ7" s="107" t="n">
        <f aca="false">SUM(X7,AD7,AJ7,AP7,AV7,AX7:AY7,BH7,BB7,BG7)</f>
        <v>38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60" t="s">
        <v>57</v>
      </c>
      <c r="C8" s="61" t="s">
        <v>21</v>
      </c>
      <c r="D8" s="61" t="s">
        <v>56</v>
      </c>
      <c r="E8" s="62"/>
      <c r="F8" s="63" t="s">
        <v>920</v>
      </c>
      <c r="G8" s="63" t="s">
        <v>919</v>
      </c>
      <c r="H8" s="63" t="s">
        <v>920</v>
      </c>
      <c r="I8" s="63" t="s">
        <v>920</v>
      </c>
      <c r="J8" s="63" t="s">
        <v>920</v>
      </c>
      <c r="K8" s="63" t="s">
        <v>920</v>
      </c>
      <c r="L8" s="63" t="s">
        <v>920</v>
      </c>
      <c r="M8" s="63" t="s">
        <v>920</v>
      </c>
      <c r="N8" s="63" t="s">
        <v>920</v>
      </c>
      <c r="O8" s="63" t="s">
        <v>920</v>
      </c>
      <c r="P8" s="63" t="s">
        <v>920</v>
      </c>
      <c r="Q8" s="63" t="s">
        <v>920</v>
      </c>
      <c r="R8" s="63" t="s">
        <v>920</v>
      </c>
      <c r="S8" s="65"/>
      <c r="T8" s="66" t="s">
        <v>1148</v>
      </c>
      <c r="U8" s="67"/>
      <c r="V8" s="67"/>
      <c r="W8" s="67"/>
      <c r="X8" s="87"/>
      <c r="Y8" s="69"/>
      <c r="Z8" s="70"/>
      <c r="AA8" s="67"/>
      <c r="AB8" s="67"/>
      <c r="AC8" s="67"/>
      <c r="AD8" s="87"/>
      <c r="AE8" s="69"/>
      <c r="AF8" s="70"/>
      <c r="AG8" s="70"/>
      <c r="AH8" s="70"/>
      <c r="AI8" s="70"/>
      <c r="AJ8" s="87"/>
      <c r="AK8" s="69"/>
      <c r="AL8" s="70"/>
      <c r="AM8" s="70"/>
      <c r="AN8" s="70"/>
      <c r="AO8" s="70"/>
      <c r="AP8" s="68"/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87" t="n">
        <v>0</v>
      </c>
      <c r="AW8" s="69"/>
      <c r="AX8" s="68" t="n">
        <v>0</v>
      </c>
      <c r="AY8" s="68"/>
      <c r="AZ8" s="69"/>
      <c r="BA8" s="106"/>
      <c r="BB8" s="87" t="n">
        <v>0</v>
      </c>
      <c r="BC8" s="72"/>
      <c r="BD8" s="73" t="str">
        <f aca="false">IF(AND(BB8&gt;=6,AP8&gt;=6,AJ8&gt;=6,AD8&gt;=6,X8&gt;=6),"да","нет")</f>
        <v>нет</v>
      </c>
      <c r="BE8" s="72"/>
      <c r="BF8" s="74"/>
      <c r="BG8" s="71"/>
      <c r="BH8" s="68"/>
      <c r="BI8" s="50"/>
      <c r="BJ8" s="107" t="n">
        <f aca="false">SUM(X8,AD8,AJ8,AP8,AV8,AX8:AY8,BH8,BB8,BG8)</f>
        <v>0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60" t="s">
        <v>59</v>
      </c>
      <c r="C9" s="61" t="s">
        <v>21</v>
      </c>
      <c r="D9" s="61" t="s">
        <v>58</v>
      </c>
      <c r="E9" s="62"/>
      <c r="F9" s="63" t="s">
        <v>920</v>
      </c>
      <c r="G9" s="63" t="s">
        <v>734</v>
      </c>
      <c r="H9" s="63" t="s">
        <v>919</v>
      </c>
      <c r="I9" s="63" t="s">
        <v>920</v>
      </c>
      <c r="J9" s="63" t="s">
        <v>734</v>
      </c>
      <c r="K9" s="63" t="s">
        <v>734</v>
      </c>
      <c r="L9" s="63" t="s">
        <v>920</v>
      </c>
      <c r="M9" s="63" t="s">
        <v>734</v>
      </c>
      <c r="N9" s="63" t="s">
        <v>920</v>
      </c>
      <c r="O9" s="63" t="s">
        <v>920</v>
      </c>
      <c r="P9" s="63" t="s">
        <v>920</v>
      </c>
      <c r="Q9" s="63" t="s">
        <v>920</v>
      </c>
      <c r="R9" s="63" t="s">
        <v>920</v>
      </c>
      <c r="S9" s="65"/>
      <c r="T9" s="66" t="s">
        <v>1149</v>
      </c>
      <c r="U9" s="67" t="n">
        <v>45773</v>
      </c>
      <c r="V9" s="67" t="n">
        <v>45773</v>
      </c>
      <c r="W9" s="67" t="n">
        <v>45773</v>
      </c>
      <c r="X9" s="87" t="n">
        <v>8.5</v>
      </c>
      <c r="Y9" s="69"/>
      <c r="Z9" s="70" t="n">
        <v>835</v>
      </c>
      <c r="AA9" s="67"/>
      <c r="AB9" s="67"/>
      <c r="AC9" s="67"/>
      <c r="AD9" s="87"/>
      <c r="AE9" s="69"/>
      <c r="AF9" s="70"/>
      <c r="AG9" s="70"/>
      <c r="AH9" s="70"/>
      <c r="AI9" s="70"/>
      <c r="AJ9" s="87"/>
      <c r="AK9" s="69"/>
      <c r="AL9" s="70"/>
      <c r="AM9" s="70"/>
      <c r="AN9" s="70"/>
      <c r="AO9" s="70"/>
      <c r="AP9" s="68"/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87" t="n">
        <v>0</v>
      </c>
      <c r="AW9" s="69"/>
      <c r="AX9" s="68"/>
      <c r="AY9" s="68"/>
      <c r="AZ9" s="69"/>
      <c r="BA9" s="106"/>
      <c r="BB9" s="87" t="n">
        <v>0</v>
      </c>
      <c r="BC9" s="72"/>
      <c r="BD9" s="73" t="str">
        <f aca="false">IF(AND(BB9&gt;=6,AP9&gt;=6,AJ9&gt;=6,AD9&gt;=6,X9&gt;=6),"да","нет")</f>
        <v>нет</v>
      </c>
      <c r="BE9" s="72"/>
      <c r="BF9" s="74"/>
      <c r="BG9" s="71"/>
      <c r="BH9" s="68"/>
      <c r="BI9" s="50"/>
      <c r="BJ9" s="107" t="n">
        <f aca="false">SUM(X9,AD9,AJ9,AP9,AV9,AX9:AY9,BH9,BB9,BG9)</f>
        <v>8.5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60" t="s">
        <v>71</v>
      </c>
      <c r="C10" s="61" t="s">
        <v>21</v>
      </c>
      <c r="D10" s="61" t="s">
        <v>70</v>
      </c>
      <c r="E10" s="62"/>
      <c r="F10" s="63" t="s">
        <v>920</v>
      </c>
      <c r="G10" s="63" t="s">
        <v>920</v>
      </c>
      <c r="H10" s="63" t="s">
        <v>734</v>
      </c>
      <c r="I10" s="63" t="s">
        <v>734</v>
      </c>
      <c r="J10" s="63" t="s">
        <v>739</v>
      </c>
      <c r="K10" s="63" t="s">
        <v>919</v>
      </c>
      <c r="L10" s="63" t="s">
        <v>920</v>
      </c>
      <c r="M10" s="63" t="s">
        <v>920</v>
      </c>
      <c r="N10" s="63" t="s">
        <v>734</v>
      </c>
      <c r="O10" s="63" t="s">
        <v>734</v>
      </c>
      <c r="P10" s="63" t="s">
        <v>920</v>
      </c>
      <c r="Q10" s="63" t="s">
        <v>920</v>
      </c>
      <c r="R10" s="63" t="s">
        <v>920</v>
      </c>
      <c r="S10" s="65"/>
      <c r="T10" s="66" t="s">
        <v>1150</v>
      </c>
      <c r="U10" s="106" t="n">
        <v>45757</v>
      </c>
      <c r="V10" s="106" t="n">
        <v>45757</v>
      </c>
      <c r="W10" s="106" t="n">
        <v>45757</v>
      </c>
      <c r="X10" s="87" t="n">
        <v>8</v>
      </c>
      <c r="Y10" s="69"/>
      <c r="Z10" s="70" t="n">
        <v>678</v>
      </c>
      <c r="AA10" s="67" t="n">
        <v>45803</v>
      </c>
      <c r="AB10" s="67" t="n">
        <v>45803</v>
      </c>
      <c r="AC10" s="67" t="n">
        <v>45803</v>
      </c>
      <c r="AD10" s="87" t="n">
        <v>10</v>
      </c>
      <c r="AE10" s="69"/>
      <c r="AF10" s="70" t="n">
        <v>455</v>
      </c>
      <c r="AG10" s="106" t="n">
        <v>45822</v>
      </c>
      <c r="AH10" s="106" t="n">
        <v>45822</v>
      </c>
      <c r="AI10" s="106" t="n">
        <v>45822</v>
      </c>
      <c r="AJ10" s="87" t="n">
        <v>10</v>
      </c>
      <c r="AK10" s="69"/>
      <c r="AL10" s="70" t="n">
        <v>662</v>
      </c>
      <c r="AM10" s="106" t="n">
        <v>45828</v>
      </c>
      <c r="AN10" s="106" t="n">
        <v>45828</v>
      </c>
      <c r="AO10" s="106" t="n">
        <v>45828</v>
      </c>
      <c r="AP10" s="68" t="n">
        <v>9</v>
      </c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87" t="n">
        <v>0</v>
      </c>
      <c r="AW10" s="69"/>
      <c r="AX10" s="68" t="n">
        <v>0</v>
      </c>
      <c r="AY10" s="68"/>
      <c r="AZ10" s="69"/>
      <c r="BA10" s="67" t="n">
        <v>45826</v>
      </c>
      <c r="BB10" s="87" t="n">
        <v>6</v>
      </c>
      <c r="BC10" s="72"/>
      <c r="BD10" s="73" t="str">
        <f aca="false">IF(AND(BB10&gt;=6,AP10&gt;=6,AJ10&gt;=6,AD10&gt;=6,X10&gt;=6),"да","нет")</f>
        <v>да</v>
      </c>
      <c r="BE10" s="72"/>
      <c r="BF10" s="74"/>
      <c r="BG10" s="71"/>
      <c r="BH10" s="68"/>
      <c r="BI10" s="50"/>
      <c r="BJ10" s="107" t="n">
        <f aca="false">SUM(X10,AD10,AJ10,AP10,AV10,AX10:AY10,BH10,BB10,BG10)</f>
        <v>43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83</v>
      </c>
      <c r="C11" s="61" t="s">
        <v>21</v>
      </c>
      <c r="D11" s="61" t="s">
        <v>82</v>
      </c>
      <c r="E11" s="62"/>
      <c r="F11" s="63" t="s">
        <v>920</v>
      </c>
      <c r="G11" s="63" t="s">
        <v>738</v>
      </c>
      <c r="H11" s="63" t="s">
        <v>919</v>
      </c>
      <c r="I11" s="63" t="s">
        <v>739</v>
      </c>
      <c r="J11" s="63" t="s">
        <v>734</v>
      </c>
      <c r="K11" s="63" t="s">
        <v>920</v>
      </c>
      <c r="L11" s="63" t="s">
        <v>920</v>
      </c>
      <c r="M11" s="63" t="s">
        <v>739</v>
      </c>
      <c r="N11" s="63" t="s">
        <v>734</v>
      </c>
      <c r="O11" s="63" t="s">
        <v>920</v>
      </c>
      <c r="P11" s="63" t="s">
        <v>920</v>
      </c>
      <c r="Q11" s="63" t="s">
        <v>920</v>
      </c>
      <c r="R11" s="63" t="s">
        <v>920</v>
      </c>
      <c r="S11" s="65"/>
      <c r="T11" s="66" t="s">
        <v>1151</v>
      </c>
      <c r="U11" s="106" t="n">
        <v>45717</v>
      </c>
      <c r="V11" s="106" t="n">
        <v>45717</v>
      </c>
      <c r="W11" s="67" t="n">
        <v>45731</v>
      </c>
      <c r="X11" s="87" t="n">
        <v>10</v>
      </c>
      <c r="Y11" s="69"/>
      <c r="Z11" s="70" t="n">
        <v>663</v>
      </c>
      <c r="AA11" s="106" t="n">
        <v>45757</v>
      </c>
      <c r="AB11" s="106" t="n">
        <v>45757</v>
      </c>
      <c r="AC11" s="106" t="n">
        <v>45757</v>
      </c>
      <c r="AD11" s="87" t="n">
        <v>10</v>
      </c>
      <c r="AE11" s="69"/>
      <c r="AF11" s="70" t="n">
        <v>677</v>
      </c>
      <c r="AG11" s="106" t="n">
        <v>45825</v>
      </c>
      <c r="AH11" s="106" t="n">
        <v>45825</v>
      </c>
      <c r="AI11" s="106" t="n">
        <v>45825</v>
      </c>
      <c r="AJ11" s="87" t="n">
        <v>8</v>
      </c>
      <c r="AK11" s="69"/>
      <c r="AL11" s="70" t="n">
        <v>123</v>
      </c>
      <c r="AM11" s="106" t="n">
        <v>45828</v>
      </c>
      <c r="AN11" s="106" t="n">
        <v>45828</v>
      </c>
      <c r="AO11" s="106" t="n">
        <v>45828</v>
      </c>
      <c r="AP11" s="68" t="n">
        <v>8</v>
      </c>
      <c r="AQ11" s="69"/>
      <c r="AR11" s="70" t="s">
        <v>737</v>
      </c>
      <c r="AS11" s="70" t="s">
        <v>737</v>
      </c>
      <c r="AT11" s="70" t="s">
        <v>737</v>
      </c>
      <c r="AU11" s="70" t="s">
        <v>737</v>
      </c>
      <c r="AV11" s="87" t="n">
        <v>0</v>
      </c>
      <c r="AW11" s="69"/>
      <c r="AX11" s="68"/>
      <c r="AY11" s="68" t="n">
        <v>1</v>
      </c>
      <c r="AZ11" s="69"/>
      <c r="BA11" s="106" t="n">
        <v>45794</v>
      </c>
      <c r="BB11" s="87" t="n">
        <v>8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45836</v>
      </c>
      <c r="BG11" s="71" t="n">
        <v>0</v>
      </c>
      <c r="BH11" s="68"/>
      <c r="BI11" s="50"/>
      <c r="BJ11" s="107" t="n">
        <f aca="false">SUM(X11,AD11,AJ11,AP11,AV11,AX11:AY11,BH11,BB11,BG11)</f>
        <v>45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103</v>
      </c>
      <c r="C12" s="61" t="s">
        <v>21</v>
      </c>
      <c r="D12" s="61" t="s">
        <v>102</v>
      </c>
      <c r="E12" s="62"/>
      <c r="F12" s="63" t="s">
        <v>919</v>
      </c>
      <c r="G12" s="63" t="s">
        <v>919</v>
      </c>
      <c r="H12" s="63" t="s">
        <v>920</v>
      </c>
      <c r="I12" s="63" t="s">
        <v>920</v>
      </c>
      <c r="J12" s="63" t="s">
        <v>920</v>
      </c>
      <c r="K12" s="63" t="s">
        <v>734</v>
      </c>
      <c r="L12" s="63" t="s">
        <v>739</v>
      </c>
      <c r="M12" s="63" t="s">
        <v>734</v>
      </c>
      <c r="N12" s="63" t="s">
        <v>920</v>
      </c>
      <c r="O12" s="63" t="s">
        <v>734</v>
      </c>
      <c r="P12" s="63" t="s">
        <v>920</v>
      </c>
      <c r="Q12" s="63" t="s">
        <v>920</v>
      </c>
      <c r="R12" s="63" t="s">
        <v>920</v>
      </c>
      <c r="S12" s="65"/>
      <c r="T12" s="66" t="s">
        <v>1152</v>
      </c>
      <c r="U12" s="106" t="n">
        <v>45794</v>
      </c>
      <c r="V12" s="106" t="n">
        <v>45794</v>
      </c>
      <c r="W12" s="106" t="n">
        <v>45794</v>
      </c>
      <c r="X12" s="87" t="n">
        <v>8</v>
      </c>
      <c r="Y12" s="69"/>
      <c r="Z12" s="70" t="n">
        <v>389</v>
      </c>
      <c r="AA12" s="67" t="n">
        <v>45806</v>
      </c>
      <c r="AB12" s="67" t="n">
        <v>45806</v>
      </c>
      <c r="AC12" s="67" t="n">
        <v>45806</v>
      </c>
      <c r="AD12" s="87" t="n">
        <v>10</v>
      </c>
      <c r="AE12" s="69"/>
      <c r="AF12" s="70" t="n">
        <v>966</v>
      </c>
      <c r="AG12" s="106" t="n">
        <v>45822</v>
      </c>
      <c r="AH12" s="106" t="n">
        <v>45822</v>
      </c>
      <c r="AI12" s="106" t="n">
        <v>45822</v>
      </c>
      <c r="AJ12" s="87" t="n">
        <v>10</v>
      </c>
      <c r="AK12" s="69"/>
      <c r="AL12" s="70" t="n">
        <v>552</v>
      </c>
      <c r="AM12" s="106" t="n">
        <v>45828</v>
      </c>
      <c r="AN12" s="106" t="n">
        <v>45828</v>
      </c>
      <c r="AO12" s="106" t="n">
        <v>45828</v>
      </c>
      <c r="AP12" s="68" t="n">
        <v>8.5</v>
      </c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87" t="n">
        <v>0</v>
      </c>
      <c r="AW12" s="69"/>
      <c r="AX12" s="68" t="n">
        <v>0</v>
      </c>
      <c r="AY12" s="68"/>
      <c r="AZ12" s="69"/>
      <c r="BA12" s="106" t="n">
        <v>45794</v>
      </c>
      <c r="BB12" s="87" t="n">
        <v>6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45836</v>
      </c>
      <c r="BG12" s="71" t="n">
        <v>0</v>
      </c>
      <c r="BH12" s="68"/>
      <c r="BI12" s="50"/>
      <c r="BJ12" s="107" t="n">
        <f aca="false">SUM(X12,AD12,AJ12,AP12,AV12,AX12:AY12,BH12,BB12,BG12)</f>
        <v>42.5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60" t="s">
        <v>1153</v>
      </c>
      <c r="C13" s="61" t="s">
        <v>21</v>
      </c>
      <c r="D13" s="61" t="s">
        <v>1154</v>
      </c>
      <c r="E13" s="62"/>
      <c r="F13" s="63" t="s">
        <v>920</v>
      </c>
      <c r="G13" s="63" t="s">
        <v>920</v>
      </c>
      <c r="H13" s="63" t="s">
        <v>920</v>
      </c>
      <c r="I13" s="63" t="s">
        <v>920</v>
      </c>
      <c r="J13" s="63" t="s">
        <v>920</v>
      </c>
      <c r="K13" s="63" t="s">
        <v>920</v>
      </c>
      <c r="L13" s="63" t="s">
        <v>920</v>
      </c>
      <c r="M13" s="63" t="s">
        <v>920</v>
      </c>
      <c r="N13" s="63" t="s">
        <v>920</v>
      </c>
      <c r="O13" s="63" t="s">
        <v>920</v>
      </c>
      <c r="P13" s="63" t="s">
        <v>920</v>
      </c>
      <c r="Q13" s="63" t="s">
        <v>920</v>
      </c>
      <c r="R13" s="63" t="s">
        <v>920</v>
      </c>
      <c r="S13" s="65"/>
      <c r="T13" s="66" t="s">
        <v>1155</v>
      </c>
      <c r="U13" s="67"/>
      <c r="V13" s="67"/>
      <c r="W13" s="67"/>
      <c r="X13" s="87"/>
      <c r="Y13" s="69"/>
      <c r="Z13" s="70"/>
      <c r="AA13" s="67"/>
      <c r="AB13" s="67"/>
      <c r="AC13" s="67"/>
      <c r="AD13" s="87"/>
      <c r="AE13" s="69"/>
      <c r="AF13" s="70"/>
      <c r="AG13" s="70"/>
      <c r="AH13" s="70"/>
      <c r="AI13" s="70"/>
      <c r="AJ13" s="87"/>
      <c r="AK13" s="69"/>
      <c r="AL13" s="70"/>
      <c r="AM13" s="70"/>
      <c r="AN13" s="70"/>
      <c r="AO13" s="70"/>
      <c r="AP13" s="68"/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87" t="n">
        <v>0</v>
      </c>
      <c r="AW13" s="69"/>
      <c r="AX13" s="68"/>
      <c r="AY13" s="68"/>
      <c r="AZ13" s="69"/>
      <c r="BA13" s="106"/>
      <c r="BB13" s="87" t="n">
        <v>0</v>
      </c>
      <c r="BC13" s="72"/>
      <c r="BD13" s="73" t="str">
        <f aca="false">IF(AND(BB13&gt;=6,AP13&gt;=6,AJ13&gt;=6,AD13&gt;=6,X13&gt;=6),"да","нет")</f>
        <v>нет</v>
      </c>
      <c r="BE13" s="72"/>
      <c r="BF13" s="74"/>
      <c r="BG13" s="71"/>
      <c r="BH13" s="68"/>
      <c r="BI13" s="50"/>
      <c r="BJ13" s="107" t="n">
        <f aca="false">SUM(X13,AD13,AJ13,AP13,AV13,AX13:AY13,BH13,BB13,BG13)</f>
        <v>0</v>
      </c>
      <c r="BK13" s="73" t="str">
        <f aca="false">IF(BJ13&gt;90,"A",IF(BJ13&gt;83,"B",IF(BJ13&gt;74,"C",IF(BJ13&gt;67,"D",IF(BJ13&gt;=60,"E","FX")))))</f>
        <v>FX</v>
      </c>
    </row>
    <row r="14" customFormat="false" ht="15.75" hidden="false" customHeight="false" outlineLevel="0" collapsed="false">
      <c r="A14" s="59" t="n">
        <f aca="false">A13+1</f>
        <v>12</v>
      </c>
      <c r="B14" s="60" t="s">
        <v>115</v>
      </c>
      <c r="C14" s="61" t="s">
        <v>21</v>
      </c>
      <c r="D14" s="61" t="s">
        <v>114</v>
      </c>
      <c r="E14" s="62"/>
      <c r="F14" s="63" t="s">
        <v>920</v>
      </c>
      <c r="G14" s="63" t="s">
        <v>920</v>
      </c>
      <c r="H14" s="63" t="s">
        <v>920</v>
      </c>
      <c r="I14" s="63" t="s">
        <v>920</v>
      </c>
      <c r="J14" s="63" t="s">
        <v>920</v>
      </c>
      <c r="K14" s="63" t="s">
        <v>920</v>
      </c>
      <c r="L14" s="63" t="s">
        <v>920</v>
      </c>
      <c r="M14" s="63" t="s">
        <v>920</v>
      </c>
      <c r="N14" s="63" t="s">
        <v>920</v>
      </c>
      <c r="O14" s="63" t="s">
        <v>920</v>
      </c>
      <c r="P14" s="63" t="s">
        <v>920</v>
      </c>
      <c r="Q14" s="63" t="s">
        <v>920</v>
      </c>
      <c r="R14" s="63" t="s">
        <v>920</v>
      </c>
      <c r="S14" s="65"/>
      <c r="T14" s="66" t="s">
        <v>1156</v>
      </c>
      <c r="U14" s="67"/>
      <c r="V14" s="67"/>
      <c r="W14" s="67"/>
      <c r="X14" s="87"/>
      <c r="Y14" s="69"/>
      <c r="Z14" s="70"/>
      <c r="AA14" s="67"/>
      <c r="AB14" s="67"/>
      <c r="AC14" s="67"/>
      <c r="AD14" s="87"/>
      <c r="AE14" s="69"/>
      <c r="AF14" s="70"/>
      <c r="AG14" s="70"/>
      <c r="AH14" s="70"/>
      <c r="AI14" s="70"/>
      <c r="AJ14" s="87"/>
      <c r="AK14" s="69"/>
      <c r="AL14" s="70"/>
      <c r="AM14" s="70"/>
      <c r="AN14" s="70"/>
      <c r="AO14" s="70"/>
      <c r="AP14" s="68"/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87" t="n">
        <v>0</v>
      </c>
      <c r="AW14" s="69"/>
      <c r="AX14" s="68"/>
      <c r="AY14" s="68"/>
      <c r="AZ14" s="69"/>
      <c r="BA14" s="106"/>
      <c r="BB14" s="87" t="n">
        <v>0.01</v>
      </c>
      <c r="BC14" s="72"/>
      <c r="BD14" s="73" t="str">
        <f aca="false">IF(AND(BB14&gt;=6,AP14&gt;=6,AJ14&gt;=6,AD14&gt;=6,X14&gt;=6),"да","нет")</f>
        <v>нет</v>
      </c>
      <c r="BE14" s="72"/>
      <c r="BF14" s="74"/>
      <c r="BG14" s="71"/>
      <c r="BH14" s="68"/>
      <c r="BI14" s="50"/>
      <c r="BJ14" s="107" t="n">
        <f aca="false">SUM(X14,AD14,AJ14,AP14,AV14,AX14:AY14,BH14,BB14,BG14)</f>
        <v>0.01</v>
      </c>
      <c r="BK14" s="73" t="str">
        <f aca="false">IF(BJ14&gt;90,"A",IF(BJ14&gt;83,"B",IF(BJ14&gt;74,"C",IF(BJ14&gt;67,"D",IF(BJ14&gt;=60,"E","FX")))))</f>
        <v>FX</v>
      </c>
    </row>
    <row r="15" customFormat="false" ht="15.75" hidden="false" customHeight="false" outlineLevel="0" collapsed="false">
      <c r="A15" s="59" t="n">
        <f aca="false">A14+1</f>
        <v>13</v>
      </c>
      <c r="B15" s="60" t="s">
        <v>161</v>
      </c>
      <c r="C15" s="61" t="s">
        <v>21</v>
      </c>
      <c r="D15" s="61" t="s">
        <v>160</v>
      </c>
      <c r="E15" s="62"/>
      <c r="F15" s="63" t="s">
        <v>919</v>
      </c>
      <c r="G15" s="63" t="s">
        <v>734</v>
      </c>
      <c r="H15" s="63" t="s">
        <v>734</v>
      </c>
      <c r="I15" s="63" t="s">
        <v>739</v>
      </c>
      <c r="J15" s="63" t="s">
        <v>738</v>
      </c>
      <c r="K15" s="63" t="s">
        <v>739</v>
      </c>
      <c r="L15" s="63" t="s">
        <v>739</v>
      </c>
      <c r="M15" s="63" t="s">
        <v>739</v>
      </c>
      <c r="N15" s="63" t="s">
        <v>920</v>
      </c>
      <c r="O15" s="63" t="s">
        <v>920</v>
      </c>
      <c r="P15" s="63" t="s">
        <v>920</v>
      </c>
      <c r="Q15" s="63" t="s">
        <v>920</v>
      </c>
      <c r="R15" s="63" t="s">
        <v>920</v>
      </c>
      <c r="S15" s="65"/>
      <c r="T15" s="66" t="s">
        <v>1157</v>
      </c>
      <c r="U15" s="67" t="n">
        <v>45731</v>
      </c>
      <c r="V15" s="67" t="n">
        <v>45731</v>
      </c>
      <c r="W15" s="67" t="n">
        <v>45731</v>
      </c>
      <c r="X15" s="87" t="n">
        <v>10</v>
      </c>
      <c r="Y15" s="69"/>
      <c r="Z15" s="70" t="n">
        <v>552</v>
      </c>
      <c r="AA15" s="67" t="n">
        <v>45745</v>
      </c>
      <c r="AB15" s="67" t="n">
        <v>45745</v>
      </c>
      <c r="AC15" s="67" t="n">
        <v>45745</v>
      </c>
      <c r="AD15" s="87" t="n">
        <v>10</v>
      </c>
      <c r="AE15" s="69"/>
      <c r="AF15" s="70" t="n">
        <v>967</v>
      </c>
      <c r="AG15" s="106" t="n">
        <v>45759</v>
      </c>
      <c r="AH15" s="106" t="n">
        <v>45759</v>
      </c>
      <c r="AI15" s="106" t="n">
        <v>45759</v>
      </c>
      <c r="AJ15" s="87" t="n">
        <v>10</v>
      </c>
      <c r="AK15" s="69"/>
      <c r="AL15" s="70" t="n">
        <v>442</v>
      </c>
      <c r="AM15" s="106" t="n">
        <v>45794</v>
      </c>
      <c r="AN15" s="106" t="n">
        <v>45794</v>
      </c>
      <c r="AO15" s="106" t="n">
        <v>45794</v>
      </c>
      <c r="AP15" s="87" t="n">
        <v>10</v>
      </c>
      <c r="AQ15" s="69"/>
      <c r="AR15" s="70" t="n">
        <v>456</v>
      </c>
      <c r="AS15" s="106" t="n">
        <v>45801</v>
      </c>
      <c r="AT15" s="106" t="n">
        <v>45801</v>
      </c>
      <c r="AU15" s="106" t="n">
        <v>45801</v>
      </c>
      <c r="AV15" s="87" t="n">
        <v>10</v>
      </c>
      <c r="AW15" s="69"/>
      <c r="AX15" s="68" t="n">
        <v>0</v>
      </c>
      <c r="AY15" s="68" t="n">
        <v>0</v>
      </c>
      <c r="AZ15" s="69"/>
      <c r="BA15" s="106" t="n">
        <v>45794</v>
      </c>
      <c r="BB15" s="87" t="n">
        <v>10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45836</v>
      </c>
      <c r="BG15" s="71" t="n">
        <v>28</v>
      </c>
      <c r="BH15" s="68" t="n">
        <v>3</v>
      </c>
      <c r="BI15" s="50"/>
      <c r="BJ15" s="107" t="n">
        <f aca="false">SUM(X15,AD15,AJ15,AP15,AV15,AX15:AY15,BH15,BB15,BG15)</f>
        <v>91</v>
      </c>
      <c r="BK15" s="73" t="str">
        <f aca="false">IF(BJ15&gt;90,"A",IF(BJ15&gt;83,"B",IF(BJ15&gt;74,"C",IF(BJ15&gt;67,"D",IF(BJ15&gt;=60,"E","FX")))))</f>
        <v>A</v>
      </c>
    </row>
    <row r="16" customFormat="false" ht="15.75" hidden="false" customHeight="false" outlineLevel="0" collapsed="false">
      <c r="A16" s="59" t="n">
        <f aca="false">A15+1</f>
        <v>14</v>
      </c>
      <c r="B16" s="60" t="s">
        <v>1158</v>
      </c>
      <c r="C16" s="61" t="s">
        <v>21</v>
      </c>
      <c r="D16" s="61" t="s">
        <v>1159</v>
      </c>
      <c r="E16" s="62"/>
      <c r="F16" s="63" t="s">
        <v>920</v>
      </c>
      <c r="G16" s="63" t="s">
        <v>920</v>
      </c>
      <c r="H16" s="63" t="s">
        <v>920</v>
      </c>
      <c r="I16" s="63" t="s">
        <v>920</v>
      </c>
      <c r="J16" s="63" t="s">
        <v>920</v>
      </c>
      <c r="K16" s="63" t="s">
        <v>920</v>
      </c>
      <c r="L16" s="63" t="s">
        <v>920</v>
      </c>
      <c r="M16" s="63" t="s">
        <v>920</v>
      </c>
      <c r="N16" s="63" t="s">
        <v>920</v>
      </c>
      <c r="O16" s="63" t="s">
        <v>920</v>
      </c>
      <c r="P16" s="63" t="s">
        <v>920</v>
      </c>
      <c r="Q16" s="63" t="s">
        <v>920</v>
      </c>
      <c r="R16" s="63" t="s">
        <v>920</v>
      </c>
      <c r="S16" s="65"/>
      <c r="T16" s="66" t="s">
        <v>1160</v>
      </c>
      <c r="U16" s="67"/>
      <c r="V16" s="67"/>
      <c r="W16" s="67"/>
      <c r="X16" s="87"/>
      <c r="Y16" s="69"/>
      <c r="Z16" s="70"/>
      <c r="AA16" s="67"/>
      <c r="AB16" s="67"/>
      <c r="AC16" s="67"/>
      <c r="AD16" s="87"/>
      <c r="AE16" s="69"/>
      <c r="AF16" s="70"/>
      <c r="AG16" s="70"/>
      <c r="AH16" s="70"/>
      <c r="AI16" s="70"/>
      <c r="AJ16" s="87"/>
      <c r="AK16" s="69"/>
      <c r="AL16" s="70"/>
      <c r="AM16" s="70"/>
      <c r="AN16" s="70"/>
      <c r="AO16" s="70"/>
      <c r="AP16" s="68"/>
      <c r="AQ16" s="69"/>
      <c r="AR16" s="70" t="s">
        <v>737</v>
      </c>
      <c r="AS16" s="70" t="s">
        <v>737</v>
      </c>
      <c r="AT16" s="70" t="s">
        <v>737</v>
      </c>
      <c r="AU16" s="70" t="s">
        <v>737</v>
      </c>
      <c r="AV16" s="87" t="n">
        <v>0</v>
      </c>
      <c r="AW16" s="69"/>
      <c r="AX16" s="68"/>
      <c r="AY16" s="68"/>
      <c r="AZ16" s="69"/>
      <c r="BA16" s="106"/>
      <c r="BB16" s="87" t="n">
        <v>0</v>
      </c>
      <c r="BC16" s="72"/>
      <c r="BD16" s="73" t="str">
        <f aca="false">IF(AND(BB16&gt;=6,AP16&gt;=6,AJ16&gt;=6,AD16&gt;=6,X16&gt;=6),"да","нет")</f>
        <v>нет</v>
      </c>
      <c r="BE16" s="72"/>
      <c r="BF16" s="74"/>
      <c r="BG16" s="71"/>
      <c r="BH16" s="68"/>
      <c r="BI16" s="50"/>
      <c r="BJ16" s="107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169</v>
      </c>
      <c r="C17" s="61" t="s">
        <v>21</v>
      </c>
      <c r="D17" s="61" t="s">
        <v>168</v>
      </c>
      <c r="E17" s="62"/>
      <c r="F17" s="63" t="s">
        <v>919</v>
      </c>
      <c r="G17" s="63" t="s">
        <v>739</v>
      </c>
      <c r="H17" s="63" t="s">
        <v>734</v>
      </c>
      <c r="I17" s="63" t="s">
        <v>739</v>
      </c>
      <c r="J17" s="63" t="s">
        <v>738</v>
      </c>
      <c r="K17" s="63" t="s">
        <v>734</v>
      </c>
      <c r="L17" s="63" t="s">
        <v>920</v>
      </c>
      <c r="M17" s="63" t="s">
        <v>734</v>
      </c>
      <c r="N17" s="63" t="s">
        <v>734</v>
      </c>
      <c r="O17" s="63" t="s">
        <v>920</v>
      </c>
      <c r="P17" s="63" t="s">
        <v>920</v>
      </c>
      <c r="Q17" s="63" t="s">
        <v>920</v>
      </c>
      <c r="R17" s="63" t="s">
        <v>920</v>
      </c>
      <c r="S17" s="65"/>
      <c r="T17" s="66" t="s">
        <v>1161</v>
      </c>
      <c r="U17" s="67" t="n">
        <v>45731</v>
      </c>
      <c r="V17" s="67" t="n">
        <v>45731</v>
      </c>
      <c r="W17" s="67" t="n">
        <v>45731</v>
      </c>
      <c r="X17" s="87" t="n">
        <v>10</v>
      </c>
      <c r="Y17" s="69"/>
      <c r="Z17" s="70" t="n">
        <v>887</v>
      </c>
      <c r="AA17" s="67" t="n">
        <v>45745</v>
      </c>
      <c r="AB17" s="67" t="n">
        <v>45745</v>
      </c>
      <c r="AC17" s="67" t="n">
        <v>45745</v>
      </c>
      <c r="AD17" s="87" t="n">
        <v>10</v>
      </c>
      <c r="AE17" s="69"/>
      <c r="AF17" s="70" t="n">
        <v>112</v>
      </c>
      <c r="AG17" s="106" t="n">
        <v>45757</v>
      </c>
      <c r="AH17" s="106" t="n">
        <v>45757</v>
      </c>
      <c r="AI17" s="106" t="n">
        <v>45757</v>
      </c>
      <c r="AJ17" s="87" t="n">
        <v>10</v>
      </c>
      <c r="AK17" s="69"/>
      <c r="AL17" s="70" t="n">
        <v>663</v>
      </c>
      <c r="AM17" s="106" t="n">
        <v>45801</v>
      </c>
      <c r="AN17" s="106" t="n">
        <v>45801</v>
      </c>
      <c r="AO17" s="106" t="n">
        <v>45801</v>
      </c>
      <c r="AP17" s="87" t="n">
        <v>10</v>
      </c>
      <c r="AQ17" s="69"/>
      <c r="AR17" s="70" t="n">
        <v>10</v>
      </c>
      <c r="AS17" s="106" t="n">
        <v>45822</v>
      </c>
      <c r="AT17" s="106" t="n">
        <v>45822</v>
      </c>
      <c r="AU17" s="106" t="n">
        <v>45822</v>
      </c>
      <c r="AV17" s="87" t="n">
        <v>10</v>
      </c>
      <c r="AW17" s="69"/>
      <c r="AX17" s="68" t="n">
        <v>0</v>
      </c>
      <c r="AY17" s="68" t="n">
        <v>1</v>
      </c>
      <c r="AZ17" s="69"/>
      <c r="BA17" s="106" t="n">
        <v>45794</v>
      </c>
      <c r="BB17" s="87" t="n">
        <f aca="false">10</f>
        <v>10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45822</v>
      </c>
      <c r="BG17" s="197" t="n">
        <v>30</v>
      </c>
      <c r="BH17" s="68" t="n">
        <v>1</v>
      </c>
      <c r="BI17" s="50"/>
      <c r="BJ17" s="107" t="n">
        <f aca="false">SUM(X17,AD17,AJ17,AP17,AV17,AX17:AY17,BH17,BB17,BG17)</f>
        <v>92</v>
      </c>
      <c r="BK17" s="73" t="str">
        <f aca="false">IF(BJ17&gt;90,"A",IF(BJ17&gt;83,"B",IF(BJ17&gt;74,"C",IF(BJ17&gt;67,"D",IF(BJ17&gt;=60,"E","FX")))))</f>
        <v>A</v>
      </c>
    </row>
    <row r="18" customFormat="false" ht="15.75" hidden="false" customHeight="false" outlineLevel="0" collapsed="false">
      <c r="A18" s="59" t="n">
        <f aca="false">A17+1</f>
        <v>16</v>
      </c>
      <c r="B18" s="177" t="s">
        <v>171</v>
      </c>
      <c r="C18" s="61" t="s">
        <v>21</v>
      </c>
      <c r="D18" s="61" t="s">
        <v>170</v>
      </c>
      <c r="E18" s="62"/>
      <c r="F18" s="63" t="s">
        <v>919</v>
      </c>
      <c r="G18" s="63" t="s">
        <v>919</v>
      </c>
      <c r="H18" s="63" t="s">
        <v>734</v>
      </c>
      <c r="I18" s="63" t="s">
        <v>738</v>
      </c>
      <c r="J18" s="63" t="s">
        <v>734</v>
      </c>
      <c r="K18" s="63" t="s">
        <v>919</v>
      </c>
      <c r="L18" s="63" t="s">
        <v>739</v>
      </c>
      <c r="M18" s="63" t="s">
        <v>739</v>
      </c>
      <c r="N18" s="63" t="s">
        <v>920</v>
      </c>
      <c r="O18" s="63" t="s">
        <v>920</v>
      </c>
      <c r="P18" s="63" t="s">
        <v>920</v>
      </c>
      <c r="Q18" s="63" t="s">
        <v>920</v>
      </c>
      <c r="R18" s="63" t="s">
        <v>920</v>
      </c>
      <c r="S18" s="65"/>
      <c r="T18" s="66" t="s">
        <v>1162</v>
      </c>
      <c r="U18" s="67" t="n">
        <v>45745</v>
      </c>
      <c r="V18" s="67" t="n">
        <v>45745</v>
      </c>
      <c r="W18" s="67" t="n">
        <v>45745</v>
      </c>
      <c r="X18" s="87" t="n">
        <v>9</v>
      </c>
      <c r="Y18" s="69"/>
      <c r="Z18" s="70" t="n">
        <v>772</v>
      </c>
      <c r="AA18" s="67" t="n">
        <v>45770</v>
      </c>
      <c r="AB18" s="67" t="n">
        <v>45770</v>
      </c>
      <c r="AC18" s="67" t="n">
        <v>45770</v>
      </c>
      <c r="AD18" s="87" t="n">
        <v>10</v>
      </c>
      <c r="AE18" s="69"/>
      <c r="AF18" s="70" t="n">
        <v>119</v>
      </c>
      <c r="AG18" s="106" t="n">
        <v>45794</v>
      </c>
      <c r="AH18" s="106" t="n">
        <v>45794</v>
      </c>
      <c r="AI18" s="106" t="n">
        <v>45794</v>
      </c>
      <c r="AJ18" s="87" t="n">
        <v>9.5</v>
      </c>
      <c r="AK18" s="69"/>
      <c r="AL18" s="70" t="n">
        <v>891</v>
      </c>
      <c r="AM18" s="106" t="n">
        <v>45801</v>
      </c>
      <c r="AN18" s="106" t="n">
        <v>45801</v>
      </c>
      <c r="AO18" s="106" t="n">
        <v>45801</v>
      </c>
      <c r="AP18" s="87" t="n">
        <v>9</v>
      </c>
      <c r="AQ18" s="69"/>
      <c r="AR18" s="70" t="n">
        <v>9</v>
      </c>
      <c r="AS18" s="70" t="s">
        <v>737</v>
      </c>
      <c r="AT18" s="70" t="s">
        <v>737</v>
      </c>
      <c r="AU18" s="70" t="s">
        <v>737</v>
      </c>
      <c r="AV18" s="87" t="n">
        <v>0</v>
      </c>
      <c r="AW18" s="69"/>
      <c r="AX18" s="68" t="n">
        <v>0</v>
      </c>
      <c r="AY18" s="68"/>
      <c r="AZ18" s="69"/>
      <c r="BA18" s="106" t="n">
        <v>45794</v>
      </c>
      <c r="BB18" s="87" t="n">
        <v>10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45836</v>
      </c>
      <c r="BG18" s="71" t="n">
        <v>24</v>
      </c>
      <c r="BH18" s="68" t="n">
        <v>3</v>
      </c>
      <c r="BI18" s="50"/>
      <c r="BJ18" s="107" t="n">
        <f aca="false">SUM(X18,AD18,AJ18,AP18,AV18,AX18:AY18,BH18,BB18,BG18)</f>
        <v>74.5</v>
      </c>
      <c r="BK18" s="73" t="str">
        <f aca="false">IF(BJ18&gt;90,"A",IF(BJ18&gt;83,"B",IF(BJ18&gt;74,"C",IF(BJ18&gt;67,"D",IF(BJ18&gt;=60,"E","FX")))))</f>
        <v>C</v>
      </c>
    </row>
    <row r="19" customFormat="false" ht="15.75" hidden="false" customHeight="false" outlineLevel="0" collapsed="false">
      <c r="A19" s="59" t="n">
        <f aca="false">A18+1</f>
        <v>17</v>
      </c>
      <c r="B19" s="60" t="s">
        <v>20</v>
      </c>
      <c r="C19" s="61" t="s">
        <v>21</v>
      </c>
      <c r="D19" s="61" t="s">
        <v>19</v>
      </c>
      <c r="E19" s="62"/>
      <c r="F19" s="63" t="s">
        <v>920</v>
      </c>
      <c r="G19" s="63" t="s">
        <v>920</v>
      </c>
      <c r="H19" s="63" t="s">
        <v>920</v>
      </c>
      <c r="I19" s="63" t="s">
        <v>920</v>
      </c>
      <c r="J19" s="63" t="s">
        <v>920</v>
      </c>
      <c r="K19" s="63" t="s">
        <v>920</v>
      </c>
      <c r="L19" s="63" t="s">
        <v>920</v>
      </c>
      <c r="M19" s="63" t="s">
        <v>920</v>
      </c>
      <c r="N19" s="63" t="s">
        <v>920</v>
      </c>
      <c r="O19" s="63" t="s">
        <v>920</v>
      </c>
      <c r="P19" s="63" t="s">
        <v>920</v>
      </c>
      <c r="Q19" s="63" t="s">
        <v>920</v>
      </c>
      <c r="R19" s="63" t="s">
        <v>920</v>
      </c>
      <c r="S19" s="65"/>
      <c r="T19" s="66"/>
      <c r="U19" s="67"/>
      <c r="V19" s="67"/>
      <c r="W19" s="67"/>
      <c r="X19" s="68"/>
      <c r="Y19" s="69"/>
      <c r="Z19" s="70"/>
      <c r="AA19" s="67"/>
      <c r="AB19" s="67"/>
      <c r="AC19" s="67"/>
      <c r="AD19" s="87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 t="s">
        <v>737</v>
      </c>
      <c r="AS19" s="70" t="s">
        <v>737</v>
      </c>
      <c r="AT19" s="70" t="s">
        <v>737</v>
      </c>
      <c r="AU19" s="70" t="s">
        <v>737</v>
      </c>
      <c r="AV19" s="68" t="n">
        <v>0</v>
      </c>
      <c r="AW19" s="69"/>
      <c r="AX19" s="68"/>
      <c r="AY19" s="68"/>
      <c r="AZ19" s="69"/>
      <c r="BA19" s="70"/>
      <c r="BB19" s="71"/>
      <c r="BC19" s="72"/>
      <c r="BD19" s="73" t="str">
        <f aca="false">IF(AND(BB19&gt;=6,AP19&gt;=6,AJ19&gt;=6,AD19&gt;=6,X19&gt;=6),"да","нет")</f>
        <v>нет</v>
      </c>
      <c r="BE19" s="72"/>
      <c r="BF19" s="74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18</v>
      </c>
      <c r="B20" s="60" t="s">
        <v>36</v>
      </c>
      <c r="C20" s="61" t="s">
        <v>21</v>
      </c>
      <c r="D20" s="61" t="s">
        <v>35</v>
      </c>
      <c r="E20" s="62"/>
      <c r="F20" s="63" t="s">
        <v>920</v>
      </c>
      <c r="G20" s="63" t="s">
        <v>919</v>
      </c>
      <c r="H20" s="63" t="s">
        <v>920</v>
      </c>
      <c r="I20" s="63" t="s">
        <v>920</v>
      </c>
      <c r="J20" s="63" t="s">
        <v>920</v>
      </c>
      <c r="K20" s="63" t="s">
        <v>1163</v>
      </c>
      <c r="L20" s="63" t="s">
        <v>920</v>
      </c>
      <c r="M20" s="63" t="s">
        <v>920</v>
      </c>
      <c r="N20" s="63" t="s">
        <v>920</v>
      </c>
      <c r="O20" s="63" t="s">
        <v>920</v>
      </c>
      <c r="P20" s="63" t="s">
        <v>920</v>
      </c>
      <c r="Q20" s="63" t="s">
        <v>920</v>
      </c>
      <c r="R20" s="63" t="s">
        <v>920</v>
      </c>
      <c r="S20" s="65"/>
      <c r="T20" s="66" t="s">
        <v>1164</v>
      </c>
      <c r="U20" s="67" t="n">
        <v>45745</v>
      </c>
      <c r="V20" s="67" t="n">
        <v>45745</v>
      </c>
      <c r="W20" s="67" t="n">
        <v>45745</v>
      </c>
      <c r="X20" s="87" t="n">
        <v>9.7</v>
      </c>
      <c r="Y20" s="69"/>
      <c r="Z20" s="70" t="n">
        <v>4218</v>
      </c>
      <c r="AA20" s="67" t="n">
        <v>45773</v>
      </c>
      <c r="AB20" s="67" t="n">
        <v>45773</v>
      </c>
      <c r="AC20" s="67" t="n">
        <v>45773</v>
      </c>
      <c r="AD20" s="87" t="n">
        <v>9.6</v>
      </c>
      <c r="AE20" s="69"/>
      <c r="AF20" s="70" t="n">
        <v>5218</v>
      </c>
      <c r="AG20" s="106" t="n">
        <v>45827</v>
      </c>
      <c r="AH20" s="106" t="n">
        <v>45827</v>
      </c>
      <c r="AI20" s="106" t="n">
        <v>45827</v>
      </c>
      <c r="AJ20" s="87" t="n">
        <v>9.7</v>
      </c>
      <c r="AK20" s="69"/>
      <c r="AL20" s="70" t="n">
        <v>6218</v>
      </c>
      <c r="AM20" s="106" t="n">
        <v>45834</v>
      </c>
      <c r="AN20" s="106" t="n">
        <v>45834</v>
      </c>
      <c r="AO20" s="106" t="n">
        <v>45834</v>
      </c>
      <c r="AP20" s="87" t="n">
        <v>9.7</v>
      </c>
      <c r="AQ20" s="69"/>
      <c r="AR20" s="70" t="s">
        <v>737</v>
      </c>
      <c r="AS20" s="70" t="s">
        <v>737</v>
      </c>
      <c r="AT20" s="70" t="s">
        <v>737</v>
      </c>
      <c r="AU20" s="70" t="s">
        <v>737</v>
      </c>
      <c r="AV20" s="68" t="n">
        <v>0</v>
      </c>
      <c r="AW20" s="69"/>
      <c r="AX20" s="68" t="n">
        <v>3</v>
      </c>
      <c r="AY20" s="68" t="n">
        <v>1</v>
      </c>
      <c r="AZ20" s="69"/>
      <c r="BA20" s="106" t="n">
        <v>45801</v>
      </c>
      <c r="BB20" s="89" t="n">
        <v>8.5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45836</v>
      </c>
      <c r="BG20" s="71" t="n">
        <v>18</v>
      </c>
      <c r="BH20" s="68"/>
      <c r="BI20" s="50"/>
      <c r="BJ20" s="107" t="n">
        <f aca="false">SUM(X20,AD20,AJ20,AP20,AV20,AX20:AY20,BH20,BB20,BG20)</f>
        <v>69.2</v>
      </c>
      <c r="BK20" s="73" t="str">
        <f aca="false">IF(BJ20&gt;90,"A",IF(BJ20&gt;83,"B",IF(BJ20&gt;74,"C",IF(BJ20&gt;67,"D",IF(BJ20&gt;=60,"E","FX")))))</f>
        <v>D</v>
      </c>
    </row>
    <row r="21" customFormat="false" ht="15.75" hidden="false" customHeight="false" outlineLevel="0" collapsed="false">
      <c r="A21" s="59" t="n">
        <f aca="false">A20+1</f>
        <v>19</v>
      </c>
      <c r="B21" s="60" t="s">
        <v>45</v>
      </c>
      <c r="C21" s="61" t="s">
        <v>21</v>
      </c>
      <c r="D21" s="61" t="s">
        <v>44</v>
      </c>
      <c r="E21" s="62"/>
      <c r="F21" s="63" t="s">
        <v>920</v>
      </c>
      <c r="G21" s="63" t="s">
        <v>920</v>
      </c>
      <c r="H21" s="63" t="s">
        <v>919</v>
      </c>
      <c r="I21" s="63" t="s">
        <v>920</v>
      </c>
      <c r="J21" s="63" t="s">
        <v>920</v>
      </c>
      <c r="K21" s="63" t="s">
        <v>920</v>
      </c>
      <c r="L21" s="63" t="s">
        <v>920</v>
      </c>
      <c r="M21" s="63" t="s">
        <v>920</v>
      </c>
      <c r="N21" s="63" t="s">
        <v>920</v>
      </c>
      <c r="O21" s="63" t="s">
        <v>920</v>
      </c>
      <c r="P21" s="63" t="s">
        <v>920</v>
      </c>
      <c r="Q21" s="63" t="s">
        <v>920</v>
      </c>
      <c r="R21" s="63" t="s">
        <v>920</v>
      </c>
      <c r="S21" s="65"/>
      <c r="T21" s="66" t="s">
        <v>1165</v>
      </c>
      <c r="U21" s="67" t="n">
        <v>45745</v>
      </c>
      <c r="V21" s="67" t="n">
        <v>45745</v>
      </c>
      <c r="W21" s="67" t="n">
        <v>45745</v>
      </c>
      <c r="X21" s="87" t="n">
        <v>9.5</v>
      </c>
      <c r="Y21" s="69"/>
      <c r="Z21" s="70" t="n">
        <v>4219</v>
      </c>
      <c r="AA21" s="67"/>
      <c r="AB21" s="67"/>
      <c r="AC21" s="67"/>
      <c r="AD21" s="87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 t="s">
        <v>737</v>
      </c>
      <c r="AS21" s="70" t="s">
        <v>737</v>
      </c>
      <c r="AT21" s="70" t="s">
        <v>737</v>
      </c>
      <c r="AU21" s="70" t="s">
        <v>737</v>
      </c>
      <c r="AV21" s="68" t="n">
        <v>0</v>
      </c>
      <c r="AW21" s="69"/>
      <c r="AX21" s="68"/>
      <c r="AY21" s="68"/>
      <c r="AZ21" s="69"/>
      <c r="BA21" s="106" t="n">
        <v>45801</v>
      </c>
      <c r="BB21" s="89" t="n">
        <v>0</v>
      </c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107" t="n">
        <f aca="false">SUM(X21,AD21,AJ21,AP21,AV21,AX21:AY21,BH21,BB21,BG21)</f>
        <v>9.5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">
        <v>47</v>
      </c>
      <c r="C22" s="61" t="s">
        <v>21</v>
      </c>
      <c r="D22" s="61" t="s">
        <v>46</v>
      </c>
      <c r="E22" s="62"/>
      <c r="F22" s="63" t="s">
        <v>920</v>
      </c>
      <c r="G22" s="63" t="s">
        <v>919</v>
      </c>
      <c r="H22" s="63" t="s">
        <v>920</v>
      </c>
      <c r="I22" s="63" t="s">
        <v>1163</v>
      </c>
      <c r="J22" s="63" t="s">
        <v>1166</v>
      </c>
      <c r="K22" s="63" t="s">
        <v>919</v>
      </c>
      <c r="L22" s="63" t="s">
        <v>1163</v>
      </c>
      <c r="M22" s="63" t="s">
        <v>920</v>
      </c>
      <c r="N22" s="63" t="s">
        <v>920</v>
      </c>
      <c r="O22" s="63" t="s">
        <v>920</v>
      </c>
      <c r="P22" s="63" t="s">
        <v>920</v>
      </c>
      <c r="Q22" s="63" t="s">
        <v>920</v>
      </c>
      <c r="R22" s="63" t="s">
        <v>920</v>
      </c>
      <c r="S22" s="65"/>
      <c r="T22" s="66" t="s">
        <v>1167</v>
      </c>
      <c r="U22" s="67" t="n">
        <v>45745</v>
      </c>
      <c r="V22" s="67" t="n">
        <v>45745</v>
      </c>
      <c r="W22" s="67" t="n">
        <v>45745</v>
      </c>
      <c r="X22" s="87" t="n">
        <v>9.3</v>
      </c>
      <c r="Y22" s="69"/>
      <c r="Z22" s="70" t="n">
        <v>4220</v>
      </c>
      <c r="AA22" s="106" t="n">
        <v>45759</v>
      </c>
      <c r="AB22" s="106" t="n">
        <v>45759</v>
      </c>
      <c r="AC22" s="106" t="n">
        <v>45759</v>
      </c>
      <c r="AD22" s="87" t="n">
        <v>9.4</v>
      </c>
      <c r="AE22" s="69"/>
      <c r="AF22" s="70" t="n">
        <v>5220</v>
      </c>
      <c r="AG22" s="106" t="n">
        <v>45787</v>
      </c>
      <c r="AH22" s="106" t="n">
        <v>45787</v>
      </c>
      <c r="AI22" s="106" t="n">
        <v>45787</v>
      </c>
      <c r="AJ22" s="87" t="n">
        <v>9.3</v>
      </c>
      <c r="AK22" s="69"/>
      <c r="AL22" s="70" t="n">
        <v>6220</v>
      </c>
      <c r="AM22" s="70"/>
      <c r="AN22" s="70"/>
      <c r="AO22" s="70"/>
      <c r="AP22" s="68"/>
      <c r="AQ22" s="69"/>
      <c r="AR22" s="70" t="s">
        <v>737</v>
      </c>
      <c r="AS22" s="70" t="s">
        <v>737</v>
      </c>
      <c r="AT22" s="70" t="s">
        <v>737</v>
      </c>
      <c r="AU22" s="70" t="s">
        <v>737</v>
      </c>
      <c r="AV22" s="68" t="n">
        <v>0</v>
      </c>
      <c r="AW22" s="69"/>
      <c r="AX22" s="68" t="n">
        <v>1</v>
      </c>
      <c r="AY22" s="68" t="n">
        <v>0</v>
      </c>
      <c r="AZ22" s="69"/>
      <c r="BA22" s="106" t="n">
        <v>45834</v>
      </c>
      <c r="BB22" s="89" t="n">
        <v>0</v>
      </c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107" t="n">
        <f aca="false">SUM(X22,AD22,AJ22,AP22,AV22,AX22:AY22,BH22,BB22,BG22)</f>
        <v>29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">
        <v>87</v>
      </c>
      <c r="C23" s="61" t="s">
        <v>21</v>
      </c>
      <c r="D23" s="61" t="s">
        <v>86</v>
      </c>
      <c r="E23" s="62"/>
      <c r="F23" s="63" t="s">
        <v>919</v>
      </c>
      <c r="G23" s="63" t="s">
        <v>919</v>
      </c>
      <c r="H23" s="63" t="s">
        <v>919</v>
      </c>
      <c r="I23" s="63" t="s">
        <v>919</v>
      </c>
      <c r="J23" s="63" t="s">
        <v>1163</v>
      </c>
      <c r="K23" s="63" t="s">
        <v>919</v>
      </c>
      <c r="L23" s="63" t="s">
        <v>1163</v>
      </c>
      <c r="M23" s="63" t="s">
        <v>920</v>
      </c>
      <c r="N23" s="63" t="s">
        <v>920</v>
      </c>
      <c r="O23" s="63" t="s">
        <v>920</v>
      </c>
      <c r="P23" s="63" t="s">
        <v>920</v>
      </c>
      <c r="Q23" s="63" t="s">
        <v>920</v>
      </c>
      <c r="R23" s="63" t="s">
        <v>920</v>
      </c>
      <c r="S23" s="65"/>
      <c r="T23" s="66" t="s">
        <v>1168</v>
      </c>
      <c r="U23" s="106" t="n">
        <v>45731</v>
      </c>
      <c r="V23" s="106" t="n">
        <v>45731</v>
      </c>
      <c r="W23" s="106" t="n">
        <v>45731</v>
      </c>
      <c r="X23" s="87" t="n">
        <v>9.2</v>
      </c>
      <c r="Y23" s="69"/>
      <c r="Z23" s="70" t="n">
        <v>4221</v>
      </c>
      <c r="AA23" s="106" t="n">
        <v>45759</v>
      </c>
      <c r="AB23" s="106" t="n">
        <v>45759</v>
      </c>
      <c r="AC23" s="67" t="n">
        <v>45759</v>
      </c>
      <c r="AD23" s="87" t="n">
        <v>9.3</v>
      </c>
      <c r="AE23" s="69"/>
      <c r="AF23" s="70" t="n">
        <v>5221</v>
      </c>
      <c r="AG23" s="106" t="n">
        <v>45787</v>
      </c>
      <c r="AH23" s="106" t="n">
        <v>45787</v>
      </c>
      <c r="AI23" s="106" t="n">
        <v>45787</v>
      </c>
      <c r="AJ23" s="87" t="n">
        <v>9.4</v>
      </c>
      <c r="AK23" s="69"/>
      <c r="AL23" s="70" t="n">
        <v>6221</v>
      </c>
      <c r="AM23" s="106" t="n">
        <v>45834</v>
      </c>
      <c r="AN23" s="106" t="n">
        <v>45834</v>
      </c>
      <c r="AO23" s="106" t="n">
        <v>45834</v>
      </c>
      <c r="AP23" s="87" t="n">
        <v>9.4</v>
      </c>
      <c r="AQ23" s="69"/>
      <c r="AR23" s="70" t="s">
        <v>737</v>
      </c>
      <c r="AS23" s="70" t="s">
        <v>737</v>
      </c>
      <c r="AT23" s="70" t="s">
        <v>737</v>
      </c>
      <c r="AU23" s="70" t="s">
        <v>737</v>
      </c>
      <c r="AV23" s="68" t="n">
        <v>0</v>
      </c>
      <c r="AW23" s="69"/>
      <c r="AX23" s="68" t="n">
        <v>1</v>
      </c>
      <c r="AY23" s="68"/>
      <c r="AZ23" s="69"/>
      <c r="BA23" s="106" t="n">
        <v>45801</v>
      </c>
      <c r="BB23" s="89" t="n">
        <v>8.5</v>
      </c>
      <c r="BC23" s="72"/>
      <c r="BD23" s="73" t="str">
        <f aca="false">IF(AND(BB23&gt;=6,AP23&gt;=6,AJ23&gt;=6,AD23&gt;=6,X23&gt;=6),"да","нет")</f>
        <v>да</v>
      </c>
      <c r="BE23" s="72"/>
      <c r="BF23" s="118" t="n">
        <v>45836</v>
      </c>
      <c r="BG23" s="71" t="n">
        <v>0</v>
      </c>
      <c r="BH23" s="68"/>
      <c r="BI23" s="50"/>
      <c r="BJ23" s="107" t="n">
        <f aca="false">SUM(X23,AD23,AJ23,AP23,AV23,AX23:AY23,BH23,BB23,BG23)</f>
        <v>46.8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">
        <v>93</v>
      </c>
      <c r="C24" s="61" t="s">
        <v>21</v>
      </c>
      <c r="D24" s="61" t="s">
        <v>92</v>
      </c>
      <c r="E24" s="62"/>
      <c r="F24" s="63" t="s">
        <v>919</v>
      </c>
      <c r="G24" s="63" t="s">
        <v>919</v>
      </c>
      <c r="H24" s="63" t="s">
        <v>919</v>
      </c>
      <c r="I24" s="63" t="s">
        <v>919</v>
      </c>
      <c r="J24" s="63" t="s">
        <v>920</v>
      </c>
      <c r="K24" s="63" t="s">
        <v>1163</v>
      </c>
      <c r="L24" s="63" t="s">
        <v>919</v>
      </c>
      <c r="M24" s="63" t="s">
        <v>920</v>
      </c>
      <c r="N24" s="63" t="s">
        <v>920</v>
      </c>
      <c r="O24" s="63" t="s">
        <v>920</v>
      </c>
      <c r="P24" s="63" t="s">
        <v>920</v>
      </c>
      <c r="Q24" s="63" t="s">
        <v>920</v>
      </c>
      <c r="R24" s="63" t="s">
        <v>920</v>
      </c>
      <c r="S24" s="65"/>
      <c r="T24" s="66" t="s">
        <v>1169</v>
      </c>
      <c r="U24" s="106" t="n">
        <v>45731</v>
      </c>
      <c r="V24" s="106" t="n">
        <v>45731</v>
      </c>
      <c r="W24" s="106" t="n">
        <v>45731</v>
      </c>
      <c r="X24" s="87" t="n">
        <v>9.3</v>
      </c>
      <c r="Y24" s="69"/>
      <c r="Z24" s="70" t="n">
        <v>4222</v>
      </c>
      <c r="AA24" s="67" t="n">
        <v>45745</v>
      </c>
      <c r="AB24" s="67" t="n">
        <v>45745</v>
      </c>
      <c r="AC24" s="67" t="n">
        <v>45745</v>
      </c>
      <c r="AD24" s="87" t="n">
        <v>8.4</v>
      </c>
      <c r="AE24" s="69"/>
      <c r="AF24" s="70" t="n">
        <v>5222</v>
      </c>
      <c r="AG24" s="106" t="n">
        <v>45773</v>
      </c>
      <c r="AH24" s="106" t="n">
        <v>45773</v>
      </c>
      <c r="AI24" s="106" t="n">
        <v>45773</v>
      </c>
      <c r="AJ24" s="87" t="n">
        <v>8.3</v>
      </c>
      <c r="AK24" s="69"/>
      <c r="AL24" s="70" t="n">
        <v>6222</v>
      </c>
      <c r="AM24" s="106" t="n">
        <v>45787</v>
      </c>
      <c r="AN24" s="106" t="n">
        <v>45787</v>
      </c>
      <c r="AO24" s="106" t="n">
        <v>45787</v>
      </c>
      <c r="AP24" s="87" t="n">
        <v>8.3</v>
      </c>
      <c r="AQ24" s="69"/>
      <c r="AR24" s="70" t="n">
        <v>7222</v>
      </c>
      <c r="AS24" s="106" t="n">
        <v>45801</v>
      </c>
      <c r="AT24" s="106" t="n">
        <v>45801</v>
      </c>
      <c r="AU24" s="106" t="n">
        <v>45827</v>
      </c>
      <c r="AV24" s="87" t="n">
        <v>7</v>
      </c>
      <c r="AW24" s="69"/>
      <c r="AX24" s="68" t="n">
        <v>2</v>
      </c>
      <c r="AY24" s="68" t="n">
        <v>0</v>
      </c>
      <c r="AZ24" s="69"/>
      <c r="BA24" s="106" t="n">
        <v>45834</v>
      </c>
      <c r="BB24" s="89" t="n">
        <v>6</v>
      </c>
      <c r="BC24" s="72"/>
      <c r="BD24" s="73" t="str">
        <f aca="false">IF(AND(BB24&gt;=6,AP24&gt;=6,AJ24&gt;=6,AD24&gt;=6,X24&gt;=6),"да","нет")</f>
        <v>да</v>
      </c>
      <c r="BE24" s="72"/>
      <c r="BF24" s="118" t="n">
        <v>45836</v>
      </c>
      <c r="BG24" s="71" t="n">
        <v>20</v>
      </c>
      <c r="BH24" s="68"/>
      <c r="BI24" s="50"/>
      <c r="BJ24" s="107" t="n">
        <f aca="false">SUM(X24,AD24,AJ24,AP24,AV24,AX24:AY24,BH24,BB24,BG24)</f>
        <v>69.3</v>
      </c>
      <c r="BK24" s="73" t="str">
        <f aca="false">IF(BJ24&gt;90,"A",IF(BJ24&gt;83,"B",IF(BJ24&gt;74,"C",IF(BJ24&gt;67,"D",IF(BJ24&gt;=60,"E","FX")))))</f>
        <v>D</v>
      </c>
    </row>
    <row r="25" customFormat="false" ht="15.75" hidden="false" customHeight="false" outlineLevel="0" collapsed="false">
      <c r="A25" s="59" t="n">
        <v>23</v>
      </c>
      <c r="B25" s="60" t="s">
        <v>101</v>
      </c>
      <c r="C25" s="61" t="s">
        <v>21</v>
      </c>
      <c r="D25" s="61" t="s">
        <v>100</v>
      </c>
      <c r="E25" s="62"/>
      <c r="F25" s="63" t="s">
        <v>920</v>
      </c>
      <c r="G25" s="63" t="s">
        <v>919</v>
      </c>
      <c r="H25" s="63" t="s">
        <v>1163</v>
      </c>
      <c r="I25" s="63" t="s">
        <v>920</v>
      </c>
      <c r="J25" s="63" t="s">
        <v>920</v>
      </c>
      <c r="K25" s="63" t="s">
        <v>1166</v>
      </c>
      <c r="L25" s="63" t="s">
        <v>1163</v>
      </c>
      <c r="M25" s="63" t="s">
        <v>1163</v>
      </c>
      <c r="N25" s="63" t="s">
        <v>920</v>
      </c>
      <c r="O25" s="63" t="s">
        <v>920</v>
      </c>
      <c r="P25" s="63" t="s">
        <v>920</v>
      </c>
      <c r="Q25" s="63" t="s">
        <v>920</v>
      </c>
      <c r="R25" s="63" t="s">
        <v>920</v>
      </c>
      <c r="S25" s="65"/>
      <c r="T25" s="66" t="s">
        <v>1170</v>
      </c>
      <c r="U25" s="106" t="n">
        <v>45731</v>
      </c>
      <c r="V25" s="106" t="n">
        <v>45731</v>
      </c>
      <c r="W25" s="106" t="n">
        <v>45731</v>
      </c>
      <c r="X25" s="87" t="n">
        <v>9.6</v>
      </c>
      <c r="Y25" s="69"/>
      <c r="Z25" s="70" t="n">
        <v>4223</v>
      </c>
      <c r="AA25" s="67" t="n">
        <v>45745</v>
      </c>
      <c r="AB25" s="67" t="n">
        <v>45745</v>
      </c>
      <c r="AC25" s="67" t="n">
        <v>45745</v>
      </c>
      <c r="AD25" s="87" t="n">
        <v>9.5</v>
      </c>
      <c r="AE25" s="69"/>
      <c r="AF25" s="70" t="n">
        <v>5223</v>
      </c>
      <c r="AG25" s="106" t="n">
        <v>45773</v>
      </c>
      <c r="AH25" s="106" t="n">
        <v>45773</v>
      </c>
      <c r="AI25" s="106" t="n">
        <v>45773</v>
      </c>
      <c r="AJ25" s="87" t="n">
        <v>9.5</v>
      </c>
      <c r="AK25" s="69"/>
      <c r="AL25" s="70" t="n">
        <v>6223</v>
      </c>
      <c r="AM25" s="106" t="n">
        <v>45787</v>
      </c>
      <c r="AN25" s="106" t="n">
        <v>45801</v>
      </c>
      <c r="AO25" s="106" t="n">
        <v>45801</v>
      </c>
      <c r="AP25" s="87" t="n">
        <v>9.6</v>
      </c>
      <c r="AQ25" s="69"/>
      <c r="AR25" s="70" t="s">
        <v>737</v>
      </c>
      <c r="AS25" s="70" t="s">
        <v>737</v>
      </c>
      <c r="AT25" s="70" t="s">
        <v>737</v>
      </c>
      <c r="AU25" s="70" t="s">
        <v>737</v>
      </c>
      <c r="AV25" s="68" t="n">
        <v>0</v>
      </c>
      <c r="AW25" s="69"/>
      <c r="AX25" s="68" t="n">
        <v>0</v>
      </c>
      <c r="AY25" s="68"/>
      <c r="AZ25" s="69"/>
      <c r="BA25" s="106" t="n">
        <v>45834</v>
      </c>
      <c r="BB25" s="89" t="n">
        <v>6</v>
      </c>
      <c r="BC25" s="72"/>
      <c r="BD25" s="73" t="str">
        <f aca="false">IF(AND(BB25&gt;=6,AP25&gt;=6,AJ25&gt;=6,AD25&gt;=6,X25&gt;=6),"да","нет")</f>
        <v>да</v>
      </c>
      <c r="BE25" s="72"/>
      <c r="BF25" s="118" t="n">
        <v>45836</v>
      </c>
      <c r="BG25" s="71" t="n">
        <v>22</v>
      </c>
      <c r="BH25" s="68" t="n">
        <v>1</v>
      </c>
      <c r="BI25" s="50"/>
      <c r="BJ25" s="107" t="n">
        <f aca="false">SUM(X25,AD25,AJ25,AP25,AV25,AX25:AY25,BH25,BB25,BG25)</f>
        <v>67.2</v>
      </c>
      <c r="BK25" s="73" t="str">
        <f aca="false">IF(BJ25&gt;90,"A",IF(BJ25&gt;83,"B",IF(BJ25&gt;74,"C",IF(BJ25&gt;67,"D",IF(BJ25&gt;=60,"E","FX")))))</f>
        <v>D</v>
      </c>
    </row>
    <row r="26" customFormat="false" ht="15.75" hidden="false" customHeight="false" outlineLevel="0" collapsed="false">
      <c r="A26" s="59" t="n">
        <v>24</v>
      </c>
      <c r="B26" s="60" t="s">
        <v>105</v>
      </c>
      <c r="C26" s="61" t="s">
        <v>21</v>
      </c>
      <c r="D26" s="61" t="s">
        <v>104</v>
      </c>
      <c r="E26" s="62"/>
      <c r="F26" s="63" t="s">
        <v>919</v>
      </c>
      <c r="G26" s="63" t="s">
        <v>919</v>
      </c>
      <c r="H26" s="63" t="s">
        <v>919</v>
      </c>
      <c r="I26" s="63" t="s">
        <v>919</v>
      </c>
      <c r="J26" s="63" t="s">
        <v>920</v>
      </c>
      <c r="K26" s="63" t="s">
        <v>1166</v>
      </c>
      <c r="L26" s="63" t="s">
        <v>919</v>
      </c>
      <c r="M26" s="63" t="s">
        <v>919</v>
      </c>
      <c r="N26" s="63" t="s">
        <v>920</v>
      </c>
      <c r="O26" s="63" t="s">
        <v>920</v>
      </c>
      <c r="P26" s="63" t="s">
        <v>920</v>
      </c>
      <c r="Q26" s="63" t="s">
        <v>920</v>
      </c>
      <c r="R26" s="63" t="s">
        <v>920</v>
      </c>
      <c r="S26" s="65"/>
      <c r="T26" s="66" t="s">
        <v>1171</v>
      </c>
      <c r="U26" s="106" t="n">
        <v>45717</v>
      </c>
      <c r="V26" s="106" t="n">
        <v>45717</v>
      </c>
      <c r="W26" s="106" t="n">
        <v>45717</v>
      </c>
      <c r="X26" s="87" t="n">
        <v>9.7</v>
      </c>
      <c r="Y26" s="69"/>
      <c r="Z26" s="70" t="n">
        <v>4224</v>
      </c>
      <c r="AA26" s="67" t="n">
        <v>45745</v>
      </c>
      <c r="AB26" s="67" t="n">
        <v>45745</v>
      </c>
      <c r="AC26" s="67" t="n">
        <v>45745</v>
      </c>
      <c r="AD26" s="87" t="n">
        <v>9.8</v>
      </c>
      <c r="AE26" s="69"/>
      <c r="AF26" s="70" t="n">
        <v>5224</v>
      </c>
      <c r="AG26" s="67" t="n">
        <v>45773</v>
      </c>
      <c r="AH26" s="67" t="n">
        <v>45773</v>
      </c>
      <c r="AI26" s="67" t="n">
        <v>45773</v>
      </c>
      <c r="AJ26" s="87" t="n">
        <v>9.8</v>
      </c>
      <c r="AK26" s="69"/>
      <c r="AL26" s="70" t="n">
        <v>6224</v>
      </c>
      <c r="AM26" s="106" t="n">
        <v>45787</v>
      </c>
      <c r="AN26" s="106" t="n">
        <v>45787</v>
      </c>
      <c r="AO26" s="106" t="n">
        <v>45787</v>
      </c>
      <c r="AP26" s="87" t="n">
        <v>9.7</v>
      </c>
      <c r="AQ26" s="69"/>
      <c r="AR26" s="70" t="n">
        <v>7224</v>
      </c>
      <c r="AS26" s="106" t="n">
        <v>45801</v>
      </c>
      <c r="AT26" s="106" t="n">
        <v>45801</v>
      </c>
      <c r="AU26" s="106" t="n">
        <v>45801</v>
      </c>
      <c r="AV26" s="87" t="n">
        <v>10</v>
      </c>
      <c r="AW26" s="69"/>
      <c r="AX26" s="68" t="n">
        <v>0</v>
      </c>
      <c r="AY26" s="68"/>
      <c r="AZ26" s="69"/>
      <c r="BA26" s="106" t="n">
        <v>45801</v>
      </c>
      <c r="BB26" s="89" t="n">
        <v>9.5</v>
      </c>
      <c r="BC26" s="72"/>
      <c r="BD26" s="73" t="str">
        <f aca="false">IF(AND(BB26&gt;=6,AP26&gt;=6,AJ26&gt;=6,AD26&gt;=6,X26&gt;=6),"да","нет")</f>
        <v>да</v>
      </c>
      <c r="BE26" s="72"/>
      <c r="BF26" s="118" t="n">
        <v>45836</v>
      </c>
      <c r="BG26" s="71" t="n">
        <v>20</v>
      </c>
      <c r="BH26" s="68"/>
      <c r="BI26" s="50"/>
      <c r="BJ26" s="107" t="n">
        <f aca="false">SUM(X26,AD26,AJ26,AP26,AV26,AX26:AY26,BH26,BB26,BG26)</f>
        <v>78.5</v>
      </c>
      <c r="BK26" s="73" t="str">
        <f aca="false">IF(BJ26&gt;90,"A",IF(BJ26&gt;83,"B",IF(BJ26&gt;74,"C",IF(BJ26&gt;67,"D",IF(BJ26&gt;=60,"E","FX")))))</f>
        <v>C</v>
      </c>
    </row>
    <row r="27" customFormat="false" ht="15.75" hidden="false" customHeight="false" outlineLevel="0" collapsed="false">
      <c r="A27" s="59" t="n">
        <v>25</v>
      </c>
      <c r="B27" s="60" t="s">
        <v>127</v>
      </c>
      <c r="C27" s="61" t="s">
        <v>21</v>
      </c>
      <c r="D27" s="61" t="s">
        <v>126</v>
      </c>
      <c r="E27" s="62"/>
      <c r="F27" s="63" t="s">
        <v>919</v>
      </c>
      <c r="G27" s="63" t="s">
        <v>920</v>
      </c>
      <c r="H27" s="63" t="s">
        <v>919</v>
      </c>
      <c r="I27" s="63" t="s">
        <v>919</v>
      </c>
      <c r="J27" s="63" t="s">
        <v>919</v>
      </c>
      <c r="K27" s="63" t="s">
        <v>1163</v>
      </c>
      <c r="L27" s="63" t="s">
        <v>919</v>
      </c>
      <c r="M27" s="63" t="s">
        <v>920</v>
      </c>
      <c r="N27" s="63" t="s">
        <v>920</v>
      </c>
      <c r="O27" s="63" t="s">
        <v>920</v>
      </c>
      <c r="P27" s="63" t="s">
        <v>920</v>
      </c>
      <c r="Q27" s="63" t="s">
        <v>920</v>
      </c>
      <c r="R27" s="63" t="s">
        <v>920</v>
      </c>
      <c r="S27" s="65"/>
      <c r="T27" s="66" t="s">
        <v>1172</v>
      </c>
      <c r="U27" s="106" t="n">
        <v>45731</v>
      </c>
      <c r="V27" s="106" t="n">
        <v>45731</v>
      </c>
      <c r="W27" s="106" t="n">
        <v>45731</v>
      </c>
      <c r="X27" s="87" t="n">
        <v>9.8</v>
      </c>
      <c r="Y27" s="69"/>
      <c r="Z27" s="70" t="n">
        <v>4225</v>
      </c>
      <c r="AA27" s="67" t="n">
        <v>45745</v>
      </c>
      <c r="AB27" s="67" t="n">
        <v>45745</v>
      </c>
      <c r="AC27" s="67" t="n">
        <v>45745</v>
      </c>
      <c r="AD27" s="87" t="n">
        <v>9.8</v>
      </c>
      <c r="AE27" s="69"/>
      <c r="AF27" s="70" t="n">
        <v>5225</v>
      </c>
      <c r="AG27" s="106" t="n">
        <v>45759</v>
      </c>
      <c r="AH27" s="106" t="n">
        <v>45759</v>
      </c>
      <c r="AI27" s="106" t="n">
        <v>45759</v>
      </c>
      <c r="AJ27" s="87" t="n">
        <v>9.6</v>
      </c>
      <c r="AK27" s="69"/>
      <c r="AL27" s="70" t="n">
        <v>6225</v>
      </c>
      <c r="AM27" s="106" t="n">
        <v>45773</v>
      </c>
      <c r="AN27" s="106" t="n">
        <v>45773</v>
      </c>
      <c r="AO27" s="106" t="n">
        <v>45773</v>
      </c>
      <c r="AP27" s="87" t="n">
        <v>9.6</v>
      </c>
      <c r="AQ27" s="69"/>
      <c r="AR27" s="70" t="n">
        <v>7225</v>
      </c>
      <c r="AS27" s="106" t="n">
        <v>45787</v>
      </c>
      <c r="AT27" s="106" t="n">
        <v>45787</v>
      </c>
      <c r="AU27" s="106" t="n">
        <v>45787</v>
      </c>
      <c r="AV27" s="87" t="n">
        <v>9.5</v>
      </c>
      <c r="AW27" s="69"/>
      <c r="AX27" s="68" t="n">
        <v>0</v>
      </c>
      <c r="AY27" s="68" t="n">
        <v>1</v>
      </c>
      <c r="AZ27" s="69"/>
      <c r="BA27" s="106" t="n">
        <v>45801</v>
      </c>
      <c r="BB27" s="89" t="n">
        <v>7.5</v>
      </c>
      <c r="BC27" s="72"/>
      <c r="BD27" s="73" t="str">
        <f aca="false">IF(AND(BB27&gt;=6,AP27&gt;=6,AJ27&gt;=6,AD27&gt;=6,X27&gt;=6),"да","нет")</f>
        <v>да</v>
      </c>
      <c r="BE27" s="72"/>
      <c r="BF27" s="118" t="n">
        <v>45836</v>
      </c>
      <c r="BG27" s="71" t="n">
        <v>24</v>
      </c>
      <c r="BH27" s="68"/>
      <c r="BI27" s="50"/>
      <c r="BJ27" s="107" t="n">
        <f aca="false">SUM(X27,AD27,AJ27,AP27,AV27,AX27:AY27,BH27,BB27,BG27)</f>
        <v>80.8</v>
      </c>
      <c r="BK27" s="73" t="str">
        <f aca="false">IF(BJ27&gt;90,"A",IF(BJ27&gt;83,"B",IF(BJ27&gt;74,"C",IF(BJ27&gt;67,"D",IF(BJ27&gt;=60,"E","FX")))))</f>
        <v>C</v>
      </c>
    </row>
    <row r="28" customFormat="false" ht="15.75" hidden="false" customHeight="false" outlineLevel="0" collapsed="false">
      <c r="A28" s="59" t="n">
        <v>26</v>
      </c>
      <c r="B28" s="112" t="s">
        <v>1173</v>
      </c>
      <c r="C28" s="61" t="s">
        <v>21</v>
      </c>
      <c r="D28" s="61" t="s">
        <v>1174</v>
      </c>
      <c r="E28" s="62"/>
      <c r="F28" s="63" t="s">
        <v>920</v>
      </c>
      <c r="G28" s="63" t="s">
        <v>920</v>
      </c>
      <c r="H28" s="63" t="s">
        <v>920</v>
      </c>
      <c r="I28" s="63" t="s">
        <v>920</v>
      </c>
      <c r="J28" s="63" t="s">
        <v>920</v>
      </c>
      <c r="K28" s="63" t="s">
        <v>920</v>
      </c>
      <c r="L28" s="63" t="s">
        <v>920</v>
      </c>
      <c r="M28" s="63" t="s">
        <v>920</v>
      </c>
      <c r="N28" s="63" t="s">
        <v>920</v>
      </c>
      <c r="O28" s="63" t="s">
        <v>920</v>
      </c>
      <c r="P28" s="63" t="s">
        <v>920</v>
      </c>
      <c r="Q28" s="63" t="s">
        <v>920</v>
      </c>
      <c r="R28" s="63" t="s">
        <v>920</v>
      </c>
      <c r="S28" s="65"/>
      <c r="T28" s="66"/>
      <c r="U28" s="70"/>
      <c r="V28" s="70"/>
      <c r="W28" s="70"/>
      <c r="X28" s="68"/>
      <c r="Y28" s="69"/>
      <c r="Z28" s="70"/>
      <c r="AA28" s="67"/>
      <c r="AB28" s="67"/>
      <c r="AC28" s="67"/>
      <c r="AD28" s="87"/>
      <c r="AE28" s="69"/>
      <c r="AF28" s="70"/>
      <c r="AG28" s="70"/>
      <c r="AH28" s="70"/>
      <c r="AI28" s="70"/>
      <c r="AJ28" s="68"/>
      <c r="AK28" s="69"/>
      <c r="AL28" s="70"/>
      <c r="AM28" s="70"/>
      <c r="AN28" s="70"/>
      <c r="AO28" s="70"/>
      <c r="AP28" s="68"/>
      <c r="AQ28" s="69"/>
      <c r="AR28" s="70" t="s">
        <v>737</v>
      </c>
      <c r="AS28" s="70" t="s">
        <v>737</v>
      </c>
      <c r="AT28" s="70" t="s">
        <v>737</v>
      </c>
      <c r="AU28" s="70" t="s">
        <v>737</v>
      </c>
      <c r="AV28" s="70" t="s">
        <v>737</v>
      </c>
      <c r="AW28" s="69"/>
      <c r="AX28" s="68"/>
      <c r="AY28" s="68"/>
      <c r="AZ28" s="69"/>
      <c r="BA28" s="70"/>
      <c r="BB28" s="71"/>
      <c r="BC28" s="72"/>
      <c r="BD28" s="73" t="str">
        <f aca="false">IF(AND(BB28&gt;=6,AP28&gt;=6,AJ28&gt;=6,AD28&gt;=6,X28&gt;=6),"да","нет")</f>
        <v>нет</v>
      </c>
      <c r="BE28" s="72"/>
      <c r="BF28" s="74"/>
      <c r="BG28" s="71"/>
      <c r="BH28" s="68"/>
      <c r="BI28" s="50"/>
      <c r="BJ28" s="75" t="n">
        <f aca="false">SUM(X28,AD28,AJ28,AP28,AV28,AX28:AY28,BH28,BB28,BG28)</f>
        <v>0</v>
      </c>
      <c r="BK28" s="73" t="str">
        <f aca="false">IF(BJ28&gt;90,"A",IF(BJ28&gt;83,"B",IF(BJ28&gt;74,"C",IF(BJ28&gt;67,"D",IF(BJ28&gt;=60,"E","FX")))))</f>
        <v>FX</v>
      </c>
    </row>
    <row r="29" customFormat="false" ht="15.75" hidden="false" customHeight="false" outlineLevel="0" collapsed="false">
      <c r="A29" s="59" t="n">
        <v>27</v>
      </c>
      <c r="B29" s="60" t="s">
        <v>141</v>
      </c>
      <c r="C29" s="61" t="s">
        <v>21</v>
      </c>
      <c r="D29" s="61" t="s">
        <v>140</v>
      </c>
      <c r="E29" s="62"/>
      <c r="F29" s="63" t="s">
        <v>920</v>
      </c>
      <c r="G29" s="63" t="s">
        <v>920</v>
      </c>
      <c r="H29" s="63" t="s">
        <v>920</v>
      </c>
      <c r="I29" s="63" t="s">
        <v>920</v>
      </c>
      <c r="J29" s="63" t="s">
        <v>919</v>
      </c>
      <c r="K29" s="63" t="s">
        <v>1163</v>
      </c>
      <c r="L29" s="63" t="s">
        <v>1163</v>
      </c>
      <c r="M29" s="63" t="s">
        <v>1163</v>
      </c>
      <c r="N29" s="63" t="s">
        <v>920</v>
      </c>
      <c r="O29" s="63" t="s">
        <v>1163</v>
      </c>
      <c r="P29" s="63" t="s">
        <v>920</v>
      </c>
      <c r="Q29" s="63" t="s">
        <v>920</v>
      </c>
      <c r="R29" s="63" t="s">
        <v>920</v>
      </c>
      <c r="S29" s="65"/>
      <c r="T29" s="66" t="s">
        <v>1175</v>
      </c>
      <c r="U29" s="106" t="n">
        <v>45773</v>
      </c>
      <c r="V29" s="106" t="n">
        <v>45773</v>
      </c>
      <c r="W29" s="106" t="n">
        <v>45773</v>
      </c>
      <c r="X29" s="87" t="n">
        <v>9.3</v>
      </c>
      <c r="Y29" s="69"/>
      <c r="Z29" s="70" t="n">
        <v>4227</v>
      </c>
      <c r="AA29" s="67" t="n">
        <v>45787</v>
      </c>
      <c r="AB29" s="67" t="n">
        <v>45787</v>
      </c>
      <c r="AC29" s="67" t="n">
        <v>45787</v>
      </c>
      <c r="AD29" s="87" t="n">
        <v>9.5</v>
      </c>
      <c r="AE29" s="69"/>
      <c r="AF29" s="70" t="n">
        <v>5227</v>
      </c>
      <c r="AG29" s="106" t="n">
        <v>45801</v>
      </c>
      <c r="AH29" s="106" t="n">
        <v>45801</v>
      </c>
      <c r="AI29" s="106" t="n">
        <v>45801</v>
      </c>
      <c r="AJ29" s="87" t="n">
        <v>9.5</v>
      </c>
      <c r="AK29" s="69"/>
      <c r="AL29" s="70" t="n">
        <v>6227</v>
      </c>
      <c r="AM29" s="106" t="n">
        <v>45834</v>
      </c>
      <c r="AN29" s="106" t="n">
        <v>45834</v>
      </c>
      <c r="AO29" s="106" t="n">
        <v>45834</v>
      </c>
      <c r="AP29" s="87" t="n">
        <v>9.2</v>
      </c>
      <c r="AQ29" s="69"/>
      <c r="AR29" s="70" t="s">
        <v>737</v>
      </c>
      <c r="AS29" s="70" t="s">
        <v>737</v>
      </c>
      <c r="AT29" s="70" t="s">
        <v>737</v>
      </c>
      <c r="AU29" s="70" t="s">
        <v>737</v>
      </c>
      <c r="AV29" s="70" t="s">
        <v>737</v>
      </c>
      <c r="AW29" s="69"/>
      <c r="AX29" s="68"/>
      <c r="AY29" s="68"/>
      <c r="AZ29" s="69"/>
      <c r="BA29" s="106" t="n">
        <v>45801</v>
      </c>
      <c r="BB29" s="89" t="n">
        <v>8.7</v>
      </c>
      <c r="BC29" s="72"/>
      <c r="BD29" s="73" t="str">
        <f aca="false">IF(AND(BB29&gt;=6,AP29&gt;=6,AJ29&gt;=6,AD29&gt;=6,X29&gt;=6),"да","нет")</f>
        <v>да</v>
      </c>
      <c r="BE29" s="72"/>
      <c r="BF29" s="74"/>
      <c r="BG29" s="71"/>
      <c r="BH29" s="68"/>
      <c r="BI29" s="50"/>
      <c r="BJ29" s="107" t="n">
        <f aca="false">SUM(X29,AD29,AJ29,AP29,AV29,AX29:AY29,BH29,BB29,BG29)</f>
        <v>46.2</v>
      </c>
      <c r="BK29" s="73" t="str">
        <f aca="false">IF(BJ29&gt;90,"A",IF(BJ29&gt;83,"B",IF(BJ29&gt;74,"C",IF(BJ29&gt;67,"D",IF(BJ29&gt;=60,"E","FX")))))</f>
        <v>FX</v>
      </c>
    </row>
    <row r="30" customFormat="false" ht="15.75" hidden="false" customHeight="false" outlineLevel="0" collapsed="false">
      <c r="A30" s="59" t="n">
        <v>28</v>
      </c>
      <c r="B30" s="60" t="s">
        <v>151</v>
      </c>
      <c r="C30" s="61" t="s">
        <v>21</v>
      </c>
      <c r="D30" s="61" t="s">
        <v>150</v>
      </c>
      <c r="E30" s="62"/>
      <c r="F30" s="63" t="s">
        <v>919</v>
      </c>
      <c r="G30" s="63" t="s">
        <v>1163</v>
      </c>
      <c r="H30" s="63" t="s">
        <v>919</v>
      </c>
      <c r="I30" s="63" t="s">
        <v>919</v>
      </c>
      <c r="J30" s="63" t="s">
        <v>1163</v>
      </c>
      <c r="K30" s="63" t="s">
        <v>1163</v>
      </c>
      <c r="L30" s="63" t="s">
        <v>1166</v>
      </c>
      <c r="M30" s="63" t="s">
        <v>1166</v>
      </c>
      <c r="N30" s="63" t="s">
        <v>920</v>
      </c>
      <c r="O30" s="63" t="s">
        <v>920</v>
      </c>
      <c r="P30" s="63" t="s">
        <v>920</v>
      </c>
      <c r="Q30" s="63" t="s">
        <v>920</v>
      </c>
      <c r="R30" s="63" t="s">
        <v>920</v>
      </c>
      <c r="S30" s="65"/>
      <c r="T30" s="66" t="s">
        <v>1176</v>
      </c>
      <c r="U30" s="106" t="n">
        <v>45717</v>
      </c>
      <c r="V30" s="106" t="n">
        <v>45717</v>
      </c>
      <c r="W30" s="106" t="n">
        <v>45717</v>
      </c>
      <c r="X30" s="87" t="n">
        <v>9.5</v>
      </c>
      <c r="Y30" s="69"/>
      <c r="Z30" s="70" t="n">
        <v>4228</v>
      </c>
      <c r="AA30" s="67" t="n">
        <v>45759</v>
      </c>
      <c r="AB30" s="67" t="n">
        <v>45759</v>
      </c>
      <c r="AC30" s="67" t="n">
        <v>45773</v>
      </c>
      <c r="AD30" s="87" t="n">
        <v>9.3</v>
      </c>
      <c r="AE30" s="69"/>
      <c r="AF30" s="70" t="n">
        <v>5228</v>
      </c>
      <c r="AG30" s="106" t="n">
        <v>45787</v>
      </c>
      <c r="AH30" s="106" t="n">
        <v>45787</v>
      </c>
      <c r="AI30" s="106" t="n">
        <v>45787</v>
      </c>
      <c r="AJ30" s="87" t="n">
        <v>9.4</v>
      </c>
      <c r="AK30" s="69"/>
      <c r="AL30" s="70" t="n">
        <v>6228</v>
      </c>
      <c r="AM30" s="106" t="n">
        <v>45801</v>
      </c>
      <c r="AN30" s="106" t="n">
        <v>45801</v>
      </c>
      <c r="AO30" s="106" t="n">
        <v>45801</v>
      </c>
      <c r="AP30" s="87" t="n">
        <v>9.2</v>
      </c>
      <c r="AQ30" s="69"/>
      <c r="AR30" s="70" t="s">
        <v>737</v>
      </c>
      <c r="AS30" s="70" t="s">
        <v>737</v>
      </c>
      <c r="AT30" s="70" t="s">
        <v>737</v>
      </c>
      <c r="AU30" s="70" t="s">
        <v>737</v>
      </c>
      <c r="AV30" s="70" t="s">
        <v>737</v>
      </c>
      <c r="AW30" s="69"/>
      <c r="AX30" s="68" t="n">
        <v>0</v>
      </c>
      <c r="AY30" s="68" t="n">
        <v>1</v>
      </c>
      <c r="AZ30" s="69"/>
      <c r="BA30" s="106" t="n">
        <v>45801</v>
      </c>
      <c r="BB30" s="89" t="n">
        <v>8</v>
      </c>
      <c r="BC30" s="72"/>
      <c r="BD30" s="73" t="str">
        <f aca="false">IF(AND(BB30&gt;=6,AP30&gt;=6,AJ30&gt;=6,AD30&gt;=6,X30&gt;=6),"да","нет")</f>
        <v>да</v>
      </c>
      <c r="BE30" s="72"/>
      <c r="BF30" s="118" t="n">
        <v>45836</v>
      </c>
      <c r="BG30" s="71" t="n">
        <v>18</v>
      </c>
      <c r="BH30" s="68"/>
      <c r="BI30" s="50"/>
      <c r="BJ30" s="107" t="n">
        <f aca="false">SUM(X30,AD30,AJ30,AP30,AV30,AX30:AY30,BH30,BB30,BG30)</f>
        <v>64.4</v>
      </c>
      <c r="BK30" s="73" t="str">
        <f aca="false">IF(BJ30&gt;90,"A",IF(BJ30&gt;83,"B",IF(BJ30&gt;74,"C",IF(BJ30&gt;67,"D",IF(BJ30&gt;=60,"E","FX")))))</f>
        <v>E</v>
      </c>
    </row>
    <row r="31" customFormat="false" ht="15.75" hidden="false" customHeight="false" outlineLevel="0" collapsed="false">
      <c r="A31" s="59" t="n">
        <v>29</v>
      </c>
      <c r="B31" s="60" t="s">
        <v>157</v>
      </c>
      <c r="C31" s="61" t="s">
        <v>21</v>
      </c>
      <c r="D31" s="61" t="s">
        <v>156</v>
      </c>
      <c r="E31" s="62"/>
      <c r="F31" s="63" t="s">
        <v>920</v>
      </c>
      <c r="G31" s="63" t="s">
        <v>920</v>
      </c>
      <c r="H31" s="63" t="s">
        <v>919</v>
      </c>
      <c r="I31" s="63" t="s">
        <v>920</v>
      </c>
      <c r="J31" s="63" t="s">
        <v>920</v>
      </c>
      <c r="K31" s="63" t="s">
        <v>919</v>
      </c>
      <c r="L31" s="63" t="s">
        <v>919</v>
      </c>
      <c r="M31" s="63" t="s">
        <v>920</v>
      </c>
      <c r="N31" s="63" t="s">
        <v>920</v>
      </c>
      <c r="O31" s="63" t="s">
        <v>920</v>
      </c>
      <c r="P31" s="63" t="s">
        <v>920</v>
      </c>
      <c r="Q31" s="63" t="s">
        <v>920</v>
      </c>
      <c r="R31" s="63" t="s">
        <v>920</v>
      </c>
      <c r="S31" s="65"/>
      <c r="T31" s="66" t="s">
        <v>1177</v>
      </c>
      <c r="U31" s="106" t="n">
        <v>45773</v>
      </c>
      <c r="V31" s="106" t="n">
        <v>45773</v>
      </c>
      <c r="W31" s="106" t="n">
        <v>45773</v>
      </c>
      <c r="X31" s="87" t="n">
        <v>8</v>
      </c>
      <c r="Y31" s="69"/>
      <c r="Z31" s="70" t="n">
        <v>4229</v>
      </c>
      <c r="AA31" s="67" t="n">
        <v>45787</v>
      </c>
      <c r="AB31" s="67" t="n">
        <v>45787</v>
      </c>
      <c r="AC31" s="67" t="n">
        <v>45787</v>
      </c>
      <c r="AD31" s="87" t="n">
        <v>8.1</v>
      </c>
      <c r="AE31" s="69"/>
      <c r="AF31" s="70" t="n">
        <v>5229</v>
      </c>
      <c r="AG31" s="106" t="n">
        <v>45801</v>
      </c>
      <c r="AH31" s="106" t="n">
        <v>45801</v>
      </c>
      <c r="AI31" s="106" t="n">
        <v>45801</v>
      </c>
      <c r="AJ31" s="87" t="n">
        <v>8.1</v>
      </c>
      <c r="AK31" s="69"/>
      <c r="AL31" s="70" t="n">
        <v>6229</v>
      </c>
      <c r="AM31" s="106" t="n">
        <v>45827</v>
      </c>
      <c r="AN31" s="106" t="n">
        <v>45827</v>
      </c>
      <c r="AO31" s="106" t="n">
        <v>45827</v>
      </c>
      <c r="AP31" s="87" t="n">
        <v>8.2</v>
      </c>
      <c r="AQ31" s="69"/>
      <c r="AR31" s="70" t="s">
        <v>737</v>
      </c>
      <c r="AS31" s="70" t="s">
        <v>737</v>
      </c>
      <c r="AT31" s="70" t="s">
        <v>737</v>
      </c>
      <c r="AU31" s="70" t="s">
        <v>737</v>
      </c>
      <c r="AV31" s="70" t="s">
        <v>737</v>
      </c>
      <c r="AW31" s="69"/>
      <c r="AX31" s="68" t="n">
        <v>0</v>
      </c>
      <c r="AY31" s="68"/>
      <c r="AZ31" s="69"/>
      <c r="BA31" s="106" t="n">
        <v>45801</v>
      </c>
      <c r="BB31" s="89" t="n">
        <v>7</v>
      </c>
      <c r="BC31" s="72"/>
      <c r="BD31" s="73" t="str">
        <f aca="false">IF(AND(BB31&gt;=6,AP31&gt;=6,AJ31&gt;=6,AD31&gt;=6,X31&gt;=6),"да","нет")</f>
        <v>да</v>
      </c>
      <c r="BE31" s="72"/>
      <c r="BF31" s="118" t="n">
        <v>45836</v>
      </c>
      <c r="BG31" s="71" t="n">
        <v>0</v>
      </c>
      <c r="BH31" s="68"/>
      <c r="BI31" s="50"/>
      <c r="BJ31" s="107" t="n">
        <f aca="false">SUM(X31,AD31,AJ31,AP31,AV31,AX31:AY31,BH31,BB31,BG31)</f>
        <v>39.4</v>
      </c>
      <c r="BK31" s="73" t="str">
        <f aca="false">IF(BJ31&gt;90,"A",IF(BJ31&gt;83,"B",IF(BJ31&gt;74,"C",IF(BJ31&gt;67,"D",IF(BJ31&gt;=60,"E","FX")))))</f>
        <v>FX</v>
      </c>
    </row>
    <row r="32" customFormat="false" ht="15.75" hidden="false" customHeight="false" outlineLevel="0" collapsed="false">
      <c r="A32" s="59" t="n">
        <v>30</v>
      </c>
      <c r="B32" s="60" t="s">
        <v>159</v>
      </c>
      <c r="C32" s="61" t="s">
        <v>21</v>
      </c>
      <c r="D32" s="61" t="s">
        <v>158</v>
      </c>
      <c r="E32" s="62"/>
      <c r="F32" s="63" t="s">
        <v>919</v>
      </c>
      <c r="G32" s="63" t="s">
        <v>1163</v>
      </c>
      <c r="H32" s="63" t="s">
        <v>1166</v>
      </c>
      <c r="I32" s="63" t="s">
        <v>1163</v>
      </c>
      <c r="J32" s="63" t="s">
        <v>919</v>
      </c>
      <c r="K32" s="63" t="s">
        <v>1163</v>
      </c>
      <c r="L32" s="63" t="s">
        <v>1163</v>
      </c>
      <c r="M32" s="63" t="s">
        <v>1163</v>
      </c>
      <c r="N32" s="63" t="s">
        <v>920</v>
      </c>
      <c r="O32" s="63" t="s">
        <v>920</v>
      </c>
      <c r="P32" s="63" t="s">
        <v>920</v>
      </c>
      <c r="Q32" s="63" t="s">
        <v>920</v>
      </c>
      <c r="R32" s="63" t="s">
        <v>920</v>
      </c>
      <c r="S32" s="65"/>
      <c r="T32" s="66" t="s">
        <v>1178</v>
      </c>
      <c r="U32" s="106" t="n">
        <v>45717</v>
      </c>
      <c r="V32" s="106" t="n">
        <v>45717</v>
      </c>
      <c r="W32" s="106" t="n">
        <v>45717</v>
      </c>
      <c r="X32" s="87" t="n">
        <v>10</v>
      </c>
      <c r="Y32" s="69"/>
      <c r="Z32" s="70" t="n">
        <v>4230</v>
      </c>
      <c r="AA32" s="67" t="n">
        <v>45731</v>
      </c>
      <c r="AB32" s="67" t="n">
        <v>45731</v>
      </c>
      <c r="AC32" s="67" t="n">
        <v>45731</v>
      </c>
      <c r="AD32" s="87" t="n">
        <v>9.8</v>
      </c>
      <c r="AE32" s="69"/>
      <c r="AF32" s="70" t="n">
        <v>5230</v>
      </c>
      <c r="AG32" s="67" t="n">
        <v>45745</v>
      </c>
      <c r="AH32" s="106" t="n">
        <v>45745</v>
      </c>
      <c r="AI32" s="106" t="n">
        <v>45745</v>
      </c>
      <c r="AJ32" s="87" t="n">
        <v>9.8</v>
      </c>
      <c r="AK32" s="69"/>
      <c r="AL32" s="70" t="n">
        <v>6230</v>
      </c>
      <c r="AM32" s="106" t="n">
        <v>45773</v>
      </c>
      <c r="AN32" s="106" t="n">
        <v>45773</v>
      </c>
      <c r="AO32" s="106" t="n">
        <v>45787</v>
      </c>
      <c r="AP32" s="87" t="n">
        <v>9.6</v>
      </c>
      <c r="AQ32" s="69"/>
      <c r="AR32" s="70" t="n">
        <v>7230</v>
      </c>
      <c r="AS32" s="106" t="n">
        <v>45801</v>
      </c>
      <c r="AT32" s="106" t="n">
        <v>45801</v>
      </c>
      <c r="AU32" s="106" t="n">
        <v>45801</v>
      </c>
      <c r="AV32" s="87" t="n">
        <v>10</v>
      </c>
      <c r="AW32" s="69"/>
      <c r="AX32" s="68" t="n">
        <v>1</v>
      </c>
      <c r="AY32" s="68" t="n">
        <v>2</v>
      </c>
      <c r="AZ32" s="69"/>
      <c r="BA32" s="106" t="n">
        <v>45801</v>
      </c>
      <c r="BB32" s="89" t="n">
        <v>8.5</v>
      </c>
      <c r="BC32" s="72"/>
      <c r="BD32" s="73" t="str">
        <f aca="false">IF(AND(BB32&gt;=6,AP32&gt;=6,AJ32&gt;=6,AD32&gt;=6,X32&gt;=6),"да","нет")</f>
        <v>да</v>
      </c>
      <c r="BE32" s="72"/>
      <c r="BF32" s="118" t="n">
        <v>45836</v>
      </c>
      <c r="BG32" s="71" t="n">
        <v>29</v>
      </c>
      <c r="BH32" s="68" t="n">
        <v>1</v>
      </c>
      <c r="BI32" s="50"/>
      <c r="BJ32" s="107" t="n">
        <f aca="false">SUM(X32,AD32,AJ32,AP32,AV32,AX32:AY32,BH32,BB32,BG32)</f>
        <v>90.7</v>
      </c>
      <c r="BK32" s="73" t="str">
        <f aca="false">IF(BJ32&gt;90,"A",IF(BJ32&gt;83,"B",IF(BJ32&gt;74,"C",IF(BJ32&gt;67,"D",IF(BJ32&gt;=60,"E","FX")))))</f>
        <v>A</v>
      </c>
    </row>
    <row r="33" customFormat="false" ht="1.5" hidden="false" customHeight="true" outlineLevel="0" collapsed="false">
      <c r="A33" s="76"/>
      <c r="B33" s="76"/>
      <c r="C33" s="76"/>
      <c r="D33" s="76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9"/>
      <c r="AN33" s="65"/>
      <c r="AO33" s="65"/>
      <c r="AP33" s="65"/>
      <c r="AQ33" s="65"/>
      <c r="AR33" s="65"/>
      <c r="AS33" s="65"/>
      <c r="AT33" s="65"/>
      <c r="AU33" s="65"/>
      <c r="AV33" s="65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80"/>
      <c r="BJ33" s="72"/>
      <c r="BK33" s="72"/>
    </row>
    <row r="34" customFormat="false" ht="15.75" hidden="false" customHeight="false" outlineLevel="0" collapsed="false">
      <c r="A34" s="81"/>
      <c r="B34" s="81" t="s">
        <v>678</v>
      </c>
      <c r="C34" s="81"/>
      <c r="D34" s="81"/>
      <c r="E34" s="69"/>
      <c r="F34" s="70" t="n">
        <f aca="false">COUNTIF(F$3:F$32, "~**")</f>
        <v>0</v>
      </c>
      <c r="G34" s="70" t="n">
        <f aca="false">COUNTIF(G$3:G$32, "~**")</f>
        <v>7</v>
      </c>
      <c r="H34" s="70" t="n">
        <f aca="false">COUNTIF(H$3:H$32, "~**")</f>
        <v>8</v>
      </c>
      <c r="I34" s="70" t="n">
        <f aca="false">COUNTIF(I$3:I$32, "~**")</f>
        <v>9</v>
      </c>
      <c r="J34" s="70" t="n">
        <f aca="false">COUNTIF(J$3:J$32, "~**")</f>
        <v>10</v>
      </c>
      <c r="K34" s="70" t="n">
        <f aca="false">COUNTIF(K$3:K$32, "~**")</f>
        <v>8</v>
      </c>
      <c r="L34" s="70" t="n">
        <f aca="false">COUNTIF(L$3:L$32, "~**")</f>
        <v>7</v>
      </c>
      <c r="M34" s="70" t="n">
        <f aca="false">COUNTIF(M$3:M$32, "~**")</f>
        <v>9</v>
      </c>
      <c r="N34" s="70" t="n">
        <f aca="false">COUNTIF(N$3:N$32, "~**")</f>
        <v>5</v>
      </c>
      <c r="O34" s="70" t="n">
        <f aca="false">COUNTIF(O$3:O$32, "~**")</f>
        <v>4</v>
      </c>
      <c r="P34" s="70" t="n">
        <f aca="false">COUNTIF(P$3:P$32, "~**")</f>
        <v>0</v>
      </c>
      <c r="Q34" s="70" t="n">
        <f aca="false">COUNTIF(Q$3:Q$32, "~**")</f>
        <v>0</v>
      </c>
      <c r="R34" s="70" t="n">
        <f aca="false">COUNTIF(R$3:R$32, "~**")</f>
        <v>0</v>
      </c>
      <c r="S34" s="82"/>
      <c r="T34" s="83" t="s">
        <v>679</v>
      </c>
      <c r="U34" s="84"/>
      <c r="V34" s="84"/>
      <c r="W34" s="84"/>
      <c r="X34" s="85" t="n">
        <v>44475</v>
      </c>
      <c r="Y34" s="69"/>
      <c r="Z34" s="70"/>
      <c r="AA34" s="85"/>
      <c r="AB34" s="85"/>
      <c r="AC34" s="85"/>
      <c r="AD34" s="85" t="n">
        <v>44475</v>
      </c>
      <c r="AE34" s="69"/>
      <c r="AF34" s="70"/>
      <c r="AG34" s="85"/>
      <c r="AH34" s="85"/>
      <c r="AI34" s="85"/>
      <c r="AJ34" s="85" t="n">
        <v>44475</v>
      </c>
      <c r="AK34" s="69"/>
      <c r="AL34" s="70"/>
      <c r="AM34" s="85"/>
      <c r="AN34" s="85"/>
      <c r="AO34" s="85"/>
      <c r="AP34" s="85" t="n">
        <v>45205</v>
      </c>
      <c r="AQ34" s="69"/>
      <c r="AR34" s="70"/>
      <c r="AS34" s="70"/>
      <c r="AT34" s="70"/>
      <c r="AU34" s="70"/>
      <c r="AV34" s="70" t="s">
        <v>680</v>
      </c>
      <c r="AW34" s="86"/>
      <c r="AX34" s="87" t="s">
        <v>681</v>
      </c>
      <c r="AY34" s="87" t="s">
        <v>681</v>
      </c>
      <c r="AZ34" s="86"/>
      <c r="BA34" s="87"/>
      <c r="BB34" s="85" t="n">
        <v>44840</v>
      </c>
      <c r="BC34" s="86"/>
      <c r="BD34" s="87"/>
      <c r="BE34" s="69"/>
      <c r="BF34" s="70"/>
      <c r="BG34" s="87" t="s">
        <v>682</v>
      </c>
      <c r="BH34" s="87" t="s">
        <v>683</v>
      </c>
      <c r="BI34" s="80"/>
      <c r="BJ34" s="74"/>
      <c r="BK34" s="74"/>
    </row>
    <row r="35" customFormat="false" ht="15.75" hidden="false" customHeight="false" outlineLevel="0" collapsed="false">
      <c r="A35" s="81"/>
      <c r="B35" s="81" t="s">
        <v>684</v>
      </c>
      <c r="C35" s="81"/>
      <c r="D35" s="81"/>
      <c r="E35" s="69"/>
      <c r="F35" s="70" t="n">
        <f aca="false">COUNTIF(F$3:F$32, "~**")+COUNTIF(F$3:F$32, "Y")</f>
        <v>14</v>
      </c>
      <c r="G35" s="70" t="n">
        <f aca="false">COUNTIF(G$3:G$32, "~**")+COUNTIF(G$3:G$32, "Y")</f>
        <v>17</v>
      </c>
      <c r="H35" s="70" t="n">
        <f aca="false">COUNTIF(H$3:H$32, "~**")+COUNTIF(H$3:H$32, "Y")</f>
        <v>17</v>
      </c>
      <c r="I35" s="70" t="n">
        <f aca="false">COUNTIF(I$3:I$32, "~**")+COUNTIF(I$3:I$32, "Y")</f>
        <v>14</v>
      </c>
      <c r="J35" s="70" t="n">
        <f aca="false">COUNTIF(J$3:J$32, "~**")+COUNTIF(J$3:J$32, "Y")</f>
        <v>13</v>
      </c>
      <c r="K35" s="70" t="n">
        <f aca="false">COUNTIF(K$3:K$32, "~**")+COUNTIF(K$3:K$32, "Y")</f>
        <v>14</v>
      </c>
      <c r="L35" s="70" t="n">
        <f aca="false">COUNTIF(L$3:L$32, "~**")+COUNTIF(L$3:L$32, "Y")</f>
        <v>11</v>
      </c>
      <c r="M35" s="70" t="n">
        <f aca="false">COUNTIF(M$3:M$32, "~**")+COUNTIF(M$3:M$32, "Y")</f>
        <v>11</v>
      </c>
      <c r="N35" s="70" t="n">
        <f aca="false">COUNTIF(N$3:N$32, "~**")+COUNTIF(N$3:N$32, "Y")</f>
        <v>5</v>
      </c>
      <c r="O35" s="70" t="n">
        <f aca="false">COUNTIF(O$3:O$32, "~**")+COUNTIF(O$3:O$32, "Y")</f>
        <v>4</v>
      </c>
      <c r="P35" s="70" t="n">
        <f aca="false">COUNTIF(P$3:P$32, "~**")+COUNTIF(P$3:P$32, "Y")</f>
        <v>0</v>
      </c>
      <c r="Q35" s="70" t="n">
        <f aca="false">COUNTIF(Q$3:Q$32, "~**")+COUNTIF(Q$3:Q$32, "Y")</f>
        <v>0</v>
      </c>
      <c r="R35" s="70" t="n">
        <f aca="false">COUNTIF(R$3:R$32, "~**")+COUNTIF(R$3:R$32, "Y")</f>
        <v>0</v>
      </c>
      <c r="S35" s="82"/>
      <c r="T35" s="83"/>
      <c r="U35" s="44"/>
      <c r="V35" s="44"/>
      <c r="W35" s="87"/>
      <c r="X35" s="88"/>
      <c r="Y35" s="78"/>
      <c r="Z35" s="88"/>
      <c r="AA35" s="88"/>
      <c r="AB35" s="88"/>
      <c r="AC35" s="87"/>
      <c r="AD35" s="87"/>
      <c r="AE35" s="86"/>
      <c r="AF35" s="87"/>
      <c r="AG35" s="89"/>
      <c r="AH35" s="87"/>
      <c r="AI35" s="87"/>
      <c r="AJ35" s="87"/>
      <c r="AK35" s="86"/>
      <c r="AL35" s="87"/>
      <c r="AM35" s="44"/>
      <c r="AN35" s="44"/>
      <c r="AO35" s="44"/>
      <c r="AP35" s="44"/>
      <c r="AQ35" s="77"/>
      <c r="AR35" s="44"/>
      <c r="AS35" s="44"/>
      <c r="AT35" s="44"/>
      <c r="AU35" s="70"/>
      <c r="AV35" s="90"/>
      <c r="AW35" s="72"/>
      <c r="AX35" s="74"/>
      <c r="AY35" s="74"/>
      <c r="AZ35" s="72"/>
      <c r="BA35" s="74"/>
      <c r="BB35" s="74"/>
      <c r="BC35" s="72"/>
      <c r="BD35" s="74"/>
      <c r="BE35" s="72"/>
      <c r="BF35" s="74"/>
      <c r="BG35" s="74"/>
      <c r="BH35" s="74"/>
      <c r="BI35" s="80"/>
      <c r="BJ35" s="74"/>
      <c r="BK35" s="74"/>
    </row>
    <row r="36" customFormat="false" ht="15.75" hidden="false" customHeight="false" outlineLevel="0" collapsed="false">
      <c r="A36" s="81"/>
      <c r="B36" s="81"/>
      <c r="C36" s="81"/>
      <c r="D36" s="81"/>
      <c r="E36" s="7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90"/>
      <c r="X36" s="44"/>
      <c r="Y36" s="77"/>
      <c r="Z36" s="44"/>
      <c r="AA36" s="44"/>
      <c r="AB36" s="44"/>
      <c r="AC36" s="90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90"/>
      <c r="AV36" s="90"/>
      <c r="AW36" s="72"/>
      <c r="AX36" s="74"/>
      <c r="AY36" s="74"/>
      <c r="AZ36" s="72"/>
      <c r="BA36" s="74"/>
      <c r="BB36" s="74"/>
      <c r="BC36" s="72"/>
      <c r="BD36" s="74"/>
      <c r="BE36" s="72"/>
      <c r="BF36" s="74"/>
      <c r="BG36" s="74"/>
      <c r="BH36" s="74"/>
      <c r="BI36" s="80"/>
      <c r="BJ36" s="74"/>
      <c r="BK36" s="74"/>
    </row>
    <row r="37" customFormat="false" ht="15.75" hidden="false" customHeight="false" outlineLevel="0" collapsed="false">
      <c r="A37" s="81"/>
      <c r="B37" s="81" t="s">
        <v>685</v>
      </c>
      <c r="C37" s="81"/>
      <c r="D37" s="81"/>
      <c r="E37" s="77"/>
      <c r="F37" s="44" t="s">
        <v>686</v>
      </c>
      <c r="G37" s="44"/>
      <c r="H37" s="44"/>
      <c r="I37" s="44"/>
      <c r="J37" s="44"/>
      <c r="K37" s="44"/>
      <c r="L37" s="44"/>
      <c r="M37" s="44"/>
      <c r="N37" s="44"/>
      <c r="S37" s="76"/>
      <c r="T37" s="81" t="s">
        <v>687</v>
      </c>
      <c r="U37" s="44" t="n">
        <v>0</v>
      </c>
      <c r="V37" s="44" t="n">
        <f aca="false">COUNT(V3:V32)</f>
        <v>23</v>
      </c>
      <c r="W37" s="44" t="n">
        <f aca="false">COUNT(W3:W32)</f>
        <v>23</v>
      </c>
      <c r="X37" s="44" t="n">
        <f aca="false">COUNT(X3:X32)</f>
        <v>23</v>
      </c>
      <c r="Y37" s="77"/>
      <c r="Z37" s="44"/>
      <c r="AA37" s="44" t="n">
        <f aca="false">COUNT(AA3:AA32)</f>
        <v>21</v>
      </c>
      <c r="AB37" s="44" t="n">
        <f aca="false">COUNT(AB3:AB32)</f>
        <v>21</v>
      </c>
      <c r="AC37" s="44" t="n">
        <f aca="false">COUNT(AC3:AC32)</f>
        <v>21</v>
      </c>
      <c r="AD37" s="44" t="n">
        <f aca="false">COUNT(AD3:AD32)</f>
        <v>21</v>
      </c>
      <c r="AE37" s="77"/>
      <c r="AF37" s="44"/>
      <c r="AG37" s="44" t="n">
        <f aca="false">COUNT(AG3:AG32)</f>
        <v>21</v>
      </c>
      <c r="AH37" s="44" t="n">
        <f aca="false">COUNT(AH3:AH32)</f>
        <v>21</v>
      </c>
      <c r="AI37" s="44" t="n">
        <f aca="false">COUNT(AI3:AI32)</f>
        <v>21</v>
      </c>
      <c r="AJ37" s="44" t="n">
        <f aca="false">COUNT(AJ3:AJ32)</f>
        <v>21</v>
      </c>
      <c r="AK37" s="77"/>
      <c r="AL37" s="44"/>
      <c r="AM37" s="44" t="n">
        <f aca="false">COUNT(AM3:AM32)</f>
        <v>20</v>
      </c>
      <c r="AN37" s="44" t="n">
        <f aca="false">COUNT(AN3:AN32)</f>
        <v>20</v>
      </c>
      <c r="AO37" s="44" t="n">
        <f aca="false">COUNT(AO3:AO32)</f>
        <v>20</v>
      </c>
      <c r="AP37" s="44" t="n">
        <f aca="false">COUNT(AP3:AP32)</f>
        <v>20</v>
      </c>
      <c r="AQ37" s="77"/>
      <c r="AR37" s="44"/>
      <c r="AS37" s="44" t="n">
        <f aca="false">COUNT(AS3:AS32)</f>
        <v>8</v>
      </c>
      <c r="AT37" s="44" t="n">
        <f aca="false">COUNT(AT3:AT32)</f>
        <v>8</v>
      </c>
      <c r="AU37" s="44" t="n">
        <f aca="false">COUNT(AU3:AU32)</f>
        <v>8</v>
      </c>
      <c r="AV37" s="44" t="n">
        <f aca="false">COUNT(AV3:AV32)</f>
        <v>26</v>
      </c>
      <c r="AW37" s="77"/>
      <c r="AX37" s="44" t="n">
        <f aca="false">COUNT(AX3:AX32)</f>
        <v>20</v>
      </c>
      <c r="AY37" s="44" t="n">
        <f aca="false">COUNT(AY3:AY32)</f>
        <v>11</v>
      </c>
      <c r="AZ37" s="77"/>
      <c r="BA37" s="44"/>
      <c r="BB37" s="44" t="n">
        <f aca="false">COUNTIF(BB3:BB32, "&gt;=6")</f>
        <v>20</v>
      </c>
      <c r="BC37" s="77"/>
      <c r="BD37" s="44" t="n">
        <f aca="false">COUNTIF(BD3:BD32, "Да")</f>
        <v>20</v>
      </c>
      <c r="BE37" s="77"/>
      <c r="BF37" s="44"/>
      <c r="BG37" s="44" t="n">
        <f aca="false">COUNT(BG3:BG32)</f>
        <v>17</v>
      </c>
      <c r="BH37" s="44" t="n">
        <f aca="false">COUNT(BH3:BH32)</f>
        <v>6</v>
      </c>
      <c r="BI37" s="80"/>
      <c r="BJ37" s="74"/>
      <c r="BK37" s="74"/>
    </row>
    <row r="38" customFormat="false" ht="15.75" hidden="false" customHeight="false" outlineLevel="0" collapsed="false">
      <c r="A38" s="92"/>
      <c r="E38" s="77"/>
      <c r="F38" s="44" t="s">
        <v>688</v>
      </c>
      <c r="G38" s="44"/>
      <c r="H38" s="44"/>
      <c r="I38" s="44"/>
      <c r="J38" s="44"/>
      <c r="K38" s="44"/>
      <c r="L38" s="44"/>
      <c r="M38" s="44"/>
      <c r="N38" s="93"/>
      <c r="S38" s="94"/>
      <c r="T38" s="92" t="s">
        <v>689</v>
      </c>
      <c r="V38" s="93"/>
      <c r="W38" s="93"/>
      <c r="X38" s="95" t="n">
        <f aca="false">IF(COUNTA($B$3:$B$32)&gt;0,COUNTA(X$3:X$32)/COUNTA($B$3:$B$32), 0)</f>
        <v>0.7666666667</v>
      </c>
      <c r="Y38" s="96"/>
      <c r="Z38" s="93"/>
      <c r="AA38" s="93"/>
      <c r="AB38" s="93"/>
      <c r="AC38" s="93"/>
      <c r="AD38" s="95" t="n">
        <f aca="false">IF(COUNTA($B$3:$B$32)&gt;0,COUNTA(AD$3:AD$32)/COUNTA($B$3:$B$32), 0)</f>
        <v>0.7</v>
      </c>
      <c r="AE38" s="97"/>
      <c r="AF38" s="98"/>
      <c r="AG38" s="93"/>
      <c r="AH38" s="98"/>
      <c r="AI38" s="93"/>
      <c r="AJ38" s="95" t="n">
        <f aca="false">IF(COUNTA($B$3:$B$32)&gt;0,COUNTA(AJ$3:AJ$32)/COUNTA($B$3:$B$32), 0)</f>
        <v>0.7</v>
      </c>
      <c r="AK38" s="96"/>
      <c r="AL38" s="93"/>
      <c r="AM38" s="93"/>
      <c r="AN38" s="93"/>
      <c r="AO38" s="93"/>
      <c r="AP38" s="95" t="n">
        <f aca="false">IF(COUNTA($B$3:$B$32)&gt;0,COUNTA(AP$3:AP$32)/COUNTA($B$3:$B$32), 0)</f>
        <v>0.6666666667</v>
      </c>
      <c r="AQ38" s="96"/>
      <c r="AR38" s="93"/>
      <c r="AS38" s="93"/>
      <c r="AT38" s="93"/>
      <c r="AU38" s="93"/>
      <c r="AV38" s="95" t="n">
        <f aca="false">IF(COUNTA($B$3:$B$32)&gt;0,COUNTA(AV$3:AV$32)/COUNTA($B$3:$B$32), 0)</f>
        <v>1</v>
      </c>
      <c r="AW38" s="99"/>
      <c r="AX38" s="100"/>
      <c r="AY38" s="100"/>
      <c r="AZ38" s="99"/>
      <c r="BA38" s="100"/>
      <c r="BB38" s="95" t="n">
        <f aca="false">IF(COUNTA($B$3:$B$32)&gt;0,COUNTA(BB$3:BB$32)/COUNTA($B$3:$B$32), 0)</f>
        <v>0.9333333333</v>
      </c>
      <c r="BC38" s="77"/>
      <c r="BD38" s="44" t="n">
        <f aca="false">COUNTIF(BD3:BD32, "Да")</f>
        <v>20</v>
      </c>
      <c r="BE38" s="101"/>
      <c r="BF38" s="102"/>
      <c r="BG38" s="102"/>
      <c r="BH38" s="100"/>
      <c r="BI38" s="103"/>
      <c r="BJ38" s="102"/>
      <c r="BK38" s="102"/>
    </row>
    <row r="39" customFormat="false" ht="15.75" hidden="false" customHeight="false" outlineLevel="0" collapsed="false">
      <c r="A39" s="92"/>
      <c r="B39" s="92"/>
      <c r="C39" s="92"/>
      <c r="D39" s="92"/>
      <c r="E39" s="77"/>
      <c r="F39" s="44" t="s">
        <v>690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77"/>
      <c r="T39" s="44"/>
      <c r="U39" s="44"/>
      <c r="V39" s="44"/>
      <c r="W39" s="44"/>
      <c r="X39" s="44"/>
      <c r="Y39" s="77"/>
      <c r="Z39" s="44"/>
      <c r="AA39" s="44"/>
      <c r="AB39" s="44"/>
      <c r="AC39" s="44"/>
      <c r="AD39" s="90"/>
      <c r="AE39" s="91"/>
      <c r="AF39" s="90"/>
      <c r="AG39" s="44"/>
      <c r="AH39" s="90"/>
      <c r="AI39" s="44"/>
      <c r="AJ39" s="44"/>
      <c r="AK39" s="77"/>
      <c r="AL39" s="44"/>
      <c r="AM39" s="44"/>
      <c r="AN39" s="44"/>
      <c r="AO39" s="44"/>
      <c r="AP39" s="44"/>
      <c r="AQ39" s="77"/>
      <c r="AR39" s="44"/>
      <c r="AS39" s="44"/>
      <c r="AT39" s="44"/>
      <c r="AU39" s="44"/>
      <c r="AV39" s="44"/>
      <c r="AW39" s="101"/>
      <c r="AX39" s="102"/>
      <c r="AY39" s="102"/>
      <c r="AZ39" s="101"/>
      <c r="BA39" s="102"/>
      <c r="BB39" s="102"/>
      <c r="BC39" s="101"/>
      <c r="BD39" s="102"/>
      <c r="BE39" s="101"/>
      <c r="BF39" s="102"/>
      <c r="BG39" s="102"/>
      <c r="BH39" s="102"/>
      <c r="BI39" s="103"/>
      <c r="BJ39" s="102"/>
      <c r="BK39" s="102"/>
    </row>
    <row r="40" customFormat="false" ht="15.75" hidden="false" customHeight="false" outlineLevel="0" collapsed="false">
      <c r="A40" s="92"/>
      <c r="B40" s="92"/>
      <c r="C40" s="92"/>
      <c r="D40" s="92"/>
      <c r="E40" s="77"/>
      <c r="F40" s="44" t="s">
        <v>691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77"/>
      <c r="T40" s="44"/>
      <c r="U40" s="44"/>
      <c r="V40" s="44"/>
      <c r="W40" s="44"/>
      <c r="X40" s="44"/>
      <c r="Y40" s="77"/>
      <c r="Z40" s="44"/>
      <c r="AA40" s="44"/>
      <c r="AB40" s="44"/>
      <c r="AC40" s="44"/>
      <c r="AD40" s="90"/>
      <c r="AE40" s="91"/>
      <c r="AF40" s="90"/>
      <c r="AG40" s="44"/>
      <c r="AH40" s="90"/>
      <c r="AI40" s="44"/>
      <c r="AJ40" s="44"/>
      <c r="AK40" s="77"/>
      <c r="AL40" s="44"/>
      <c r="AM40" s="44"/>
      <c r="AN40" s="44"/>
      <c r="AO40" s="44"/>
      <c r="AP40" s="44"/>
      <c r="AQ40" s="77"/>
      <c r="AR40" s="44"/>
      <c r="AS40" s="44"/>
      <c r="AT40" s="44"/>
      <c r="AU40" s="44"/>
      <c r="AV40" s="44"/>
      <c r="AW40" s="101"/>
      <c r="AX40" s="102"/>
      <c r="AY40" s="102"/>
      <c r="AZ40" s="101"/>
      <c r="BA40" s="102"/>
      <c r="BB40" s="102"/>
      <c r="BC40" s="101"/>
      <c r="BD40" s="102"/>
      <c r="BE40" s="101"/>
      <c r="BF40" s="102"/>
      <c r="BG40" s="102"/>
      <c r="BH40" s="102"/>
      <c r="BI40" s="103"/>
      <c r="BJ40" s="102"/>
      <c r="BK40" s="102"/>
    </row>
    <row r="41" customFormat="false" ht="15.75" hidden="true" customHeight="false" outlineLevel="0" collapsed="false">
      <c r="A41" s="92"/>
      <c r="B41" s="92"/>
      <c r="C41" s="92"/>
      <c r="D41" s="92"/>
      <c r="E41" s="10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77"/>
      <c r="T41" s="44"/>
      <c r="U41" s="44"/>
      <c r="V41" s="44"/>
      <c r="W41" s="44"/>
      <c r="X41" s="44"/>
      <c r="Y41" s="77"/>
      <c r="Z41" s="44"/>
      <c r="AA41" s="44"/>
      <c r="AB41" s="44"/>
      <c r="AC41" s="44"/>
      <c r="AD41" s="90"/>
      <c r="AE41" s="91"/>
      <c r="AF41" s="90"/>
      <c r="AG41" s="44"/>
      <c r="AH41" s="90"/>
      <c r="AI41" s="44"/>
      <c r="AJ41" s="44"/>
      <c r="AK41" s="77"/>
      <c r="AL41" s="44"/>
      <c r="AM41" s="44"/>
      <c r="AN41" s="44"/>
      <c r="AO41" s="44"/>
      <c r="AP41" s="44"/>
      <c r="AQ41" s="77"/>
      <c r="AR41" s="44"/>
      <c r="AS41" s="44"/>
      <c r="AT41" s="44"/>
      <c r="AU41" s="44"/>
      <c r="AV41" s="44"/>
      <c r="AW41" s="101"/>
      <c r="AX41" s="102"/>
      <c r="AY41" s="102"/>
      <c r="AZ41" s="101"/>
      <c r="BA41" s="102"/>
      <c r="BB41" s="102"/>
      <c r="BC41" s="101"/>
      <c r="BD41" s="102"/>
      <c r="BE41" s="101"/>
      <c r="BF41" s="102"/>
      <c r="BG41" s="102"/>
      <c r="BH41" s="102"/>
      <c r="BI41" s="103"/>
      <c r="BJ41" s="102"/>
      <c r="BK41" s="102"/>
    </row>
    <row r="42" customFormat="false" ht="15.75" hidden="true" customHeight="false" outlineLevel="0" collapsed="false">
      <c r="A42" s="92"/>
      <c r="B42" s="92"/>
      <c r="C42" s="92"/>
      <c r="D42" s="92"/>
      <c r="E42" s="10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77"/>
      <c r="T42" s="44"/>
      <c r="U42" s="44"/>
      <c r="V42" s="44"/>
      <c r="W42" s="44"/>
      <c r="X42" s="44"/>
      <c r="Y42" s="77"/>
      <c r="Z42" s="44"/>
      <c r="AA42" s="44"/>
      <c r="AB42" s="44"/>
      <c r="AC42" s="44"/>
      <c r="AD42" s="90"/>
      <c r="AE42" s="91"/>
      <c r="AF42" s="90"/>
      <c r="AG42" s="44"/>
      <c r="AH42" s="90"/>
      <c r="AI42" s="44"/>
      <c r="AJ42" s="44"/>
      <c r="AK42" s="77"/>
      <c r="AL42" s="44"/>
      <c r="AM42" s="44"/>
      <c r="AN42" s="44"/>
      <c r="AO42" s="44"/>
      <c r="AP42" s="44"/>
      <c r="AQ42" s="77"/>
      <c r="AR42" s="44"/>
      <c r="AS42" s="44"/>
      <c r="AT42" s="44"/>
      <c r="AU42" s="44"/>
      <c r="AV42" s="44"/>
      <c r="AW42" s="101"/>
      <c r="AX42" s="102"/>
      <c r="AY42" s="102"/>
      <c r="AZ42" s="101"/>
      <c r="BA42" s="102"/>
      <c r="BB42" s="102"/>
      <c r="BC42" s="101"/>
      <c r="BD42" s="102"/>
      <c r="BE42" s="101"/>
      <c r="BF42" s="102"/>
      <c r="BG42" s="102"/>
      <c r="BH42" s="102"/>
      <c r="BI42" s="103"/>
      <c r="BJ42" s="102"/>
      <c r="BK42" s="102"/>
    </row>
    <row r="43" customFormat="false" ht="15.75" hidden="true" customHeight="false" outlineLevel="0" collapsed="false">
      <c r="A43" s="92"/>
      <c r="B43" s="92"/>
      <c r="C43" s="92"/>
      <c r="D43" s="92"/>
      <c r="E43" s="10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77"/>
      <c r="T43" s="44"/>
      <c r="U43" s="44"/>
      <c r="V43" s="44"/>
      <c r="W43" s="44"/>
      <c r="X43" s="44"/>
      <c r="Y43" s="77"/>
      <c r="Z43" s="44"/>
      <c r="AA43" s="44"/>
      <c r="AB43" s="44"/>
      <c r="AC43" s="44"/>
      <c r="AD43" s="90"/>
      <c r="AE43" s="91"/>
      <c r="AF43" s="90"/>
      <c r="AG43" s="44"/>
      <c r="AH43" s="90"/>
      <c r="AI43" s="44"/>
      <c r="AJ43" s="44"/>
      <c r="AK43" s="77"/>
      <c r="AL43" s="44"/>
      <c r="AM43" s="44"/>
      <c r="AN43" s="44"/>
      <c r="AO43" s="44"/>
      <c r="AP43" s="44"/>
      <c r="AQ43" s="77"/>
      <c r="AR43" s="44"/>
      <c r="AS43" s="44"/>
      <c r="AT43" s="44"/>
      <c r="AU43" s="44"/>
      <c r="AV43" s="44"/>
      <c r="AW43" s="101"/>
      <c r="AX43" s="102"/>
      <c r="AY43" s="102"/>
      <c r="AZ43" s="101"/>
      <c r="BA43" s="102"/>
      <c r="BB43" s="102"/>
      <c r="BC43" s="101"/>
      <c r="BD43" s="102"/>
      <c r="BE43" s="101"/>
      <c r="BF43" s="102"/>
      <c r="BG43" s="102"/>
      <c r="BH43" s="102"/>
      <c r="BI43" s="103"/>
      <c r="BJ43" s="102"/>
      <c r="BK43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32 AA3:AC32 AG3:AI32 AM3:AO32 AS3:AU32 BA3 BA7 BA10">
    <cfRule type="expression" priority="2" aboveAverage="0" equalAverage="0" bottom="0" percent="0" rank="0" text="" dxfId="2">
      <formula>U3&gt;45809</formula>
    </cfRule>
  </conditionalFormatting>
  <conditionalFormatting sqref="BC3:BD32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32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33"/>
  </cols>
  <sheetData>
    <row r="1" customFormat="false" ht="15.75" hidden="false" customHeight="false" outlineLevel="0" collapsed="false">
      <c r="A1" s="44" t="s">
        <v>1179</v>
      </c>
      <c r="B1" s="44" t="s">
        <v>666</v>
      </c>
      <c r="C1" s="44" t="s">
        <v>1180</v>
      </c>
      <c r="D1" s="44" t="s">
        <v>1181</v>
      </c>
    </row>
    <row r="2" customFormat="false" ht="15.75" hidden="false" customHeight="false" outlineLevel="0" collapsed="false">
      <c r="A2" s="44" t="s">
        <v>1182</v>
      </c>
      <c r="B2" s="44" t="s">
        <v>1183</v>
      </c>
      <c r="C2" s="44" t="s">
        <v>186</v>
      </c>
      <c r="D2" s="193" t="n">
        <v>0</v>
      </c>
    </row>
    <row r="3" customFormat="false" ht="15.75" hidden="false" customHeight="false" outlineLevel="0" collapsed="false">
      <c r="A3" s="44" t="s">
        <v>1184</v>
      </c>
      <c r="B3" s="44" t="s">
        <v>1185</v>
      </c>
      <c r="C3" s="44" t="s">
        <v>186</v>
      </c>
      <c r="D3" s="193" t="n">
        <v>0</v>
      </c>
    </row>
    <row r="4" customFormat="false" ht="15.75" hidden="false" customHeight="false" outlineLevel="0" collapsed="false">
      <c r="A4" s="44" t="s">
        <v>1186</v>
      </c>
      <c r="B4" s="44" t="s">
        <v>1187</v>
      </c>
      <c r="C4" s="44" t="s">
        <v>186</v>
      </c>
      <c r="D4" s="193" t="n">
        <v>0</v>
      </c>
    </row>
    <row r="5" customFormat="false" ht="15.75" hidden="false" customHeight="false" outlineLevel="0" collapsed="false">
      <c r="A5" s="44" t="s">
        <v>1188</v>
      </c>
      <c r="B5" s="44" t="s">
        <v>1189</v>
      </c>
      <c r="C5" s="44" t="s">
        <v>186</v>
      </c>
      <c r="D5" s="193" t="n">
        <v>3</v>
      </c>
    </row>
    <row r="6" customFormat="false" ht="15.75" hidden="false" customHeight="false" outlineLevel="0" collapsed="false">
      <c r="A6" s="44" t="s">
        <v>1190</v>
      </c>
      <c r="B6" s="44" t="s">
        <v>1191</v>
      </c>
      <c r="C6" s="44" t="s">
        <v>186</v>
      </c>
      <c r="D6" s="193" t="n">
        <v>1</v>
      </c>
    </row>
    <row r="7" customFormat="false" ht="15.75" hidden="false" customHeight="false" outlineLevel="0" collapsed="false">
      <c r="A7" s="44" t="s">
        <v>1192</v>
      </c>
      <c r="B7" s="44" t="s">
        <v>1193</v>
      </c>
      <c r="C7" s="44" t="s">
        <v>186</v>
      </c>
      <c r="D7" s="193" t="n">
        <v>1</v>
      </c>
    </row>
    <row r="8" customFormat="false" ht="15.75" hidden="false" customHeight="false" outlineLevel="0" collapsed="false">
      <c r="A8" s="44" t="s">
        <v>1194</v>
      </c>
      <c r="B8" s="44" t="s">
        <v>1195</v>
      </c>
      <c r="C8" s="44" t="s">
        <v>186</v>
      </c>
      <c r="D8" s="193" t="n">
        <v>0</v>
      </c>
    </row>
    <row r="9" customFormat="false" ht="15.75" hidden="false" customHeight="false" outlineLevel="0" collapsed="false">
      <c r="A9" s="44" t="s">
        <v>1196</v>
      </c>
      <c r="B9" s="44" t="s">
        <v>1197</v>
      </c>
      <c r="C9" s="44" t="s">
        <v>186</v>
      </c>
      <c r="D9" s="193" t="n">
        <v>0</v>
      </c>
    </row>
    <row r="10" customFormat="false" ht="15.75" hidden="false" customHeight="false" outlineLevel="0" collapsed="false">
      <c r="A10" s="44" t="s">
        <v>1198</v>
      </c>
      <c r="B10" s="44" t="s">
        <v>1199</v>
      </c>
      <c r="C10" s="44" t="s">
        <v>186</v>
      </c>
      <c r="D10" s="193" t="n">
        <v>0</v>
      </c>
    </row>
    <row r="11" customFormat="false" ht="15.75" hidden="false" customHeight="false" outlineLevel="0" collapsed="false">
      <c r="A11" s="44" t="s">
        <v>1200</v>
      </c>
      <c r="B11" s="44" t="s">
        <v>1201</v>
      </c>
      <c r="C11" s="44" t="s">
        <v>186</v>
      </c>
      <c r="D11" s="193" t="n">
        <v>0</v>
      </c>
    </row>
    <row r="12" customFormat="false" ht="15.75" hidden="false" customHeight="false" outlineLevel="0" collapsed="false">
      <c r="A12" s="44" t="s">
        <v>1202</v>
      </c>
      <c r="B12" s="44" t="s">
        <v>1203</v>
      </c>
      <c r="C12" s="44" t="s">
        <v>186</v>
      </c>
      <c r="D12" s="193" t="n">
        <v>0</v>
      </c>
    </row>
    <row r="13" customFormat="false" ht="15.75" hidden="false" customHeight="false" outlineLevel="0" collapsed="false">
      <c r="A13" s="44" t="s">
        <v>1204</v>
      </c>
      <c r="B13" s="44" t="s">
        <v>1205</v>
      </c>
      <c r="C13" s="44" t="s">
        <v>186</v>
      </c>
      <c r="D13" s="193" t="n">
        <v>0</v>
      </c>
    </row>
    <row r="14" customFormat="false" ht="15.75" hidden="false" customHeight="false" outlineLevel="0" collapsed="false">
      <c r="A14" s="44" t="s">
        <v>1206</v>
      </c>
      <c r="B14" s="44" t="s">
        <v>1207</v>
      </c>
      <c r="C14" s="44" t="s">
        <v>186</v>
      </c>
      <c r="D14" s="193" t="n">
        <v>1</v>
      </c>
    </row>
    <row r="15" customFormat="false" ht="15.75" hidden="false" customHeight="false" outlineLevel="0" collapsed="false">
      <c r="A15" s="44" t="s">
        <v>1208</v>
      </c>
      <c r="B15" s="44" t="s">
        <v>1209</v>
      </c>
      <c r="C15" s="44" t="s">
        <v>186</v>
      </c>
      <c r="D15" s="193" t="n">
        <v>2</v>
      </c>
    </row>
    <row r="16" customFormat="false" ht="15.75" hidden="false" customHeight="false" outlineLevel="0" collapsed="false">
      <c r="A16" s="44" t="s">
        <v>1210</v>
      </c>
      <c r="B16" s="44" t="s">
        <v>1211</v>
      </c>
      <c r="C16" s="44" t="s">
        <v>186</v>
      </c>
      <c r="D16" s="193" t="n">
        <v>0</v>
      </c>
    </row>
    <row r="17" customFormat="false" ht="15.75" hidden="false" customHeight="false" outlineLevel="0" collapsed="false">
      <c r="A17" s="44" t="s">
        <v>1212</v>
      </c>
      <c r="B17" s="44" t="s">
        <v>1213</v>
      </c>
      <c r="C17" s="44" t="s">
        <v>186</v>
      </c>
      <c r="D17" s="193" t="n">
        <v>0</v>
      </c>
    </row>
    <row r="18" customFormat="false" ht="15.75" hidden="false" customHeight="false" outlineLevel="0" collapsed="false">
      <c r="A18" s="44" t="s">
        <v>1214</v>
      </c>
      <c r="B18" s="44" t="s">
        <v>1215</v>
      </c>
      <c r="C18" s="44" t="s">
        <v>279</v>
      </c>
      <c r="D18" s="193" t="n">
        <v>0</v>
      </c>
    </row>
    <row r="19" customFormat="false" ht="15.75" hidden="false" customHeight="false" outlineLevel="0" collapsed="false">
      <c r="A19" s="44" t="s">
        <v>1216</v>
      </c>
      <c r="B19" s="44" t="s">
        <v>1217</v>
      </c>
      <c r="C19" s="44" t="s">
        <v>279</v>
      </c>
      <c r="D19" s="193" t="n">
        <v>0</v>
      </c>
    </row>
    <row r="20" customFormat="false" ht="15.75" hidden="false" customHeight="false" outlineLevel="0" collapsed="false">
      <c r="A20" s="44" t="s">
        <v>1218</v>
      </c>
      <c r="B20" s="44" t="s">
        <v>1219</v>
      </c>
      <c r="C20" s="44" t="s">
        <v>279</v>
      </c>
      <c r="D20" s="193" t="n">
        <v>3</v>
      </c>
    </row>
    <row r="21" customFormat="false" ht="15.75" hidden="false" customHeight="false" outlineLevel="0" collapsed="false">
      <c r="A21" s="44" t="s">
        <v>1220</v>
      </c>
      <c r="B21" s="44" t="s">
        <v>1221</v>
      </c>
      <c r="C21" s="44" t="s">
        <v>279</v>
      </c>
      <c r="D21" s="193" t="n">
        <v>0</v>
      </c>
    </row>
    <row r="22" customFormat="false" ht="15.75" hidden="false" customHeight="false" outlineLevel="0" collapsed="false">
      <c r="A22" s="44" t="s">
        <v>1222</v>
      </c>
      <c r="B22" s="44" t="s">
        <v>1223</v>
      </c>
      <c r="C22" s="44" t="s">
        <v>279</v>
      </c>
      <c r="D22" s="193" t="n">
        <v>2</v>
      </c>
    </row>
    <row r="23" customFormat="false" ht="15.75" hidden="false" customHeight="false" outlineLevel="0" collapsed="false">
      <c r="A23" s="44" t="s">
        <v>1224</v>
      </c>
      <c r="B23" s="44" t="s">
        <v>1225</v>
      </c>
      <c r="C23" s="44" t="s">
        <v>279</v>
      </c>
      <c r="D23" s="193" t="n">
        <v>0</v>
      </c>
    </row>
    <row r="24" customFormat="false" ht="15.75" hidden="false" customHeight="false" outlineLevel="0" collapsed="false">
      <c r="A24" s="44" t="s">
        <v>1226</v>
      </c>
      <c r="B24" s="44" t="s">
        <v>1227</v>
      </c>
      <c r="C24" s="44" t="s">
        <v>279</v>
      </c>
      <c r="D24" s="193" t="n">
        <v>2</v>
      </c>
    </row>
    <row r="25" customFormat="false" ht="15.75" hidden="false" customHeight="false" outlineLevel="0" collapsed="false">
      <c r="A25" s="44" t="s">
        <v>1228</v>
      </c>
      <c r="B25" s="44" t="s">
        <v>1229</v>
      </c>
      <c r="C25" s="44" t="s">
        <v>279</v>
      </c>
      <c r="D25" s="193" t="n">
        <v>0</v>
      </c>
    </row>
    <row r="26" customFormat="false" ht="15.75" hidden="false" customHeight="false" outlineLevel="0" collapsed="false">
      <c r="A26" s="44" t="s">
        <v>1230</v>
      </c>
      <c r="B26" s="44" t="s">
        <v>1231</v>
      </c>
      <c r="C26" s="44" t="s">
        <v>174</v>
      </c>
      <c r="D26" s="193" t="n">
        <v>1</v>
      </c>
    </row>
    <row r="27" customFormat="false" ht="15.75" hidden="false" customHeight="false" outlineLevel="0" collapsed="false">
      <c r="A27" s="44" t="s">
        <v>1232</v>
      </c>
      <c r="B27" s="44" t="s">
        <v>1233</v>
      </c>
      <c r="C27" s="44" t="s">
        <v>174</v>
      </c>
      <c r="D27" s="193" t="n">
        <v>0</v>
      </c>
    </row>
    <row r="28" customFormat="false" ht="15.75" hidden="false" customHeight="false" outlineLevel="0" collapsed="false">
      <c r="A28" s="44" t="s">
        <v>1234</v>
      </c>
      <c r="B28" s="44" t="s">
        <v>1235</v>
      </c>
      <c r="C28" s="44" t="s">
        <v>174</v>
      </c>
      <c r="D28" s="193" t="n">
        <v>1</v>
      </c>
    </row>
    <row r="29" customFormat="false" ht="15.75" hidden="false" customHeight="false" outlineLevel="0" collapsed="false">
      <c r="A29" s="44" t="s">
        <v>1236</v>
      </c>
      <c r="B29" s="44" t="s">
        <v>1237</v>
      </c>
      <c r="C29" s="44" t="s">
        <v>174</v>
      </c>
      <c r="D29" s="193" t="n">
        <v>0</v>
      </c>
    </row>
    <row r="30" customFormat="false" ht="15.75" hidden="false" customHeight="false" outlineLevel="0" collapsed="false">
      <c r="A30" s="44" t="s">
        <v>1238</v>
      </c>
      <c r="B30" s="44" t="s">
        <v>1239</v>
      </c>
      <c r="C30" s="44" t="s">
        <v>174</v>
      </c>
      <c r="D30" s="193" t="n">
        <v>3</v>
      </c>
    </row>
    <row r="31" customFormat="false" ht="15.75" hidden="false" customHeight="false" outlineLevel="0" collapsed="false">
      <c r="A31" s="44" t="s">
        <v>1240</v>
      </c>
      <c r="B31" s="44" t="s">
        <v>1241</v>
      </c>
      <c r="C31" s="44" t="s">
        <v>174</v>
      </c>
      <c r="D31" s="193" t="n">
        <v>0</v>
      </c>
    </row>
    <row r="32" customFormat="false" ht="15.75" hidden="false" customHeight="false" outlineLevel="0" collapsed="false">
      <c r="A32" s="44" t="s">
        <v>1242</v>
      </c>
      <c r="B32" s="44" t="s">
        <v>1243</v>
      </c>
      <c r="C32" s="44" t="s">
        <v>174</v>
      </c>
      <c r="D32" s="193" t="n">
        <v>0</v>
      </c>
    </row>
    <row r="33" customFormat="false" ht="15.75" hidden="false" customHeight="false" outlineLevel="0" collapsed="false">
      <c r="A33" s="44" t="s">
        <v>1244</v>
      </c>
      <c r="B33" s="44" t="s">
        <v>1245</v>
      </c>
      <c r="C33" s="44" t="s">
        <v>232</v>
      </c>
      <c r="D33" s="193" t="n">
        <v>1</v>
      </c>
    </row>
    <row r="34" customFormat="false" ht="15.75" hidden="false" customHeight="false" outlineLevel="0" collapsed="false">
      <c r="A34" s="44" t="s">
        <v>1246</v>
      </c>
      <c r="B34" s="44" t="s">
        <v>1247</v>
      </c>
      <c r="C34" s="44" t="s">
        <v>232</v>
      </c>
      <c r="D34" s="193" t="n">
        <v>0</v>
      </c>
    </row>
    <row r="35" customFormat="false" ht="15.75" hidden="false" customHeight="false" outlineLevel="0" collapsed="false">
      <c r="A35" s="44" t="s">
        <v>1248</v>
      </c>
      <c r="B35" s="44" t="s">
        <v>1249</v>
      </c>
      <c r="C35" s="44" t="s">
        <v>232</v>
      </c>
      <c r="D35" s="193" t="n">
        <v>1</v>
      </c>
    </row>
    <row r="36" customFormat="false" ht="15.75" hidden="false" customHeight="false" outlineLevel="0" collapsed="false">
      <c r="A36" s="44" t="s">
        <v>1250</v>
      </c>
      <c r="B36" s="44" t="s">
        <v>1251</v>
      </c>
      <c r="C36" s="44" t="s">
        <v>232</v>
      </c>
      <c r="D36" s="193" t="n">
        <v>1</v>
      </c>
    </row>
    <row r="37" customFormat="false" ht="15.75" hidden="false" customHeight="false" outlineLevel="0" collapsed="false">
      <c r="A37" s="44" t="s">
        <v>1252</v>
      </c>
      <c r="B37" s="44" t="s">
        <v>1253</v>
      </c>
      <c r="C37" s="44" t="s">
        <v>232</v>
      </c>
      <c r="D37" s="193" t="n">
        <v>2</v>
      </c>
    </row>
    <row r="38" customFormat="false" ht="15.75" hidden="false" customHeight="false" outlineLevel="0" collapsed="false">
      <c r="A38" s="44" t="s">
        <v>1254</v>
      </c>
      <c r="B38" s="44" t="s">
        <v>1255</v>
      </c>
      <c r="C38" s="44" t="s">
        <v>232</v>
      </c>
      <c r="D38" s="193" t="n">
        <v>0</v>
      </c>
    </row>
    <row r="39" customFormat="false" ht="15.75" hidden="false" customHeight="false" outlineLevel="0" collapsed="false">
      <c r="A39" s="44" t="s">
        <v>1256</v>
      </c>
      <c r="B39" s="44" t="s">
        <v>1257</v>
      </c>
      <c r="C39" s="44" t="s">
        <v>232</v>
      </c>
      <c r="D39" s="193" t="n">
        <v>0</v>
      </c>
    </row>
    <row r="40" customFormat="false" ht="15.75" hidden="false" customHeight="false" outlineLevel="0" collapsed="false">
      <c r="A40" s="44" t="s">
        <v>1258</v>
      </c>
      <c r="B40" s="44" t="s">
        <v>1259</v>
      </c>
      <c r="C40" s="44" t="s">
        <v>232</v>
      </c>
      <c r="D40" s="193" t="n">
        <v>3</v>
      </c>
    </row>
    <row r="41" customFormat="false" ht="15.75" hidden="false" customHeight="false" outlineLevel="0" collapsed="false">
      <c r="A41" s="44" t="s">
        <v>1260</v>
      </c>
      <c r="B41" s="44" t="s">
        <v>1261</v>
      </c>
      <c r="C41" s="44" t="s">
        <v>232</v>
      </c>
      <c r="D41" s="193" t="n">
        <v>2</v>
      </c>
    </row>
    <row r="42" customFormat="false" ht="15.75" hidden="false" customHeight="false" outlineLevel="0" collapsed="false">
      <c r="A42" s="44" t="s">
        <v>1262</v>
      </c>
      <c r="B42" s="44" t="s">
        <v>1263</v>
      </c>
      <c r="C42" s="44" t="s">
        <v>232</v>
      </c>
      <c r="D42" s="193" t="n">
        <v>0</v>
      </c>
    </row>
    <row r="43" customFormat="false" ht="15.75" hidden="false" customHeight="false" outlineLevel="0" collapsed="false">
      <c r="A43" s="44" t="s">
        <v>1264</v>
      </c>
      <c r="B43" s="44" t="s">
        <v>1265</v>
      </c>
      <c r="C43" s="44" t="s">
        <v>232</v>
      </c>
      <c r="D43" s="193" t="n">
        <v>1</v>
      </c>
    </row>
    <row r="44" customFormat="false" ht="15.75" hidden="false" customHeight="false" outlineLevel="0" collapsed="false">
      <c r="A44" s="44" t="s">
        <v>1266</v>
      </c>
      <c r="B44" s="44" t="s">
        <v>1267</v>
      </c>
      <c r="C44" s="44" t="s">
        <v>232</v>
      </c>
      <c r="D44" s="193" t="n">
        <v>2</v>
      </c>
    </row>
    <row r="45" customFormat="false" ht="15.75" hidden="false" customHeight="false" outlineLevel="0" collapsed="false">
      <c r="A45" s="44" t="s">
        <v>1268</v>
      </c>
      <c r="B45" s="44" t="s">
        <v>1269</v>
      </c>
      <c r="C45" s="44" t="s">
        <v>232</v>
      </c>
      <c r="D45" s="193" t="n">
        <v>0</v>
      </c>
    </row>
    <row r="46" customFormat="false" ht="15.75" hidden="false" customHeight="false" outlineLevel="0" collapsed="false">
      <c r="A46" s="44" t="s">
        <v>1270</v>
      </c>
      <c r="B46" s="44" t="s">
        <v>1271</v>
      </c>
      <c r="C46" s="44" t="s">
        <v>232</v>
      </c>
      <c r="D46" s="193" t="n">
        <v>1</v>
      </c>
    </row>
    <row r="47" customFormat="false" ht="15.75" hidden="false" customHeight="false" outlineLevel="0" collapsed="false">
      <c r="A47" s="44" t="s">
        <v>1272</v>
      </c>
      <c r="B47" s="44" t="s">
        <v>1273</v>
      </c>
      <c r="C47" s="44" t="s">
        <v>232</v>
      </c>
      <c r="D47" s="193" t="n">
        <v>2</v>
      </c>
    </row>
    <row r="48" customFormat="false" ht="15.75" hidden="false" customHeight="false" outlineLevel="0" collapsed="false">
      <c r="A48" s="44" t="s">
        <v>1274</v>
      </c>
      <c r="B48" s="44" t="s">
        <v>1275</v>
      </c>
      <c r="C48" s="44" t="s">
        <v>232</v>
      </c>
      <c r="D48" s="193" t="n">
        <v>1</v>
      </c>
    </row>
    <row r="49" customFormat="false" ht="15.75" hidden="false" customHeight="false" outlineLevel="0" collapsed="false">
      <c r="A49" s="44" t="s">
        <v>1276</v>
      </c>
      <c r="B49" s="44" t="s">
        <v>1277</v>
      </c>
      <c r="C49" s="44" t="s">
        <v>1278</v>
      </c>
      <c r="D49" s="193" t="n">
        <v>0</v>
      </c>
    </row>
    <row r="50" customFormat="false" ht="15.75" hidden="false" customHeight="false" outlineLevel="0" collapsed="false">
      <c r="A50" s="44" t="s">
        <v>1279</v>
      </c>
      <c r="B50" s="44" t="s">
        <v>1280</v>
      </c>
      <c r="C50" s="44" t="s">
        <v>194</v>
      </c>
      <c r="D50" s="193" t="n">
        <v>0</v>
      </c>
    </row>
    <row r="51" customFormat="false" ht="15.75" hidden="false" customHeight="false" outlineLevel="0" collapsed="false">
      <c r="A51" s="44" t="s">
        <v>1281</v>
      </c>
      <c r="B51" s="44" t="s">
        <v>1282</v>
      </c>
      <c r="C51" s="44" t="s">
        <v>194</v>
      </c>
      <c r="D51" s="193" t="n">
        <v>1</v>
      </c>
    </row>
    <row r="52" customFormat="false" ht="15.75" hidden="false" customHeight="false" outlineLevel="0" collapsed="false">
      <c r="A52" s="44" t="s">
        <v>1283</v>
      </c>
      <c r="B52" s="44" t="s">
        <v>1284</v>
      </c>
      <c r="C52" s="44" t="s">
        <v>194</v>
      </c>
      <c r="D52" s="193" t="n">
        <v>0</v>
      </c>
    </row>
    <row r="53" customFormat="false" ht="15.75" hidden="false" customHeight="false" outlineLevel="0" collapsed="false">
      <c r="A53" s="44" t="s">
        <v>1285</v>
      </c>
      <c r="B53" s="44" t="s">
        <v>1286</v>
      </c>
      <c r="C53" s="44" t="s">
        <v>194</v>
      </c>
      <c r="D53" s="193" t="n">
        <v>1</v>
      </c>
    </row>
    <row r="54" customFormat="false" ht="15.75" hidden="false" customHeight="false" outlineLevel="0" collapsed="false">
      <c r="A54" s="44" t="s">
        <v>1287</v>
      </c>
      <c r="B54" s="44" t="s">
        <v>1288</v>
      </c>
      <c r="C54" s="44" t="s">
        <v>194</v>
      </c>
      <c r="D54" s="193" t="n">
        <v>0</v>
      </c>
    </row>
    <row r="55" customFormat="false" ht="15.75" hidden="false" customHeight="false" outlineLevel="0" collapsed="false">
      <c r="A55" s="44" t="s">
        <v>1289</v>
      </c>
      <c r="B55" s="44" t="s">
        <v>1290</v>
      </c>
      <c r="C55" s="44" t="s">
        <v>194</v>
      </c>
      <c r="D55" s="193" t="n">
        <v>0</v>
      </c>
    </row>
    <row r="56" customFormat="false" ht="15.75" hidden="false" customHeight="false" outlineLevel="0" collapsed="false">
      <c r="A56" s="44" t="s">
        <v>1291</v>
      </c>
      <c r="B56" s="44" t="s">
        <v>1292</v>
      </c>
      <c r="C56" s="44" t="s">
        <v>194</v>
      </c>
      <c r="D56" s="193" t="n">
        <v>3</v>
      </c>
    </row>
    <row r="57" customFormat="false" ht="15.75" hidden="false" customHeight="false" outlineLevel="0" collapsed="false">
      <c r="A57" s="44" t="s">
        <v>1293</v>
      </c>
      <c r="B57" s="44" t="s">
        <v>1294</v>
      </c>
      <c r="C57" s="44" t="s">
        <v>194</v>
      </c>
      <c r="D57" s="193" t="n">
        <v>0</v>
      </c>
    </row>
    <row r="58" customFormat="false" ht="15.75" hidden="false" customHeight="false" outlineLevel="0" collapsed="false">
      <c r="A58" s="44" t="s">
        <v>1295</v>
      </c>
      <c r="B58" s="44" t="s">
        <v>1296</v>
      </c>
      <c r="C58" s="44" t="s">
        <v>194</v>
      </c>
      <c r="D58" s="193" t="n">
        <v>0</v>
      </c>
    </row>
    <row r="59" customFormat="false" ht="15.75" hidden="false" customHeight="false" outlineLevel="0" collapsed="false">
      <c r="A59" s="44" t="s">
        <v>1297</v>
      </c>
      <c r="B59" s="44" t="s">
        <v>1298</v>
      </c>
      <c r="C59" s="44" t="s">
        <v>194</v>
      </c>
      <c r="D59" s="193" t="n">
        <v>3</v>
      </c>
    </row>
    <row r="60" customFormat="false" ht="15.75" hidden="false" customHeight="false" outlineLevel="0" collapsed="false">
      <c r="A60" s="44" t="s">
        <v>1299</v>
      </c>
      <c r="B60" s="44" t="s">
        <v>1300</v>
      </c>
      <c r="C60" s="44" t="s">
        <v>194</v>
      </c>
      <c r="D60" s="193" t="n">
        <v>1</v>
      </c>
    </row>
    <row r="61" customFormat="false" ht="15.75" hidden="false" customHeight="false" outlineLevel="0" collapsed="false">
      <c r="A61" s="44" t="s">
        <v>1301</v>
      </c>
      <c r="B61" s="44" t="s">
        <v>1302</v>
      </c>
      <c r="C61" s="44" t="s">
        <v>194</v>
      </c>
      <c r="D61" s="193" t="n">
        <v>0</v>
      </c>
    </row>
    <row r="62" customFormat="false" ht="15.75" hidden="false" customHeight="false" outlineLevel="0" collapsed="false">
      <c r="A62" s="44" t="s">
        <v>1303</v>
      </c>
      <c r="B62" s="44" t="s">
        <v>1304</v>
      </c>
      <c r="C62" s="44" t="s">
        <v>194</v>
      </c>
      <c r="D62" s="193" t="n">
        <v>1</v>
      </c>
    </row>
    <row r="63" customFormat="false" ht="15.75" hidden="false" customHeight="false" outlineLevel="0" collapsed="false">
      <c r="A63" s="44" t="s">
        <v>1305</v>
      </c>
      <c r="B63" s="44" t="s">
        <v>1306</v>
      </c>
      <c r="C63" s="44" t="s">
        <v>180</v>
      </c>
      <c r="D63" s="193" t="n">
        <v>0</v>
      </c>
    </row>
    <row r="64" customFormat="false" ht="15.75" hidden="false" customHeight="false" outlineLevel="0" collapsed="false">
      <c r="A64" s="44" t="s">
        <v>1307</v>
      </c>
      <c r="B64" s="44" t="s">
        <v>1308</v>
      </c>
      <c r="C64" s="44" t="s">
        <v>180</v>
      </c>
      <c r="D64" s="193" t="n">
        <v>0</v>
      </c>
    </row>
    <row r="65" customFormat="false" ht="15.75" hidden="false" customHeight="false" outlineLevel="0" collapsed="false">
      <c r="A65" s="44" t="s">
        <v>1309</v>
      </c>
      <c r="B65" s="44" t="s">
        <v>1310</v>
      </c>
      <c r="C65" s="44" t="s">
        <v>180</v>
      </c>
      <c r="D65" s="193" t="n">
        <v>0</v>
      </c>
    </row>
    <row r="66" customFormat="false" ht="15.75" hidden="false" customHeight="false" outlineLevel="0" collapsed="false">
      <c r="A66" s="44" t="s">
        <v>1311</v>
      </c>
      <c r="B66" s="44" t="s">
        <v>1312</v>
      </c>
      <c r="C66" s="44" t="s">
        <v>180</v>
      </c>
      <c r="D66" s="193" t="n">
        <v>0</v>
      </c>
    </row>
    <row r="67" customFormat="false" ht="15.75" hidden="false" customHeight="false" outlineLevel="0" collapsed="false">
      <c r="A67" s="44" t="s">
        <v>1313</v>
      </c>
      <c r="B67" s="44" t="s">
        <v>1314</v>
      </c>
      <c r="C67" s="44" t="s">
        <v>180</v>
      </c>
      <c r="D67" s="193" t="n">
        <v>0</v>
      </c>
    </row>
    <row r="68" customFormat="false" ht="15.75" hidden="false" customHeight="false" outlineLevel="0" collapsed="false">
      <c r="A68" s="44" t="s">
        <v>1315</v>
      </c>
      <c r="B68" s="44" t="s">
        <v>1316</v>
      </c>
      <c r="C68" s="44" t="s">
        <v>180</v>
      </c>
      <c r="D68" s="193" t="n">
        <v>1</v>
      </c>
    </row>
    <row r="69" customFormat="false" ht="15.75" hidden="false" customHeight="false" outlineLevel="0" collapsed="false">
      <c r="A69" s="44" t="s">
        <v>1317</v>
      </c>
      <c r="B69" s="44" t="s">
        <v>1318</v>
      </c>
      <c r="C69" s="44" t="s">
        <v>180</v>
      </c>
      <c r="D69" s="193" t="n">
        <v>2</v>
      </c>
    </row>
    <row r="70" customFormat="false" ht="15.75" hidden="false" customHeight="false" outlineLevel="0" collapsed="false">
      <c r="A70" s="44" t="s">
        <v>1319</v>
      </c>
      <c r="B70" s="44" t="s">
        <v>1320</v>
      </c>
      <c r="C70" s="44" t="s">
        <v>180</v>
      </c>
      <c r="D70" s="193" t="n">
        <v>0</v>
      </c>
    </row>
    <row r="71" customFormat="false" ht="15.75" hidden="false" customHeight="false" outlineLevel="0" collapsed="false">
      <c r="A71" s="44" t="s">
        <v>1321</v>
      </c>
      <c r="B71" s="44" t="s">
        <v>1322</v>
      </c>
      <c r="C71" s="44" t="s">
        <v>180</v>
      </c>
      <c r="D71" s="193" t="n">
        <v>1</v>
      </c>
    </row>
    <row r="72" customFormat="false" ht="15.75" hidden="false" customHeight="false" outlineLevel="0" collapsed="false">
      <c r="A72" s="44" t="s">
        <v>1323</v>
      </c>
      <c r="B72" s="44" t="s">
        <v>1324</v>
      </c>
      <c r="C72" s="44" t="s">
        <v>180</v>
      </c>
      <c r="D72" s="193" t="n">
        <v>2</v>
      </c>
    </row>
    <row r="73" customFormat="false" ht="15.75" hidden="false" customHeight="false" outlineLevel="0" collapsed="false">
      <c r="A73" s="44" t="s">
        <v>1325</v>
      </c>
      <c r="B73" s="44" t="s">
        <v>1326</v>
      </c>
      <c r="C73" s="44" t="s">
        <v>191</v>
      </c>
      <c r="D73" s="193" t="n">
        <v>0</v>
      </c>
    </row>
    <row r="74" customFormat="false" ht="15.75" hidden="false" customHeight="false" outlineLevel="0" collapsed="false">
      <c r="A74" s="44" t="s">
        <v>1327</v>
      </c>
      <c r="B74" s="44" t="s">
        <v>1328</v>
      </c>
      <c r="C74" s="44" t="s">
        <v>191</v>
      </c>
      <c r="D74" s="193" t="n">
        <v>0</v>
      </c>
    </row>
    <row r="75" customFormat="false" ht="15.75" hidden="false" customHeight="false" outlineLevel="0" collapsed="false">
      <c r="A75" s="44" t="s">
        <v>1329</v>
      </c>
      <c r="B75" s="44" t="s">
        <v>1330</v>
      </c>
      <c r="C75" s="44" t="s">
        <v>191</v>
      </c>
      <c r="D75" s="193" t="n">
        <v>1</v>
      </c>
    </row>
    <row r="76" customFormat="false" ht="15.75" hidden="false" customHeight="false" outlineLevel="0" collapsed="false">
      <c r="A76" s="44" t="s">
        <v>1331</v>
      </c>
      <c r="B76" s="44" t="s">
        <v>1332</v>
      </c>
      <c r="C76" s="44" t="s">
        <v>191</v>
      </c>
      <c r="D76" s="193" t="n">
        <v>0</v>
      </c>
    </row>
    <row r="77" customFormat="false" ht="15.75" hidden="false" customHeight="false" outlineLevel="0" collapsed="false">
      <c r="A77" s="44" t="s">
        <v>1333</v>
      </c>
      <c r="B77" s="44" t="s">
        <v>1334</v>
      </c>
      <c r="C77" s="44" t="s">
        <v>191</v>
      </c>
      <c r="D77" s="193" t="n">
        <v>2</v>
      </c>
    </row>
    <row r="78" customFormat="false" ht="15.75" hidden="false" customHeight="false" outlineLevel="0" collapsed="false">
      <c r="A78" s="44" t="s">
        <v>1335</v>
      </c>
      <c r="B78" s="44" t="s">
        <v>1336</v>
      </c>
      <c r="C78" s="44" t="s">
        <v>191</v>
      </c>
      <c r="D78" s="193" t="n">
        <v>0</v>
      </c>
    </row>
    <row r="79" customFormat="false" ht="15.75" hidden="false" customHeight="false" outlineLevel="0" collapsed="false">
      <c r="A79" s="44" t="s">
        <v>1337</v>
      </c>
      <c r="B79" s="44" t="s">
        <v>1338</v>
      </c>
      <c r="C79" s="44" t="s">
        <v>191</v>
      </c>
      <c r="D79" s="193" t="n">
        <v>1</v>
      </c>
    </row>
    <row r="80" customFormat="false" ht="15.75" hidden="false" customHeight="false" outlineLevel="0" collapsed="false">
      <c r="A80" s="44" t="s">
        <v>1339</v>
      </c>
      <c r="B80" s="44" t="s">
        <v>1340</v>
      </c>
      <c r="C80" s="44" t="s">
        <v>191</v>
      </c>
      <c r="D80" s="193" t="n">
        <v>1</v>
      </c>
    </row>
    <row r="81" customFormat="false" ht="15.75" hidden="false" customHeight="false" outlineLevel="0" collapsed="false">
      <c r="A81" s="44" t="s">
        <v>1341</v>
      </c>
      <c r="B81" s="44" t="s">
        <v>1342</v>
      </c>
      <c r="C81" s="44" t="s">
        <v>191</v>
      </c>
      <c r="D81" s="193" t="n">
        <v>0</v>
      </c>
    </row>
    <row r="82" customFormat="false" ht="15.75" hidden="false" customHeight="false" outlineLevel="0" collapsed="false">
      <c r="A82" s="44" t="s">
        <v>1343</v>
      </c>
      <c r="B82" s="44" t="s">
        <v>1344</v>
      </c>
      <c r="C82" s="44" t="s">
        <v>191</v>
      </c>
      <c r="D82" s="193" t="n">
        <v>0</v>
      </c>
    </row>
    <row r="83" customFormat="false" ht="15.75" hidden="false" customHeight="false" outlineLevel="0" collapsed="false">
      <c r="A83" s="44" t="s">
        <v>1345</v>
      </c>
      <c r="B83" s="44" t="s">
        <v>1346</v>
      </c>
      <c r="C83" s="44" t="s">
        <v>191</v>
      </c>
      <c r="D83" s="193" t="n">
        <v>0</v>
      </c>
    </row>
    <row r="84" customFormat="false" ht="15.75" hidden="false" customHeight="false" outlineLevel="0" collapsed="false">
      <c r="A84" s="44" t="s">
        <v>1347</v>
      </c>
      <c r="B84" s="44" t="s">
        <v>1348</v>
      </c>
      <c r="C84" s="44" t="s">
        <v>191</v>
      </c>
      <c r="D84" s="193" t="n">
        <v>0</v>
      </c>
    </row>
    <row r="85" customFormat="false" ht="15.75" hidden="false" customHeight="false" outlineLevel="0" collapsed="false">
      <c r="A85" s="44" t="s">
        <v>1349</v>
      </c>
      <c r="B85" s="44" t="s">
        <v>1350</v>
      </c>
      <c r="C85" s="44" t="s">
        <v>191</v>
      </c>
      <c r="D85" s="193" t="n">
        <v>1</v>
      </c>
    </row>
    <row r="86" customFormat="false" ht="15.75" hidden="false" customHeight="false" outlineLevel="0" collapsed="false">
      <c r="A86" s="44" t="s">
        <v>1351</v>
      </c>
      <c r="B86" s="44" t="s">
        <v>1352</v>
      </c>
      <c r="C86" s="44" t="s">
        <v>191</v>
      </c>
      <c r="D86" s="193" t="n">
        <v>0</v>
      </c>
    </row>
    <row r="87" customFormat="false" ht="15.75" hidden="false" customHeight="false" outlineLevel="0" collapsed="false">
      <c r="A87" s="44" t="s">
        <v>1353</v>
      </c>
      <c r="B87" s="44" t="s">
        <v>1354</v>
      </c>
      <c r="C87" s="44" t="s">
        <v>244</v>
      </c>
      <c r="D87" s="193" t="n">
        <v>2</v>
      </c>
    </row>
    <row r="88" customFormat="false" ht="15.75" hidden="false" customHeight="false" outlineLevel="0" collapsed="false">
      <c r="A88" s="44" t="s">
        <v>1355</v>
      </c>
      <c r="B88" s="44" t="s">
        <v>1356</v>
      </c>
      <c r="C88" s="44" t="s">
        <v>244</v>
      </c>
      <c r="D88" s="193" t="n">
        <v>1</v>
      </c>
    </row>
    <row r="89" customFormat="false" ht="15.75" hidden="false" customHeight="false" outlineLevel="0" collapsed="false">
      <c r="A89" s="44" t="s">
        <v>1357</v>
      </c>
      <c r="B89" s="44" t="s">
        <v>1358</v>
      </c>
      <c r="C89" s="44" t="s">
        <v>244</v>
      </c>
      <c r="D89" s="193" t="n">
        <v>0</v>
      </c>
    </row>
    <row r="90" customFormat="false" ht="15.75" hidden="false" customHeight="false" outlineLevel="0" collapsed="false">
      <c r="A90" s="44" t="s">
        <v>1359</v>
      </c>
      <c r="B90" s="44" t="s">
        <v>1360</v>
      </c>
      <c r="C90" s="44" t="s">
        <v>244</v>
      </c>
      <c r="D90" s="193" t="n">
        <v>0</v>
      </c>
    </row>
    <row r="91" customFormat="false" ht="15.75" hidden="false" customHeight="false" outlineLevel="0" collapsed="false">
      <c r="A91" s="44" t="s">
        <v>1361</v>
      </c>
      <c r="B91" s="44" t="s">
        <v>1362</v>
      </c>
      <c r="C91" s="44" t="s">
        <v>244</v>
      </c>
      <c r="D91" s="193" t="n">
        <v>4</v>
      </c>
    </row>
    <row r="92" customFormat="false" ht="15.75" hidden="false" customHeight="false" outlineLevel="0" collapsed="false">
      <c r="A92" s="44" t="s">
        <v>1363</v>
      </c>
      <c r="B92" s="44" t="s">
        <v>1364</v>
      </c>
      <c r="C92" s="44" t="s">
        <v>244</v>
      </c>
      <c r="D92" s="193" t="n">
        <v>0</v>
      </c>
    </row>
    <row r="93" customFormat="false" ht="15.75" hidden="false" customHeight="false" outlineLevel="0" collapsed="false">
      <c r="A93" s="44" t="s">
        <v>1365</v>
      </c>
      <c r="B93" s="44" t="s">
        <v>1366</v>
      </c>
      <c r="C93" s="44" t="s">
        <v>244</v>
      </c>
      <c r="D93" s="193" t="n">
        <v>4</v>
      </c>
    </row>
    <row r="94" customFormat="false" ht="15.75" hidden="false" customHeight="false" outlineLevel="0" collapsed="false">
      <c r="A94" s="44" t="s">
        <v>1367</v>
      </c>
      <c r="B94" s="44" t="s">
        <v>1368</v>
      </c>
      <c r="C94" s="44" t="s">
        <v>244</v>
      </c>
      <c r="D94" s="193" t="n">
        <v>3</v>
      </c>
    </row>
    <row r="95" customFormat="false" ht="15.75" hidden="false" customHeight="false" outlineLevel="0" collapsed="false">
      <c r="A95" s="44" t="s">
        <v>1369</v>
      </c>
      <c r="B95" s="44" t="s">
        <v>1370</v>
      </c>
      <c r="C95" s="44" t="s">
        <v>244</v>
      </c>
      <c r="D95" s="193" t="n">
        <v>0</v>
      </c>
    </row>
    <row r="96" customFormat="false" ht="15.75" hidden="false" customHeight="false" outlineLevel="0" collapsed="false">
      <c r="A96" s="44" t="s">
        <v>1371</v>
      </c>
      <c r="B96" s="44" t="s">
        <v>1372</v>
      </c>
      <c r="C96" s="44" t="s">
        <v>244</v>
      </c>
      <c r="D96" s="193" t="n">
        <v>0</v>
      </c>
    </row>
    <row r="97" customFormat="false" ht="15.75" hidden="false" customHeight="false" outlineLevel="0" collapsed="false">
      <c r="A97" s="44" t="s">
        <v>1373</v>
      </c>
      <c r="B97" s="44" t="s">
        <v>1374</v>
      </c>
      <c r="C97" s="44" t="s">
        <v>244</v>
      </c>
      <c r="D97" s="193" t="n">
        <v>1</v>
      </c>
    </row>
    <row r="98" customFormat="false" ht="15.75" hidden="false" customHeight="false" outlineLevel="0" collapsed="false">
      <c r="A98" s="44" t="s">
        <v>1375</v>
      </c>
      <c r="B98" s="44" t="s">
        <v>1376</v>
      </c>
      <c r="C98" s="44" t="s">
        <v>244</v>
      </c>
      <c r="D98" s="193" t="n">
        <v>0</v>
      </c>
    </row>
    <row r="99" customFormat="false" ht="15.75" hidden="false" customHeight="false" outlineLevel="0" collapsed="false">
      <c r="A99" s="44" t="s">
        <v>1377</v>
      </c>
      <c r="B99" s="44" t="s">
        <v>1378</v>
      </c>
      <c r="C99" s="44" t="s">
        <v>244</v>
      </c>
      <c r="D99" s="193" t="n">
        <v>1</v>
      </c>
    </row>
    <row r="100" customFormat="false" ht="15.75" hidden="false" customHeight="false" outlineLevel="0" collapsed="false">
      <c r="A100" s="44" t="s">
        <v>1379</v>
      </c>
      <c r="B100" s="44" t="s">
        <v>1380</v>
      </c>
      <c r="C100" s="44" t="s">
        <v>244</v>
      </c>
      <c r="D100" s="193" t="n">
        <v>2</v>
      </c>
    </row>
    <row r="101" customFormat="false" ht="15.75" hidden="false" customHeight="false" outlineLevel="0" collapsed="false">
      <c r="A101" s="44" t="s">
        <v>1381</v>
      </c>
      <c r="B101" s="44" t="s">
        <v>1382</v>
      </c>
      <c r="C101" s="44" t="s">
        <v>183</v>
      </c>
      <c r="D101" s="193" t="n">
        <v>0</v>
      </c>
    </row>
    <row r="102" customFormat="false" ht="15.75" hidden="false" customHeight="false" outlineLevel="0" collapsed="false">
      <c r="A102" s="44" t="s">
        <v>1383</v>
      </c>
      <c r="B102" s="44" t="s">
        <v>1384</v>
      </c>
      <c r="C102" s="44" t="s">
        <v>183</v>
      </c>
      <c r="D102" s="193" t="n">
        <v>0</v>
      </c>
    </row>
    <row r="103" customFormat="false" ht="15.75" hidden="false" customHeight="false" outlineLevel="0" collapsed="false">
      <c r="A103" s="44" t="s">
        <v>1385</v>
      </c>
      <c r="B103" s="44" t="s">
        <v>1386</v>
      </c>
      <c r="C103" s="44" t="s">
        <v>183</v>
      </c>
      <c r="D103" s="193" t="n">
        <v>0</v>
      </c>
    </row>
    <row r="104" customFormat="false" ht="15.75" hidden="false" customHeight="false" outlineLevel="0" collapsed="false">
      <c r="A104" s="44" t="s">
        <v>1387</v>
      </c>
      <c r="B104" s="44" t="s">
        <v>1388</v>
      </c>
      <c r="C104" s="44" t="s">
        <v>183</v>
      </c>
      <c r="D104" s="193" t="n">
        <v>1</v>
      </c>
    </row>
    <row r="105" customFormat="false" ht="15.75" hidden="false" customHeight="false" outlineLevel="0" collapsed="false">
      <c r="A105" s="44" t="s">
        <v>1389</v>
      </c>
      <c r="B105" s="44" t="s">
        <v>1390</v>
      </c>
      <c r="C105" s="44" t="s">
        <v>183</v>
      </c>
      <c r="D105" s="193" t="n">
        <v>0</v>
      </c>
    </row>
    <row r="106" customFormat="false" ht="15.75" hidden="false" customHeight="false" outlineLevel="0" collapsed="false">
      <c r="A106" s="44" t="s">
        <v>1391</v>
      </c>
      <c r="B106" s="44" t="s">
        <v>1392</v>
      </c>
      <c r="C106" s="44" t="s">
        <v>183</v>
      </c>
      <c r="D106" s="193" t="n">
        <v>0</v>
      </c>
    </row>
    <row r="107" customFormat="false" ht="15.75" hidden="false" customHeight="false" outlineLevel="0" collapsed="false">
      <c r="A107" s="44" t="s">
        <v>1393</v>
      </c>
      <c r="B107" s="44" t="s">
        <v>1394</v>
      </c>
      <c r="C107" s="44" t="s">
        <v>183</v>
      </c>
      <c r="D107" s="193" t="n">
        <v>0</v>
      </c>
    </row>
    <row r="108" customFormat="false" ht="15.75" hidden="false" customHeight="false" outlineLevel="0" collapsed="false">
      <c r="A108" s="44" t="s">
        <v>1395</v>
      </c>
      <c r="B108" s="44" t="s">
        <v>1396</v>
      </c>
      <c r="C108" s="44" t="s">
        <v>183</v>
      </c>
      <c r="D108" s="193" t="n">
        <v>0</v>
      </c>
    </row>
    <row r="109" customFormat="false" ht="15.75" hidden="false" customHeight="false" outlineLevel="0" collapsed="false">
      <c r="A109" s="44" t="s">
        <v>1397</v>
      </c>
      <c r="B109" s="44" t="s">
        <v>1398</v>
      </c>
      <c r="C109" s="44" t="s">
        <v>183</v>
      </c>
      <c r="D109" s="193" t="n">
        <v>0</v>
      </c>
    </row>
    <row r="110" customFormat="false" ht="15.75" hidden="false" customHeight="false" outlineLevel="0" collapsed="false">
      <c r="A110" s="44" t="s">
        <v>1399</v>
      </c>
      <c r="B110" s="44" t="s">
        <v>1400</v>
      </c>
      <c r="C110" s="44" t="s">
        <v>218</v>
      </c>
      <c r="D110" s="193" t="n">
        <v>1</v>
      </c>
    </row>
    <row r="111" customFormat="false" ht="15.75" hidden="false" customHeight="false" outlineLevel="0" collapsed="false">
      <c r="A111" s="44" t="s">
        <v>1401</v>
      </c>
      <c r="B111" s="44" t="s">
        <v>1402</v>
      </c>
      <c r="C111" s="44" t="s">
        <v>218</v>
      </c>
      <c r="D111" s="193" t="n">
        <v>2</v>
      </c>
    </row>
    <row r="112" customFormat="false" ht="15.75" hidden="false" customHeight="false" outlineLevel="0" collapsed="false">
      <c r="A112" s="44" t="s">
        <v>1403</v>
      </c>
      <c r="B112" s="44" t="s">
        <v>1404</v>
      </c>
      <c r="C112" s="44" t="s">
        <v>218</v>
      </c>
      <c r="D112" s="193" t="n">
        <v>2</v>
      </c>
    </row>
    <row r="113" customFormat="false" ht="15.75" hidden="false" customHeight="false" outlineLevel="0" collapsed="false">
      <c r="A113" s="44" t="s">
        <v>1405</v>
      </c>
      <c r="B113" s="44" t="s">
        <v>1406</v>
      </c>
      <c r="C113" s="44" t="s">
        <v>218</v>
      </c>
      <c r="D113" s="193" t="n">
        <v>0</v>
      </c>
    </row>
    <row r="114" customFormat="false" ht="15.75" hidden="false" customHeight="false" outlineLevel="0" collapsed="false">
      <c r="A114" s="44" t="s">
        <v>1407</v>
      </c>
      <c r="B114" s="44" t="s">
        <v>1408</v>
      </c>
      <c r="C114" s="44" t="s">
        <v>218</v>
      </c>
      <c r="D114" s="193" t="n">
        <v>1</v>
      </c>
    </row>
    <row r="115" customFormat="false" ht="15.75" hidden="false" customHeight="false" outlineLevel="0" collapsed="false">
      <c r="A115" s="44" t="s">
        <v>1409</v>
      </c>
      <c r="B115" s="44" t="s">
        <v>1410</v>
      </c>
      <c r="C115" s="44" t="s">
        <v>218</v>
      </c>
      <c r="D115" s="193" t="n">
        <v>0</v>
      </c>
    </row>
    <row r="116" customFormat="false" ht="15.75" hidden="false" customHeight="false" outlineLevel="0" collapsed="false">
      <c r="A116" s="44" t="s">
        <v>1411</v>
      </c>
      <c r="B116" s="44" t="s">
        <v>1412</v>
      </c>
      <c r="C116" s="44" t="s">
        <v>218</v>
      </c>
      <c r="D116" s="193" t="n">
        <v>1</v>
      </c>
    </row>
    <row r="117" customFormat="false" ht="15.75" hidden="false" customHeight="false" outlineLevel="0" collapsed="false">
      <c r="A117" s="44" t="s">
        <v>1413</v>
      </c>
      <c r="B117" s="44" t="s">
        <v>1414</v>
      </c>
      <c r="C117" s="44" t="s">
        <v>218</v>
      </c>
      <c r="D117" s="193" t="n">
        <v>2</v>
      </c>
    </row>
    <row r="118" customFormat="false" ht="15.75" hidden="false" customHeight="false" outlineLevel="0" collapsed="false">
      <c r="A118" s="44" t="s">
        <v>1415</v>
      </c>
      <c r="B118" s="44" t="s">
        <v>1416</v>
      </c>
      <c r="C118" s="44" t="s">
        <v>218</v>
      </c>
      <c r="D118" s="193" t="n">
        <v>0</v>
      </c>
    </row>
    <row r="119" customFormat="false" ht="15.75" hidden="false" customHeight="false" outlineLevel="0" collapsed="false">
      <c r="A119" s="44" t="s">
        <v>1417</v>
      </c>
      <c r="B119" s="44" t="s">
        <v>1418</v>
      </c>
      <c r="C119" s="44" t="s">
        <v>218</v>
      </c>
      <c r="D119" s="193" t="n">
        <v>0</v>
      </c>
    </row>
    <row r="120" customFormat="false" ht="15.75" hidden="false" customHeight="false" outlineLevel="0" collapsed="false">
      <c r="A120" s="44" t="s">
        <v>1419</v>
      </c>
      <c r="B120" s="44" t="s">
        <v>1420</v>
      </c>
      <c r="C120" s="44" t="s">
        <v>218</v>
      </c>
      <c r="D120" s="193" t="n">
        <v>1</v>
      </c>
    </row>
    <row r="121" customFormat="false" ht="15.75" hidden="false" customHeight="false" outlineLevel="0" collapsed="false">
      <c r="A121" s="44" t="s">
        <v>1421</v>
      </c>
      <c r="B121" s="44" t="s">
        <v>1422</v>
      </c>
      <c r="C121" s="44" t="s">
        <v>218</v>
      </c>
      <c r="D121" s="193" t="n">
        <v>1</v>
      </c>
    </row>
    <row r="122" customFormat="false" ht="15.75" hidden="false" customHeight="false" outlineLevel="0" collapsed="false">
      <c r="A122" s="44" t="s">
        <v>1423</v>
      </c>
      <c r="B122" s="44" t="s">
        <v>1424</v>
      </c>
      <c r="C122" s="44" t="s">
        <v>218</v>
      </c>
      <c r="D122" s="193" t="n">
        <v>0</v>
      </c>
    </row>
    <row r="123" customFormat="false" ht="15.75" hidden="false" customHeight="false" outlineLevel="0" collapsed="false">
      <c r="A123" s="44" t="s">
        <v>1425</v>
      </c>
      <c r="B123" s="44" t="s">
        <v>1426</v>
      </c>
      <c r="C123" s="44" t="s">
        <v>213</v>
      </c>
      <c r="D123" s="193" t="n">
        <v>0</v>
      </c>
    </row>
    <row r="124" customFormat="false" ht="15.75" hidden="false" customHeight="false" outlineLevel="0" collapsed="false">
      <c r="A124" s="44" t="s">
        <v>1427</v>
      </c>
      <c r="B124" s="44" t="s">
        <v>1428</v>
      </c>
      <c r="C124" s="44" t="s">
        <v>213</v>
      </c>
      <c r="D124" s="193" t="n">
        <v>0</v>
      </c>
    </row>
    <row r="125" customFormat="false" ht="15.75" hidden="false" customHeight="false" outlineLevel="0" collapsed="false">
      <c r="A125" s="44" t="s">
        <v>1429</v>
      </c>
      <c r="B125" s="44" t="s">
        <v>1430</v>
      </c>
      <c r="C125" s="44" t="s">
        <v>213</v>
      </c>
      <c r="D125" s="193" t="n">
        <v>2</v>
      </c>
    </row>
    <row r="126" customFormat="false" ht="15.75" hidden="false" customHeight="false" outlineLevel="0" collapsed="false">
      <c r="A126" s="44" t="s">
        <v>1431</v>
      </c>
      <c r="B126" s="44" t="s">
        <v>1432</v>
      </c>
      <c r="C126" s="44" t="s">
        <v>213</v>
      </c>
      <c r="D126" s="193" t="n">
        <v>0</v>
      </c>
    </row>
    <row r="127" customFormat="false" ht="15.75" hidden="false" customHeight="false" outlineLevel="0" collapsed="false">
      <c r="A127" s="44" t="s">
        <v>1433</v>
      </c>
      <c r="B127" s="44" t="s">
        <v>1434</v>
      </c>
      <c r="C127" s="44" t="s">
        <v>213</v>
      </c>
      <c r="D127" s="193" t="n">
        <v>1</v>
      </c>
    </row>
    <row r="128" customFormat="false" ht="15.75" hidden="false" customHeight="false" outlineLevel="0" collapsed="false">
      <c r="A128" s="44" t="s">
        <v>1435</v>
      </c>
      <c r="B128" s="44" t="s">
        <v>1436</v>
      </c>
      <c r="C128" s="44" t="s">
        <v>213</v>
      </c>
      <c r="D128" s="193" t="n">
        <v>0</v>
      </c>
    </row>
    <row r="129" customFormat="false" ht="15.75" hidden="false" customHeight="false" outlineLevel="0" collapsed="false">
      <c r="A129" s="44" t="s">
        <v>1437</v>
      </c>
      <c r="B129" s="44" t="s">
        <v>1438</v>
      </c>
      <c r="C129" s="44" t="s">
        <v>213</v>
      </c>
      <c r="D129" s="193" t="n">
        <v>0</v>
      </c>
    </row>
    <row r="130" customFormat="false" ht="15.75" hidden="false" customHeight="false" outlineLevel="0" collapsed="false">
      <c r="A130" s="44" t="s">
        <v>1439</v>
      </c>
      <c r="B130" s="44" t="s">
        <v>1440</v>
      </c>
      <c r="C130" s="44" t="s">
        <v>213</v>
      </c>
      <c r="D130" s="193" t="n">
        <v>1</v>
      </c>
    </row>
    <row r="131" customFormat="false" ht="15.75" hidden="false" customHeight="false" outlineLevel="0" collapsed="false">
      <c r="A131" s="44" t="s">
        <v>1441</v>
      </c>
      <c r="B131" s="44" t="s">
        <v>1442</v>
      </c>
      <c r="C131" s="44" t="s">
        <v>213</v>
      </c>
      <c r="D131" s="193" t="n">
        <v>0</v>
      </c>
    </row>
    <row r="132" customFormat="false" ht="15.75" hidden="false" customHeight="false" outlineLevel="0" collapsed="false">
      <c r="A132" s="44" t="s">
        <v>1443</v>
      </c>
      <c r="B132" s="44" t="s">
        <v>1444</v>
      </c>
      <c r="C132" s="44" t="s">
        <v>213</v>
      </c>
      <c r="D132" s="193" t="n">
        <v>0</v>
      </c>
    </row>
    <row r="133" customFormat="false" ht="15.75" hidden="false" customHeight="false" outlineLevel="0" collapsed="false">
      <c r="A133" s="44" t="s">
        <v>1445</v>
      </c>
      <c r="B133" s="44" t="s">
        <v>1446</v>
      </c>
      <c r="C133" s="44" t="s">
        <v>223</v>
      </c>
      <c r="D133" s="193" t="n">
        <v>1</v>
      </c>
    </row>
    <row r="134" customFormat="false" ht="15.75" hidden="false" customHeight="false" outlineLevel="0" collapsed="false">
      <c r="A134" s="44" t="s">
        <v>1447</v>
      </c>
      <c r="B134" s="44" t="s">
        <v>1448</v>
      </c>
      <c r="C134" s="44" t="s">
        <v>223</v>
      </c>
      <c r="D134" s="193" t="n">
        <v>0</v>
      </c>
    </row>
    <row r="135" customFormat="false" ht="15.75" hidden="false" customHeight="false" outlineLevel="0" collapsed="false">
      <c r="A135" s="44" t="s">
        <v>1449</v>
      </c>
      <c r="B135" s="44" t="s">
        <v>1450</v>
      </c>
      <c r="C135" s="44" t="s">
        <v>223</v>
      </c>
      <c r="D135" s="193" t="n">
        <v>2</v>
      </c>
    </row>
    <row r="136" customFormat="false" ht="15.75" hidden="false" customHeight="false" outlineLevel="0" collapsed="false">
      <c r="A136" s="44" t="s">
        <v>1451</v>
      </c>
      <c r="B136" s="44" t="s">
        <v>1452</v>
      </c>
      <c r="C136" s="44" t="s">
        <v>223</v>
      </c>
      <c r="D136" s="193" t="n">
        <v>2</v>
      </c>
    </row>
    <row r="137" customFormat="false" ht="15.75" hidden="false" customHeight="false" outlineLevel="0" collapsed="false">
      <c r="A137" s="44" t="s">
        <v>1453</v>
      </c>
      <c r="B137" s="44" t="s">
        <v>1454</v>
      </c>
      <c r="C137" s="44" t="s">
        <v>223</v>
      </c>
      <c r="D137" s="193" t="n">
        <v>0</v>
      </c>
    </row>
    <row r="138" customFormat="false" ht="15.75" hidden="false" customHeight="false" outlineLevel="0" collapsed="false">
      <c r="A138" s="44" t="s">
        <v>1455</v>
      </c>
      <c r="B138" s="44" t="s">
        <v>1456</v>
      </c>
      <c r="C138" s="44" t="s">
        <v>223</v>
      </c>
      <c r="D138" s="193" t="n">
        <v>2</v>
      </c>
    </row>
    <row r="139" customFormat="false" ht="15.75" hidden="false" customHeight="false" outlineLevel="0" collapsed="false">
      <c r="A139" s="44" t="s">
        <v>1457</v>
      </c>
      <c r="B139" s="44" t="s">
        <v>1458</v>
      </c>
      <c r="C139" s="44" t="s">
        <v>223</v>
      </c>
      <c r="D139" s="193" t="n">
        <v>2</v>
      </c>
    </row>
    <row r="140" customFormat="false" ht="15.75" hidden="false" customHeight="false" outlineLevel="0" collapsed="false">
      <c r="A140" s="44" t="s">
        <v>1459</v>
      </c>
      <c r="B140" s="44" t="s">
        <v>1460</v>
      </c>
      <c r="C140" s="44" t="s">
        <v>223</v>
      </c>
      <c r="D140" s="193" t="n">
        <v>1</v>
      </c>
    </row>
    <row r="141" customFormat="false" ht="15.75" hidden="false" customHeight="false" outlineLevel="0" collapsed="false">
      <c r="A141" s="44" t="s">
        <v>1461</v>
      </c>
      <c r="B141" s="44" t="s">
        <v>1462</v>
      </c>
      <c r="C141" s="44" t="s">
        <v>223</v>
      </c>
      <c r="D141" s="193" t="n">
        <v>1</v>
      </c>
    </row>
    <row r="142" customFormat="false" ht="15.75" hidden="false" customHeight="false" outlineLevel="0" collapsed="false">
      <c r="A142" s="44" t="s">
        <v>1463</v>
      </c>
      <c r="B142" s="44" t="s">
        <v>1464</v>
      </c>
      <c r="C142" s="44" t="s">
        <v>223</v>
      </c>
      <c r="D142" s="193" t="n">
        <v>1</v>
      </c>
    </row>
    <row r="143" customFormat="false" ht="15.75" hidden="false" customHeight="false" outlineLevel="0" collapsed="false">
      <c r="A143" s="44" t="s">
        <v>1465</v>
      </c>
      <c r="B143" s="44" t="s">
        <v>1466</v>
      </c>
      <c r="C143" s="44" t="s">
        <v>235</v>
      </c>
      <c r="D143" s="193" t="n">
        <v>0</v>
      </c>
    </row>
    <row r="144" customFormat="false" ht="15.75" hidden="false" customHeight="false" outlineLevel="0" collapsed="false">
      <c r="A144" s="44" t="s">
        <v>1467</v>
      </c>
      <c r="B144" s="44" t="s">
        <v>1468</v>
      </c>
      <c r="C144" s="44" t="s">
        <v>235</v>
      </c>
      <c r="D144" s="193" t="n">
        <v>0</v>
      </c>
    </row>
    <row r="145" customFormat="false" ht="15.75" hidden="false" customHeight="false" outlineLevel="0" collapsed="false">
      <c r="A145" s="44" t="s">
        <v>1469</v>
      </c>
      <c r="B145" s="44" t="s">
        <v>1470</v>
      </c>
      <c r="C145" s="44" t="s">
        <v>235</v>
      </c>
      <c r="D145" s="193" t="n">
        <v>0</v>
      </c>
    </row>
    <row r="146" customFormat="false" ht="15.75" hidden="false" customHeight="false" outlineLevel="0" collapsed="false">
      <c r="A146" s="44" t="s">
        <v>1471</v>
      </c>
      <c r="B146" s="44" t="s">
        <v>1472</v>
      </c>
      <c r="C146" s="44" t="s">
        <v>235</v>
      </c>
      <c r="D146" s="193" t="n">
        <v>1</v>
      </c>
    </row>
    <row r="147" customFormat="false" ht="15.75" hidden="false" customHeight="false" outlineLevel="0" collapsed="false">
      <c r="A147" s="44" t="s">
        <v>1473</v>
      </c>
      <c r="B147" s="44" t="s">
        <v>1474</v>
      </c>
      <c r="C147" s="44" t="s">
        <v>235</v>
      </c>
      <c r="D147" s="193" t="n">
        <v>0</v>
      </c>
    </row>
    <row r="148" customFormat="false" ht="15.75" hidden="false" customHeight="false" outlineLevel="0" collapsed="false">
      <c r="A148" s="44" t="s">
        <v>1475</v>
      </c>
      <c r="B148" s="44" t="s">
        <v>1476</v>
      </c>
      <c r="C148" s="44" t="s">
        <v>235</v>
      </c>
      <c r="D148" s="193" t="n">
        <v>0</v>
      </c>
    </row>
    <row r="149" customFormat="false" ht="15.75" hidden="false" customHeight="false" outlineLevel="0" collapsed="false">
      <c r="A149" s="44" t="s">
        <v>1477</v>
      </c>
      <c r="B149" s="44" t="s">
        <v>1478</v>
      </c>
      <c r="C149" s="44" t="s">
        <v>235</v>
      </c>
      <c r="D149" s="193" t="n">
        <v>1</v>
      </c>
    </row>
    <row r="150" customFormat="false" ht="15.75" hidden="false" customHeight="false" outlineLevel="0" collapsed="false">
      <c r="A150" s="44" t="s">
        <v>1479</v>
      </c>
      <c r="B150" s="44" t="s">
        <v>1480</v>
      </c>
      <c r="C150" s="44" t="s">
        <v>235</v>
      </c>
      <c r="D150" s="193" t="n">
        <v>0</v>
      </c>
    </row>
    <row r="151" customFormat="false" ht="15.75" hidden="false" customHeight="false" outlineLevel="0" collapsed="false">
      <c r="A151" s="44" t="s">
        <v>1481</v>
      </c>
      <c r="B151" s="44" t="s">
        <v>1482</v>
      </c>
      <c r="C151" s="44" t="s">
        <v>235</v>
      </c>
      <c r="D151" s="193" t="n">
        <v>3</v>
      </c>
    </row>
    <row r="152" customFormat="false" ht="15.75" hidden="false" customHeight="false" outlineLevel="0" collapsed="false">
      <c r="A152" s="44" t="s">
        <v>1483</v>
      </c>
      <c r="B152" s="44" t="s">
        <v>1484</v>
      </c>
      <c r="C152" s="44" t="s">
        <v>177</v>
      </c>
      <c r="D152" s="193" t="n">
        <v>2</v>
      </c>
    </row>
    <row r="153" customFormat="false" ht="15.75" hidden="false" customHeight="false" outlineLevel="0" collapsed="false">
      <c r="A153" s="44" t="s">
        <v>1485</v>
      </c>
      <c r="B153" s="44" t="s">
        <v>1486</v>
      </c>
      <c r="C153" s="44" t="s">
        <v>177</v>
      </c>
      <c r="D153" s="193" t="n">
        <v>0</v>
      </c>
    </row>
    <row r="154" customFormat="false" ht="15.75" hidden="false" customHeight="false" outlineLevel="0" collapsed="false">
      <c r="A154" s="44" t="s">
        <v>1487</v>
      </c>
      <c r="B154" s="44" t="s">
        <v>1488</v>
      </c>
      <c r="C154" s="44" t="s">
        <v>177</v>
      </c>
      <c r="D154" s="193" t="n">
        <v>1</v>
      </c>
    </row>
    <row r="155" customFormat="false" ht="15.75" hidden="false" customHeight="false" outlineLevel="0" collapsed="false">
      <c r="A155" s="44" t="s">
        <v>1489</v>
      </c>
      <c r="B155" s="44" t="s">
        <v>1490</v>
      </c>
      <c r="C155" s="44" t="s">
        <v>177</v>
      </c>
      <c r="D155" s="193" t="n">
        <v>0</v>
      </c>
    </row>
    <row r="156" customFormat="false" ht="15.75" hidden="false" customHeight="false" outlineLevel="0" collapsed="false">
      <c r="A156" s="44" t="s">
        <v>1491</v>
      </c>
      <c r="B156" s="44" t="s">
        <v>1492</v>
      </c>
      <c r="C156" s="44" t="s">
        <v>177</v>
      </c>
      <c r="D156" s="193" t="n">
        <v>0</v>
      </c>
    </row>
    <row r="157" customFormat="false" ht="15.75" hidden="false" customHeight="false" outlineLevel="0" collapsed="false">
      <c r="A157" s="44" t="s">
        <v>1493</v>
      </c>
      <c r="B157" s="44" t="s">
        <v>1494</v>
      </c>
      <c r="C157" s="44" t="s">
        <v>177</v>
      </c>
      <c r="D157" s="193" t="n">
        <v>0</v>
      </c>
    </row>
    <row r="158" customFormat="false" ht="15.75" hidden="false" customHeight="false" outlineLevel="0" collapsed="false">
      <c r="A158" s="44" t="s">
        <v>1495</v>
      </c>
      <c r="B158" s="44" t="s">
        <v>1496</v>
      </c>
      <c r="C158" s="44" t="s">
        <v>177</v>
      </c>
      <c r="D158" s="193" t="n">
        <v>0</v>
      </c>
    </row>
    <row r="159" customFormat="false" ht="15.75" hidden="false" customHeight="false" outlineLevel="0" collapsed="false">
      <c r="A159" s="44" t="s">
        <v>1497</v>
      </c>
      <c r="B159" s="44" t="s">
        <v>1498</v>
      </c>
      <c r="C159" s="44" t="s">
        <v>177</v>
      </c>
      <c r="D159" s="193" t="n">
        <v>4</v>
      </c>
    </row>
    <row r="160" customFormat="false" ht="15.75" hidden="false" customHeight="false" outlineLevel="0" collapsed="false">
      <c r="A160" s="44" t="s">
        <v>1499</v>
      </c>
      <c r="B160" s="44" t="s">
        <v>1500</v>
      </c>
      <c r="C160" s="44" t="s">
        <v>177</v>
      </c>
      <c r="D160" s="193" t="n">
        <v>1</v>
      </c>
    </row>
    <row r="161" customFormat="false" ht="15.75" hidden="false" customHeight="false" outlineLevel="0" collapsed="false">
      <c r="A161" s="44" t="s">
        <v>1501</v>
      </c>
      <c r="B161" s="44" t="s">
        <v>1502</v>
      </c>
      <c r="C161" s="44" t="s">
        <v>24</v>
      </c>
      <c r="D161" s="193" t="n">
        <v>0</v>
      </c>
    </row>
    <row r="162" customFormat="false" ht="15.75" hidden="false" customHeight="false" outlineLevel="0" collapsed="false">
      <c r="A162" s="44" t="s">
        <v>1503</v>
      </c>
      <c r="B162" s="44" t="s">
        <v>1504</v>
      </c>
      <c r="C162" s="44" t="s">
        <v>24</v>
      </c>
      <c r="D162" s="193" t="n">
        <v>1</v>
      </c>
    </row>
    <row r="163" customFormat="false" ht="15.75" hidden="false" customHeight="false" outlineLevel="0" collapsed="false">
      <c r="A163" s="44" t="s">
        <v>1505</v>
      </c>
      <c r="B163" s="44" t="s">
        <v>1506</v>
      </c>
      <c r="C163" s="44" t="s">
        <v>24</v>
      </c>
      <c r="D163" s="193" t="n">
        <v>1</v>
      </c>
    </row>
    <row r="164" customFormat="false" ht="15.75" hidden="false" customHeight="false" outlineLevel="0" collapsed="false">
      <c r="A164" s="44" t="s">
        <v>1507</v>
      </c>
      <c r="B164" s="44" t="s">
        <v>1508</v>
      </c>
      <c r="C164" s="44" t="s">
        <v>24</v>
      </c>
      <c r="D164" s="193" t="n">
        <v>1</v>
      </c>
    </row>
    <row r="165" customFormat="false" ht="15.75" hidden="false" customHeight="false" outlineLevel="0" collapsed="false">
      <c r="A165" s="44" t="s">
        <v>1509</v>
      </c>
      <c r="B165" s="44" t="s">
        <v>1510</v>
      </c>
      <c r="C165" s="44" t="s">
        <v>24</v>
      </c>
      <c r="D165" s="193" t="n">
        <v>0</v>
      </c>
    </row>
    <row r="166" customFormat="false" ht="15.75" hidden="false" customHeight="false" outlineLevel="0" collapsed="false">
      <c r="A166" s="44" t="s">
        <v>1511</v>
      </c>
      <c r="B166" s="44" t="s">
        <v>1512</v>
      </c>
      <c r="C166" s="44" t="s">
        <v>24</v>
      </c>
      <c r="D166" s="193" t="n">
        <v>4</v>
      </c>
    </row>
    <row r="167" customFormat="false" ht="15.75" hidden="false" customHeight="false" outlineLevel="0" collapsed="false">
      <c r="A167" s="44" t="s">
        <v>1513</v>
      </c>
      <c r="B167" s="44" t="s">
        <v>1514</v>
      </c>
      <c r="C167" s="44" t="s">
        <v>39</v>
      </c>
      <c r="D167" s="193" t="n">
        <v>1</v>
      </c>
    </row>
    <row r="168" customFormat="false" ht="15.75" hidden="false" customHeight="false" outlineLevel="0" collapsed="false">
      <c r="A168" s="44" t="s">
        <v>1515</v>
      </c>
      <c r="B168" s="44" t="s">
        <v>1516</v>
      </c>
      <c r="C168" s="44" t="s">
        <v>39</v>
      </c>
      <c r="D168" s="193" t="n">
        <v>0</v>
      </c>
    </row>
    <row r="169" customFormat="false" ht="15.75" hidden="false" customHeight="false" outlineLevel="0" collapsed="false">
      <c r="A169" s="44" t="s">
        <v>1517</v>
      </c>
      <c r="B169" s="44" t="s">
        <v>1518</v>
      </c>
      <c r="C169" s="44" t="s">
        <v>39</v>
      </c>
      <c r="D169" s="193" t="n">
        <v>0</v>
      </c>
    </row>
    <row r="170" customFormat="false" ht="15.75" hidden="false" customHeight="false" outlineLevel="0" collapsed="false">
      <c r="A170" s="44" t="s">
        <v>1519</v>
      </c>
      <c r="B170" s="44" t="s">
        <v>1520</v>
      </c>
      <c r="C170" s="44" t="s">
        <v>39</v>
      </c>
      <c r="D170" s="193" t="n">
        <v>0</v>
      </c>
    </row>
    <row r="171" customFormat="false" ht="15.75" hidden="false" customHeight="false" outlineLevel="0" collapsed="false">
      <c r="A171" s="44" t="s">
        <v>1521</v>
      </c>
      <c r="B171" s="44" t="s">
        <v>1522</v>
      </c>
      <c r="C171" s="44" t="s">
        <v>39</v>
      </c>
      <c r="D171" s="193" t="n">
        <v>1</v>
      </c>
    </row>
    <row r="172" customFormat="false" ht="15.75" hidden="false" customHeight="false" outlineLevel="0" collapsed="false">
      <c r="A172" s="44" t="s">
        <v>1523</v>
      </c>
      <c r="B172" s="44" t="s">
        <v>1524</v>
      </c>
      <c r="C172" s="44" t="s">
        <v>39</v>
      </c>
      <c r="D172" s="193" t="n">
        <v>0</v>
      </c>
    </row>
    <row r="173" customFormat="false" ht="15.75" hidden="false" customHeight="false" outlineLevel="0" collapsed="false">
      <c r="A173" s="44" t="s">
        <v>1525</v>
      </c>
      <c r="B173" s="44" t="s">
        <v>1526</v>
      </c>
      <c r="C173" s="44" t="s">
        <v>39</v>
      </c>
      <c r="D173" s="193" t="n">
        <v>0</v>
      </c>
    </row>
    <row r="174" customFormat="false" ht="15.75" hidden="false" customHeight="false" outlineLevel="0" collapsed="false">
      <c r="A174" s="44" t="s">
        <v>1527</v>
      </c>
      <c r="B174" s="44" t="s">
        <v>1528</v>
      </c>
      <c r="C174" s="44" t="s">
        <v>39</v>
      </c>
      <c r="D174" s="193" t="n">
        <v>0</v>
      </c>
    </row>
    <row r="175" customFormat="false" ht="15.75" hidden="false" customHeight="false" outlineLevel="0" collapsed="false">
      <c r="A175" s="44" t="s">
        <v>1529</v>
      </c>
      <c r="B175" s="44" t="s">
        <v>1530</v>
      </c>
      <c r="C175" s="44" t="s">
        <v>39</v>
      </c>
      <c r="D175" s="193" t="n">
        <v>2</v>
      </c>
    </row>
    <row r="176" customFormat="false" ht="15.75" hidden="false" customHeight="false" outlineLevel="0" collapsed="false">
      <c r="A176" s="44" t="s">
        <v>1531</v>
      </c>
      <c r="B176" s="44" t="s">
        <v>1532</v>
      </c>
      <c r="C176" s="44" t="s">
        <v>39</v>
      </c>
      <c r="D176" s="193" t="n">
        <v>0</v>
      </c>
    </row>
    <row r="177" customFormat="false" ht="15.75" hidden="false" customHeight="false" outlineLevel="0" collapsed="false">
      <c r="A177" s="44" t="s">
        <v>1533</v>
      </c>
      <c r="B177" s="44" t="s">
        <v>1534</v>
      </c>
      <c r="C177" s="44" t="s">
        <v>39</v>
      </c>
      <c r="D177" s="193" t="n">
        <v>0</v>
      </c>
    </row>
    <row r="178" customFormat="false" ht="15.75" hidden="false" customHeight="false" outlineLevel="0" collapsed="false">
      <c r="A178" s="44" t="s">
        <v>1535</v>
      </c>
      <c r="B178" s="44" t="s">
        <v>1536</v>
      </c>
      <c r="C178" s="44" t="s">
        <v>39</v>
      </c>
      <c r="D178" s="193" t="n">
        <v>0</v>
      </c>
    </row>
    <row r="179" customFormat="false" ht="15.75" hidden="false" customHeight="false" outlineLevel="0" collapsed="false">
      <c r="A179" s="44" t="s">
        <v>1537</v>
      </c>
      <c r="B179" s="44" t="s">
        <v>1538</v>
      </c>
      <c r="C179" s="44" t="s">
        <v>39</v>
      </c>
      <c r="D179" s="193" t="n">
        <v>0</v>
      </c>
    </row>
    <row r="180" customFormat="false" ht="15.75" hidden="false" customHeight="false" outlineLevel="0" collapsed="false">
      <c r="A180" s="44" t="s">
        <v>1539</v>
      </c>
      <c r="B180" s="44" t="s">
        <v>1540</v>
      </c>
      <c r="C180" s="44" t="s">
        <v>39</v>
      </c>
      <c r="D180" s="193" t="n">
        <v>1</v>
      </c>
    </row>
    <row r="181" customFormat="false" ht="15.75" hidden="false" customHeight="false" outlineLevel="0" collapsed="false">
      <c r="A181" s="44" t="s">
        <v>1541</v>
      </c>
      <c r="B181" s="44" t="s">
        <v>1231</v>
      </c>
      <c r="C181" s="44" t="s">
        <v>21</v>
      </c>
      <c r="D181" s="193" t="n">
        <v>2</v>
      </c>
    </row>
    <row r="182" customFormat="false" ht="15.75" hidden="false" customHeight="false" outlineLevel="0" collapsed="false">
      <c r="A182" s="44" t="s">
        <v>1542</v>
      </c>
      <c r="B182" s="44" t="s">
        <v>1543</v>
      </c>
      <c r="C182" s="44" t="s">
        <v>21</v>
      </c>
      <c r="D182" s="193" t="n">
        <v>0</v>
      </c>
    </row>
    <row r="183" customFormat="false" ht="15.75" hidden="false" customHeight="false" outlineLevel="0" collapsed="false">
      <c r="A183" s="44" t="s">
        <v>1544</v>
      </c>
      <c r="B183" s="44" t="s">
        <v>1545</v>
      </c>
      <c r="C183" s="44" t="s">
        <v>21</v>
      </c>
      <c r="D183" s="193" t="n">
        <v>0</v>
      </c>
    </row>
    <row r="184" customFormat="false" ht="15.75" hidden="false" customHeight="false" outlineLevel="0" collapsed="false">
      <c r="A184" s="44" t="s">
        <v>1546</v>
      </c>
      <c r="B184" s="44" t="s">
        <v>1547</v>
      </c>
      <c r="C184" s="44" t="s">
        <v>21</v>
      </c>
      <c r="D184" s="193" t="n">
        <v>1</v>
      </c>
    </row>
    <row r="185" customFormat="false" ht="15.75" hidden="false" customHeight="false" outlineLevel="0" collapsed="false">
      <c r="A185" s="44" t="s">
        <v>1548</v>
      </c>
      <c r="B185" s="44" t="s">
        <v>1549</v>
      </c>
      <c r="C185" s="44" t="s">
        <v>21</v>
      </c>
      <c r="D185" s="193" t="n">
        <v>0</v>
      </c>
    </row>
    <row r="186" customFormat="false" ht="15.75" hidden="false" customHeight="false" outlineLevel="0" collapsed="false">
      <c r="A186" s="44" t="s">
        <v>1550</v>
      </c>
      <c r="B186" s="44" t="s">
        <v>1551</v>
      </c>
      <c r="C186" s="44" t="s">
        <v>21</v>
      </c>
      <c r="D186" s="193" t="n">
        <v>0</v>
      </c>
    </row>
    <row r="187" customFormat="false" ht="15.75" hidden="false" customHeight="false" outlineLevel="0" collapsed="false">
      <c r="A187" s="44" t="s">
        <v>1552</v>
      </c>
      <c r="B187" s="44" t="s">
        <v>1553</v>
      </c>
      <c r="C187" s="44" t="s">
        <v>21</v>
      </c>
      <c r="D187" s="193" t="n">
        <v>0</v>
      </c>
    </row>
    <row r="188" customFormat="false" ht="15.75" hidden="false" customHeight="false" outlineLevel="0" collapsed="false">
      <c r="A188" s="44" t="s">
        <v>1554</v>
      </c>
      <c r="B188" s="44" t="s">
        <v>1555</v>
      </c>
      <c r="C188" s="44" t="s">
        <v>21</v>
      </c>
      <c r="D188" s="193" t="n">
        <v>0</v>
      </c>
    </row>
    <row r="189" customFormat="false" ht="15.75" hidden="false" customHeight="false" outlineLevel="0" collapsed="false">
      <c r="A189" s="44" t="s">
        <v>1556</v>
      </c>
      <c r="B189" s="44" t="s">
        <v>1557</v>
      </c>
      <c r="C189" s="44" t="s">
        <v>21</v>
      </c>
      <c r="D189" s="193" t="n">
        <v>3</v>
      </c>
    </row>
    <row r="190" customFormat="false" ht="15.75" hidden="false" customHeight="false" outlineLevel="0" collapsed="false">
      <c r="A190" s="44" t="s">
        <v>1558</v>
      </c>
      <c r="B190" s="44" t="s">
        <v>1559</v>
      </c>
      <c r="C190" s="44" t="s">
        <v>21</v>
      </c>
      <c r="D190" s="193" t="n">
        <v>0</v>
      </c>
    </row>
    <row r="191" customFormat="false" ht="15.75" hidden="false" customHeight="false" outlineLevel="0" collapsed="false">
      <c r="A191" s="44" t="s">
        <v>1560</v>
      </c>
      <c r="B191" s="44" t="s">
        <v>1561</v>
      </c>
      <c r="C191" s="44" t="s">
        <v>21</v>
      </c>
      <c r="D191" s="193" t="n">
        <v>0</v>
      </c>
    </row>
    <row r="192" customFormat="false" ht="15.75" hidden="false" customHeight="false" outlineLevel="0" collapsed="false">
      <c r="A192" s="44" t="s">
        <v>1562</v>
      </c>
      <c r="B192" s="44" t="s">
        <v>1563</v>
      </c>
      <c r="C192" s="44" t="s">
        <v>21</v>
      </c>
      <c r="D192" s="193" t="n">
        <v>2</v>
      </c>
    </row>
    <row r="193" customFormat="false" ht="15.75" hidden="false" customHeight="false" outlineLevel="0" collapsed="false">
      <c r="A193" s="44" t="s">
        <v>1564</v>
      </c>
      <c r="B193" s="44" t="s">
        <v>1565</v>
      </c>
      <c r="C193" s="44" t="s">
        <v>21</v>
      </c>
      <c r="D193" s="193" t="n">
        <v>0</v>
      </c>
    </row>
    <row r="194" customFormat="false" ht="15.75" hidden="false" customHeight="false" outlineLevel="0" collapsed="false">
      <c r="A194" s="44" t="s">
        <v>1566</v>
      </c>
      <c r="B194" s="44" t="s">
        <v>1567</v>
      </c>
      <c r="C194" s="44" t="s">
        <v>21</v>
      </c>
      <c r="D194" s="193" t="n">
        <v>0</v>
      </c>
    </row>
    <row r="195" customFormat="false" ht="15.75" hidden="false" customHeight="false" outlineLevel="0" collapsed="false">
      <c r="A195" s="44" t="s">
        <v>1568</v>
      </c>
      <c r="B195" s="44" t="s">
        <v>1569</v>
      </c>
      <c r="C195" s="44" t="s">
        <v>21</v>
      </c>
      <c r="D195" s="193" t="n">
        <v>0</v>
      </c>
    </row>
    <row r="196" customFormat="false" ht="15.75" hidden="false" customHeight="false" outlineLevel="0" collapsed="false">
      <c r="A196" s="44" t="s">
        <v>1570</v>
      </c>
      <c r="B196" s="44" t="s">
        <v>1571</v>
      </c>
      <c r="C196" s="44" t="s">
        <v>21</v>
      </c>
      <c r="D196" s="193" t="n">
        <v>0</v>
      </c>
    </row>
    <row r="197" customFormat="false" ht="15.75" hidden="false" customHeight="false" outlineLevel="0" collapsed="false">
      <c r="A197" s="44" t="s">
        <v>1572</v>
      </c>
      <c r="B197" s="44" t="s">
        <v>1573</v>
      </c>
      <c r="C197" s="44" t="s">
        <v>21</v>
      </c>
      <c r="D197" s="193" t="n">
        <v>2</v>
      </c>
    </row>
    <row r="198" customFormat="false" ht="15.75" hidden="false" customHeight="false" outlineLevel="0" collapsed="false">
      <c r="A198" s="44" t="s">
        <v>1574</v>
      </c>
      <c r="B198" s="44" t="s">
        <v>1575</v>
      </c>
      <c r="C198" s="44" t="s">
        <v>21</v>
      </c>
      <c r="D198" s="193" t="n">
        <v>1</v>
      </c>
    </row>
    <row r="199" customFormat="false" ht="15.75" hidden="false" customHeight="false" outlineLevel="0" collapsed="false">
      <c r="A199" s="44" t="s">
        <v>1576</v>
      </c>
      <c r="B199" s="44" t="s">
        <v>1577</v>
      </c>
      <c r="C199" s="44" t="s">
        <v>21</v>
      </c>
      <c r="D199" s="193" t="n">
        <v>0</v>
      </c>
    </row>
    <row r="200" customFormat="false" ht="15.75" hidden="false" customHeight="false" outlineLevel="0" collapsed="false">
      <c r="A200" s="44" t="s">
        <v>1578</v>
      </c>
      <c r="B200" s="44" t="s">
        <v>1579</v>
      </c>
      <c r="C200" s="44" t="s">
        <v>21</v>
      </c>
      <c r="D200" s="19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692</v>
      </c>
      <c r="C1" s="45"/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693</v>
      </c>
      <c r="U1" s="47"/>
      <c r="V1" s="47"/>
      <c r="W1" s="47"/>
      <c r="X1" s="47"/>
      <c r="Y1" s="46"/>
      <c r="Z1" s="47" t="s">
        <v>8</v>
      </c>
      <c r="AA1" s="47"/>
      <c r="AB1" s="47"/>
      <c r="AC1" s="47"/>
      <c r="AD1" s="47"/>
      <c r="AE1" s="46"/>
      <c r="AF1" s="47" t="s">
        <v>9</v>
      </c>
      <c r="AG1" s="47"/>
      <c r="AH1" s="47"/>
      <c r="AI1" s="47"/>
      <c r="AJ1" s="47"/>
      <c r="AK1" s="46"/>
      <c r="AL1" s="47" t="s">
        <v>10</v>
      </c>
      <c r="AM1" s="47"/>
      <c r="AN1" s="47"/>
      <c r="AO1" s="47"/>
      <c r="AP1" s="47"/>
      <c r="AQ1" s="46"/>
      <c r="AR1" s="105" t="s">
        <v>11</v>
      </c>
      <c r="AS1" s="105"/>
      <c r="AT1" s="105"/>
      <c r="AU1" s="105"/>
      <c r="AV1" s="105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15.7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/>
      <c r="G2" s="55"/>
      <c r="H2" s="55"/>
      <c r="I2" s="55"/>
      <c r="J2" s="55"/>
      <c r="K2" s="55"/>
      <c r="L2" s="55"/>
      <c r="M2" s="55"/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44" t="s">
        <v>694</v>
      </c>
      <c r="C3" s="61" t="s">
        <v>695</v>
      </c>
      <c r="D3" s="61"/>
      <c r="E3" s="62"/>
      <c r="F3" s="63" t="s">
        <v>696</v>
      </c>
      <c r="G3" s="63" t="s">
        <v>696</v>
      </c>
      <c r="H3" s="63"/>
      <c r="I3" s="63"/>
      <c r="J3" s="63"/>
      <c r="K3" s="63"/>
      <c r="L3" s="63"/>
      <c r="M3" s="63"/>
      <c r="N3" s="64"/>
      <c r="O3" s="64"/>
      <c r="P3" s="64"/>
      <c r="Q3" s="64"/>
      <c r="R3" s="64"/>
      <c r="S3" s="65"/>
      <c r="T3" s="66" t="s">
        <v>697</v>
      </c>
      <c r="U3" s="67" t="n">
        <v>45716</v>
      </c>
      <c r="V3" s="67" t="n">
        <v>45716</v>
      </c>
      <c r="W3" s="67" t="n">
        <v>45716</v>
      </c>
      <c r="X3" s="87" t="n">
        <v>10</v>
      </c>
      <c r="Y3" s="69"/>
      <c r="Z3" s="70" t="n">
        <v>542</v>
      </c>
      <c r="AA3" s="67" t="n">
        <v>45737</v>
      </c>
      <c r="AB3" s="67" t="n">
        <v>45737</v>
      </c>
      <c r="AC3" s="67" t="n">
        <v>45737</v>
      </c>
      <c r="AD3" s="68" t="n">
        <v>10</v>
      </c>
      <c r="AE3" s="69"/>
      <c r="AF3" s="70" t="n">
        <v>775</v>
      </c>
      <c r="AG3" s="67" t="n">
        <v>45742</v>
      </c>
      <c r="AH3" s="67" t="n">
        <v>45742</v>
      </c>
      <c r="AI3" s="67" t="n">
        <v>45742</v>
      </c>
      <c r="AJ3" s="68" t="n">
        <v>10</v>
      </c>
      <c r="AK3" s="69"/>
      <c r="AL3" s="70" t="n">
        <v>222</v>
      </c>
      <c r="AM3" s="106" t="n">
        <v>45761</v>
      </c>
      <c r="AN3" s="106" t="n">
        <v>45761</v>
      </c>
      <c r="AO3" s="106" t="n">
        <v>45761</v>
      </c>
      <c r="AP3" s="68" t="n">
        <v>10</v>
      </c>
      <c r="AQ3" s="69"/>
      <c r="AR3" s="70" t="n">
        <v>771</v>
      </c>
      <c r="AS3" s="106" t="n">
        <v>45779</v>
      </c>
      <c r="AT3" s="106" t="n">
        <v>45779</v>
      </c>
      <c r="AU3" s="106" t="n">
        <v>45779</v>
      </c>
      <c r="AV3" s="68" t="n">
        <v>10</v>
      </c>
      <c r="AW3" s="69"/>
      <c r="AX3" s="68"/>
      <c r="AY3" s="68"/>
      <c r="AZ3" s="69"/>
      <c r="BA3" s="106" t="n">
        <v>45799</v>
      </c>
      <c r="BB3" s="71" t="n">
        <v>10</v>
      </c>
      <c r="BC3" s="72"/>
      <c r="BD3" s="73" t="str">
        <f aca="false">IF(AND(BB3&gt;=6,AP3&gt;=12,AJ3&gt;=6,AD3&gt;=6,X3&gt;=6),"да","нет")</f>
        <v>нет</v>
      </c>
      <c r="BE3" s="72"/>
      <c r="BF3" s="74"/>
      <c r="BG3" s="71" t="n">
        <v>30</v>
      </c>
      <c r="BH3" s="68" t="n">
        <v>1</v>
      </c>
      <c r="BI3" s="50"/>
      <c r="BJ3" s="107" t="n">
        <f aca="false">SUM(X3,AD3,AJ3,AP3,AV3,AX3:AY3,BH3,BB3,BG3)</f>
        <v>91</v>
      </c>
      <c r="BK3" s="73" t="str">
        <f aca="false">IF(BJ3&gt;90,"A",IF(BJ3&gt;83,"B",IF(BJ3&gt;74,"C",IF(BJ3&gt;67,"D",IF(BJ3&gt;=60,"E","FX")))))</f>
        <v>A</v>
      </c>
    </row>
    <row r="4" customFormat="false" ht="15.75" hidden="false" customHeight="false" outlineLevel="0" collapsed="false">
      <c r="A4" s="59" t="n">
        <f aca="false">A3+1</f>
        <v>2</v>
      </c>
      <c r="B4" s="60" t="s">
        <v>698</v>
      </c>
      <c r="C4" s="61"/>
      <c r="D4" s="61" t="s">
        <v>699</v>
      </c>
      <c r="E4" s="62"/>
      <c r="F4" s="63"/>
      <c r="G4" s="63"/>
      <c r="H4" s="63"/>
      <c r="I4" s="63"/>
      <c r="J4" s="63"/>
      <c r="K4" s="63"/>
      <c r="L4" s="63"/>
      <c r="M4" s="63"/>
      <c r="N4" s="64"/>
      <c r="O4" s="64"/>
      <c r="P4" s="64"/>
      <c r="Q4" s="64"/>
      <c r="R4" s="64"/>
      <c r="S4" s="65"/>
      <c r="T4" s="66" t="s">
        <v>700</v>
      </c>
      <c r="U4" s="67"/>
      <c r="V4" s="67"/>
      <c r="W4" s="67"/>
      <c r="X4" s="87"/>
      <c r="Y4" s="69"/>
      <c r="Z4" s="70"/>
      <c r="AA4" s="67"/>
      <c r="AB4" s="67"/>
      <c r="AC4" s="67"/>
      <c r="AD4" s="68"/>
      <c r="AE4" s="69"/>
      <c r="AF4" s="70"/>
      <c r="AG4" s="70"/>
      <c r="AH4" s="70"/>
      <c r="AI4" s="70"/>
      <c r="AJ4" s="68"/>
      <c r="AK4" s="69"/>
      <c r="AL4" s="70"/>
      <c r="AM4" s="70"/>
      <c r="AN4" s="70"/>
      <c r="AO4" s="70"/>
      <c r="AP4" s="68"/>
      <c r="AQ4" s="69"/>
      <c r="AR4" s="70"/>
      <c r="AS4" s="70"/>
      <c r="AT4" s="70"/>
      <c r="AU4" s="70"/>
      <c r="AV4" s="68"/>
      <c r="AW4" s="69"/>
      <c r="AX4" s="68"/>
      <c r="AY4" s="68"/>
      <c r="AZ4" s="69"/>
      <c r="BA4" s="70"/>
      <c r="BB4" s="71"/>
      <c r="BC4" s="72"/>
      <c r="BD4" s="73" t="str">
        <f aca="false">IF(AND(BB4&gt;=6,AP4&gt;=12,AJ4&gt;=6,AD4&gt;=6,X4&gt;=6),"да","нет")</f>
        <v>нет</v>
      </c>
      <c r="BE4" s="72"/>
      <c r="BF4" s="74"/>
      <c r="BG4" s="71"/>
      <c r="BH4" s="68"/>
      <c r="BI4" s="50"/>
      <c r="BJ4" s="107" t="n">
        <f aca="false">SUM(X4,AD4,AJ4,AP4,AV4,AX4:AY4,BH4,BB4,BG4)</f>
        <v>0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60" t="s">
        <v>701</v>
      </c>
      <c r="C5" s="61" t="s">
        <v>702</v>
      </c>
      <c r="D5" s="61" t="s">
        <v>703</v>
      </c>
      <c r="E5" s="62"/>
      <c r="F5" s="63"/>
      <c r="G5" s="63"/>
      <c r="H5" s="63"/>
      <c r="I5" s="63"/>
      <c r="J5" s="63"/>
      <c r="K5" s="63"/>
      <c r="L5" s="63"/>
      <c r="M5" s="63"/>
      <c r="N5" s="64"/>
      <c r="O5" s="64"/>
      <c r="P5" s="64"/>
      <c r="Q5" s="64"/>
      <c r="R5" s="64"/>
      <c r="S5" s="65"/>
      <c r="T5" s="66" t="s">
        <v>704</v>
      </c>
      <c r="U5" s="67"/>
      <c r="V5" s="67"/>
      <c r="W5" s="67"/>
      <c r="X5" s="87"/>
      <c r="Y5" s="69"/>
      <c r="Z5" s="70"/>
      <c r="AA5" s="67"/>
      <c r="AB5" s="67"/>
      <c r="AC5" s="67"/>
      <c r="AD5" s="68"/>
      <c r="AE5" s="69"/>
      <c r="AF5" s="70"/>
      <c r="AG5" s="70"/>
      <c r="AH5" s="70"/>
      <c r="AI5" s="70"/>
      <c r="AJ5" s="68"/>
      <c r="AK5" s="69"/>
      <c r="AL5" s="70"/>
      <c r="AM5" s="70"/>
      <c r="AN5" s="70"/>
      <c r="AO5" s="70"/>
      <c r="AP5" s="68"/>
      <c r="AQ5" s="69"/>
      <c r="AR5" s="70"/>
      <c r="AS5" s="70"/>
      <c r="AT5" s="70"/>
      <c r="AU5" s="70"/>
      <c r="AV5" s="68"/>
      <c r="AW5" s="69"/>
      <c r="AX5" s="68"/>
      <c r="AY5" s="68"/>
      <c r="AZ5" s="69"/>
      <c r="BA5" s="70"/>
      <c r="BB5" s="71"/>
      <c r="BC5" s="72"/>
      <c r="BD5" s="73" t="str">
        <f aca="false">IF(AND(BB5&gt;=6,AP5&gt;=12,AJ5&gt;=6,AD5&gt;=6,X5&gt;=6),"да","нет")</f>
        <v>нет</v>
      </c>
      <c r="BE5" s="72"/>
      <c r="BF5" s="74"/>
      <c r="BG5" s="71"/>
      <c r="BH5" s="68"/>
      <c r="BI5" s="50"/>
      <c r="BJ5" s="107" t="n">
        <f aca="false">SUM(X5,AD5,AJ5,AP5,AV5,AX5:AY5,BH5,BB5,BG5)</f>
        <v>0</v>
      </c>
      <c r="BK5" s="73" t="str">
        <f aca="false">IF(BJ5&gt;90,"A",IF(BJ5&gt;83,"B",IF(BJ5&gt;74,"C",IF(BJ5&gt;67,"D",IF(BJ5&gt;=60,"E","FX")))))</f>
        <v>FX</v>
      </c>
    </row>
    <row r="6" customFormat="false" ht="15.75" hidden="false" customHeight="false" outlineLevel="0" collapsed="false">
      <c r="A6" s="59" t="n">
        <f aca="false">A5+1</f>
        <v>4</v>
      </c>
      <c r="B6" s="60" t="s">
        <v>705</v>
      </c>
      <c r="C6" s="61" t="s">
        <v>706</v>
      </c>
      <c r="D6" s="61" t="s">
        <v>707</v>
      </c>
      <c r="E6" s="62"/>
      <c r="F6" s="63"/>
      <c r="G6" s="63"/>
      <c r="H6" s="63"/>
      <c r="I6" s="63"/>
      <c r="J6" s="63"/>
      <c r="K6" s="63"/>
      <c r="L6" s="63"/>
      <c r="M6" s="63"/>
      <c r="N6" s="64"/>
      <c r="O6" s="64"/>
      <c r="P6" s="64"/>
      <c r="Q6" s="64"/>
      <c r="R6" s="64"/>
      <c r="S6" s="65"/>
      <c r="T6" s="66" t="s">
        <v>708</v>
      </c>
      <c r="U6" s="67"/>
      <c r="V6" s="67"/>
      <c r="W6" s="67"/>
      <c r="X6" s="87" t="s">
        <v>709</v>
      </c>
      <c r="Y6" s="69"/>
      <c r="Z6" s="70"/>
      <c r="AA6" s="67"/>
      <c r="AB6" s="67"/>
      <c r="AC6" s="67"/>
      <c r="AD6" s="68" t="s">
        <v>709</v>
      </c>
      <c r="AE6" s="69"/>
      <c r="AF6" s="70"/>
      <c r="AG6" s="70"/>
      <c r="AH6" s="70"/>
      <c r="AI6" s="70"/>
      <c r="AJ6" s="68"/>
      <c r="AK6" s="69"/>
      <c r="AL6" s="70"/>
      <c r="AM6" s="70"/>
      <c r="AN6" s="70"/>
      <c r="AO6" s="70"/>
      <c r="AP6" s="68"/>
      <c r="AQ6" s="69"/>
      <c r="AR6" s="70"/>
      <c r="AS6" s="70"/>
      <c r="AT6" s="70"/>
      <c r="AU6" s="70"/>
      <c r="AV6" s="68"/>
      <c r="AW6" s="69"/>
      <c r="AX6" s="68"/>
      <c r="AY6" s="68"/>
      <c r="AZ6" s="69"/>
      <c r="BA6" s="70"/>
      <c r="BB6" s="71"/>
      <c r="BC6" s="72"/>
      <c r="BD6" s="73" t="str">
        <f aca="false">IF(AND(BB6&gt;=6,AP6&gt;=12,AJ6&gt;=6,AD6&gt;=6,X6&gt;=6),"да","нет")</f>
        <v>нет</v>
      </c>
      <c r="BE6" s="72"/>
      <c r="BF6" s="74"/>
      <c r="BG6" s="71"/>
      <c r="BH6" s="68"/>
      <c r="BI6" s="50"/>
      <c r="BJ6" s="107" t="n">
        <f aca="false">SUM(X6,AD6,AJ6,AP6,AV6,AX6:AY6,BH6,BB6,BG6)</f>
        <v>0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60" t="s">
        <v>710</v>
      </c>
      <c r="C7" s="61"/>
      <c r="D7" s="61" t="s">
        <v>711</v>
      </c>
      <c r="E7" s="62"/>
      <c r="F7" s="63"/>
      <c r="G7" s="63"/>
      <c r="H7" s="63"/>
      <c r="I7" s="63"/>
      <c r="J7" s="63"/>
      <c r="K7" s="63"/>
      <c r="L7" s="63"/>
      <c r="M7" s="63"/>
      <c r="N7" s="64"/>
      <c r="O7" s="64"/>
      <c r="P7" s="64"/>
      <c r="Q7" s="64"/>
      <c r="R7" s="64"/>
      <c r="S7" s="65"/>
      <c r="T7" s="66" t="s">
        <v>712</v>
      </c>
      <c r="U7" s="67"/>
      <c r="V7" s="67"/>
      <c r="W7" s="67" t="n">
        <v>45743</v>
      </c>
      <c r="X7" s="87" t="n">
        <v>8</v>
      </c>
      <c r="Y7" s="69"/>
      <c r="Z7" s="70" t="n">
        <v>5573</v>
      </c>
      <c r="AA7" s="67"/>
      <c r="AB7" s="67"/>
      <c r="AC7" s="67"/>
      <c r="AD7" s="68" t="s">
        <v>709</v>
      </c>
      <c r="AE7" s="69"/>
      <c r="AF7" s="70" t="n">
        <v>5573</v>
      </c>
      <c r="AG7" s="70"/>
      <c r="AH7" s="70"/>
      <c r="AI7" s="70"/>
      <c r="AJ7" s="68" t="s">
        <v>709</v>
      </c>
      <c r="AK7" s="69"/>
      <c r="AL7" s="70" t="n">
        <v>557</v>
      </c>
      <c r="AM7" s="70"/>
      <c r="AN7" s="70"/>
      <c r="AO7" s="70"/>
      <c r="AP7" s="68" t="s">
        <v>709</v>
      </c>
      <c r="AQ7" s="69"/>
      <c r="AR7" s="70"/>
      <c r="AS7" s="70"/>
      <c r="AT7" s="70"/>
      <c r="AU7" s="70"/>
      <c r="AV7" s="68"/>
      <c r="AW7" s="69"/>
      <c r="AX7" s="68"/>
      <c r="AY7" s="68"/>
      <c r="AZ7" s="69"/>
      <c r="BA7" s="70"/>
      <c r="BB7" s="71"/>
      <c r="BC7" s="72"/>
      <c r="BD7" s="73" t="str">
        <f aca="false">IF(AND(BB7&gt;=6,AP7&gt;=12,AJ7&gt;=6,AD7&gt;=6,X7&gt;=6),"да","нет")</f>
        <v>нет</v>
      </c>
      <c r="BE7" s="72"/>
      <c r="BF7" s="74"/>
      <c r="BG7" s="71" t="n">
        <v>4</v>
      </c>
      <c r="BH7" s="68"/>
      <c r="BI7" s="50"/>
      <c r="BJ7" s="107" t="n">
        <f aca="false">SUM(X7,AD7,AJ7,AP7,AV7,AX7:AY7,BH7,BB7,BG7)</f>
        <v>12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60" t="s">
        <v>713</v>
      </c>
      <c r="C8" s="61" t="s">
        <v>714</v>
      </c>
      <c r="D8" s="61" t="s">
        <v>715</v>
      </c>
      <c r="E8" s="62"/>
      <c r="F8" s="63" t="s">
        <v>696</v>
      </c>
      <c r="G8" s="63" t="s">
        <v>696</v>
      </c>
      <c r="H8" s="63" t="s">
        <v>696</v>
      </c>
      <c r="I8" s="63" t="s">
        <v>696</v>
      </c>
      <c r="J8" s="63"/>
      <c r="K8" s="63"/>
      <c r="L8" s="63"/>
      <c r="M8" s="63"/>
      <c r="N8" s="64"/>
      <c r="O8" s="64"/>
      <c r="P8" s="64"/>
      <c r="Q8" s="64"/>
      <c r="R8" s="64"/>
      <c r="S8" s="65"/>
      <c r="T8" s="66" t="s">
        <v>716</v>
      </c>
      <c r="U8" s="67" t="n">
        <v>45726</v>
      </c>
      <c r="V8" s="67" t="n">
        <v>45726</v>
      </c>
      <c r="W8" s="67" t="n">
        <v>45726</v>
      </c>
      <c r="X8" s="87" t="n">
        <v>6</v>
      </c>
      <c r="Y8" s="69"/>
      <c r="Z8" s="70" t="n">
        <v>664</v>
      </c>
      <c r="AA8" s="67" t="n">
        <v>45742</v>
      </c>
      <c r="AB8" s="67" t="n">
        <v>45742</v>
      </c>
      <c r="AC8" s="67" t="n">
        <v>45742</v>
      </c>
      <c r="AD8" s="68" t="n">
        <v>6</v>
      </c>
      <c r="AE8" s="69"/>
      <c r="AF8" s="70" t="n">
        <v>776</v>
      </c>
      <c r="AG8" s="106" t="n">
        <v>45771</v>
      </c>
      <c r="AH8" s="106" t="n">
        <v>45771</v>
      </c>
      <c r="AI8" s="106" t="n">
        <v>45771</v>
      </c>
      <c r="AJ8" s="68" t="n">
        <v>6</v>
      </c>
      <c r="AK8" s="69"/>
      <c r="AL8" s="70" t="n">
        <v>774</v>
      </c>
      <c r="AM8" s="106" t="n">
        <v>45790</v>
      </c>
      <c r="AN8" s="106" t="n">
        <v>45790</v>
      </c>
      <c r="AO8" s="106" t="n">
        <v>45790</v>
      </c>
      <c r="AP8" s="68" t="n">
        <v>6</v>
      </c>
      <c r="AQ8" s="69"/>
      <c r="AR8" s="70" t="n">
        <v>634</v>
      </c>
      <c r="AS8" s="106" t="n">
        <v>45790</v>
      </c>
      <c r="AT8" s="106" t="n">
        <v>45790</v>
      </c>
      <c r="AU8" s="106" t="n">
        <v>45790</v>
      </c>
      <c r="AV8" s="68" t="n">
        <v>6</v>
      </c>
      <c r="AW8" s="69"/>
      <c r="AX8" s="68"/>
      <c r="AY8" s="68"/>
      <c r="AZ8" s="69"/>
      <c r="BA8" s="106" t="n">
        <v>45799</v>
      </c>
      <c r="BB8" s="71" t="n">
        <v>6</v>
      </c>
      <c r="BC8" s="72"/>
      <c r="BD8" s="73" t="str">
        <f aca="false">IF(AND(BB8&gt;=6,AP8&gt;=12,AJ8&gt;=6,AD8&gt;=6,X8&gt;=6),"да","нет")</f>
        <v>нет</v>
      </c>
      <c r="BE8" s="72"/>
      <c r="BF8" s="74"/>
      <c r="BG8" s="71" t="n">
        <v>30</v>
      </c>
      <c r="BH8" s="68"/>
      <c r="BI8" s="50"/>
      <c r="BJ8" s="107" t="n">
        <f aca="false">SUM(X8,AD8,AJ8,AP8,AV8,AX8:AY8,BH8,BB8,BG8)</f>
        <v>66</v>
      </c>
      <c r="BK8" s="73" t="str">
        <f aca="false">IF(BJ8&gt;90,"A",IF(BJ8&gt;83,"B",IF(BJ8&gt;74,"C",IF(BJ8&gt;67,"D",IF(BJ8&gt;=60,"E","FX")))))</f>
        <v>E</v>
      </c>
    </row>
    <row r="9" customFormat="false" ht="15.75" hidden="false" customHeight="false" outlineLevel="0" collapsed="false">
      <c r="A9" s="59" t="n">
        <f aca="false">A8+1</f>
        <v>7</v>
      </c>
      <c r="B9" s="60" t="s">
        <v>717</v>
      </c>
      <c r="C9" s="61" t="s">
        <v>223</v>
      </c>
      <c r="D9" s="61"/>
      <c r="E9" s="62"/>
      <c r="F9" s="63"/>
      <c r="G9" s="63"/>
      <c r="H9" s="63"/>
      <c r="I9" s="63"/>
      <c r="J9" s="63"/>
      <c r="K9" s="63"/>
      <c r="L9" s="63"/>
      <c r="M9" s="63"/>
      <c r="N9" s="64"/>
      <c r="O9" s="64"/>
      <c r="P9" s="64"/>
      <c r="Q9" s="64"/>
      <c r="R9" s="64"/>
      <c r="S9" s="65"/>
      <c r="T9" s="66" t="s">
        <v>718</v>
      </c>
      <c r="U9" s="67"/>
      <c r="V9" s="67"/>
      <c r="W9" s="67"/>
      <c r="X9" s="87" t="n">
        <v>10</v>
      </c>
      <c r="Y9" s="69"/>
      <c r="Z9" s="70" t="s">
        <v>709</v>
      </c>
      <c r="AA9" s="67"/>
      <c r="AB9" s="67"/>
      <c r="AC9" s="67"/>
      <c r="AD9" s="68"/>
      <c r="AE9" s="69"/>
      <c r="AF9" s="70"/>
      <c r="AG9" s="70"/>
      <c r="AH9" s="70"/>
      <c r="AI9" s="70"/>
      <c r="AJ9" s="68"/>
      <c r="AK9" s="69"/>
      <c r="AL9" s="70"/>
      <c r="AM9" s="70"/>
      <c r="AN9" s="70"/>
      <c r="AO9" s="70"/>
      <c r="AP9" s="68"/>
      <c r="AQ9" s="69"/>
      <c r="AR9" s="70"/>
      <c r="AS9" s="70"/>
      <c r="AT9" s="70"/>
      <c r="AU9" s="70"/>
      <c r="AV9" s="68"/>
      <c r="AW9" s="69"/>
      <c r="AX9" s="68"/>
      <c r="AY9" s="68"/>
      <c r="AZ9" s="69"/>
      <c r="BA9" s="70"/>
      <c r="BB9" s="71"/>
      <c r="BC9" s="72"/>
      <c r="BD9" s="73" t="str">
        <f aca="false">IF(AND(BB9&gt;=6,AP9&gt;=12,AJ9&gt;=6,AD9&gt;=6,X9&gt;=6),"да","нет")</f>
        <v>нет</v>
      </c>
      <c r="BE9" s="72"/>
      <c r="BF9" s="74"/>
      <c r="BG9" s="71"/>
      <c r="BH9" s="68"/>
      <c r="BI9" s="50"/>
      <c r="BJ9" s="107" t="n">
        <f aca="false">SUM(X9,AD9,AJ9,AP9,AV9,AX9:AY9,BH9,BB9,BG9)</f>
        <v>10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60" t="s">
        <v>423</v>
      </c>
      <c r="C10" s="61" t="s">
        <v>719</v>
      </c>
      <c r="D10" s="61" t="s">
        <v>422</v>
      </c>
      <c r="E10" s="62"/>
      <c r="F10" s="63"/>
      <c r="G10" s="63"/>
      <c r="H10" s="63"/>
      <c r="I10" s="63"/>
      <c r="J10" s="63"/>
      <c r="K10" s="63"/>
      <c r="L10" s="63"/>
      <c r="M10" s="63"/>
      <c r="N10" s="64"/>
      <c r="O10" s="64"/>
      <c r="P10" s="64"/>
      <c r="Q10" s="64"/>
      <c r="R10" s="64"/>
      <c r="S10" s="65"/>
      <c r="T10" s="66"/>
      <c r="U10" s="67"/>
      <c r="V10" s="67"/>
      <c r="W10" s="67"/>
      <c r="X10" s="87" t="n">
        <v>10</v>
      </c>
      <c r="Y10" s="69"/>
      <c r="Z10" s="70" t="s">
        <v>709</v>
      </c>
      <c r="AA10" s="67"/>
      <c r="AB10" s="67"/>
      <c r="AC10" s="67"/>
      <c r="AD10" s="68"/>
      <c r="AE10" s="69"/>
      <c r="AF10" s="70"/>
      <c r="AG10" s="70"/>
      <c r="AH10" s="70"/>
      <c r="AI10" s="70"/>
      <c r="AJ10" s="68"/>
      <c r="AK10" s="69"/>
      <c r="AL10" s="70"/>
      <c r="AM10" s="70"/>
      <c r="AN10" s="70"/>
      <c r="AO10" s="70"/>
      <c r="AP10" s="68"/>
      <c r="AQ10" s="69"/>
      <c r="AR10" s="70"/>
      <c r="AS10" s="70"/>
      <c r="AT10" s="70"/>
      <c r="AU10" s="70"/>
      <c r="AV10" s="68"/>
      <c r="AW10" s="69"/>
      <c r="AX10" s="68"/>
      <c r="AY10" s="68"/>
      <c r="AZ10" s="69"/>
      <c r="BA10" s="70"/>
      <c r="BB10" s="71"/>
      <c r="BC10" s="72"/>
      <c r="BD10" s="73" t="str">
        <f aca="false">IF(AND(BB10&gt;=6,AP10&gt;=12,AJ10&gt;=6,AD10&gt;=6,X10&gt;=6),"да","нет")</f>
        <v>нет</v>
      </c>
      <c r="BE10" s="72"/>
      <c r="BF10" s="74"/>
      <c r="BG10" s="71"/>
      <c r="BH10" s="68"/>
      <c r="BI10" s="50"/>
      <c r="BJ10" s="107" t="n">
        <f aca="false">SUM(X10,AD10,AJ10,AP10,AV10,AX10:AY10,BH10,BB10,BG10)</f>
        <v>10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720</v>
      </c>
      <c r="C11" s="61" t="s">
        <v>721</v>
      </c>
      <c r="D11" s="61" t="s">
        <v>722</v>
      </c>
      <c r="E11" s="108"/>
      <c r="F11" s="63"/>
      <c r="G11" s="63"/>
      <c r="H11" s="63"/>
      <c r="I11" s="63"/>
      <c r="J11" s="63"/>
      <c r="K11" s="63"/>
      <c r="L11" s="63"/>
      <c r="M11" s="63"/>
      <c r="N11" s="64"/>
      <c r="O11" s="64"/>
      <c r="P11" s="64"/>
      <c r="Q11" s="64"/>
      <c r="R11" s="64"/>
      <c r="S11" s="65"/>
      <c r="T11" s="66" t="s">
        <v>723</v>
      </c>
      <c r="U11" s="67" t="n">
        <v>45755</v>
      </c>
      <c r="V11" s="67" t="n">
        <v>45755</v>
      </c>
      <c r="W11" s="67" t="n">
        <v>45755</v>
      </c>
      <c r="X11" s="68" t="n">
        <v>6</v>
      </c>
      <c r="Y11" s="69"/>
      <c r="Z11" s="70" t="n">
        <v>433</v>
      </c>
      <c r="AA11" s="67" t="n">
        <v>45758</v>
      </c>
      <c r="AB11" s="67" t="n">
        <v>45758</v>
      </c>
      <c r="AC11" s="67" t="n">
        <v>45758</v>
      </c>
      <c r="AD11" s="68" t="n">
        <v>6</v>
      </c>
      <c r="AE11" s="69"/>
      <c r="AF11" s="70" t="n">
        <v>523</v>
      </c>
      <c r="AG11" s="106" t="n">
        <v>45772</v>
      </c>
      <c r="AH11" s="106" t="n">
        <v>45772</v>
      </c>
      <c r="AI11" s="106" t="n">
        <v>45772</v>
      </c>
      <c r="AJ11" s="68" t="n">
        <v>6</v>
      </c>
      <c r="AK11" s="69"/>
      <c r="AL11" s="70" t="n">
        <v>669</v>
      </c>
      <c r="AM11" s="70"/>
      <c r="AN11" s="70"/>
      <c r="AO11" s="70"/>
      <c r="AP11" s="68"/>
      <c r="AQ11" s="69"/>
      <c r="AR11" s="70"/>
      <c r="AS11" s="70"/>
      <c r="AT11" s="70"/>
      <c r="AU11" s="70"/>
      <c r="AV11" s="68"/>
      <c r="AW11" s="69"/>
      <c r="AX11" s="68"/>
      <c r="AY11" s="68"/>
      <c r="AZ11" s="69"/>
      <c r="BA11" s="70"/>
      <c r="BB11" s="71"/>
      <c r="BC11" s="72"/>
      <c r="BD11" s="73" t="str">
        <f aca="false">IF(AND(BB11&gt;=6,AP11&gt;=12,AJ11&gt;=6,AD11&gt;=6,X11&gt;=6),"да","нет")</f>
        <v>нет</v>
      </c>
      <c r="BE11" s="72"/>
      <c r="BF11" s="74"/>
      <c r="BG11" s="71"/>
      <c r="BH11" s="68"/>
      <c r="BI11" s="50"/>
      <c r="BJ11" s="75" t="n">
        <f aca="false">SUM(X11,AD11,AJ11,AP11,AV11,AX11:AY11,BH11,BB11,BG11)</f>
        <v>18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724</v>
      </c>
      <c r="C12" s="61" t="s">
        <v>725</v>
      </c>
      <c r="D12" s="61" t="s">
        <v>726</v>
      </c>
      <c r="E12" s="62"/>
      <c r="F12" s="63"/>
      <c r="G12" s="63"/>
      <c r="H12" s="63"/>
      <c r="I12" s="63"/>
      <c r="J12" s="63"/>
      <c r="K12" s="63"/>
      <c r="L12" s="63"/>
      <c r="M12" s="63"/>
      <c r="N12" s="64"/>
      <c r="O12" s="64"/>
      <c r="P12" s="64"/>
      <c r="Q12" s="64"/>
      <c r="R12" s="64"/>
      <c r="S12" s="65"/>
      <c r="T12" s="66" t="s">
        <v>727</v>
      </c>
      <c r="U12" s="67"/>
      <c r="V12" s="67"/>
      <c r="W12" s="67"/>
      <c r="X12" s="68"/>
      <c r="Y12" s="69"/>
      <c r="Z12" s="70"/>
      <c r="AA12" s="67"/>
      <c r="AB12" s="67"/>
      <c r="AC12" s="67"/>
      <c r="AD12" s="68"/>
      <c r="AE12" s="69"/>
      <c r="AF12" s="70"/>
      <c r="AG12" s="70"/>
      <c r="AH12" s="70"/>
      <c r="AI12" s="70"/>
      <c r="AJ12" s="68"/>
      <c r="AK12" s="69"/>
      <c r="AL12" s="70"/>
      <c r="AM12" s="70"/>
      <c r="AN12" s="70"/>
      <c r="AO12" s="70"/>
      <c r="AP12" s="68"/>
      <c r="AQ12" s="69"/>
      <c r="AR12" s="70"/>
      <c r="AS12" s="70"/>
      <c r="AT12" s="70"/>
      <c r="AU12" s="70"/>
      <c r="AV12" s="68"/>
      <c r="AW12" s="69"/>
      <c r="AX12" s="68"/>
      <c r="AY12" s="68"/>
      <c r="AZ12" s="69"/>
      <c r="BA12" s="70"/>
      <c r="BB12" s="71"/>
      <c r="BC12" s="72"/>
      <c r="BD12" s="73" t="str">
        <f aca="false">IF(AND(BB12&gt;=6,AP12&gt;=12,AJ12&gt;=6,AD12&gt;=6,X12&gt;=6),"да","нет")</f>
        <v>нет</v>
      </c>
      <c r="BE12" s="72"/>
      <c r="BF12" s="74"/>
      <c r="BG12" s="71"/>
      <c r="BH12" s="68"/>
      <c r="BI12" s="50"/>
      <c r="BJ12" s="75" t="n">
        <f aca="false">SUM(X12,AD12,AJ12,AP12,AV12,AX12:AY12,BH12,BB12,BG12)</f>
        <v>0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60" t="s">
        <v>399</v>
      </c>
      <c r="C13" s="61" t="s">
        <v>218</v>
      </c>
      <c r="D13" s="61" t="s">
        <v>398</v>
      </c>
      <c r="E13" s="62"/>
      <c r="F13" s="63"/>
      <c r="G13" s="63"/>
      <c r="H13" s="63"/>
      <c r="I13" s="63"/>
      <c r="J13" s="63"/>
      <c r="K13" s="63"/>
      <c r="L13" s="63"/>
      <c r="M13" s="63"/>
      <c r="N13" s="64"/>
      <c r="O13" s="64"/>
      <c r="P13" s="64"/>
      <c r="Q13" s="64"/>
      <c r="R13" s="64"/>
      <c r="S13" s="65"/>
      <c r="T13" s="66" t="s">
        <v>728</v>
      </c>
      <c r="U13" s="67"/>
      <c r="V13" s="67"/>
      <c r="W13" s="67"/>
      <c r="X13" s="68"/>
      <c r="Y13" s="69"/>
      <c r="Z13" s="70"/>
      <c r="AA13" s="67"/>
      <c r="AB13" s="67"/>
      <c r="AC13" s="67"/>
      <c r="AD13" s="68"/>
      <c r="AE13" s="69"/>
      <c r="AF13" s="70"/>
      <c r="AG13" s="70"/>
      <c r="AH13" s="70"/>
      <c r="AI13" s="70"/>
      <c r="AJ13" s="68"/>
      <c r="AK13" s="69"/>
      <c r="AL13" s="70"/>
      <c r="AM13" s="70"/>
      <c r="AN13" s="70"/>
      <c r="AO13" s="70"/>
      <c r="AP13" s="68"/>
      <c r="AQ13" s="69"/>
      <c r="AR13" s="70"/>
      <c r="AS13" s="70"/>
      <c r="AT13" s="70"/>
      <c r="AU13" s="70"/>
      <c r="AV13" s="68"/>
      <c r="AW13" s="69"/>
      <c r="AX13" s="68"/>
      <c r="AY13" s="68"/>
      <c r="AZ13" s="69"/>
      <c r="BA13" s="70"/>
      <c r="BB13" s="71"/>
      <c r="BC13" s="72"/>
      <c r="BD13" s="73" t="str">
        <f aca="false">IF(AND(BB13&gt;=6,AP13&gt;=12,AJ13&gt;=6,AD13&gt;=6,X13&gt;=6),"да","нет")</f>
        <v>нет</v>
      </c>
      <c r="BE13" s="72"/>
      <c r="BF13" s="74"/>
      <c r="BG13" s="71"/>
      <c r="BH13" s="68"/>
      <c r="BI13" s="50"/>
      <c r="BJ13" s="75" t="n">
        <f aca="false">SUM(X13,AD13,AJ13,AP13,AV13,AX13:AY13,BH13,BB13,BG13)</f>
        <v>0</v>
      </c>
      <c r="BK13" s="73" t="str">
        <f aca="false">IF(BJ13&gt;90,"A",IF(BJ13&gt;83,"B",IF(BJ13&gt;74,"C",IF(BJ13&gt;67,"D",IF(BJ13&gt;=60,"E","FX")))))</f>
        <v>FX</v>
      </c>
    </row>
    <row r="14" customFormat="false" ht="15.75" hidden="false" customHeight="false" outlineLevel="0" collapsed="false">
      <c r="A14" s="59" t="n">
        <f aca="false">A13+1</f>
        <v>12</v>
      </c>
      <c r="B14" s="109" t="s">
        <v>729</v>
      </c>
      <c r="C14" s="61" t="s">
        <v>183</v>
      </c>
      <c r="D14" s="61"/>
      <c r="E14" s="62"/>
      <c r="F14" s="63"/>
      <c r="G14" s="63"/>
      <c r="H14" s="63"/>
      <c r="I14" s="63"/>
      <c r="J14" s="63"/>
      <c r="K14" s="63"/>
      <c r="L14" s="63"/>
      <c r="M14" s="63"/>
      <c r="N14" s="64"/>
      <c r="O14" s="64"/>
      <c r="P14" s="64"/>
      <c r="Q14" s="64"/>
      <c r="R14" s="64"/>
      <c r="S14" s="65"/>
      <c r="T14" s="66"/>
      <c r="U14" s="67" t="n">
        <v>45790</v>
      </c>
      <c r="V14" s="67" t="n">
        <v>45790</v>
      </c>
      <c r="W14" s="67"/>
      <c r="X14" s="68"/>
      <c r="Y14" s="69"/>
      <c r="Z14" s="70"/>
      <c r="AA14" s="67"/>
      <c r="AB14" s="67"/>
      <c r="AC14" s="67"/>
      <c r="AD14" s="68"/>
      <c r="AE14" s="69"/>
      <c r="AF14" s="70"/>
      <c r="AG14" s="70"/>
      <c r="AH14" s="70"/>
      <c r="AI14" s="70"/>
      <c r="AJ14" s="68"/>
      <c r="AK14" s="69"/>
      <c r="AL14" s="70"/>
      <c r="AM14" s="70"/>
      <c r="AN14" s="70"/>
      <c r="AO14" s="70"/>
      <c r="AP14" s="68"/>
      <c r="AQ14" s="69"/>
      <c r="AR14" s="70"/>
      <c r="AS14" s="70"/>
      <c r="AT14" s="70"/>
      <c r="AU14" s="70"/>
      <c r="AV14" s="68"/>
      <c r="AW14" s="69"/>
      <c r="AX14" s="68"/>
      <c r="AY14" s="68"/>
      <c r="AZ14" s="69"/>
      <c r="BA14" s="70"/>
      <c r="BB14" s="71"/>
      <c r="BC14" s="72"/>
      <c r="BD14" s="73" t="str">
        <f aca="false">IF(AND(BB14&gt;=6,AP14&gt;=12,AJ14&gt;=6,AD14&gt;=6,X14&gt;=6),"да","нет")</f>
        <v>нет</v>
      </c>
      <c r="BE14" s="72"/>
      <c r="BF14" s="74"/>
      <c r="BG14" s="71"/>
      <c r="BH14" s="68"/>
      <c r="BI14" s="50"/>
      <c r="BJ14" s="75" t="n">
        <f aca="false">SUM(X14,AD14,AJ14,AP14,AV14,AX14:AY14,BH14,BB14,BG14)</f>
        <v>0</v>
      </c>
      <c r="BK14" s="73" t="str">
        <f aca="false">IF(BJ14&gt;90,"A",IF(BJ14&gt;83,"B",IF(BJ14&gt;74,"C",IF(BJ14&gt;67,"D",IF(BJ14&gt;=60,"E","FX")))))</f>
        <v>FX</v>
      </c>
    </row>
    <row r="15" customFormat="false" ht="15.75" hidden="false" customHeight="false" outlineLevel="0" collapsed="false">
      <c r="A15" s="59" t="n">
        <f aca="false">A14+1</f>
        <v>13</v>
      </c>
      <c r="B15" s="60" t="str">
        <f aca="false">IFERROR(__xludf.dummyfunction("IFERROR(QUERY('Общий список'!$B:$C, ""SELECT C WHERE B = '""&amp;C15&amp;""' AND B &lt;&gt; '' AND D = '""&amp;$C$1&amp;""'"", 0), """")"),"")</f>
        <v/>
      </c>
      <c r="C15" s="61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64"/>
      <c r="O15" s="64"/>
      <c r="P15" s="64"/>
      <c r="Q15" s="64"/>
      <c r="R15" s="64"/>
      <c r="S15" s="65"/>
      <c r="T15" s="66"/>
      <c r="U15" s="67"/>
      <c r="V15" s="67"/>
      <c r="W15" s="67"/>
      <c r="X15" s="68"/>
      <c r="Y15" s="69"/>
      <c r="Z15" s="70"/>
      <c r="AA15" s="67"/>
      <c r="AB15" s="67"/>
      <c r="AC15" s="67"/>
      <c r="AD15" s="68"/>
      <c r="AE15" s="69"/>
      <c r="AF15" s="70"/>
      <c r="AG15" s="70"/>
      <c r="AH15" s="70"/>
      <c r="AI15" s="70"/>
      <c r="AJ15" s="68"/>
      <c r="AK15" s="69"/>
      <c r="AL15" s="70"/>
      <c r="AM15" s="70"/>
      <c r="AN15" s="70"/>
      <c r="AO15" s="70"/>
      <c r="AP15" s="68"/>
      <c r="AQ15" s="69"/>
      <c r="AR15" s="70"/>
      <c r="AS15" s="70"/>
      <c r="AT15" s="70"/>
      <c r="AU15" s="70"/>
      <c r="AV15" s="68"/>
      <c r="AW15" s="69"/>
      <c r="AX15" s="68"/>
      <c r="AY15" s="68"/>
      <c r="AZ15" s="69"/>
      <c r="BA15" s="70"/>
      <c r="BB15" s="71"/>
      <c r="BC15" s="72"/>
      <c r="BD15" s="73" t="str">
        <f aca="false">IF(AND(BB15&gt;=6,AP15&gt;=12,AJ15&gt;=6,AD15&gt;=6,X15&gt;=6),"да","нет")</f>
        <v>нет</v>
      </c>
      <c r="BE15" s="72"/>
      <c r="BF15" s="74"/>
      <c r="BG15" s="71"/>
      <c r="BH15" s="68"/>
      <c r="BI15" s="50"/>
      <c r="BJ15" s="75" t="n">
        <f aca="false">SUM(X15,AD15,AJ15,AP15,AV15,AX15:AY15,BH15,BB15,BG15)</f>
        <v>0</v>
      </c>
      <c r="BK15" s="73" t="str">
        <f aca="false">IF(BJ15&gt;90,"A",IF(BJ15&gt;83,"B",IF(BJ15&gt;74,"C",IF(BJ15&gt;67,"D",IF(BJ15&gt;=60,"E","FX")))))</f>
        <v>FX</v>
      </c>
    </row>
    <row r="16" customFormat="false" ht="15.75" hidden="false" customHeight="false" outlineLevel="0" collapsed="false">
      <c r="A16" s="59" t="n">
        <f aca="false">A15+1</f>
        <v>14</v>
      </c>
      <c r="B16" s="60" t="str">
        <f aca="false">IFERROR(__xludf.dummyfunction("IFERROR(QUERY('Общий список'!$B:$C, ""SELECT C WHERE B = '""&amp;C16&amp;""' AND B &lt;&gt; '' AND D = '""&amp;$C$1&amp;""'"", 0), """")"),"")</f>
        <v/>
      </c>
      <c r="C16" s="61"/>
      <c r="D16" s="61"/>
      <c r="E16" s="62"/>
      <c r="F16" s="63"/>
      <c r="G16" s="63"/>
      <c r="H16" s="63"/>
      <c r="I16" s="63"/>
      <c r="J16" s="63"/>
      <c r="K16" s="63"/>
      <c r="L16" s="63"/>
      <c r="M16" s="63"/>
      <c r="N16" s="64"/>
      <c r="O16" s="64"/>
      <c r="P16" s="64"/>
      <c r="Q16" s="64"/>
      <c r="R16" s="64"/>
      <c r="S16" s="65"/>
      <c r="T16" s="66"/>
      <c r="U16" s="67"/>
      <c r="V16" s="67"/>
      <c r="W16" s="67"/>
      <c r="X16" s="68"/>
      <c r="Y16" s="69"/>
      <c r="Z16" s="70"/>
      <c r="AA16" s="67"/>
      <c r="AB16" s="67"/>
      <c r="AC16" s="67"/>
      <c r="AD16" s="68"/>
      <c r="AE16" s="69"/>
      <c r="AF16" s="70"/>
      <c r="AG16" s="70"/>
      <c r="AH16" s="70"/>
      <c r="AI16" s="70"/>
      <c r="AJ16" s="68"/>
      <c r="AK16" s="69"/>
      <c r="AL16" s="70"/>
      <c r="AM16" s="70"/>
      <c r="AN16" s="70"/>
      <c r="AO16" s="70"/>
      <c r="AP16" s="68"/>
      <c r="AQ16" s="69"/>
      <c r="AR16" s="70"/>
      <c r="AS16" s="70"/>
      <c r="AT16" s="70"/>
      <c r="AU16" s="70"/>
      <c r="AV16" s="68"/>
      <c r="AW16" s="69"/>
      <c r="AX16" s="68"/>
      <c r="AY16" s="68"/>
      <c r="AZ16" s="69"/>
      <c r="BA16" s="70"/>
      <c r="BB16" s="71"/>
      <c r="BC16" s="72"/>
      <c r="BD16" s="73" t="str">
        <f aca="false">IF(AND(BB16&gt;=6,AP16&gt;=12,AJ16&gt;=6,AD16&gt;=6,X16&gt;=6),"да","нет")</f>
        <v>нет</v>
      </c>
      <c r="BE16" s="72"/>
      <c r="BF16" s="74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f aca="false">A16+1</f>
        <v>15</v>
      </c>
      <c r="B17" s="60" t="str">
        <f aca="false">IFERROR(__xludf.dummyfunction("IFERROR(QUERY('Общий список'!$B:$C, ""SELECT C WHERE B = '""&amp;C17&amp;""' AND B &lt;&gt; '' AND D = '""&amp;$C$1&amp;""'"", 0), """")"),"")</f>
        <v/>
      </c>
      <c r="C17" s="61"/>
      <c r="D17" s="61"/>
      <c r="E17" s="62"/>
      <c r="F17" s="63"/>
      <c r="G17" s="63"/>
      <c r="H17" s="63"/>
      <c r="I17" s="63"/>
      <c r="J17" s="63"/>
      <c r="K17" s="63"/>
      <c r="L17" s="63"/>
      <c r="M17" s="63"/>
      <c r="N17" s="64"/>
      <c r="O17" s="64"/>
      <c r="P17" s="64"/>
      <c r="Q17" s="64"/>
      <c r="R17" s="64"/>
      <c r="S17" s="65"/>
      <c r="T17" s="66"/>
      <c r="U17" s="67"/>
      <c r="V17" s="67"/>
      <c r="W17" s="67"/>
      <c r="X17" s="68"/>
      <c r="Y17" s="69"/>
      <c r="Z17" s="70"/>
      <c r="AA17" s="67"/>
      <c r="AB17" s="67"/>
      <c r="AC17" s="67"/>
      <c r="AD17" s="68"/>
      <c r="AE17" s="69"/>
      <c r="AF17" s="70"/>
      <c r="AG17" s="70"/>
      <c r="AH17" s="70"/>
      <c r="AI17" s="70"/>
      <c r="AJ17" s="68"/>
      <c r="AK17" s="69"/>
      <c r="AL17" s="70"/>
      <c r="AM17" s="70"/>
      <c r="AN17" s="70"/>
      <c r="AO17" s="70"/>
      <c r="AP17" s="68"/>
      <c r="AQ17" s="69"/>
      <c r="AR17" s="70"/>
      <c r="AS17" s="70"/>
      <c r="AT17" s="70"/>
      <c r="AU17" s="70"/>
      <c r="AV17" s="68"/>
      <c r="AW17" s="69"/>
      <c r="AX17" s="68"/>
      <c r="AY17" s="68"/>
      <c r="AZ17" s="69"/>
      <c r="BA17" s="70"/>
      <c r="BB17" s="71"/>
      <c r="BC17" s="72"/>
      <c r="BD17" s="73" t="str">
        <f aca="false">IF(AND(BB17&gt;=6,AP17&gt;=12,AJ17&gt;=6,AD17&gt;=6,X17&gt;=6),"да","нет")</f>
        <v>нет</v>
      </c>
      <c r="BE17" s="72"/>
      <c r="BF17" s="74"/>
      <c r="BG17" s="71"/>
      <c r="BH17" s="68"/>
      <c r="BI17" s="50"/>
      <c r="BJ17" s="75" t="n">
        <f aca="false">SUM(X17,AD17,AJ17,AP17,AV17,AX17:AY17,BH17,BB17,BG17)</f>
        <v>0</v>
      </c>
      <c r="BK17" s="73" t="str">
        <f aca="false">IF(BJ17&gt;90,"A",IF(BJ17&gt;83,"B",IF(BJ17&gt;74,"C",IF(BJ17&gt;67,"D",IF(BJ17&gt;=60,"E","FX")))))</f>
        <v>FX</v>
      </c>
    </row>
    <row r="18" customFormat="false" ht="15.75" hidden="false" customHeight="false" outlineLevel="0" collapsed="false">
      <c r="A18" s="59" t="n">
        <f aca="false">A17+1</f>
        <v>16</v>
      </c>
      <c r="B18" s="60" t="str">
        <f aca="false">IFERROR(__xludf.dummyfunction("IFERROR(QUERY('Общий список'!$B:$C, ""SELECT C WHERE B = '""&amp;C18&amp;""' AND B &lt;&gt; '' AND D = '""&amp;$C$1&amp;""'"", 0), """")"),"")</f>
        <v/>
      </c>
      <c r="C18" s="61"/>
      <c r="D18" s="61"/>
      <c r="E18" s="62"/>
      <c r="F18" s="63"/>
      <c r="G18" s="63"/>
      <c r="H18" s="63"/>
      <c r="I18" s="63"/>
      <c r="J18" s="63"/>
      <c r="K18" s="63"/>
      <c r="L18" s="63"/>
      <c r="M18" s="63"/>
      <c r="N18" s="64"/>
      <c r="O18" s="64"/>
      <c r="P18" s="64"/>
      <c r="Q18" s="64"/>
      <c r="R18" s="64"/>
      <c r="S18" s="65"/>
      <c r="T18" s="66"/>
      <c r="U18" s="67"/>
      <c r="V18" s="67"/>
      <c r="W18" s="67"/>
      <c r="X18" s="68"/>
      <c r="Y18" s="69"/>
      <c r="Z18" s="70"/>
      <c r="AA18" s="67"/>
      <c r="AB18" s="67"/>
      <c r="AC18" s="67"/>
      <c r="AD18" s="68"/>
      <c r="AE18" s="69"/>
      <c r="AF18" s="70"/>
      <c r="AG18" s="70"/>
      <c r="AH18" s="70"/>
      <c r="AI18" s="70"/>
      <c r="AJ18" s="68"/>
      <c r="AK18" s="69"/>
      <c r="AL18" s="70"/>
      <c r="AM18" s="70"/>
      <c r="AN18" s="70"/>
      <c r="AO18" s="70"/>
      <c r="AP18" s="68"/>
      <c r="AQ18" s="69"/>
      <c r="AR18" s="70"/>
      <c r="AS18" s="70"/>
      <c r="AT18" s="70"/>
      <c r="AU18" s="70"/>
      <c r="AV18" s="68"/>
      <c r="AW18" s="69"/>
      <c r="AX18" s="68"/>
      <c r="AY18" s="68"/>
      <c r="AZ18" s="69"/>
      <c r="BA18" s="70"/>
      <c r="BB18" s="71"/>
      <c r="BC18" s="72"/>
      <c r="BD18" s="73" t="str">
        <f aca="false">IF(AND(BB18&gt;=6,AP18&gt;=12,AJ18&gt;=6,AD18&gt;=6,X18&gt;=6),"да","нет")</f>
        <v>нет</v>
      </c>
      <c r="BE18" s="72"/>
      <c r="BF18" s="74"/>
      <c r="BG18" s="71"/>
      <c r="BH18" s="68"/>
      <c r="BI18" s="50"/>
      <c r="BJ18" s="75" t="n">
        <f aca="false">SUM(X18,AD18,AJ18,AP18,AV18,AX18:AY18,BH18,BB18,BG18)</f>
        <v>0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f aca="false">A18+1</f>
        <v>17</v>
      </c>
      <c r="B19" s="60" t="str">
        <f aca="false">IFERROR(__xludf.dummyfunction("IFERROR(QUERY('Общий список'!$B:$C, ""SELECT C WHERE B = '""&amp;C19&amp;""' AND B &lt;&gt; '' AND D = '""&amp;$C$1&amp;""'"", 0), """")"),"")</f>
        <v/>
      </c>
      <c r="C19" s="61"/>
      <c r="D19" s="61"/>
      <c r="E19" s="62"/>
      <c r="F19" s="63"/>
      <c r="G19" s="63"/>
      <c r="H19" s="63"/>
      <c r="I19" s="63"/>
      <c r="J19" s="63"/>
      <c r="K19" s="63"/>
      <c r="L19" s="63"/>
      <c r="M19" s="63"/>
      <c r="N19" s="64"/>
      <c r="O19" s="64"/>
      <c r="P19" s="64"/>
      <c r="Q19" s="64"/>
      <c r="R19" s="64"/>
      <c r="S19" s="65"/>
      <c r="T19" s="66"/>
      <c r="U19" s="67"/>
      <c r="V19" s="67"/>
      <c r="W19" s="67"/>
      <c r="X19" s="68"/>
      <c r="Y19" s="69"/>
      <c r="Z19" s="70"/>
      <c r="AA19" s="67"/>
      <c r="AB19" s="67"/>
      <c r="AC19" s="67"/>
      <c r="AD19" s="68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/>
      <c r="AS19" s="70"/>
      <c r="AT19" s="70"/>
      <c r="AU19" s="70"/>
      <c r="AV19" s="68"/>
      <c r="AW19" s="69"/>
      <c r="AX19" s="68"/>
      <c r="AY19" s="68"/>
      <c r="AZ19" s="69"/>
      <c r="BA19" s="70"/>
      <c r="BB19" s="71"/>
      <c r="BC19" s="72"/>
      <c r="BD19" s="73" t="str">
        <f aca="false">IF(AND(BB19&gt;=6,AP19&gt;=12,AJ19&gt;=6,AD19&gt;=6,X19&gt;=6),"да","нет")</f>
        <v>нет</v>
      </c>
      <c r="BE19" s="72"/>
      <c r="BF19" s="74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18</v>
      </c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/>
      <c r="H20" s="63"/>
      <c r="I20" s="63"/>
      <c r="J20" s="63"/>
      <c r="K20" s="63"/>
      <c r="L20" s="63"/>
      <c r="M20" s="63"/>
      <c r="N20" s="64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IF(AND(BB20&gt;=6,AP20&gt;=12,AJ20&gt;=6,AD20&gt;=6,X20&gt;=6),"да","нет")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IF(AND(BB21&gt;=6,AP21&gt;=12,AJ21&gt;=6,AD21&gt;=6,X21&gt;=6),"да","нет")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IF(AND(BB22&gt;=6,AP22&gt;=12,AJ22&gt;=6,AD22&gt;=6,X22&gt;=6),"да","нет")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67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IF(AND(BB23&gt;=6,AP23&gt;=12,AJ23&gt;=6,AD23&gt;=6,X23&gt;=6),"да","нет")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IF(AND(BB24&gt;=6,AP24&gt;=12,AJ24&gt;=6,AD24&gt;=6,X24&gt;=6),"да","нет")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IF(AND(BB25&gt;=6,AP25&gt;=12,AJ25&gt;=6,AD25&gt;=6,X25&gt;=6),"да","нет")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COUNTIF(F$3:F$22, "~**")</f>
        <v>0</v>
      </c>
      <c r="G27" s="70" t="n">
        <f aca="false">COUNTIF(G$3:G$22, "~**")</f>
        <v>0</v>
      </c>
      <c r="H27" s="70" t="n">
        <f aca="false">COUNTIF(H$3:H$22, "~**")</f>
        <v>0</v>
      </c>
      <c r="I27" s="70" t="n">
        <f aca="false">COUNTIF(I$3:I$22, "~**")</f>
        <v>0</v>
      </c>
      <c r="J27" s="70" t="n">
        <f aca="false">COUNTIF(J$3:J$22, "~**")</f>
        <v>0</v>
      </c>
      <c r="K27" s="70" t="n">
        <f aca="false">COUNTIF(K$3:K$22, "~**")</f>
        <v>0</v>
      </c>
      <c r="L27" s="70" t="n">
        <f aca="false">COUNTIF(L$3:L$22, "~**")</f>
        <v>0</v>
      </c>
      <c r="M27" s="70" t="n">
        <f aca="false">COUNTIF(M$3:M$22, "~**")</f>
        <v>0</v>
      </c>
      <c r="N27" s="70" t="n">
        <f aca="false">COUNTIF(N$3:N$22, "~**")</f>
        <v>0</v>
      </c>
      <c r="O27" s="70"/>
      <c r="P27" s="70"/>
      <c r="Q27" s="70" t="n">
        <f aca="false">COUNTIF(Q$3:Q$22, "~**")</f>
        <v>0</v>
      </c>
      <c r="R27" s="70" t="n">
        <f aca="false">COUNTIF(R$3:R$22,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COUNTIF(F$3:F$22, "~**")+COUNTIF(F$3:F$22, "Y")</f>
        <v>2</v>
      </c>
      <c r="G28" s="70" t="n">
        <f aca="false">COUNTIF(G$3:G$22, "~**")+COUNTIF(G$3:G$22, "Y")</f>
        <v>2</v>
      </c>
      <c r="H28" s="70" t="n">
        <f aca="false">COUNTIF(H$3:H$22, "~**")+COUNTIF(H$3:H$22, "Y")</f>
        <v>1</v>
      </c>
      <c r="I28" s="70" t="n">
        <f aca="false">COUNTIF(I$3:I$22, "~**")+COUNTIF(I$3:I$22, "Y")</f>
        <v>1</v>
      </c>
      <c r="J28" s="70" t="n">
        <f aca="false">COUNTIF(J$3:J$22, "~**")+COUNTIF(J$3:J$22, "Y")</f>
        <v>0</v>
      </c>
      <c r="K28" s="70" t="n">
        <f aca="false">COUNTIF(K$3:K$22, "~**")+COUNTIF(K$3:K$22, "Y")</f>
        <v>0</v>
      </c>
      <c r="L28" s="70" t="n">
        <f aca="false">COUNTIF(L$3:L$22, "~**")+COUNTIF(L$3:L$22, "Y")</f>
        <v>0</v>
      </c>
      <c r="M28" s="70" t="n">
        <f aca="false">COUNTIF(M$3:M$22, "~**")+COUNTIF(M$3:M$22, "Y")</f>
        <v>0</v>
      </c>
      <c r="N28" s="70" t="n">
        <f aca="false">COUNTIF(N$3:N$22, "~**")+COUNTIF(N$3:N$22, "Y")</f>
        <v>0</v>
      </c>
      <c r="O28" s="70"/>
      <c r="P28" s="70"/>
      <c r="Q28" s="70" t="n">
        <f aca="false">COUNTIF(Q$3:Q$22, "~**")+COUNTIF(Q$3:Q$22, "Y")</f>
        <v>0</v>
      </c>
      <c r="R28" s="70" t="n">
        <f aca="false">COUNTIF(R$3:R$22, "~**")+COUNTIF(R$3:R$22,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4</v>
      </c>
      <c r="W30" s="44" t="n">
        <f aca="false">COUNT(W3:W25)</f>
        <v>4</v>
      </c>
      <c r="X30" s="44" t="n">
        <f aca="false">COUNT(X3:X25)</f>
        <v>6</v>
      </c>
      <c r="Y30" s="77"/>
      <c r="Z30" s="44"/>
      <c r="AA30" s="44" t="n">
        <f aca="false">COUNT(AA3:AA25)</f>
        <v>3</v>
      </c>
      <c r="AB30" s="44" t="n">
        <f aca="false">COUNT(AB3:AB25)</f>
        <v>3</v>
      </c>
      <c r="AC30" s="44" t="n">
        <f aca="false">COUNT(AC3:AC25)</f>
        <v>3</v>
      </c>
      <c r="AD30" s="44" t="n">
        <f aca="false">COUNT(AD3:AD25)</f>
        <v>3</v>
      </c>
      <c r="AE30" s="77"/>
      <c r="AF30" s="44"/>
      <c r="AG30" s="44" t="n">
        <f aca="false">COUNT(AG3:AG25)</f>
        <v>3</v>
      </c>
      <c r="AH30" s="44" t="n">
        <f aca="false">COUNT(AH3:AH25)</f>
        <v>3</v>
      </c>
      <c r="AI30" s="44" t="n">
        <f aca="false">COUNT(AI3:AI25)</f>
        <v>3</v>
      </c>
      <c r="AJ30" s="44" t="n">
        <f aca="false">COUNT(AJ3:AJ25)</f>
        <v>3</v>
      </c>
      <c r="AK30" s="77"/>
      <c r="AL30" s="44"/>
      <c r="AM30" s="44" t="n">
        <f aca="false">COUNT(AM3:AM25)</f>
        <v>2</v>
      </c>
      <c r="AN30" s="44" t="n">
        <f aca="false">COUNT(AN3:AN25)</f>
        <v>2</v>
      </c>
      <c r="AO30" s="44" t="n">
        <f aca="false">COUNT(AO3:AO25)</f>
        <v>2</v>
      </c>
      <c r="AP30" s="44" t="n">
        <f aca="false">COUNT(AP3:AP25)</f>
        <v>2</v>
      </c>
      <c r="AQ30" s="77"/>
      <c r="AR30" s="44"/>
      <c r="AS30" s="44" t="n">
        <f aca="false">COUNT(AS3:AS25)</f>
        <v>2</v>
      </c>
      <c r="AT30" s="44" t="n">
        <f aca="false">COUNT(AT3:AT25)</f>
        <v>2</v>
      </c>
      <c r="AU30" s="44" t="n">
        <f aca="false">COUNT(AU3:AU25)</f>
        <v>2</v>
      </c>
      <c r="AV30" s="44" t="n">
        <f aca="false">COUNT(AV3:AV25)</f>
        <v>2</v>
      </c>
      <c r="AW30" s="77"/>
      <c r="AX30" s="44" t="n">
        <f aca="false">COUNT(AX3:AX25)</f>
        <v>0</v>
      </c>
      <c r="AY30" s="44" t="n">
        <f aca="false">COUNT(AY3:AY25)</f>
        <v>0</v>
      </c>
      <c r="AZ30" s="77"/>
      <c r="BA30" s="44"/>
      <c r="BB30" s="44" t="n">
        <f aca="false">COUNTIF(BB3:BB25, "&gt;=6")</f>
        <v>2</v>
      </c>
      <c r="BC30" s="77"/>
      <c r="BD30" s="44" t="n">
        <f aca="false">COUNTIF(BD3:BD25, "Да")</f>
        <v>0</v>
      </c>
      <c r="BE30" s="77"/>
      <c r="BF30" s="44"/>
      <c r="BG30" s="44" t="n">
        <f aca="false">COUNT(BG3:BG25)</f>
        <v>3</v>
      </c>
      <c r="BH30" s="44" t="n">
        <f aca="false">COUNT(BH3:BH25)</f>
        <v>1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95" t="n">
        <f aca="false">IF(COUNTA($B$3:$B$22)&gt;0,COUNTA(X$3:X$22)/COUNTA($B$3:$B$22), 0)</f>
        <v>0.35</v>
      </c>
      <c r="Y31" s="96"/>
      <c r="Z31" s="93"/>
      <c r="AA31" s="93"/>
      <c r="AB31" s="93"/>
      <c r="AC31" s="93"/>
      <c r="AD31" s="95" t="n">
        <f aca="false">IF(COUNTA($B$3:$B$22)&gt;0,COUNTA(AD$3:AD$22)/COUNTA($B$3:$B$22), 0)</f>
        <v>0.25</v>
      </c>
      <c r="AE31" s="97"/>
      <c r="AF31" s="98"/>
      <c r="AG31" s="93"/>
      <c r="AH31" s="98"/>
      <c r="AI31" s="93"/>
      <c r="AJ31" s="95" t="n">
        <f aca="false">IF(COUNTA($B$3:$B$22)&gt;0,COUNTA(AJ$3:AJ$22)/COUNTA($B$3:$B$22), 0)</f>
        <v>0.2</v>
      </c>
      <c r="AK31" s="96"/>
      <c r="AL31" s="93"/>
      <c r="AM31" s="93"/>
      <c r="AN31" s="93"/>
      <c r="AO31" s="93"/>
      <c r="AP31" s="95" t="n">
        <f aca="false">IF(COUNTA($B$3:$B$22)&gt;0,COUNTA(AP$3:AP$22)/COUNTA($B$3:$B$22), 0)</f>
        <v>0.15</v>
      </c>
      <c r="AQ31" s="96"/>
      <c r="AR31" s="93"/>
      <c r="AS31" s="93"/>
      <c r="AT31" s="93"/>
      <c r="AU31" s="93"/>
      <c r="AV31" s="95" t="n">
        <f aca="false">IF(COUNTA($B$3:$B$22)&gt;0,COUNTA(AV$3:AV$22)/COUNTA($B$3:$B$22), 0)</f>
        <v>0.1</v>
      </c>
      <c r="AW31" s="99"/>
      <c r="AX31" s="100"/>
      <c r="AY31" s="100"/>
      <c r="AZ31" s="99"/>
      <c r="BA31" s="100"/>
      <c r="BB31" s="95" t="n">
        <f aca="false">IF(COUNTA($B$3:$B$22)&gt;0,COUNTA(BB$3:BB$22)/COUNTA($B$3:$B$22), 0)</f>
        <v>0.1</v>
      </c>
      <c r="BC31" s="77"/>
      <c r="BD31" s="44" t="n">
        <f aca="false">COUNTIF(BD3:BD25, "Да")</f>
        <v>0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">
    <cfRule type="expression" priority="2" aboveAverage="0" equalAverage="0" bottom="0" percent="0" rank="0" text="" dxfId="2">
      <formula>U3&gt;45809</formula>
    </cfRule>
  </conditionalFormatting>
  <conditionalFormatting sqref="BC3:BD25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hyperlinks>
    <hyperlink ref="B14" r:id="rId1" display="Зайцев Дмтрий Владимирович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9138"/>
    <outlinePr summaryBelow="0"/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730</v>
      </c>
      <c r="C1" s="110" t="s">
        <v>731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45693</v>
      </c>
      <c r="G2" s="55" t="n">
        <f aca="false">F2+14</f>
        <v>45707</v>
      </c>
      <c r="H2" s="55" t="n">
        <f aca="false">G2+14</f>
        <v>45721</v>
      </c>
      <c r="I2" s="55" t="n">
        <f aca="false">H2+14</f>
        <v>45735</v>
      </c>
      <c r="J2" s="55" t="n">
        <f aca="false">I2+14</f>
        <v>45749</v>
      </c>
      <c r="K2" s="55" t="n">
        <f aca="false">J2+14</f>
        <v>45763</v>
      </c>
      <c r="L2" s="55" t="n">
        <f aca="false">K2+14</f>
        <v>45777</v>
      </c>
      <c r="M2" s="55" t="n">
        <f aca="false">L2+14</f>
        <v>45791</v>
      </c>
      <c r="N2" s="111" t="n">
        <v>45806</v>
      </c>
      <c r="O2" s="111" t="n">
        <v>45811</v>
      </c>
      <c r="P2" s="111" t="n">
        <v>45813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12" t="s">
        <v>732</v>
      </c>
      <c r="C3" s="113" t="s">
        <v>733</v>
      </c>
      <c r="D3" s="114" t="s">
        <v>184</v>
      </c>
      <c r="E3" s="62"/>
      <c r="F3" s="63" t="s">
        <v>696</v>
      </c>
      <c r="G3" s="63" t="s">
        <v>734</v>
      </c>
      <c r="H3" s="63" t="s">
        <v>734</v>
      </c>
      <c r="I3" s="63" t="s">
        <v>734</v>
      </c>
      <c r="J3" s="63" t="s">
        <v>696</v>
      </c>
      <c r="K3" s="63" t="s">
        <v>696</v>
      </c>
      <c r="L3" s="63" t="s">
        <v>696</v>
      </c>
      <c r="M3" s="63" t="s">
        <v>735</v>
      </c>
      <c r="N3" s="64" t="s">
        <v>735</v>
      </c>
      <c r="O3" s="64"/>
      <c r="P3" s="64"/>
      <c r="Q3" s="64"/>
      <c r="R3" s="64"/>
      <c r="S3" s="65"/>
      <c r="T3" s="66" t="s">
        <v>736</v>
      </c>
      <c r="U3" s="67" t="n">
        <v>45707</v>
      </c>
      <c r="V3" s="67" t="n">
        <v>45721</v>
      </c>
      <c r="W3" s="67" t="n">
        <v>45735</v>
      </c>
      <c r="X3" s="68" t="n">
        <v>9</v>
      </c>
      <c r="Y3" s="69"/>
      <c r="Z3" s="70" t="n">
        <v>6410</v>
      </c>
      <c r="AA3" s="67" t="n">
        <v>45777</v>
      </c>
      <c r="AB3" s="115"/>
      <c r="AC3" s="115"/>
      <c r="AD3" s="116"/>
      <c r="AE3" s="69"/>
      <c r="AF3" s="117"/>
      <c r="AG3" s="117"/>
      <c r="AH3" s="115"/>
      <c r="AI3" s="117"/>
      <c r="AJ3" s="116"/>
      <c r="AK3" s="69"/>
      <c r="AL3" s="117"/>
      <c r="AM3" s="117"/>
      <c r="AN3" s="117"/>
      <c r="AO3" s="117"/>
      <c r="AP3" s="116"/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68" t="n">
        <v>0</v>
      </c>
      <c r="AW3" s="69"/>
      <c r="AX3" s="68" t="n">
        <v>0</v>
      </c>
      <c r="AY3" s="68"/>
      <c r="AZ3" s="69"/>
      <c r="BA3" s="70"/>
      <c r="BB3" s="71"/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9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60" t="s">
        <v>200</v>
      </c>
      <c r="C4" s="113" t="s">
        <v>733</v>
      </c>
      <c r="D4" s="114" t="s">
        <v>199</v>
      </c>
      <c r="E4" s="62"/>
      <c r="F4" s="63" t="s">
        <v>696</v>
      </c>
      <c r="G4" s="63" t="s">
        <v>738</v>
      </c>
      <c r="H4" s="63" t="s">
        <v>734</v>
      </c>
      <c r="I4" s="63" t="s">
        <v>734</v>
      </c>
      <c r="J4" s="63" t="s">
        <v>734</v>
      </c>
      <c r="K4" s="63" t="s">
        <v>735</v>
      </c>
      <c r="L4" s="63" t="s">
        <v>734</v>
      </c>
      <c r="M4" s="63" t="s">
        <v>739</v>
      </c>
      <c r="N4" s="64"/>
      <c r="O4" s="64"/>
      <c r="P4" s="64"/>
      <c r="Q4" s="64"/>
      <c r="R4" s="64"/>
      <c r="S4" s="65"/>
      <c r="T4" s="66" t="s">
        <v>740</v>
      </c>
      <c r="U4" s="67" t="n">
        <v>45707</v>
      </c>
      <c r="V4" s="67" t="n">
        <v>45707</v>
      </c>
      <c r="W4" s="67" t="n">
        <v>45721</v>
      </c>
      <c r="X4" s="68" t="n">
        <v>10</v>
      </c>
      <c r="Y4" s="69"/>
      <c r="Z4" s="70" t="n">
        <v>6400</v>
      </c>
      <c r="AA4" s="67" t="n">
        <v>45721</v>
      </c>
      <c r="AB4" s="67" t="n">
        <v>45721</v>
      </c>
      <c r="AC4" s="67" t="n">
        <v>45735</v>
      </c>
      <c r="AD4" s="68" t="n">
        <v>9</v>
      </c>
      <c r="AE4" s="69"/>
      <c r="AF4" s="70" t="n">
        <v>6500</v>
      </c>
      <c r="AG4" s="106" t="n">
        <v>45735</v>
      </c>
      <c r="AH4" s="67" t="n">
        <v>45749</v>
      </c>
      <c r="AI4" s="106" t="n">
        <v>45749</v>
      </c>
      <c r="AJ4" s="68" t="n">
        <v>9</v>
      </c>
      <c r="AK4" s="69"/>
      <c r="AL4" s="70" t="n">
        <v>6600</v>
      </c>
      <c r="AM4" s="67" t="n">
        <v>45777</v>
      </c>
      <c r="AN4" s="67" t="n">
        <v>45777</v>
      </c>
      <c r="AO4" s="67" t="n">
        <v>45777</v>
      </c>
      <c r="AP4" s="68" t="n">
        <v>9</v>
      </c>
      <c r="AQ4" s="69"/>
      <c r="AR4" s="70" t="n">
        <v>6700</v>
      </c>
      <c r="AS4" s="67" t="n">
        <v>45791</v>
      </c>
      <c r="AT4" s="67" t="n">
        <v>45791</v>
      </c>
      <c r="AU4" s="67" t="n">
        <v>45791</v>
      </c>
      <c r="AV4" s="68" t="n">
        <v>10</v>
      </c>
      <c r="AW4" s="69"/>
      <c r="AX4" s="68" t="n">
        <v>0</v>
      </c>
      <c r="AY4" s="68" t="n">
        <v>1</v>
      </c>
      <c r="AZ4" s="69"/>
      <c r="BA4" s="67" t="n">
        <v>45792</v>
      </c>
      <c r="BB4" s="71" t="n">
        <v>6</v>
      </c>
      <c r="BC4" s="72"/>
      <c r="BD4" s="73" t="str">
        <f aca="false">IF(AND(BB4&gt;=6,AP4&gt;=6,AJ4&gt;=6,AD4&gt;=6,X4&gt;=6),"да","нет")</f>
        <v>да</v>
      </c>
      <c r="BE4" s="72"/>
      <c r="BF4" s="118" t="n">
        <v>45836</v>
      </c>
      <c r="BG4" s="71" t="n">
        <v>26.1</v>
      </c>
      <c r="BH4" s="68" t="n">
        <v>3</v>
      </c>
      <c r="BI4" s="50"/>
      <c r="BJ4" s="75" t="n">
        <f aca="false">SUM(X4,AD4,AJ4,AP4,AV4,AX4:AY4,BH4,BB4,BG4)</f>
        <v>83.1</v>
      </c>
      <c r="BK4" s="73" t="str">
        <f aca="false">IF(BJ4&gt;90,"A",IF(BJ4&gt;83,"B",IF(BJ4&gt;74,"C",IF(BJ4&gt;67,"D",IF(BJ4&gt;=60,"E","FX")))))</f>
        <v>B</v>
      </c>
    </row>
    <row r="5" customFormat="false" ht="15.75" hidden="false" customHeight="false" outlineLevel="0" collapsed="false">
      <c r="A5" s="59" t="n">
        <f aca="false">A4+1</f>
        <v>3</v>
      </c>
      <c r="B5" s="60" t="s">
        <v>741</v>
      </c>
      <c r="C5" s="113" t="s">
        <v>733</v>
      </c>
      <c r="D5" s="114" t="s">
        <v>207</v>
      </c>
      <c r="E5" s="62"/>
      <c r="F5" s="63" t="s">
        <v>696</v>
      </c>
      <c r="G5" s="63" t="s">
        <v>739</v>
      </c>
      <c r="H5" s="63" t="s">
        <v>734</v>
      </c>
      <c r="I5" s="63" t="s">
        <v>734</v>
      </c>
      <c r="J5" s="63" t="s">
        <v>734</v>
      </c>
      <c r="K5" s="63" t="s">
        <v>734</v>
      </c>
      <c r="L5" s="63" t="s">
        <v>734</v>
      </c>
      <c r="M5" s="63" t="s">
        <v>696</v>
      </c>
      <c r="N5" s="64" t="s">
        <v>739</v>
      </c>
      <c r="O5" s="64" t="s">
        <v>734</v>
      </c>
      <c r="P5" s="64"/>
      <c r="Q5" s="64"/>
      <c r="R5" s="64"/>
      <c r="S5" s="65"/>
      <c r="T5" s="66" t="s">
        <v>742</v>
      </c>
      <c r="U5" s="67" t="n">
        <v>45707</v>
      </c>
      <c r="V5" s="67" t="n">
        <v>45735</v>
      </c>
      <c r="W5" s="67" t="n">
        <v>45735</v>
      </c>
      <c r="X5" s="68" t="n">
        <v>8.5</v>
      </c>
      <c r="Y5" s="69"/>
      <c r="Z5" s="70" t="n">
        <v>6411</v>
      </c>
      <c r="AA5" s="67" t="n">
        <v>45749</v>
      </c>
      <c r="AB5" s="67" t="n">
        <v>45749</v>
      </c>
      <c r="AC5" s="67" t="n">
        <v>45777</v>
      </c>
      <c r="AD5" s="68" t="n">
        <v>7</v>
      </c>
      <c r="AE5" s="69"/>
      <c r="AF5" s="70" t="n">
        <v>6509</v>
      </c>
      <c r="AG5" s="106" t="n">
        <v>45791</v>
      </c>
      <c r="AH5" s="106" t="n">
        <v>45806</v>
      </c>
      <c r="AI5" s="106" t="n">
        <v>45811</v>
      </c>
      <c r="AJ5" s="68" t="n">
        <v>9</v>
      </c>
      <c r="AK5" s="69"/>
      <c r="AL5" s="70" t="n">
        <v>6609</v>
      </c>
      <c r="AM5" s="67" t="n">
        <v>45811</v>
      </c>
      <c r="AN5" s="67" t="n">
        <v>45811</v>
      </c>
      <c r="AO5" s="67" t="n">
        <v>45811</v>
      </c>
      <c r="AP5" s="68" t="n">
        <v>7</v>
      </c>
      <c r="AQ5" s="69"/>
      <c r="AR5" s="70" t="s">
        <v>737</v>
      </c>
      <c r="AS5" s="70" t="s">
        <v>737</v>
      </c>
      <c r="AT5" s="70" t="s">
        <v>737</v>
      </c>
      <c r="AU5" s="70" t="s">
        <v>737</v>
      </c>
      <c r="AV5" s="68" t="n">
        <v>0</v>
      </c>
      <c r="AW5" s="69"/>
      <c r="AX5" s="68"/>
      <c r="AY5" s="68"/>
      <c r="AZ5" s="69"/>
      <c r="BA5" s="67" t="n">
        <v>45826</v>
      </c>
      <c r="BB5" s="71" t="n">
        <v>6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45836</v>
      </c>
      <c r="BG5" s="71" t="n">
        <v>25</v>
      </c>
      <c r="BH5" s="68"/>
      <c r="BI5" s="50"/>
      <c r="BJ5" s="75" t="n">
        <f aca="false">SUM(X5,AD5,AJ5,AP5,AV5,AX5:AY5,BH5,BB5,BG5)</f>
        <v>62.5</v>
      </c>
      <c r="BK5" s="73" t="str">
        <f aca="false">IF(BJ5&gt;90,"A",IF(BJ5&gt;83,"B",IF(BJ5&gt;74,"C",IF(BJ5&gt;67,"D",IF(BJ5&gt;=60,"E","FX")))))</f>
        <v>E</v>
      </c>
    </row>
    <row r="6" customFormat="false" ht="15.75" hidden="false" customHeight="false" outlineLevel="0" collapsed="false">
      <c r="A6" s="59" t="n">
        <f aca="false">A5+1</f>
        <v>4</v>
      </c>
      <c r="B6" s="112" t="s">
        <v>743</v>
      </c>
      <c r="C6" s="113" t="s">
        <v>733</v>
      </c>
      <c r="D6" s="114" t="s">
        <v>744</v>
      </c>
      <c r="E6" s="62"/>
      <c r="F6" s="63" t="s">
        <v>696</v>
      </c>
      <c r="G6" s="63" t="s">
        <v>735</v>
      </c>
      <c r="H6" s="63" t="s">
        <v>735</v>
      </c>
      <c r="I6" s="63" t="s">
        <v>735</v>
      </c>
      <c r="J6" s="63" t="s">
        <v>735</v>
      </c>
      <c r="K6" s="63" t="s">
        <v>735</v>
      </c>
      <c r="L6" s="63" t="s">
        <v>735</v>
      </c>
      <c r="M6" s="63" t="s">
        <v>735</v>
      </c>
      <c r="N6" s="119"/>
      <c r="O6" s="119"/>
      <c r="P6" s="119"/>
      <c r="Q6" s="119"/>
      <c r="R6" s="119"/>
      <c r="S6" s="65"/>
      <c r="T6" s="66" t="s">
        <v>745</v>
      </c>
      <c r="U6" s="115"/>
      <c r="V6" s="115"/>
      <c r="W6" s="115"/>
      <c r="X6" s="116"/>
      <c r="Y6" s="69"/>
      <c r="Z6" s="117"/>
      <c r="AA6" s="115"/>
      <c r="AB6" s="115"/>
      <c r="AC6" s="115"/>
      <c r="AD6" s="116"/>
      <c r="AE6" s="69"/>
      <c r="AF6" s="117"/>
      <c r="AG6" s="117"/>
      <c r="AH6" s="115"/>
      <c r="AI6" s="117"/>
      <c r="AJ6" s="116"/>
      <c r="AK6" s="69"/>
      <c r="AL6" s="117"/>
      <c r="AM6" s="115"/>
      <c r="AN6" s="115"/>
      <c r="AO6" s="115"/>
      <c r="AP6" s="116"/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/>
      <c r="AY6" s="68"/>
      <c r="AZ6" s="69"/>
      <c r="BA6" s="67"/>
      <c r="BB6" s="71"/>
      <c r="BC6" s="72"/>
      <c r="BD6" s="73" t="str">
        <f aca="false">IF(AND(BB6&gt;=6,AP6&gt;=6,AJ6&gt;=6,AD6&gt;=6,X6&gt;=6),"да","нет")</f>
        <v>нет</v>
      </c>
      <c r="BE6" s="72"/>
      <c r="BF6" s="74"/>
      <c r="BG6" s="71"/>
      <c r="BH6" s="68"/>
      <c r="BI6" s="50"/>
      <c r="BJ6" s="75" t="n">
        <f aca="false">SUM(X6,AD6,AJ6,AP6,AV6,AX6:AY6,BH6,BB6,BG6)</f>
        <v>0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60" t="s">
        <v>307</v>
      </c>
      <c r="C7" s="113" t="s">
        <v>733</v>
      </c>
      <c r="D7" s="114" t="s">
        <v>306</v>
      </c>
      <c r="E7" s="62"/>
      <c r="F7" s="63" t="s">
        <v>696</v>
      </c>
      <c r="G7" s="63" t="s">
        <v>739</v>
      </c>
      <c r="H7" s="63" t="s">
        <v>734</v>
      </c>
      <c r="I7" s="63" t="s">
        <v>734</v>
      </c>
      <c r="J7" s="63" t="s">
        <v>734</v>
      </c>
      <c r="K7" s="63" t="s">
        <v>734</v>
      </c>
      <c r="L7" s="63" t="s">
        <v>734</v>
      </c>
      <c r="M7" s="63" t="s">
        <v>734</v>
      </c>
      <c r="N7" s="64"/>
      <c r="O7" s="64"/>
      <c r="P7" s="64"/>
      <c r="Q7" s="64"/>
      <c r="R7" s="64"/>
      <c r="S7" s="65"/>
      <c r="T7" s="66" t="s">
        <v>746</v>
      </c>
      <c r="U7" s="67" t="n">
        <v>45707</v>
      </c>
      <c r="V7" s="67" t="n">
        <v>45707</v>
      </c>
      <c r="W7" s="67" t="n">
        <v>45721</v>
      </c>
      <c r="X7" s="68" t="n">
        <v>9</v>
      </c>
      <c r="Y7" s="69"/>
      <c r="Z7" s="70" t="n">
        <v>6406</v>
      </c>
      <c r="AA7" s="67" t="n">
        <v>45735</v>
      </c>
      <c r="AB7" s="67" t="n">
        <v>45749</v>
      </c>
      <c r="AC7" s="67" t="n">
        <v>45749</v>
      </c>
      <c r="AD7" s="68" t="n">
        <v>10</v>
      </c>
      <c r="AE7" s="69"/>
      <c r="AF7" s="70" t="n">
        <v>6507</v>
      </c>
      <c r="AG7" s="106" t="n">
        <v>45749</v>
      </c>
      <c r="AH7" s="67" t="n">
        <v>45763</v>
      </c>
      <c r="AI7" s="67" t="n">
        <v>45763</v>
      </c>
      <c r="AJ7" s="68" t="n">
        <v>8</v>
      </c>
      <c r="AK7" s="69"/>
      <c r="AL7" s="70" t="n">
        <v>6605</v>
      </c>
      <c r="AM7" s="67" t="n">
        <v>45777</v>
      </c>
      <c r="AN7" s="67" t="n">
        <v>45777</v>
      </c>
      <c r="AO7" s="67" t="n">
        <v>45777</v>
      </c>
      <c r="AP7" s="68" t="n">
        <v>9</v>
      </c>
      <c r="AQ7" s="69"/>
      <c r="AR7" s="70" t="n">
        <v>6706</v>
      </c>
      <c r="AS7" s="67" t="n">
        <v>45791</v>
      </c>
      <c r="AT7" s="67" t="n">
        <v>45791</v>
      </c>
      <c r="AU7" s="67" t="n">
        <v>45791</v>
      </c>
      <c r="AV7" s="68" t="n">
        <v>10</v>
      </c>
      <c r="AW7" s="69"/>
      <c r="AX7" s="68" t="n">
        <v>0</v>
      </c>
      <c r="AY7" s="68" t="n">
        <v>1</v>
      </c>
      <c r="AZ7" s="69"/>
      <c r="BA7" s="67" t="n">
        <v>45792</v>
      </c>
      <c r="BB7" s="71" t="n">
        <v>10</v>
      </c>
      <c r="BC7" s="72"/>
      <c r="BD7" s="73" t="str">
        <f aca="false">IF(AND(BB7&gt;=6,AP7&gt;=6,AJ7&gt;=6,AD7&gt;=6,X7&gt;=6),"да","нет")</f>
        <v>да</v>
      </c>
      <c r="BE7" s="72"/>
      <c r="BF7" s="118" t="n">
        <v>45836</v>
      </c>
      <c r="BG7" s="71" t="n">
        <v>29</v>
      </c>
      <c r="BH7" s="68"/>
      <c r="BI7" s="50"/>
      <c r="BJ7" s="75" t="n">
        <f aca="false">SUM(X7,AD7,AJ7,AP7,AV7,AX7:AY7,BH7,BB7,BG7)</f>
        <v>86</v>
      </c>
      <c r="BK7" s="73" t="str">
        <f aca="false">IF(BJ7&gt;90,"A",IF(BJ7&gt;83,"B",IF(BJ7&gt;74,"C",IF(BJ7&gt;67,"D",IF(BJ7&gt;=60,"E","FX")))))</f>
        <v>B</v>
      </c>
    </row>
    <row r="8" customFormat="false" ht="15.75" hidden="false" customHeight="false" outlineLevel="0" collapsed="false">
      <c r="A8" s="59" t="n">
        <f aca="false">A7+1</f>
        <v>6</v>
      </c>
      <c r="B8" s="112" t="s">
        <v>747</v>
      </c>
      <c r="C8" s="113" t="s">
        <v>733</v>
      </c>
      <c r="D8" s="114" t="s">
        <v>748</v>
      </c>
      <c r="E8" s="62"/>
      <c r="F8" s="63" t="s">
        <v>735</v>
      </c>
      <c r="G8" s="63" t="s">
        <v>735</v>
      </c>
      <c r="H8" s="63" t="s">
        <v>735</v>
      </c>
      <c r="I8" s="63" t="s">
        <v>735</v>
      </c>
      <c r="J8" s="63" t="s">
        <v>735</v>
      </c>
      <c r="K8" s="63" t="s">
        <v>735</v>
      </c>
      <c r="L8" s="63" t="s">
        <v>735</v>
      </c>
      <c r="M8" s="63" t="s">
        <v>735</v>
      </c>
      <c r="N8" s="119"/>
      <c r="O8" s="119"/>
      <c r="P8" s="119"/>
      <c r="Q8" s="119"/>
      <c r="R8" s="119"/>
      <c r="S8" s="65"/>
      <c r="T8" s="66" t="s">
        <v>749</v>
      </c>
      <c r="U8" s="115"/>
      <c r="V8" s="115"/>
      <c r="W8" s="115"/>
      <c r="X8" s="116"/>
      <c r="Y8" s="69"/>
      <c r="Z8" s="117"/>
      <c r="AA8" s="115"/>
      <c r="AB8" s="115"/>
      <c r="AC8" s="115"/>
      <c r="AD8" s="116"/>
      <c r="AE8" s="69"/>
      <c r="AF8" s="117"/>
      <c r="AG8" s="117"/>
      <c r="AH8" s="115"/>
      <c r="AI8" s="117"/>
      <c r="AJ8" s="116"/>
      <c r="AK8" s="69"/>
      <c r="AL8" s="117"/>
      <c r="AM8" s="115"/>
      <c r="AN8" s="115"/>
      <c r="AO8" s="115"/>
      <c r="AP8" s="116"/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/>
      <c r="AY8" s="68"/>
      <c r="AZ8" s="69"/>
      <c r="BA8" s="67"/>
      <c r="BB8" s="71"/>
      <c r="BC8" s="72"/>
      <c r="BD8" s="73" t="str">
        <f aca="false">IF(AND(BB8&gt;=6,AP8&gt;=6,AJ8&gt;=6,AD8&gt;=6,X8&gt;=6),"да","нет")</f>
        <v>нет</v>
      </c>
      <c r="BE8" s="72"/>
      <c r="BF8" s="74"/>
      <c r="BG8" s="71"/>
      <c r="BH8" s="68"/>
      <c r="BI8" s="50"/>
      <c r="BJ8" s="75" t="n">
        <f aca="false">SUM(X8,AD8,AJ8,AP8,AV8,AX8:AY8,BH8,BB8,BG8)</f>
        <v>0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112" t="s">
        <v>750</v>
      </c>
      <c r="C9" s="113" t="s">
        <v>733</v>
      </c>
      <c r="D9" s="114" t="s">
        <v>751</v>
      </c>
      <c r="E9" s="62"/>
      <c r="F9" s="63" t="s">
        <v>735</v>
      </c>
      <c r="G9" s="63" t="s">
        <v>735</v>
      </c>
      <c r="H9" s="63" t="s">
        <v>735</v>
      </c>
      <c r="I9" s="63" t="s">
        <v>735</v>
      </c>
      <c r="J9" s="63" t="s">
        <v>735</v>
      </c>
      <c r="K9" s="63" t="s">
        <v>735</v>
      </c>
      <c r="L9" s="63" t="s">
        <v>735</v>
      </c>
      <c r="M9" s="63" t="s">
        <v>735</v>
      </c>
      <c r="N9" s="119"/>
      <c r="O9" s="119"/>
      <c r="P9" s="119"/>
      <c r="Q9" s="119"/>
      <c r="R9" s="119"/>
      <c r="S9" s="65"/>
      <c r="T9" s="66" t="s">
        <v>752</v>
      </c>
      <c r="U9" s="115"/>
      <c r="V9" s="115"/>
      <c r="W9" s="115"/>
      <c r="X9" s="116"/>
      <c r="Y9" s="69"/>
      <c r="Z9" s="117"/>
      <c r="AA9" s="115"/>
      <c r="AB9" s="115"/>
      <c r="AC9" s="115"/>
      <c r="AD9" s="116"/>
      <c r="AE9" s="69"/>
      <c r="AF9" s="117"/>
      <c r="AG9" s="117"/>
      <c r="AH9" s="115"/>
      <c r="AI9" s="117"/>
      <c r="AJ9" s="116"/>
      <c r="AK9" s="69"/>
      <c r="AL9" s="117"/>
      <c r="AM9" s="117"/>
      <c r="AN9" s="117"/>
      <c r="AO9" s="117"/>
      <c r="AP9" s="116"/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68" t="n">
        <v>0</v>
      </c>
      <c r="AW9" s="69"/>
      <c r="AX9" s="68"/>
      <c r="AY9" s="68"/>
      <c r="AZ9" s="69"/>
      <c r="BA9" s="67"/>
      <c r="BB9" s="71"/>
      <c r="BC9" s="72"/>
      <c r="BD9" s="73" t="str">
        <f aca="false">IF(AND(BB9&gt;=6,AP9&gt;=6,AJ9&gt;=6,AD9&gt;=6,X9&gt;=6),"да","нет")</f>
        <v>нет</v>
      </c>
      <c r="BE9" s="72"/>
      <c r="BF9" s="74"/>
      <c r="BG9" s="71"/>
      <c r="BH9" s="68"/>
      <c r="BI9" s="50"/>
      <c r="BJ9" s="75" t="n">
        <f aca="false">SUM(X9,AD9,AJ9,AP9,AV9,AX9:AY9,BH9,BB9,BG9)</f>
        <v>0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60" t="s">
        <v>753</v>
      </c>
      <c r="C10" s="113" t="s">
        <v>733</v>
      </c>
      <c r="D10" s="114" t="s">
        <v>352</v>
      </c>
      <c r="E10" s="62"/>
      <c r="F10" s="63" t="s">
        <v>696</v>
      </c>
      <c r="G10" s="63" t="s">
        <v>734</v>
      </c>
      <c r="H10" s="63" t="s">
        <v>739</v>
      </c>
      <c r="I10" s="63" t="s">
        <v>734</v>
      </c>
      <c r="J10" s="63" t="s">
        <v>734</v>
      </c>
      <c r="K10" s="63" t="s">
        <v>734</v>
      </c>
      <c r="L10" s="63" t="s">
        <v>734</v>
      </c>
      <c r="M10" s="63" t="s">
        <v>734</v>
      </c>
      <c r="N10" s="64"/>
      <c r="O10" s="64"/>
      <c r="P10" s="64"/>
      <c r="Q10" s="64"/>
      <c r="R10" s="64"/>
      <c r="S10" s="65"/>
      <c r="T10" s="66" t="s">
        <v>754</v>
      </c>
      <c r="U10" s="67" t="n">
        <v>45707</v>
      </c>
      <c r="V10" s="67" t="n">
        <v>45721</v>
      </c>
      <c r="W10" s="67" t="n">
        <v>45721</v>
      </c>
      <c r="X10" s="68" t="n">
        <v>10</v>
      </c>
      <c r="Y10" s="69"/>
      <c r="Z10" s="70" t="n">
        <v>6402</v>
      </c>
      <c r="AA10" s="67" t="n">
        <v>45721</v>
      </c>
      <c r="AB10" s="67" t="n">
        <v>45735</v>
      </c>
      <c r="AC10" s="67" t="n">
        <v>45735</v>
      </c>
      <c r="AD10" s="68" t="n">
        <v>9</v>
      </c>
      <c r="AE10" s="69"/>
      <c r="AF10" s="70" t="n">
        <v>6502</v>
      </c>
      <c r="AG10" s="106" t="n">
        <v>45749</v>
      </c>
      <c r="AH10" s="67" t="n">
        <v>45763</v>
      </c>
      <c r="AI10" s="106" t="n">
        <v>45763</v>
      </c>
      <c r="AJ10" s="68" t="n">
        <v>10</v>
      </c>
      <c r="AK10" s="69"/>
      <c r="AL10" s="70" t="n">
        <v>6602</v>
      </c>
      <c r="AM10" s="67" t="n">
        <v>45763</v>
      </c>
      <c r="AN10" s="67" t="n">
        <v>45777</v>
      </c>
      <c r="AO10" s="67" t="n">
        <v>45777</v>
      </c>
      <c r="AP10" s="68" t="n">
        <v>10</v>
      </c>
      <c r="AQ10" s="69"/>
      <c r="AR10" s="70" t="n">
        <v>6702</v>
      </c>
      <c r="AS10" s="67" t="n">
        <v>45791</v>
      </c>
      <c r="AT10" s="67" t="n">
        <v>45791</v>
      </c>
      <c r="AU10" s="67" t="n">
        <v>45791</v>
      </c>
      <c r="AV10" s="68" t="n">
        <v>10</v>
      </c>
      <c r="AW10" s="69"/>
      <c r="AX10" s="68" t="n">
        <v>1</v>
      </c>
      <c r="AY10" s="68" t="n">
        <v>2</v>
      </c>
      <c r="AZ10" s="69"/>
      <c r="BA10" s="67" t="n">
        <v>45792</v>
      </c>
      <c r="BB10" s="71" t="n">
        <v>7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45836</v>
      </c>
      <c r="BG10" s="71" t="n">
        <v>29</v>
      </c>
      <c r="BH10" s="68" t="n">
        <v>3</v>
      </c>
      <c r="BI10" s="50"/>
      <c r="BJ10" s="75" t="n">
        <f aca="false">SUM(X10,AD10,AJ10,AP10,AV10,AX10:AY10,BH10,BB10,BG10)</f>
        <v>91</v>
      </c>
      <c r="BK10" s="73" t="str">
        <f aca="false">IF(BJ10&gt;90,"A",IF(BJ10&gt;83,"B",IF(BJ10&gt;74,"C",IF(BJ10&gt;67,"D",IF(BJ10&gt;=60,"E","FX")))))</f>
        <v>A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355</v>
      </c>
      <c r="C11" s="113" t="s">
        <v>733</v>
      </c>
      <c r="D11" s="114" t="s">
        <v>354</v>
      </c>
      <c r="E11" s="62"/>
      <c r="F11" s="63" t="s">
        <v>696</v>
      </c>
      <c r="G11" s="63" t="s">
        <v>734</v>
      </c>
      <c r="H11" s="63" t="s">
        <v>734</v>
      </c>
      <c r="I11" s="63" t="s">
        <v>734</v>
      </c>
      <c r="J11" s="63" t="s">
        <v>734</v>
      </c>
      <c r="K11" s="63" t="s">
        <v>734</v>
      </c>
      <c r="L11" s="63" t="s">
        <v>734</v>
      </c>
      <c r="M11" s="63" t="s">
        <v>696</v>
      </c>
      <c r="N11" s="64" t="s">
        <v>734</v>
      </c>
      <c r="O11" s="64"/>
      <c r="P11" s="64"/>
      <c r="Q11" s="64"/>
      <c r="R11" s="64"/>
      <c r="S11" s="65"/>
      <c r="T11" s="66" t="s">
        <v>755</v>
      </c>
      <c r="U11" s="67" t="n">
        <v>45707</v>
      </c>
      <c r="V11" s="67" t="n">
        <v>45721</v>
      </c>
      <c r="W11" s="67" t="n">
        <v>45749</v>
      </c>
      <c r="X11" s="68" t="n">
        <v>9</v>
      </c>
      <c r="Y11" s="69"/>
      <c r="Z11" s="70" t="n">
        <v>6413</v>
      </c>
      <c r="AA11" s="67" t="n">
        <v>45763</v>
      </c>
      <c r="AB11" s="67" t="n">
        <v>45806</v>
      </c>
      <c r="AC11" s="67" t="n">
        <v>45806</v>
      </c>
      <c r="AD11" s="68" t="n">
        <v>9</v>
      </c>
      <c r="AE11" s="69"/>
      <c r="AF11" s="70" t="n">
        <v>6513</v>
      </c>
      <c r="AG11" s="70"/>
      <c r="AH11" s="67"/>
      <c r="AI11" s="70"/>
      <c r="AJ11" s="68"/>
      <c r="AK11" s="69"/>
      <c r="AL11" s="70"/>
      <c r="AM11" s="70"/>
      <c r="AN11" s="70"/>
      <c r="AO11" s="70"/>
      <c r="AP11" s="68"/>
      <c r="AQ11" s="69"/>
      <c r="AR11" s="70" t="s">
        <v>737</v>
      </c>
      <c r="AS11" s="70" t="s">
        <v>737</v>
      </c>
      <c r="AT11" s="70" t="s">
        <v>737</v>
      </c>
      <c r="AU11" s="70" t="s">
        <v>737</v>
      </c>
      <c r="AV11" s="68" t="n">
        <v>0</v>
      </c>
      <c r="AW11" s="69"/>
      <c r="AX11" s="68" t="n">
        <v>0</v>
      </c>
      <c r="AY11" s="68" t="n">
        <v>3</v>
      </c>
      <c r="AZ11" s="69"/>
      <c r="BA11" s="67" t="n">
        <v>45792</v>
      </c>
      <c r="BB11" s="71" t="n">
        <v>7</v>
      </c>
      <c r="BC11" s="72"/>
      <c r="BD11" s="73" t="str">
        <f aca="false">IF(AND(BB11&gt;=6,AP11&gt;=6,AJ11&gt;=6,AD11&gt;=6,X11&gt;=6),"да","нет")</f>
        <v>нет</v>
      </c>
      <c r="BE11" s="72"/>
      <c r="BF11" s="74"/>
      <c r="BG11" s="71"/>
      <c r="BH11" s="68"/>
      <c r="BI11" s="50"/>
      <c r="BJ11" s="75" t="n">
        <f aca="false">SUM(X11,AD11,AJ11,AP11,AV11,AX11:AY11,BH11,BB11,BG11)</f>
        <v>28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411</v>
      </c>
      <c r="C12" s="113" t="s">
        <v>733</v>
      </c>
      <c r="D12" s="114" t="s">
        <v>410</v>
      </c>
      <c r="E12" s="62"/>
      <c r="F12" s="63" t="s">
        <v>735</v>
      </c>
      <c r="G12" s="63" t="s">
        <v>735</v>
      </c>
      <c r="H12" s="63" t="s">
        <v>734</v>
      </c>
      <c r="I12" s="63" t="s">
        <v>735</v>
      </c>
      <c r="J12" s="63" t="s">
        <v>735</v>
      </c>
      <c r="K12" s="63" t="s">
        <v>735</v>
      </c>
      <c r="L12" s="63" t="s">
        <v>735</v>
      </c>
      <c r="M12" s="63" t="s">
        <v>735</v>
      </c>
      <c r="N12" s="119"/>
      <c r="O12" s="119"/>
      <c r="P12" s="119"/>
      <c r="Q12" s="119"/>
      <c r="R12" s="119"/>
      <c r="S12" s="65"/>
      <c r="T12" s="66" t="s">
        <v>756</v>
      </c>
      <c r="U12" s="67" t="n">
        <v>45721</v>
      </c>
      <c r="V12" s="115"/>
      <c r="W12" s="115"/>
      <c r="X12" s="116"/>
      <c r="Y12" s="69"/>
      <c r="Z12" s="117"/>
      <c r="AA12" s="115"/>
      <c r="AB12" s="115"/>
      <c r="AC12" s="115"/>
      <c r="AD12" s="116"/>
      <c r="AE12" s="69"/>
      <c r="AF12" s="117"/>
      <c r="AG12" s="117"/>
      <c r="AH12" s="115"/>
      <c r="AI12" s="117"/>
      <c r="AJ12" s="116"/>
      <c r="AK12" s="69"/>
      <c r="AL12" s="117"/>
      <c r="AM12" s="117"/>
      <c r="AN12" s="117"/>
      <c r="AO12" s="117"/>
      <c r="AP12" s="116"/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68" t="n">
        <v>0</v>
      </c>
      <c r="AW12" s="69"/>
      <c r="AX12" s="68" t="n">
        <v>0</v>
      </c>
      <c r="AY12" s="68"/>
      <c r="AZ12" s="69"/>
      <c r="BA12" s="67"/>
      <c r="BB12" s="71"/>
      <c r="BC12" s="72"/>
      <c r="BD12" s="73" t="str">
        <f aca="false">IF(AND(BB12&gt;=6,AP12&gt;=6,AJ12&gt;=6,AD12&gt;=6,X12&gt;=6),"да","нет")</f>
        <v>нет</v>
      </c>
      <c r="BE12" s="72"/>
      <c r="BF12" s="74"/>
      <c r="BG12" s="71"/>
      <c r="BH12" s="68"/>
      <c r="BI12" s="50"/>
      <c r="BJ12" s="75" t="n">
        <f aca="false">SUM(X12,AD12,AJ12,AP12,AV12,AX12:AY12,BH12,BB12,BG12)</f>
        <v>0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60" t="s">
        <v>425</v>
      </c>
      <c r="C13" s="113" t="s">
        <v>733</v>
      </c>
      <c r="D13" s="114" t="s">
        <v>424</v>
      </c>
      <c r="E13" s="62"/>
      <c r="F13" s="63" t="s">
        <v>696</v>
      </c>
      <c r="G13" s="63" t="s">
        <v>739</v>
      </c>
      <c r="H13" s="63" t="s">
        <v>734</v>
      </c>
      <c r="I13" s="63" t="s">
        <v>739</v>
      </c>
      <c r="J13" s="63" t="s">
        <v>734</v>
      </c>
      <c r="K13" s="63" t="s">
        <v>735</v>
      </c>
      <c r="L13" s="63" t="s">
        <v>739</v>
      </c>
      <c r="M13" s="63" t="s">
        <v>735</v>
      </c>
      <c r="N13" s="64" t="s">
        <v>739</v>
      </c>
      <c r="O13" s="64"/>
      <c r="P13" s="64"/>
      <c r="Q13" s="64"/>
      <c r="R13" s="64"/>
      <c r="S13" s="65"/>
      <c r="T13" s="66" t="s">
        <v>757</v>
      </c>
      <c r="U13" s="67" t="n">
        <v>45707</v>
      </c>
      <c r="V13" s="67" t="n">
        <v>45707</v>
      </c>
      <c r="W13" s="67" t="n">
        <v>45707</v>
      </c>
      <c r="X13" s="68" t="n">
        <v>8.5</v>
      </c>
      <c r="Y13" s="69"/>
      <c r="Z13" s="70" t="n">
        <v>6405</v>
      </c>
      <c r="AA13" s="67" t="n">
        <v>45735</v>
      </c>
      <c r="AB13" s="67" t="n">
        <v>45735</v>
      </c>
      <c r="AC13" s="67" t="n">
        <v>45749</v>
      </c>
      <c r="AD13" s="68" t="n">
        <v>9.5</v>
      </c>
      <c r="AE13" s="69"/>
      <c r="AF13" s="70" t="n">
        <v>6505</v>
      </c>
      <c r="AG13" s="106" t="n">
        <v>45749</v>
      </c>
      <c r="AH13" s="67" t="n">
        <v>45777</v>
      </c>
      <c r="AI13" s="106" t="n">
        <v>45777</v>
      </c>
      <c r="AJ13" s="68" t="n">
        <v>10</v>
      </c>
      <c r="AK13" s="69"/>
      <c r="AL13" s="70" t="n">
        <v>6607</v>
      </c>
      <c r="AM13" s="106" t="n">
        <v>45806</v>
      </c>
      <c r="AN13" s="106" t="n">
        <v>45806</v>
      </c>
      <c r="AO13" s="106" t="n">
        <v>45806</v>
      </c>
      <c r="AP13" s="68" t="n">
        <v>9</v>
      </c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68" t="n">
        <v>0</v>
      </c>
      <c r="AW13" s="69"/>
      <c r="AX13" s="68" t="n">
        <v>1</v>
      </c>
      <c r="AY13" s="68"/>
      <c r="AZ13" s="69"/>
      <c r="BA13" s="67" t="n">
        <v>45792</v>
      </c>
      <c r="BB13" s="71" t="n">
        <v>10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45836</v>
      </c>
      <c r="BG13" s="71" t="n">
        <v>27</v>
      </c>
      <c r="BH13" s="68"/>
      <c r="BI13" s="50"/>
      <c r="BJ13" s="75" t="n">
        <f aca="false">SUM(X13,AD13,AJ13,AP13,AV13,AX13:AY13,BH13,BB13,BG13)</f>
        <v>75</v>
      </c>
      <c r="BK13" s="73" t="str">
        <f aca="false">IF(BJ13&gt;90,"A",IF(BJ13&gt;83,"B",IF(BJ13&gt;74,"C",IF(BJ13&gt;67,"D",IF(BJ13&gt;=60,"E","FX")))))</f>
        <v>C</v>
      </c>
    </row>
    <row r="14" customFormat="false" ht="15.75" hidden="false" customHeight="false" outlineLevel="0" collapsed="false">
      <c r="A14" s="59" t="n">
        <f aca="false">A13+1</f>
        <v>12</v>
      </c>
      <c r="B14" s="60" t="s">
        <v>447</v>
      </c>
      <c r="C14" s="113" t="s">
        <v>733</v>
      </c>
      <c r="D14" s="114" t="s">
        <v>446</v>
      </c>
      <c r="E14" s="62"/>
      <c r="F14" s="63" t="s">
        <v>696</v>
      </c>
      <c r="G14" s="63" t="s">
        <v>739</v>
      </c>
      <c r="H14" s="63" t="s">
        <v>734</v>
      </c>
      <c r="I14" s="63" t="s">
        <v>734</v>
      </c>
      <c r="J14" s="63" t="s">
        <v>734</v>
      </c>
      <c r="K14" s="63" t="s">
        <v>734</v>
      </c>
      <c r="L14" s="63" t="s">
        <v>739</v>
      </c>
      <c r="M14" s="63" t="s">
        <v>739</v>
      </c>
      <c r="N14" s="64" t="s">
        <v>739</v>
      </c>
      <c r="O14" s="64" t="s">
        <v>739</v>
      </c>
      <c r="P14" s="64" t="s">
        <v>734</v>
      </c>
      <c r="Q14" s="64"/>
      <c r="R14" s="64"/>
      <c r="S14" s="65"/>
      <c r="T14" s="66" t="s">
        <v>758</v>
      </c>
      <c r="U14" s="67" t="n">
        <v>45707</v>
      </c>
      <c r="V14" s="67" t="n">
        <v>45721</v>
      </c>
      <c r="W14" s="67" t="n">
        <v>45735</v>
      </c>
      <c r="X14" s="68" t="n">
        <v>8</v>
      </c>
      <c r="Y14" s="69"/>
      <c r="Z14" s="70" t="n">
        <v>6409</v>
      </c>
      <c r="AA14" s="67" t="n">
        <v>45763</v>
      </c>
      <c r="AB14" s="67" t="n">
        <v>45777</v>
      </c>
      <c r="AC14" s="67" t="n">
        <v>45777</v>
      </c>
      <c r="AD14" s="68" t="n">
        <v>8</v>
      </c>
      <c r="AE14" s="69"/>
      <c r="AF14" s="70" t="n">
        <v>6511</v>
      </c>
      <c r="AG14" s="106" t="n">
        <v>45806</v>
      </c>
      <c r="AH14" s="67" t="n">
        <v>45806</v>
      </c>
      <c r="AI14" s="106" t="n">
        <v>45813</v>
      </c>
      <c r="AJ14" s="68" t="n">
        <v>8</v>
      </c>
      <c r="AK14" s="69"/>
      <c r="AL14" s="70" t="n">
        <v>6608</v>
      </c>
      <c r="AM14" s="106" t="n">
        <v>45811</v>
      </c>
      <c r="AN14" s="106" t="n">
        <v>45811</v>
      </c>
      <c r="AO14" s="106" t="n">
        <v>45811</v>
      </c>
      <c r="AP14" s="68" t="n">
        <v>8.5</v>
      </c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68" t="n">
        <v>0</v>
      </c>
      <c r="AW14" s="69"/>
      <c r="AX14" s="68" t="n">
        <v>0</v>
      </c>
      <c r="AY14" s="68" t="n">
        <v>0</v>
      </c>
      <c r="AZ14" s="69"/>
      <c r="BA14" s="67" t="n">
        <v>45826</v>
      </c>
      <c r="BB14" s="71" t="n">
        <v>6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45836</v>
      </c>
      <c r="BG14" s="71" t="n">
        <v>22</v>
      </c>
      <c r="BH14" s="68"/>
      <c r="BI14" s="50"/>
      <c r="BJ14" s="75" t="n">
        <f aca="false">SUM(X14,AD14,AJ14,AP14,AV14,AX14:AY14,BH14,BB14,BG14)</f>
        <v>60.5</v>
      </c>
      <c r="BK14" s="73" t="str">
        <f aca="false">IF(BJ14&gt;90,"A",IF(BJ14&gt;83,"B",IF(BJ14&gt;74,"C",IF(BJ14&gt;67,"D",IF(BJ14&gt;=60,"E","FX")))))</f>
        <v>E</v>
      </c>
    </row>
    <row r="15" customFormat="false" ht="15.75" hidden="false" customHeight="false" outlineLevel="0" collapsed="false">
      <c r="A15" s="59" t="n">
        <f aca="false">A14+1</f>
        <v>13</v>
      </c>
      <c r="B15" s="60" t="s">
        <v>497</v>
      </c>
      <c r="C15" s="113" t="s">
        <v>733</v>
      </c>
      <c r="D15" s="114" t="s">
        <v>496</v>
      </c>
      <c r="E15" s="62"/>
      <c r="F15" s="63" t="s">
        <v>735</v>
      </c>
      <c r="G15" s="63" t="s">
        <v>734</v>
      </c>
      <c r="H15" s="63" t="s">
        <v>734</v>
      </c>
      <c r="I15" s="63" t="s">
        <v>734</v>
      </c>
      <c r="J15" s="63" t="s">
        <v>734</v>
      </c>
      <c r="K15" s="63" t="s">
        <v>734</v>
      </c>
      <c r="L15" s="63" t="s">
        <v>734</v>
      </c>
      <c r="M15" s="63" t="s">
        <v>734</v>
      </c>
      <c r="N15" s="64"/>
      <c r="O15" s="64"/>
      <c r="P15" s="64"/>
      <c r="Q15" s="64"/>
      <c r="R15" s="64"/>
      <c r="S15" s="65"/>
      <c r="T15" s="66" t="s">
        <v>759</v>
      </c>
      <c r="U15" s="67" t="n">
        <v>45707</v>
      </c>
      <c r="V15" s="67" t="n">
        <v>45721</v>
      </c>
      <c r="W15" s="67" t="n">
        <v>45721</v>
      </c>
      <c r="X15" s="68" t="n">
        <v>8</v>
      </c>
      <c r="Y15" s="69"/>
      <c r="Z15" s="70" t="n">
        <v>6407</v>
      </c>
      <c r="AA15" s="67" t="n">
        <v>45735</v>
      </c>
      <c r="AB15" s="67" t="n">
        <v>45749</v>
      </c>
      <c r="AC15" s="67" t="n">
        <v>45749</v>
      </c>
      <c r="AD15" s="68" t="n">
        <v>8.5</v>
      </c>
      <c r="AE15" s="69"/>
      <c r="AF15" s="70" t="n">
        <v>6504</v>
      </c>
      <c r="AG15" s="106" t="n">
        <v>45749</v>
      </c>
      <c r="AH15" s="67" t="n">
        <v>45763</v>
      </c>
      <c r="AI15" s="106" t="n">
        <v>45763</v>
      </c>
      <c r="AJ15" s="68" t="n">
        <v>9</v>
      </c>
      <c r="AK15" s="69"/>
      <c r="AL15" s="70" t="n">
        <v>6603</v>
      </c>
      <c r="AM15" s="67" t="n">
        <v>45777</v>
      </c>
      <c r="AN15" s="67" t="n">
        <v>45777</v>
      </c>
      <c r="AO15" s="67" t="n">
        <v>45777</v>
      </c>
      <c r="AP15" s="68" t="n">
        <v>9</v>
      </c>
      <c r="AQ15" s="69"/>
      <c r="AR15" s="70" t="n">
        <v>6704</v>
      </c>
      <c r="AS15" s="67" t="n">
        <v>45791</v>
      </c>
      <c r="AT15" s="67" t="n">
        <v>45791</v>
      </c>
      <c r="AU15" s="67" t="n">
        <v>45791</v>
      </c>
      <c r="AV15" s="68" t="n">
        <v>10</v>
      </c>
      <c r="AW15" s="69"/>
      <c r="AX15" s="68" t="n">
        <v>1</v>
      </c>
      <c r="AY15" s="68" t="n">
        <v>0</v>
      </c>
      <c r="AZ15" s="69"/>
      <c r="BA15" s="67" t="n">
        <v>45792</v>
      </c>
      <c r="BB15" s="71" t="n">
        <v>8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45836</v>
      </c>
      <c r="BG15" s="71" t="n">
        <v>29</v>
      </c>
      <c r="BH15" s="68" t="n">
        <v>2</v>
      </c>
      <c r="BI15" s="50"/>
      <c r="BJ15" s="75" t="n">
        <f aca="false">SUM(X15,AD15,AJ15,AP15,AV15,AX15:AY15,BH15,BB15,BG15)</f>
        <v>84.5</v>
      </c>
      <c r="BK15" s="73" t="str">
        <f aca="false">IF(BJ15&gt;90,"A",IF(BJ15&gt;83,"B",IF(BJ15&gt;74,"C",IF(BJ15&gt;67,"D",IF(BJ15&gt;=60,"E","FX")))))</f>
        <v>B</v>
      </c>
    </row>
    <row r="16" customFormat="false" ht="15.75" hidden="false" customHeight="false" outlineLevel="0" collapsed="false">
      <c r="A16" s="59" t="n">
        <f aca="false">A15+1</f>
        <v>14</v>
      </c>
      <c r="B16" s="60" t="s">
        <v>537</v>
      </c>
      <c r="C16" s="113" t="s">
        <v>733</v>
      </c>
      <c r="D16" s="114" t="s">
        <v>536</v>
      </c>
      <c r="E16" s="62"/>
      <c r="F16" s="63" t="s">
        <v>696</v>
      </c>
      <c r="G16" s="63" t="s">
        <v>734</v>
      </c>
      <c r="H16" s="63" t="s">
        <v>739</v>
      </c>
      <c r="I16" s="63" t="s">
        <v>734</v>
      </c>
      <c r="J16" s="63" t="s">
        <v>734</v>
      </c>
      <c r="K16" s="63" t="s">
        <v>734</v>
      </c>
      <c r="L16" s="63" t="s">
        <v>735</v>
      </c>
      <c r="M16" s="63" t="s">
        <v>734</v>
      </c>
      <c r="N16" s="64" t="s">
        <v>739</v>
      </c>
      <c r="O16" s="64" t="s">
        <v>734</v>
      </c>
      <c r="P16" s="64" t="s">
        <v>734</v>
      </c>
      <c r="Q16" s="64" t="s">
        <v>734</v>
      </c>
      <c r="R16" s="64"/>
      <c r="S16" s="65"/>
      <c r="T16" s="66" t="s">
        <v>760</v>
      </c>
      <c r="U16" s="67" t="n">
        <v>45707</v>
      </c>
      <c r="V16" s="67" t="n">
        <v>45721</v>
      </c>
      <c r="W16" s="67" t="n">
        <v>45721</v>
      </c>
      <c r="X16" s="68" t="n">
        <v>7.5</v>
      </c>
      <c r="Y16" s="69"/>
      <c r="Z16" s="70" t="n">
        <v>6408</v>
      </c>
      <c r="AA16" s="67" t="n">
        <v>45749</v>
      </c>
      <c r="AB16" s="67" t="n">
        <v>45763</v>
      </c>
      <c r="AC16" s="67" t="n">
        <v>45791</v>
      </c>
      <c r="AD16" s="68" t="n">
        <v>8</v>
      </c>
      <c r="AE16" s="69"/>
      <c r="AF16" s="44" t="n">
        <v>6512</v>
      </c>
      <c r="AG16" s="106" t="n">
        <v>45811</v>
      </c>
      <c r="AH16" s="67" t="n">
        <v>45811</v>
      </c>
      <c r="AI16" s="106" t="n">
        <v>45811</v>
      </c>
      <c r="AJ16" s="68" t="n">
        <v>7</v>
      </c>
      <c r="AK16" s="69"/>
      <c r="AL16" s="70" t="n">
        <v>6610</v>
      </c>
      <c r="AM16" s="67" t="n">
        <v>45813</v>
      </c>
      <c r="AN16" s="67" t="n">
        <v>45813</v>
      </c>
      <c r="AO16" s="67" t="n">
        <v>45826</v>
      </c>
      <c r="AP16" s="68" t="n">
        <v>8</v>
      </c>
      <c r="AQ16" s="69"/>
      <c r="AR16" s="70" t="s">
        <v>737</v>
      </c>
      <c r="AS16" s="70" t="s">
        <v>737</v>
      </c>
      <c r="AT16" s="70" t="s">
        <v>737</v>
      </c>
      <c r="AU16" s="70" t="s">
        <v>737</v>
      </c>
      <c r="AV16" s="68" t="n">
        <v>0</v>
      </c>
      <c r="AW16" s="69"/>
      <c r="AX16" s="68"/>
      <c r="AY16" s="68"/>
      <c r="AZ16" s="69"/>
      <c r="BA16" s="67" t="n">
        <v>45792</v>
      </c>
      <c r="BB16" s="71" t="n">
        <v>7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45838</v>
      </c>
      <c r="BG16" s="71" t="n">
        <v>27</v>
      </c>
      <c r="BH16" s="68"/>
      <c r="BI16" s="50"/>
      <c r="BJ16" s="75" t="n">
        <f aca="false">SUM(X16,AD16,AJ16,AP16,AV16,AX16:AY16,BH16,BB16,BG16)</f>
        <v>64.5</v>
      </c>
      <c r="BK16" s="73" t="str">
        <f aca="false">IF(BJ16&gt;90,"A",IF(BJ16&gt;83,"B",IF(BJ16&gt;74,"C",IF(BJ16&gt;67,"D",IF(BJ16&gt;=60,"E","FX")))))</f>
        <v>E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549</v>
      </c>
      <c r="C17" s="113" t="s">
        <v>733</v>
      </c>
      <c r="D17" s="114" t="s">
        <v>548</v>
      </c>
      <c r="E17" s="62"/>
      <c r="F17" s="63" t="s">
        <v>696</v>
      </c>
      <c r="G17" s="63" t="s">
        <v>696</v>
      </c>
      <c r="H17" s="63" t="s">
        <v>734</v>
      </c>
      <c r="I17" s="63" t="s">
        <v>734</v>
      </c>
      <c r="J17" s="63" t="s">
        <v>734</v>
      </c>
      <c r="K17" s="63" t="s">
        <v>739</v>
      </c>
      <c r="L17" s="63" t="s">
        <v>734</v>
      </c>
      <c r="M17" s="63" t="s">
        <v>696</v>
      </c>
      <c r="N17" s="64" t="s">
        <v>739</v>
      </c>
      <c r="O17" s="64" t="s">
        <v>734</v>
      </c>
      <c r="P17" s="64"/>
      <c r="Q17" s="64" t="s">
        <v>734</v>
      </c>
      <c r="R17" s="64"/>
      <c r="S17" s="65"/>
      <c r="T17" s="66" t="s">
        <v>761</v>
      </c>
      <c r="U17" s="67" t="n">
        <v>45721</v>
      </c>
      <c r="V17" s="67" t="n">
        <v>45749</v>
      </c>
      <c r="W17" s="67" t="n">
        <v>45749</v>
      </c>
      <c r="X17" s="68" t="n">
        <v>7.5</v>
      </c>
      <c r="Y17" s="69"/>
      <c r="Z17" s="70" t="n">
        <v>6414</v>
      </c>
      <c r="AA17" s="67" t="n">
        <v>45763</v>
      </c>
      <c r="AB17" s="67" t="n">
        <v>45777</v>
      </c>
      <c r="AC17" s="67" t="n">
        <v>45777</v>
      </c>
      <c r="AD17" s="68" t="n">
        <v>7.5</v>
      </c>
      <c r="AE17" s="69"/>
      <c r="AF17" s="70" t="n">
        <v>6510</v>
      </c>
      <c r="AG17" s="106" t="n">
        <v>45811</v>
      </c>
      <c r="AH17" s="67" t="n">
        <v>45811</v>
      </c>
      <c r="AI17" s="106" t="n">
        <v>45811</v>
      </c>
      <c r="AJ17" s="68" t="n">
        <v>8</v>
      </c>
      <c r="AK17" s="69"/>
      <c r="AL17" s="70" t="n">
        <v>6611</v>
      </c>
      <c r="AM17" s="67" t="n">
        <v>45813</v>
      </c>
      <c r="AN17" s="67" t="n">
        <v>45826</v>
      </c>
      <c r="AO17" s="67" t="n">
        <v>45826</v>
      </c>
      <c r="AP17" s="68" t="n">
        <v>8</v>
      </c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68" t="n">
        <v>0</v>
      </c>
      <c r="AW17" s="69"/>
      <c r="AX17" s="68"/>
      <c r="AY17" s="68" t="n">
        <v>1</v>
      </c>
      <c r="AZ17" s="69"/>
      <c r="BA17" s="67" t="n">
        <v>45826</v>
      </c>
      <c r="BB17" s="71" t="n">
        <v>6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45836</v>
      </c>
      <c r="BG17" s="71" t="n">
        <v>25</v>
      </c>
      <c r="BH17" s="68"/>
      <c r="BI17" s="50"/>
      <c r="BJ17" s="75" t="n">
        <f aca="false">SUM(X17,AD17,AJ17,AP17,AV17,AX17:AY17,BH17,BB17,BG17)</f>
        <v>63</v>
      </c>
      <c r="BK17" s="73" t="str">
        <f aca="false">IF(BJ17&gt;90,"A",IF(BJ17&gt;83,"B",IF(BJ17&gt;74,"C",IF(BJ17&gt;67,"D",IF(BJ17&gt;=60,"E","FX")))))</f>
        <v>E</v>
      </c>
    </row>
    <row r="18" customFormat="false" ht="15.75" hidden="false" customHeight="false" outlineLevel="0" collapsed="false">
      <c r="A18" s="59" t="n">
        <f aca="false">A17+1</f>
        <v>16</v>
      </c>
      <c r="B18" s="60" t="s">
        <v>567</v>
      </c>
      <c r="C18" s="113" t="s">
        <v>733</v>
      </c>
      <c r="D18" s="114" t="s">
        <v>566</v>
      </c>
      <c r="E18" s="62"/>
      <c r="F18" s="63" t="s">
        <v>735</v>
      </c>
      <c r="G18" s="63" t="s">
        <v>735</v>
      </c>
      <c r="H18" s="63" t="s">
        <v>735</v>
      </c>
      <c r="I18" s="63" t="s">
        <v>735</v>
      </c>
      <c r="J18" s="63" t="s">
        <v>735</v>
      </c>
      <c r="K18" s="63" t="s">
        <v>735</v>
      </c>
      <c r="L18" s="63" t="s">
        <v>735</v>
      </c>
      <c r="M18" s="63" t="s">
        <v>735</v>
      </c>
      <c r="N18" s="119"/>
      <c r="O18" s="119"/>
      <c r="P18" s="119"/>
      <c r="Q18" s="119"/>
      <c r="R18" s="119"/>
      <c r="S18" s="65"/>
      <c r="T18" s="66" t="s">
        <v>762</v>
      </c>
      <c r="U18" s="115"/>
      <c r="V18" s="115"/>
      <c r="W18" s="115"/>
      <c r="X18" s="116"/>
      <c r="Y18" s="69"/>
      <c r="Z18" s="117"/>
      <c r="AA18" s="115"/>
      <c r="AB18" s="115"/>
      <c r="AC18" s="115"/>
      <c r="AD18" s="116"/>
      <c r="AE18" s="69"/>
      <c r="AF18" s="117"/>
      <c r="AG18" s="117"/>
      <c r="AH18" s="115"/>
      <c r="AI18" s="117"/>
      <c r="AJ18" s="116"/>
      <c r="AK18" s="69"/>
      <c r="AL18" s="117"/>
      <c r="AM18" s="117"/>
      <c r="AN18" s="117"/>
      <c r="AO18" s="117"/>
      <c r="AP18" s="116"/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 t="n">
        <v>0</v>
      </c>
      <c r="AY18" s="68"/>
      <c r="AZ18" s="69"/>
      <c r="BA18" s="67" t="n">
        <v>45826</v>
      </c>
      <c r="BB18" s="71" t="n">
        <v>7</v>
      </c>
      <c r="BC18" s="72"/>
      <c r="BD18" s="73" t="str">
        <f aca="false">IF(AND(BB18&gt;=6,AP18&gt;=6,AJ18&gt;=6,AD18&gt;=6,X18&gt;=6),"да","нет")</f>
        <v>нет</v>
      </c>
      <c r="BE18" s="72"/>
      <c r="BF18" s="118"/>
      <c r="BG18" s="71"/>
      <c r="BH18" s="68"/>
      <c r="BI18" s="50"/>
      <c r="BJ18" s="75" t="n">
        <f aca="false">SUM(X18,AD18,AJ18,AP18,AV18,AX18:AY18,BH18,BB18,BG18)</f>
        <v>7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f aca="false">A18+1</f>
        <v>17</v>
      </c>
      <c r="B19" s="60" t="s">
        <v>587</v>
      </c>
      <c r="C19" s="113" t="s">
        <v>733</v>
      </c>
      <c r="D19" s="114" t="s">
        <v>586</v>
      </c>
      <c r="E19" s="62"/>
      <c r="F19" s="63" t="s">
        <v>696</v>
      </c>
      <c r="G19" s="63" t="s">
        <v>734</v>
      </c>
      <c r="H19" s="63" t="s">
        <v>734</v>
      </c>
      <c r="I19" s="63" t="s">
        <v>734</v>
      </c>
      <c r="J19" s="63" t="s">
        <v>739</v>
      </c>
      <c r="K19" s="63" t="s">
        <v>734</v>
      </c>
      <c r="L19" s="63" t="s">
        <v>738</v>
      </c>
      <c r="M19" s="63" t="s">
        <v>734</v>
      </c>
      <c r="N19" s="64"/>
      <c r="O19" s="64"/>
      <c r="P19" s="64"/>
      <c r="Q19" s="64"/>
      <c r="R19" s="64"/>
      <c r="S19" s="65"/>
      <c r="T19" s="66" t="s">
        <v>763</v>
      </c>
      <c r="U19" s="67" t="n">
        <v>45707</v>
      </c>
      <c r="V19" s="67" t="n">
        <v>45721</v>
      </c>
      <c r="W19" s="67" t="n">
        <v>45721</v>
      </c>
      <c r="X19" s="68" t="n">
        <v>8.5</v>
      </c>
      <c r="Y19" s="69"/>
      <c r="Z19" s="70" t="n">
        <v>6404</v>
      </c>
      <c r="AA19" s="67" t="n">
        <v>45749</v>
      </c>
      <c r="AB19" s="67" t="n">
        <v>45749</v>
      </c>
      <c r="AC19" s="67" t="n">
        <v>45749</v>
      </c>
      <c r="AD19" s="68" t="n">
        <v>9.5</v>
      </c>
      <c r="AE19" s="69"/>
      <c r="AF19" s="70" t="n">
        <v>6506</v>
      </c>
      <c r="AG19" s="67" t="n">
        <v>45763</v>
      </c>
      <c r="AH19" s="67" t="n">
        <v>45777</v>
      </c>
      <c r="AI19" s="106" t="n">
        <v>45777</v>
      </c>
      <c r="AJ19" s="68" t="n">
        <v>9</v>
      </c>
      <c r="AK19" s="69"/>
      <c r="AL19" s="70" t="n">
        <v>6606</v>
      </c>
      <c r="AM19" s="67" t="n">
        <v>45777</v>
      </c>
      <c r="AN19" s="67" t="n">
        <v>45777</v>
      </c>
      <c r="AO19" s="67" t="n">
        <v>45777</v>
      </c>
      <c r="AP19" s="68" t="n">
        <v>10</v>
      </c>
      <c r="AQ19" s="69"/>
      <c r="AR19" s="70" t="n">
        <v>6703</v>
      </c>
      <c r="AS19" s="67" t="n">
        <v>45791</v>
      </c>
      <c r="AT19" s="67" t="n">
        <v>45791</v>
      </c>
      <c r="AU19" s="67" t="n">
        <v>45791</v>
      </c>
      <c r="AV19" s="68" t="n">
        <v>10</v>
      </c>
      <c r="AW19" s="69"/>
      <c r="AX19" s="68" t="n">
        <v>2</v>
      </c>
      <c r="AY19" s="68" t="n">
        <v>2</v>
      </c>
      <c r="AZ19" s="69"/>
      <c r="BA19" s="67" t="n">
        <v>45792</v>
      </c>
      <c r="BB19" s="71" t="n">
        <v>10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45836</v>
      </c>
      <c r="BG19" s="71" t="n">
        <v>27.1</v>
      </c>
      <c r="BH19" s="68" t="n">
        <v>2</v>
      </c>
      <c r="BI19" s="50"/>
      <c r="BJ19" s="75" t="n">
        <f aca="false">SUM(X19,AD19,AJ19,AP19,AV19,AX19:AY19,BH19,BB19,BG19)</f>
        <v>90.1</v>
      </c>
      <c r="BK19" s="73" t="str">
        <f aca="false">IF(BJ19&gt;90,"A",IF(BJ19&gt;83,"B",IF(BJ19&gt;74,"C",IF(BJ19&gt;67,"D",IF(BJ19&gt;=60,"E","FX")))))</f>
        <v>A</v>
      </c>
    </row>
    <row r="20" customFormat="false" ht="15.75" hidden="false" customHeight="false" outlineLevel="0" collapsed="false">
      <c r="A20" s="59" t="n">
        <f aca="false">A19+1</f>
        <v>18</v>
      </c>
      <c r="B20" s="60" t="s">
        <v>609</v>
      </c>
      <c r="C20" s="113" t="s">
        <v>733</v>
      </c>
      <c r="D20" s="114" t="s">
        <v>608</v>
      </c>
      <c r="E20" s="62"/>
      <c r="F20" s="63" t="s">
        <v>735</v>
      </c>
      <c r="G20" s="63" t="s">
        <v>734</v>
      </c>
      <c r="H20" s="63" t="s">
        <v>734</v>
      </c>
      <c r="I20" s="63" t="s">
        <v>739</v>
      </c>
      <c r="J20" s="63" t="s">
        <v>739</v>
      </c>
      <c r="K20" s="63" t="s">
        <v>734</v>
      </c>
      <c r="L20" s="63" t="s">
        <v>734</v>
      </c>
      <c r="M20" s="63" t="s">
        <v>734</v>
      </c>
      <c r="N20" s="64"/>
      <c r="O20" s="64"/>
      <c r="P20" s="64"/>
      <c r="Q20" s="64"/>
      <c r="R20" s="64"/>
      <c r="S20" s="65"/>
      <c r="T20" s="66" t="s">
        <v>764</v>
      </c>
      <c r="U20" s="67" t="n">
        <v>45707</v>
      </c>
      <c r="V20" s="67" t="n">
        <v>45721</v>
      </c>
      <c r="W20" s="67" t="n">
        <v>45721</v>
      </c>
      <c r="X20" s="68" t="n">
        <v>9</v>
      </c>
      <c r="Y20" s="69"/>
      <c r="Z20" s="70" t="n">
        <v>6403</v>
      </c>
      <c r="AA20" s="67" t="n">
        <v>45735</v>
      </c>
      <c r="AB20" s="67" t="n">
        <v>45735</v>
      </c>
      <c r="AC20" s="67" t="n">
        <v>45749</v>
      </c>
      <c r="AD20" s="68" t="n">
        <v>8.5</v>
      </c>
      <c r="AE20" s="69"/>
      <c r="AF20" s="70" t="n">
        <v>6503</v>
      </c>
      <c r="AG20" s="106" t="n">
        <v>45749</v>
      </c>
      <c r="AH20" s="67" t="n">
        <v>45763</v>
      </c>
      <c r="AI20" s="106" t="n">
        <v>45763</v>
      </c>
      <c r="AJ20" s="68" t="n">
        <v>8</v>
      </c>
      <c r="AK20" s="69"/>
      <c r="AL20" s="70" t="n">
        <v>6604</v>
      </c>
      <c r="AM20" s="67" t="n">
        <v>45777</v>
      </c>
      <c r="AN20" s="67" t="n">
        <v>45777</v>
      </c>
      <c r="AO20" s="67" t="n">
        <v>45777</v>
      </c>
      <c r="AP20" s="68" t="n">
        <v>9</v>
      </c>
      <c r="AQ20" s="69"/>
      <c r="AR20" s="70" t="n">
        <v>6705</v>
      </c>
      <c r="AS20" s="67" t="n">
        <v>45791</v>
      </c>
      <c r="AT20" s="67" t="n">
        <v>45791</v>
      </c>
      <c r="AU20" s="67" t="n">
        <v>45791</v>
      </c>
      <c r="AV20" s="68" t="n">
        <v>9</v>
      </c>
      <c r="AW20" s="69"/>
      <c r="AX20" s="68" t="n">
        <v>0</v>
      </c>
      <c r="AY20" s="68"/>
      <c r="AZ20" s="69"/>
      <c r="BA20" s="67" t="n">
        <v>45792</v>
      </c>
      <c r="BB20" s="71" t="n">
        <v>9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45836</v>
      </c>
      <c r="BG20" s="71" t="n">
        <v>30</v>
      </c>
      <c r="BH20" s="68" t="n">
        <v>3</v>
      </c>
      <c r="BI20" s="50"/>
      <c r="BJ20" s="75" t="n">
        <f aca="false">SUM(X20,AD20,AJ20,AP20,AV20,AX20:AY20,BH20,BB20,BG20)</f>
        <v>85.5</v>
      </c>
      <c r="BK20" s="73" t="str">
        <f aca="false">IF(BJ20&gt;90,"A",IF(BJ20&gt;83,"B",IF(BJ20&gt;74,"C",IF(BJ20&gt;67,"D",IF(BJ20&gt;=60,"E","FX")))))</f>
        <v>B</v>
      </c>
    </row>
    <row r="21" customFormat="false" ht="15.75" hidden="false" customHeight="false" outlineLevel="0" collapsed="false">
      <c r="A21" s="59" t="n">
        <f aca="false">A20+1</f>
        <v>19</v>
      </c>
      <c r="B21" s="60" t="s">
        <v>617</v>
      </c>
      <c r="C21" s="113" t="s">
        <v>733</v>
      </c>
      <c r="D21" s="114" t="s">
        <v>616</v>
      </c>
      <c r="E21" s="62"/>
      <c r="F21" s="63" t="s">
        <v>696</v>
      </c>
      <c r="G21" s="63" t="s">
        <v>734</v>
      </c>
      <c r="H21" s="63" t="s">
        <v>739</v>
      </c>
      <c r="I21" s="63" t="s">
        <v>734</v>
      </c>
      <c r="J21" s="63" t="s">
        <v>734</v>
      </c>
      <c r="K21" s="63" t="s">
        <v>734</v>
      </c>
      <c r="L21" s="63" t="s">
        <v>734</v>
      </c>
      <c r="M21" s="63" t="s">
        <v>739</v>
      </c>
      <c r="N21" s="64"/>
      <c r="O21" s="64"/>
      <c r="P21" s="64"/>
      <c r="Q21" s="64"/>
      <c r="R21" s="64"/>
      <c r="S21" s="65"/>
      <c r="T21" s="66" t="s">
        <v>765</v>
      </c>
      <c r="U21" s="67" t="n">
        <v>45707</v>
      </c>
      <c r="V21" s="67" t="n">
        <v>45721</v>
      </c>
      <c r="W21" s="67" t="n">
        <v>45721</v>
      </c>
      <c r="X21" s="68" t="n">
        <v>9</v>
      </c>
      <c r="Y21" s="69"/>
      <c r="Z21" s="70" t="n">
        <v>6401</v>
      </c>
      <c r="AA21" s="67" t="n">
        <v>45721</v>
      </c>
      <c r="AB21" s="67" t="n">
        <v>45735</v>
      </c>
      <c r="AC21" s="67" t="n">
        <v>45735</v>
      </c>
      <c r="AD21" s="68" t="n">
        <v>9</v>
      </c>
      <c r="AE21" s="69"/>
      <c r="AF21" s="70" t="n">
        <v>6501</v>
      </c>
      <c r="AG21" s="106" t="n">
        <v>45749</v>
      </c>
      <c r="AH21" s="67" t="n">
        <v>45763</v>
      </c>
      <c r="AI21" s="106" t="n">
        <v>45763</v>
      </c>
      <c r="AJ21" s="68" t="n">
        <v>9</v>
      </c>
      <c r="AK21" s="69"/>
      <c r="AL21" s="70" t="n">
        <v>6601</v>
      </c>
      <c r="AM21" s="106" t="n">
        <v>45763</v>
      </c>
      <c r="AN21" s="67" t="n">
        <v>45777</v>
      </c>
      <c r="AO21" s="67" t="n">
        <v>45777</v>
      </c>
      <c r="AP21" s="68" t="n">
        <v>9</v>
      </c>
      <c r="AQ21" s="69"/>
      <c r="AR21" s="70" t="n">
        <v>6701</v>
      </c>
      <c r="AS21" s="67" t="n">
        <v>45791</v>
      </c>
      <c r="AT21" s="67" t="n">
        <v>45791</v>
      </c>
      <c r="AU21" s="67" t="n">
        <v>45791</v>
      </c>
      <c r="AV21" s="68" t="n">
        <v>9</v>
      </c>
      <c r="AW21" s="69"/>
      <c r="AX21" s="68" t="n">
        <v>0</v>
      </c>
      <c r="AY21" s="68" t="n">
        <v>1</v>
      </c>
      <c r="AZ21" s="69"/>
      <c r="BA21" s="67" t="n">
        <v>45792</v>
      </c>
      <c r="BB21" s="71" t="n">
        <v>7</v>
      </c>
      <c r="BC21" s="72"/>
      <c r="BD21" s="73" t="str">
        <f aca="false">IF(AND(BB21&gt;=6,AP21&gt;=6,AJ21&gt;=6,AD21&gt;=6,X21&gt;=6),"да","нет")</f>
        <v>да</v>
      </c>
      <c r="BE21" s="72"/>
      <c r="BF21" s="118" t="n">
        <v>45836</v>
      </c>
      <c r="BG21" s="71" t="n">
        <v>29</v>
      </c>
      <c r="BH21" s="68" t="n">
        <v>2</v>
      </c>
      <c r="BI21" s="50"/>
      <c r="BJ21" s="75" t="n">
        <f aca="false">SUM(X21,AD21,AJ21,AP21,AV21,AX21:AY21,BH21,BB21,BG21)</f>
        <v>84</v>
      </c>
      <c r="BK21" s="73" t="str">
        <f aca="false">IF(BJ21&gt;90,"A",IF(BJ21&gt;83,"B",IF(BJ21&gt;74,"C",IF(BJ21&gt;67,"D",IF(BJ21&gt;=60,"E","FX")))))</f>
        <v>B</v>
      </c>
    </row>
    <row r="22" customFormat="false" ht="15.75" hidden="false" customHeight="false" outlineLevel="0" collapsed="false">
      <c r="A22" s="59" t="n">
        <f aca="false">A21+1</f>
        <v>20</v>
      </c>
      <c r="B22" s="60" t="s">
        <v>766</v>
      </c>
      <c r="C22" s="113" t="s">
        <v>733</v>
      </c>
      <c r="D22" s="114" t="s">
        <v>644</v>
      </c>
      <c r="E22" s="62"/>
      <c r="F22" s="63" t="s">
        <v>696</v>
      </c>
      <c r="G22" s="63" t="s">
        <v>735</v>
      </c>
      <c r="H22" s="63" t="s">
        <v>739</v>
      </c>
      <c r="I22" s="63" t="s">
        <v>739</v>
      </c>
      <c r="J22" s="63" t="s">
        <v>739</v>
      </c>
      <c r="K22" s="63" t="s">
        <v>734</v>
      </c>
      <c r="L22" s="63" t="s">
        <v>734</v>
      </c>
      <c r="M22" s="63" t="s">
        <v>734</v>
      </c>
      <c r="N22" s="64" t="s">
        <v>735</v>
      </c>
      <c r="O22" s="64" t="s">
        <v>734</v>
      </c>
      <c r="P22" s="64"/>
      <c r="Q22" s="64"/>
      <c r="R22" s="64"/>
      <c r="S22" s="65"/>
      <c r="T22" s="66" t="s">
        <v>767</v>
      </c>
      <c r="U22" s="67" t="n">
        <v>45721</v>
      </c>
      <c r="V22" s="67" t="n">
        <v>45721</v>
      </c>
      <c r="W22" s="67" t="n">
        <v>45735</v>
      </c>
      <c r="X22" s="68" t="n">
        <v>7</v>
      </c>
      <c r="Y22" s="69"/>
      <c r="Z22" s="70" t="n">
        <v>6412</v>
      </c>
      <c r="AA22" s="67" t="n">
        <v>45749</v>
      </c>
      <c r="AB22" s="67" t="n">
        <v>45749</v>
      </c>
      <c r="AC22" s="67" t="n">
        <v>45763</v>
      </c>
      <c r="AD22" s="68" t="n">
        <v>7.5</v>
      </c>
      <c r="AE22" s="69"/>
      <c r="AF22" s="70" t="n">
        <v>6508</v>
      </c>
      <c r="AG22" s="106" t="n">
        <v>45777</v>
      </c>
      <c r="AH22" s="67" t="n">
        <v>45791</v>
      </c>
      <c r="AI22" s="106" t="n">
        <v>45791</v>
      </c>
      <c r="AJ22" s="68" t="n">
        <v>8</v>
      </c>
      <c r="AK22" s="69"/>
      <c r="AL22" s="70" t="n">
        <v>6608</v>
      </c>
      <c r="AM22" s="106" t="n">
        <v>45811</v>
      </c>
      <c r="AN22" s="106" t="n">
        <v>45811</v>
      </c>
      <c r="AO22" s="106" t="n">
        <v>45811</v>
      </c>
      <c r="AP22" s="68" t="n">
        <v>9</v>
      </c>
      <c r="AQ22" s="69"/>
      <c r="AR22" s="70" t="s">
        <v>737</v>
      </c>
      <c r="AS22" s="70" t="s">
        <v>737</v>
      </c>
      <c r="AT22" s="70" t="s">
        <v>737</v>
      </c>
      <c r="AU22" s="70" t="s">
        <v>737</v>
      </c>
      <c r="AV22" s="68" t="n">
        <v>0</v>
      </c>
      <c r="AW22" s="69"/>
      <c r="AX22" s="68" t="n">
        <v>3</v>
      </c>
      <c r="AY22" s="68" t="n">
        <v>2</v>
      </c>
      <c r="AZ22" s="69"/>
      <c r="BA22" s="67" t="n">
        <v>45792</v>
      </c>
      <c r="BB22" s="71" t="n">
        <v>10</v>
      </c>
      <c r="BC22" s="72"/>
      <c r="BD22" s="73" t="str">
        <f aca="false">IF(AND(BB22&gt;=6,AP22&gt;=6,AJ22&gt;=6,AD22&gt;=6,X22&gt;=6),"да","нет")</f>
        <v>да</v>
      </c>
      <c r="BE22" s="72"/>
      <c r="BF22" s="118" t="n">
        <v>45836</v>
      </c>
      <c r="BG22" s="71" t="n">
        <v>25</v>
      </c>
      <c r="BH22" s="68" t="n">
        <v>3</v>
      </c>
      <c r="BI22" s="50"/>
      <c r="BJ22" s="75" t="n">
        <f aca="false">SUM(X22,AD22,AJ22,AP22,AV22,AX22:AY22,BH22,BB22,BG22)</f>
        <v>74.5</v>
      </c>
      <c r="BK22" s="73" t="str">
        <f aca="false">IF(BJ22&gt;90,"A",IF(BJ22&gt;83,"B",IF(BJ22&gt;74,"C",IF(BJ22&gt;67,"D",IF(BJ22&gt;=60,"E","FX")))))</f>
        <v>C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67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COUNTIF(F$3:F$22, "~**")</f>
        <v>0</v>
      </c>
      <c r="G27" s="70" t="n">
        <f aca="false">COUNTIF(G$3:G$22, "~**")</f>
        <v>13</v>
      </c>
      <c r="H27" s="70" t="n">
        <f aca="false">COUNTIF(H$3:H$22, "~**")</f>
        <v>16</v>
      </c>
      <c r="I27" s="70" t="n">
        <f aca="false">COUNTIF(I$3:I$22, "~**")</f>
        <v>15</v>
      </c>
      <c r="J27" s="70" t="n">
        <f aca="false">COUNTIF(J$3:J$22, "~**")</f>
        <v>14</v>
      </c>
      <c r="K27" s="70" t="n">
        <f aca="false">COUNTIF(K$3:K$22, "~**")</f>
        <v>12</v>
      </c>
      <c r="L27" s="70" t="n">
        <f aca="false">COUNTIF(L$3:L$22, "~**")</f>
        <v>13</v>
      </c>
      <c r="M27" s="70" t="n">
        <f aca="false">COUNTIF(M$3:M$22, "~**")</f>
        <v>10</v>
      </c>
      <c r="N27" s="70" t="n">
        <f aca="false">COUNTIF(N$3:N$22, "~**")</f>
        <v>6</v>
      </c>
      <c r="O27" s="70"/>
      <c r="P27" s="70"/>
      <c r="Q27" s="70" t="n">
        <f aca="false">COUNTIF(Q$3:Q$22, "~**")</f>
        <v>2</v>
      </c>
      <c r="R27" s="70" t="n">
        <f aca="false">COUNTIF(R$3:R$22,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COUNTIF(F$3:F$22, "~**")+COUNTIF(F$3:F$22, "Y")</f>
        <v>14</v>
      </c>
      <c r="G28" s="70" t="n">
        <f aca="false">COUNTIF(G$3:G$22, "~**")+COUNTIF(G$3:G$22, "Y")</f>
        <v>14</v>
      </c>
      <c r="H28" s="70" t="n">
        <f aca="false">COUNTIF(H$3:H$22, "~**")+COUNTIF(H$3:H$22, "Y")</f>
        <v>16</v>
      </c>
      <c r="I28" s="70" t="n">
        <f aca="false">COUNTIF(I$3:I$22, "~**")+COUNTIF(I$3:I$22, "Y")</f>
        <v>15</v>
      </c>
      <c r="J28" s="70" t="n">
        <f aca="false">COUNTIF(J$3:J$22, "~**")+COUNTIF(J$3:J$22, "Y")</f>
        <v>15</v>
      </c>
      <c r="K28" s="70" t="n">
        <f aca="false">COUNTIF(K$3:K$22, "~**")+COUNTIF(K$3:K$22, "Y")</f>
        <v>13</v>
      </c>
      <c r="L28" s="70" t="n">
        <f aca="false">COUNTIF(L$3:L$22, "~**")+COUNTIF(L$3:L$22, "Y")</f>
        <v>14</v>
      </c>
      <c r="M28" s="70" t="n">
        <f aca="false">COUNTIF(M$3:M$22, "~**")+COUNTIF(M$3:M$22, "Y")</f>
        <v>13</v>
      </c>
      <c r="N28" s="70" t="n">
        <f aca="false">COUNTIF(N$3:N$22, "~**")+COUNTIF(N$3:N$22, "Y")</f>
        <v>6</v>
      </c>
      <c r="O28" s="70"/>
      <c r="P28" s="70"/>
      <c r="Q28" s="70" t="n">
        <f aca="false">COUNTIF(Q$3:Q$22, "~**")+COUNTIF(Q$3:Q$22, "Y")</f>
        <v>2</v>
      </c>
      <c r="R28" s="70" t="n">
        <f aca="false">COUNTIF(R$3:R$22, "~**")+COUNTIF(R$3:R$22,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15</v>
      </c>
      <c r="W30" s="44" t="n">
        <f aca="false">COUNT(W3:W25)</f>
        <v>15</v>
      </c>
      <c r="X30" s="44" t="n">
        <f aca="false">COUNT(X3:X25)</f>
        <v>15</v>
      </c>
      <c r="Y30" s="77"/>
      <c r="Z30" s="44"/>
      <c r="AA30" s="44" t="n">
        <f aca="false">COUNT(AA3:AA25)</f>
        <v>15</v>
      </c>
      <c r="AB30" s="44" t="n">
        <f aca="false">COUNT(AB3:AB25)</f>
        <v>14</v>
      </c>
      <c r="AC30" s="44" t="n">
        <f aca="false">COUNT(AC3:AC25)</f>
        <v>14</v>
      </c>
      <c r="AD30" s="44" t="n">
        <f aca="false">COUNT(AD3:AD25)</f>
        <v>14</v>
      </c>
      <c r="AE30" s="77"/>
      <c r="AF30" s="44"/>
      <c r="AG30" s="44" t="n">
        <f aca="false">COUNT(AG3:AG25)</f>
        <v>13</v>
      </c>
      <c r="AH30" s="44" t="n">
        <f aca="false">COUNT(AH3:AH25)</f>
        <v>13</v>
      </c>
      <c r="AI30" s="44" t="n">
        <f aca="false">COUNT(AI3:AI25)</f>
        <v>13</v>
      </c>
      <c r="AJ30" s="44" t="n">
        <f aca="false">COUNT(AJ3:AJ25)</f>
        <v>13</v>
      </c>
      <c r="AK30" s="77"/>
      <c r="AL30" s="44"/>
      <c r="AM30" s="44" t="n">
        <f aca="false">COUNT(AM3:AM25)</f>
        <v>13</v>
      </c>
      <c r="AN30" s="44" t="n">
        <f aca="false">COUNT(AN3:AN25)</f>
        <v>13</v>
      </c>
      <c r="AO30" s="44" t="n">
        <f aca="false">COUNT(AO3:AO25)</f>
        <v>13</v>
      </c>
      <c r="AP30" s="44" t="n">
        <f aca="false">COUNT(AP3:AP25)</f>
        <v>13</v>
      </c>
      <c r="AQ30" s="77"/>
      <c r="AR30" s="44"/>
      <c r="AS30" s="44" t="n">
        <f aca="false">COUNT(AS3:AS25)</f>
        <v>7</v>
      </c>
      <c r="AT30" s="44" t="n">
        <f aca="false">COUNT(AT3:AT25)</f>
        <v>7</v>
      </c>
      <c r="AU30" s="44" t="n">
        <f aca="false">COUNT(AU3:AU25)</f>
        <v>7</v>
      </c>
      <c r="AV30" s="44" t="n">
        <f aca="false">COUNT(AV3:AV25)</f>
        <v>20</v>
      </c>
      <c r="AW30" s="77"/>
      <c r="AX30" s="44" t="n">
        <f aca="false">COUNT(AX3:AX25)</f>
        <v>14</v>
      </c>
      <c r="AY30" s="44" t="n">
        <f aca="false">COUNT(AY3:AY25)</f>
        <v>10</v>
      </c>
      <c r="AZ30" s="77"/>
      <c r="BA30" s="44"/>
      <c r="BB30" s="44" t="n">
        <f aca="false">COUNTIF(BB3:BB25, "&gt;=6")</f>
        <v>15</v>
      </c>
      <c r="BC30" s="77"/>
      <c r="BD30" s="44" t="n">
        <f aca="false">COUNTIF(BD3:BD25, "Да")</f>
        <v>13</v>
      </c>
      <c r="BE30" s="77"/>
      <c r="BF30" s="44"/>
      <c r="BG30" s="44" t="n">
        <f aca="false">COUNT(BG3:BG25)</f>
        <v>13</v>
      </c>
      <c r="BH30" s="44" t="n">
        <f aca="false">COUNT(BH3:BH25)</f>
        <v>7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120" t="n">
        <f aca="false">IF(COUNTA($B$3:$B$22)&gt;0,COUNTA(X$3:X$22)/COUNTA($B$3:$B$22), 0)</f>
        <v>0.75</v>
      </c>
      <c r="Y31" s="96"/>
      <c r="Z31" s="93"/>
      <c r="AA31" s="93"/>
      <c r="AB31" s="93"/>
      <c r="AC31" s="93"/>
      <c r="AD31" s="120" t="n">
        <f aca="false">IF(COUNTA($B$3:$B$22)&gt;0,COUNTA(AD$3:AD$22)/COUNTA($B$3:$B$22), 0)</f>
        <v>0.7</v>
      </c>
      <c r="AE31" s="97"/>
      <c r="AF31" s="98"/>
      <c r="AG31" s="93"/>
      <c r="AH31" s="98"/>
      <c r="AI31" s="93"/>
      <c r="AJ31" s="120" t="n">
        <f aca="false">IF(COUNTA($B$3:$B$22)&gt;0,COUNTA(AJ$3:AJ$22)/COUNTA($B$3:$B$22), 0)</f>
        <v>0.65</v>
      </c>
      <c r="AK31" s="96"/>
      <c r="AL31" s="93"/>
      <c r="AM31" s="93"/>
      <c r="AN31" s="93"/>
      <c r="AO31" s="93"/>
      <c r="AP31" s="95" t="n">
        <f aca="false">IF(COUNTA($B$3:$B$22)&gt;0,COUNTA(AP$3:AP$22)/COUNTA($B$3:$B$22), 0)</f>
        <v>0.65</v>
      </c>
      <c r="AQ31" s="96"/>
      <c r="AR31" s="93"/>
      <c r="AS31" s="93"/>
      <c r="AT31" s="93"/>
      <c r="AU31" s="93"/>
      <c r="AV31" s="95" t="n">
        <f aca="false">IF(COUNTA($B$3:$B$22)&gt;0,COUNTA(AV$3:AV$22)/COUNTA($B$3:$B$22), 0)</f>
        <v>1</v>
      </c>
      <c r="AW31" s="99"/>
      <c r="AX31" s="100"/>
      <c r="AY31" s="100"/>
      <c r="AZ31" s="99"/>
      <c r="BA31" s="100"/>
      <c r="BB31" s="95" t="n">
        <f aca="false">IF(COUNTA($B$3:$B$22)&gt;0,COUNTA(BB$3:BB$22)/COUNTA($B$3:$B$22), 0)</f>
        <v>0.75</v>
      </c>
      <c r="BC31" s="77"/>
      <c r="BD31" s="44" t="n">
        <f aca="false">COUNTIF(BD3:BD25, "Да")</f>
        <v>13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 t="n">
        <v>-26</v>
      </c>
      <c r="V34" s="44" t="str">
        <f aca="false">DEC2HEX(U34)</f>
        <v>FFFFFFFFE6</v>
      </c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 t="n">
        <v>257</v>
      </c>
      <c r="V35" s="44" t="n">
        <f aca="false">HEX2DEC(U35)</f>
        <v>599</v>
      </c>
      <c r="W35" s="44"/>
      <c r="X35" s="44"/>
      <c r="Y35" s="77"/>
      <c r="Z35" s="44"/>
      <c r="AA35" s="44" t="n">
        <v>-1072</v>
      </c>
      <c r="AB35" s="44" t="n">
        <v>660</v>
      </c>
      <c r="AC35" s="44" t="n">
        <v>-5</v>
      </c>
      <c r="AD35" s="90"/>
      <c r="AE35" s="91"/>
      <c r="AF35" s="90"/>
      <c r="AG35" s="44" t="n">
        <f aca="false">2^16</f>
        <v>65536</v>
      </c>
      <c r="AH35" s="90" t="str">
        <f aca="false">DEC2HEX(AG35)</f>
        <v>10000</v>
      </c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 t="n">
        <f aca="false">3*AA35+81+3*(AB35+1)+81+1071+2</f>
        <v>2</v>
      </c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 BA5 BA14 BA17:BA18">
    <cfRule type="expression" priority="2" aboveAverage="0" equalAverage="0" bottom="0" percent="0" rank="0" text="" dxfId="2">
      <formula>U3&gt;45809</formula>
    </cfRule>
  </conditionalFormatting>
  <conditionalFormatting sqref="BC3:BD25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FA775"/>
    <outlinePr summaryBelow="0"/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7.38"/>
    <col collapsed="false" customWidth="true" hidden="false" outlineLevel="0" max="4" min="4" style="0" width="8.13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768</v>
      </c>
      <c r="C1" s="45" t="s">
        <v>769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45700</v>
      </c>
      <c r="G2" s="55" t="n">
        <f aca="false">F2+14</f>
        <v>45714</v>
      </c>
      <c r="H2" s="55" t="n">
        <f aca="false">G2+14</f>
        <v>45728</v>
      </c>
      <c r="I2" s="55" t="n">
        <f aca="false">H2+14</f>
        <v>45742</v>
      </c>
      <c r="J2" s="55" t="n">
        <v>45770</v>
      </c>
      <c r="K2" s="55" t="n">
        <f aca="false">J2+14</f>
        <v>45784</v>
      </c>
      <c r="L2" s="55" t="n">
        <f aca="false">K2+14</f>
        <v>45798</v>
      </c>
      <c r="M2" s="55" t="n">
        <f aca="false">L2+14</f>
        <v>45812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21" t="s">
        <v>278</v>
      </c>
      <c r="C3" s="61" t="s">
        <v>279</v>
      </c>
      <c r="D3" s="66" t="s">
        <v>277</v>
      </c>
      <c r="E3" s="62"/>
      <c r="F3" s="63"/>
      <c r="G3" s="63" t="s">
        <v>739</v>
      </c>
      <c r="H3" s="63" t="s">
        <v>734</v>
      </c>
      <c r="I3" s="63" t="s">
        <v>734</v>
      </c>
      <c r="J3" s="63" t="s">
        <v>734</v>
      </c>
      <c r="K3" s="63" t="s">
        <v>734</v>
      </c>
      <c r="L3" s="63" t="s">
        <v>734</v>
      </c>
      <c r="M3" s="63" t="s">
        <v>734</v>
      </c>
      <c r="N3" s="64" t="s">
        <v>734</v>
      </c>
      <c r="O3" s="64"/>
      <c r="P3" s="64"/>
      <c r="Q3" s="64"/>
      <c r="R3" s="64"/>
      <c r="S3" s="65"/>
      <c r="T3" s="66" t="s">
        <v>770</v>
      </c>
      <c r="U3" s="122" t="n">
        <v>45714</v>
      </c>
      <c r="V3" s="123" t="n">
        <v>45728</v>
      </c>
      <c r="W3" s="67" t="n">
        <v>45742</v>
      </c>
      <c r="X3" s="68" t="n">
        <v>10</v>
      </c>
      <c r="Y3" s="69"/>
      <c r="Z3" s="70" t="n">
        <v>46195</v>
      </c>
      <c r="AA3" s="67" t="n">
        <v>45728</v>
      </c>
      <c r="AB3" s="122" t="n">
        <v>45742</v>
      </c>
      <c r="AC3" s="67" t="n">
        <v>45770</v>
      </c>
      <c r="AD3" s="68" t="n">
        <v>10</v>
      </c>
      <c r="AE3" s="69"/>
      <c r="AF3" s="70" t="n">
        <v>58655</v>
      </c>
      <c r="AG3" s="122" t="n">
        <v>45770</v>
      </c>
      <c r="AH3" s="122" t="n">
        <v>45784</v>
      </c>
      <c r="AI3" s="122" t="n">
        <v>45828</v>
      </c>
      <c r="AJ3" s="68" t="n">
        <v>8.5</v>
      </c>
      <c r="AK3" s="69"/>
      <c r="AL3" s="70" t="n">
        <v>42538</v>
      </c>
      <c r="AM3" s="122" t="n">
        <v>45793</v>
      </c>
      <c r="AN3" s="122" t="n">
        <v>45819</v>
      </c>
      <c r="AO3" s="122" t="n">
        <v>45828</v>
      </c>
      <c r="AP3" s="68" t="n">
        <v>8</v>
      </c>
      <c r="AQ3" s="69"/>
      <c r="AR3" s="70" t="n">
        <v>36646</v>
      </c>
      <c r="AS3" s="122" t="n">
        <v>45798</v>
      </c>
      <c r="AT3" s="122" t="n">
        <v>45828</v>
      </c>
      <c r="AU3" s="122" t="n">
        <v>45828</v>
      </c>
      <c r="AV3" s="68" t="n">
        <v>10</v>
      </c>
      <c r="AW3" s="69"/>
      <c r="AX3" s="68" t="n">
        <v>0</v>
      </c>
      <c r="AY3" s="68" t="n">
        <v>0</v>
      </c>
      <c r="AZ3" s="69"/>
      <c r="BA3" s="122" t="n">
        <v>45799</v>
      </c>
      <c r="BB3" s="71" t="n">
        <v>7</v>
      </c>
      <c r="BC3" s="72"/>
      <c r="BD3" s="73" t="str">
        <f aca="false">IF(AND(BB3&gt;=6,AP3&gt;=6,AJ3&gt;=6,AD3&gt;=6,X3&gt;=6),"да","нет")</f>
        <v>да</v>
      </c>
      <c r="BE3" s="72"/>
      <c r="BF3" s="118" t="n">
        <v>45836</v>
      </c>
      <c r="BG3" s="71" t="n">
        <v>28</v>
      </c>
      <c r="BH3" s="68" t="n">
        <v>2</v>
      </c>
      <c r="BI3" s="50"/>
      <c r="BJ3" s="75" t="n">
        <f aca="false">SUM(X3,AD3,AJ3,AP3,AV3,AX3:AY3,BH3,BB3,BG3)</f>
        <v>83.5</v>
      </c>
      <c r="BK3" s="73" t="str">
        <f aca="false">IF(BJ3&gt;90,"A",IF(BJ3&gt;83,"B",IF(BJ3&gt;74,"C",IF(BJ3&gt;67,"D",IF(BJ3&gt;=60,"E","FX")))))</f>
        <v>B</v>
      </c>
    </row>
    <row r="4" customFormat="false" ht="15.75" hidden="false" customHeight="false" outlineLevel="0" collapsed="false">
      <c r="A4" s="59" t="n">
        <f aca="false">A3+1</f>
        <v>2</v>
      </c>
      <c r="B4" s="121" t="s">
        <v>771</v>
      </c>
      <c r="C4" s="61" t="s">
        <v>279</v>
      </c>
      <c r="D4" s="66" t="s">
        <v>772</v>
      </c>
      <c r="E4" s="62"/>
      <c r="F4" s="63"/>
      <c r="G4" s="63"/>
      <c r="H4" s="63"/>
      <c r="I4" s="63"/>
      <c r="J4" s="63"/>
      <c r="K4" s="63"/>
      <c r="L4" s="63"/>
      <c r="M4" s="63"/>
      <c r="N4" s="64"/>
      <c r="O4" s="64"/>
      <c r="P4" s="64"/>
      <c r="Q4" s="64"/>
      <c r="R4" s="64"/>
      <c r="S4" s="65"/>
      <c r="T4" s="66"/>
      <c r="U4" s="67"/>
      <c r="V4" s="67"/>
      <c r="W4" s="67"/>
      <c r="X4" s="68"/>
      <c r="Y4" s="69"/>
      <c r="Z4" s="70"/>
      <c r="AA4" s="67"/>
      <c r="AB4" s="67"/>
      <c r="AC4" s="67"/>
      <c r="AD4" s="68"/>
      <c r="AE4" s="69"/>
      <c r="AF4" s="70"/>
      <c r="AG4" s="70"/>
      <c r="AH4" s="70"/>
      <c r="AI4" s="70"/>
      <c r="AJ4" s="68"/>
      <c r="AK4" s="69"/>
      <c r="AL4" s="70"/>
      <c r="AM4" s="70"/>
      <c r="AN4" s="70"/>
      <c r="AO4" s="70"/>
      <c r="AP4" s="68"/>
      <c r="AQ4" s="69"/>
      <c r="AR4" s="70"/>
      <c r="AS4" s="70"/>
      <c r="AT4" s="70"/>
      <c r="AU4" s="70"/>
      <c r="AV4" s="68"/>
      <c r="AW4" s="69"/>
      <c r="AX4" s="68"/>
      <c r="AY4" s="68"/>
      <c r="AZ4" s="69"/>
      <c r="BA4" s="70"/>
      <c r="BB4" s="71"/>
      <c r="BC4" s="72"/>
      <c r="BD4" s="73" t="str">
        <f aca="false">IF(AND(BB4&gt;=6,AP4&gt;=6,AJ4&gt;=6,AD4&gt;=6,X4&gt;=6),"да","нет")</f>
        <v>нет</v>
      </c>
      <c r="BE4" s="72"/>
      <c r="BF4" s="74"/>
      <c r="BG4" s="71"/>
      <c r="BH4" s="68"/>
      <c r="BI4" s="50"/>
      <c r="BJ4" s="75" t="n">
        <f aca="false">SUM(X4,AD4,AJ4,AP4,AV4,AX4:AY4,BH4,BB4,BG4)</f>
        <v>0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121" t="s">
        <v>343</v>
      </c>
      <c r="C5" s="61" t="s">
        <v>279</v>
      </c>
      <c r="D5" s="66" t="s">
        <v>342</v>
      </c>
      <c r="E5" s="62"/>
      <c r="F5" s="63"/>
      <c r="G5" s="63"/>
      <c r="H5" s="63"/>
      <c r="I5" s="63" t="s">
        <v>734</v>
      </c>
      <c r="J5" s="63" t="s">
        <v>734</v>
      </c>
      <c r="K5" s="63" t="s">
        <v>734</v>
      </c>
      <c r="L5" s="63" t="s">
        <v>734</v>
      </c>
      <c r="M5" s="63" t="s">
        <v>734</v>
      </c>
      <c r="N5" s="64"/>
      <c r="O5" s="64"/>
      <c r="P5" s="64"/>
      <c r="Q5" s="64"/>
      <c r="R5" s="64"/>
      <c r="S5" s="65"/>
      <c r="T5" s="66" t="s">
        <v>773</v>
      </c>
      <c r="U5" s="122" t="n">
        <v>45770</v>
      </c>
      <c r="V5" s="67" t="n">
        <v>45784</v>
      </c>
      <c r="W5" s="67" t="n">
        <v>45828</v>
      </c>
      <c r="X5" s="68" t="n">
        <v>9</v>
      </c>
      <c r="Y5" s="69"/>
      <c r="Z5" s="70" t="n">
        <v>36647</v>
      </c>
      <c r="AA5" s="67" t="n">
        <v>45784</v>
      </c>
      <c r="AB5" s="67" t="n">
        <v>45784</v>
      </c>
      <c r="AC5" s="122" t="n">
        <v>45828</v>
      </c>
      <c r="AD5" s="68" t="n">
        <v>7.5</v>
      </c>
      <c r="AE5" s="69"/>
      <c r="AF5" s="70" t="n">
        <v>59659</v>
      </c>
      <c r="AG5" s="122" t="n">
        <v>45798</v>
      </c>
      <c r="AH5" s="122" t="n">
        <v>45828</v>
      </c>
      <c r="AI5" s="122" t="n">
        <v>45828</v>
      </c>
      <c r="AJ5" s="68" t="n">
        <v>6</v>
      </c>
      <c r="AK5" s="69"/>
      <c r="AL5" s="70" t="n">
        <v>85856</v>
      </c>
      <c r="AM5" s="122" t="n">
        <v>45819</v>
      </c>
      <c r="AN5" s="122" t="n">
        <v>45828</v>
      </c>
      <c r="AO5" s="122" t="n">
        <v>45828</v>
      </c>
      <c r="AP5" s="68" t="n">
        <v>6</v>
      </c>
      <c r="AQ5" s="69"/>
      <c r="AR5" s="70" t="n">
        <v>46758</v>
      </c>
      <c r="AS5" s="122" t="n">
        <v>45828</v>
      </c>
      <c r="AT5" s="122" t="n">
        <v>45828</v>
      </c>
      <c r="AU5" s="122" t="n">
        <v>45828</v>
      </c>
      <c r="AV5" s="68" t="n">
        <v>6</v>
      </c>
      <c r="AW5" s="69"/>
      <c r="AX5" s="68" t="n">
        <v>0</v>
      </c>
      <c r="AY5" s="68"/>
      <c r="AZ5" s="69"/>
      <c r="BA5" s="122" t="n">
        <v>45828</v>
      </c>
      <c r="BB5" s="71" t="n">
        <v>6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45836</v>
      </c>
      <c r="BG5" s="71" t="n">
        <v>24</v>
      </c>
      <c r="BH5" s="68"/>
      <c r="BI5" s="50"/>
      <c r="BJ5" s="75" t="n">
        <f aca="false">SUM(X5,AD5,AJ5,AP5,AV5,AX5:AY5,BH5,BB5,BG5)</f>
        <v>64.5</v>
      </c>
      <c r="BK5" s="73" t="str">
        <f aca="false">IF(BJ5&gt;90,"A",IF(BJ5&gt;83,"B",IF(BJ5&gt;74,"C",IF(BJ5&gt;67,"D",IF(BJ5&gt;=60,"E","FX")))))</f>
        <v>E</v>
      </c>
    </row>
    <row r="6" customFormat="false" ht="15.75" hidden="false" customHeight="false" outlineLevel="0" collapsed="false">
      <c r="A6" s="59" t="n">
        <f aca="false">A5+1</f>
        <v>4</v>
      </c>
      <c r="B6" s="121" t="s">
        <v>774</v>
      </c>
      <c r="C6" s="61" t="s">
        <v>279</v>
      </c>
      <c r="D6" s="66" t="s">
        <v>775</v>
      </c>
      <c r="E6" s="62"/>
      <c r="F6" s="63"/>
      <c r="G6" s="63"/>
      <c r="H6" s="63"/>
      <c r="I6" s="63"/>
      <c r="J6" s="63"/>
      <c r="K6" s="63"/>
      <c r="L6" s="63"/>
      <c r="M6" s="63"/>
      <c r="N6" s="64"/>
      <c r="O6" s="64"/>
      <c r="P6" s="64"/>
      <c r="Q6" s="64"/>
      <c r="R6" s="64"/>
      <c r="S6" s="65"/>
      <c r="T6" s="66"/>
      <c r="U6" s="67"/>
      <c r="V6" s="67"/>
      <c r="W6" s="67"/>
      <c r="X6" s="68"/>
      <c r="Y6" s="69"/>
      <c r="Z6" s="70"/>
      <c r="AA6" s="67"/>
      <c r="AB6" s="67"/>
      <c r="AC6" s="67"/>
      <c r="AD6" s="68"/>
      <c r="AE6" s="69"/>
      <c r="AF6" s="70"/>
      <c r="AG6" s="70"/>
      <c r="AH6" s="70"/>
      <c r="AI6" s="70"/>
      <c r="AJ6" s="68"/>
      <c r="AK6" s="69"/>
      <c r="AL6" s="70"/>
      <c r="AM6" s="70"/>
      <c r="AN6" s="70"/>
      <c r="AO6" s="70"/>
      <c r="AP6" s="68"/>
      <c r="AQ6" s="69"/>
      <c r="AR6" s="70"/>
      <c r="AS6" s="70"/>
      <c r="AT6" s="70"/>
      <c r="AU6" s="70"/>
      <c r="AV6" s="68"/>
      <c r="AW6" s="69"/>
      <c r="AX6" s="68"/>
      <c r="AY6" s="68"/>
      <c r="AZ6" s="69"/>
      <c r="BA6" s="70"/>
      <c r="BB6" s="71"/>
      <c r="BC6" s="72"/>
      <c r="BD6" s="73" t="str">
        <f aca="false">IF(AND(BB6&gt;=6,AP6&gt;=6,AJ6&gt;=6,AD6&gt;=6,X6&gt;=6),"да","нет")</f>
        <v>нет</v>
      </c>
      <c r="BE6" s="72"/>
      <c r="BF6" s="74"/>
      <c r="BG6" s="71"/>
      <c r="BH6" s="68"/>
      <c r="BI6" s="50"/>
      <c r="BJ6" s="75" t="n">
        <f aca="false">SUM(X6,AD6,AJ6,AP6,AV6,AX6:AY6,BH6,BB6,BG6)</f>
        <v>0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121" t="s">
        <v>393</v>
      </c>
      <c r="C7" s="61" t="s">
        <v>279</v>
      </c>
      <c r="D7" s="66" t="s">
        <v>392</v>
      </c>
      <c r="E7" s="62"/>
      <c r="F7" s="63"/>
      <c r="G7" s="63"/>
      <c r="H7" s="63"/>
      <c r="I7" s="63" t="s">
        <v>696</v>
      </c>
      <c r="J7" s="63" t="s">
        <v>734</v>
      </c>
      <c r="K7" s="63" t="s">
        <v>734</v>
      </c>
      <c r="L7" s="63" t="s">
        <v>734</v>
      </c>
      <c r="M7" s="63" t="s">
        <v>734</v>
      </c>
      <c r="N7" s="64"/>
      <c r="O7" s="64"/>
      <c r="P7" s="64"/>
      <c r="Q7" s="64"/>
      <c r="R7" s="64"/>
      <c r="S7" s="65"/>
      <c r="T7" s="66" t="s">
        <v>776</v>
      </c>
      <c r="U7" s="122" t="n">
        <v>45770</v>
      </c>
      <c r="V7" s="67" t="n">
        <v>45798</v>
      </c>
      <c r="W7" s="122" t="n">
        <v>45828</v>
      </c>
      <c r="X7" s="68" t="n">
        <v>7.5</v>
      </c>
      <c r="Y7" s="69"/>
      <c r="Z7" s="70" t="n">
        <v>37645</v>
      </c>
      <c r="AA7" s="122" t="n">
        <v>45828</v>
      </c>
      <c r="AB7" s="67"/>
      <c r="AC7" s="67"/>
      <c r="AD7" s="68"/>
      <c r="AE7" s="69"/>
      <c r="AF7" s="70" t="n">
        <v>35656</v>
      </c>
      <c r="AG7" s="70"/>
      <c r="AH7" s="70"/>
      <c r="AI7" s="70"/>
      <c r="AJ7" s="68"/>
      <c r="AK7" s="69"/>
      <c r="AL7" s="70"/>
      <c r="AM7" s="70"/>
      <c r="AN7" s="70"/>
      <c r="AO7" s="70"/>
      <c r="AP7" s="68"/>
      <c r="AQ7" s="69"/>
      <c r="AR7" s="70"/>
      <c r="AS7" s="70"/>
      <c r="AT7" s="70"/>
      <c r="AU7" s="70"/>
      <c r="AV7" s="68"/>
      <c r="AW7" s="69"/>
      <c r="AX7" s="68"/>
      <c r="AY7" s="68"/>
      <c r="AZ7" s="69"/>
      <c r="BA7" s="122" t="n">
        <v>45828</v>
      </c>
      <c r="BB7" s="71" t="n">
        <v>7</v>
      </c>
      <c r="BC7" s="72"/>
      <c r="BD7" s="73" t="str">
        <f aca="false">IF(AND(BB7&gt;=6,AP7&gt;=6,AJ7&gt;=6,AD7&gt;=6,X7&gt;=6),"да","нет")</f>
        <v>нет</v>
      </c>
      <c r="BE7" s="72"/>
      <c r="BF7" s="74"/>
      <c r="BG7" s="71"/>
      <c r="BH7" s="68"/>
      <c r="BI7" s="50"/>
      <c r="BJ7" s="75" t="n">
        <f aca="false">SUM(X7,AD7,AJ7,AP7,AV7,AX7:AY7,BH7,BB7,BG7)</f>
        <v>14.5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121" t="s">
        <v>415</v>
      </c>
      <c r="C8" s="61" t="s">
        <v>279</v>
      </c>
      <c r="D8" s="66" t="s">
        <v>414</v>
      </c>
      <c r="E8" s="62"/>
      <c r="F8" s="63"/>
      <c r="G8" s="63"/>
      <c r="H8" s="63"/>
      <c r="I8" s="63"/>
      <c r="J8" s="63"/>
      <c r="K8" s="63"/>
      <c r="L8" s="63"/>
      <c r="M8" s="63"/>
      <c r="N8" s="64"/>
      <c r="O8" s="64"/>
      <c r="P8" s="64"/>
      <c r="Q8" s="64"/>
      <c r="R8" s="64"/>
      <c r="S8" s="65"/>
      <c r="T8" s="66"/>
      <c r="U8" s="67"/>
      <c r="V8" s="67"/>
      <c r="W8" s="67"/>
      <c r="X8" s="68"/>
      <c r="Y8" s="69"/>
      <c r="Z8" s="70"/>
      <c r="AA8" s="67"/>
      <c r="AB8" s="67"/>
      <c r="AC8" s="67"/>
      <c r="AD8" s="68"/>
      <c r="AE8" s="69"/>
      <c r="AF8" s="70"/>
      <c r="AG8" s="70"/>
      <c r="AH8" s="70"/>
      <c r="AI8" s="70"/>
      <c r="AJ8" s="68"/>
      <c r="AK8" s="69"/>
      <c r="AL8" s="70"/>
      <c r="AM8" s="70"/>
      <c r="AN8" s="70"/>
      <c r="AO8" s="70"/>
      <c r="AP8" s="68"/>
      <c r="AQ8" s="69"/>
      <c r="AR8" s="70"/>
      <c r="AS8" s="70"/>
      <c r="AT8" s="70"/>
      <c r="AU8" s="70"/>
      <c r="AV8" s="68"/>
      <c r="AW8" s="69"/>
      <c r="AX8" s="68"/>
      <c r="AY8" s="68"/>
      <c r="AZ8" s="69"/>
      <c r="BA8" s="70"/>
      <c r="BB8" s="71"/>
      <c r="BC8" s="72"/>
      <c r="BD8" s="73" t="str">
        <f aca="false">IF(AND(BB8&gt;=6,AP8&gt;=6,AJ8&gt;=6,AD8&gt;=6,X8&gt;=6),"да","нет")</f>
        <v>нет</v>
      </c>
      <c r="BE8" s="72"/>
      <c r="BF8" s="74"/>
      <c r="BG8" s="71"/>
      <c r="BH8" s="68"/>
      <c r="BI8" s="50"/>
      <c r="BJ8" s="75" t="n">
        <f aca="false">SUM(X8,AD8,AJ8,AP8,AV8,AX8:AY8,BH8,BB8,BG8)</f>
        <v>0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121" t="s">
        <v>427</v>
      </c>
      <c r="C9" s="61" t="s">
        <v>279</v>
      </c>
      <c r="D9" s="66" t="s">
        <v>426</v>
      </c>
      <c r="E9" s="62"/>
      <c r="F9" s="63"/>
      <c r="G9" s="63"/>
      <c r="H9" s="63" t="s">
        <v>734</v>
      </c>
      <c r="I9" s="63" t="s">
        <v>734</v>
      </c>
      <c r="J9" s="63" t="s">
        <v>734</v>
      </c>
      <c r="K9" s="63" t="s">
        <v>734</v>
      </c>
      <c r="L9" s="63" t="s">
        <v>734</v>
      </c>
      <c r="M9" s="63"/>
      <c r="N9" s="64"/>
      <c r="O9" s="64"/>
      <c r="P9" s="64"/>
      <c r="Q9" s="64"/>
      <c r="R9" s="64"/>
      <c r="S9" s="65"/>
      <c r="T9" s="66" t="s">
        <v>777</v>
      </c>
      <c r="U9" s="123" t="n">
        <v>45728</v>
      </c>
      <c r="V9" s="124" t="n">
        <v>45728</v>
      </c>
      <c r="W9" s="67" t="n">
        <v>45798</v>
      </c>
      <c r="X9" s="68" t="n">
        <v>9</v>
      </c>
      <c r="Y9" s="69"/>
      <c r="Z9" s="70" t="n">
        <v>28056</v>
      </c>
      <c r="AA9" s="122" t="n">
        <v>45828</v>
      </c>
      <c r="AB9" s="67" t="n">
        <v>45742</v>
      </c>
      <c r="AC9" s="67" t="n">
        <v>45784</v>
      </c>
      <c r="AD9" s="68" t="n">
        <v>9</v>
      </c>
      <c r="AE9" s="69"/>
      <c r="AF9" s="70" t="n">
        <v>89556</v>
      </c>
      <c r="AG9" s="122" t="n">
        <v>45770</v>
      </c>
      <c r="AH9" s="122" t="n">
        <v>45828</v>
      </c>
      <c r="AI9" s="122" t="n">
        <v>45828</v>
      </c>
      <c r="AJ9" s="68" t="n">
        <v>6</v>
      </c>
      <c r="AK9" s="69"/>
      <c r="AL9" s="70" t="n">
        <v>53856</v>
      </c>
      <c r="AM9" s="122" t="n">
        <v>45784</v>
      </c>
      <c r="AN9" s="122" t="n">
        <v>45828</v>
      </c>
      <c r="AO9" s="122" t="n">
        <v>45828</v>
      </c>
      <c r="AP9" s="68" t="n">
        <v>6</v>
      </c>
      <c r="AQ9" s="69"/>
      <c r="AR9" s="70"/>
      <c r="AS9" s="70"/>
      <c r="AT9" s="70"/>
      <c r="AU9" s="70"/>
      <c r="AV9" s="68"/>
      <c r="AW9" s="69"/>
      <c r="AX9" s="68"/>
      <c r="AY9" s="68" t="n">
        <v>1</v>
      </c>
      <c r="AZ9" s="69"/>
      <c r="BA9" s="122" t="n">
        <v>45799</v>
      </c>
      <c r="BB9" s="71" t="n">
        <v>6</v>
      </c>
      <c r="BC9" s="72"/>
      <c r="BD9" s="73" t="str">
        <f aca="false">IF(AND(BB9&gt;=6,AP9&gt;=6,AJ9&gt;=6,AD9&gt;=6,X9&gt;=6),"да","нет")</f>
        <v>да</v>
      </c>
      <c r="BE9" s="72"/>
      <c r="BF9" s="74"/>
      <c r="BG9" s="71"/>
      <c r="BH9" s="68"/>
      <c r="BI9" s="50"/>
      <c r="BJ9" s="75" t="n">
        <f aca="false">SUM(X9,AD9,AJ9,AP9,AV9,AX9:AY9,BH9,BB9,BG9)</f>
        <v>37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121" t="s">
        <v>778</v>
      </c>
      <c r="C10" s="61" t="s">
        <v>279</v>
      </c>
      <c r="D10" s="66" t="s">
        <v>779</v>
      </c>
      <c r="E10" s="62"/>
      <c r="F10" s="63"/>
      <c r="G10" s="63"/>
      <c r="H10" s="63"/>
      <c r="I10" s="63"/>
      <c r="J10" s="63"/>
      <c r="K10" s="63"/>
      <c r="L10" s="63"/>
      <c r="M10" s="63"/>
      <c r="N10" s="64"/>
      <c r="O10" s="64"/>
      <c r="P10" s="64"/>
      <c r="Q10" s="64"/>
      <c r="R10" s="64"/>
      <c r="S10" s="65"/>
      <c r="T10" s="66"/>
      <c r="U10" s="67"/>
      <c r="V10" s="67"/>
      <c r="W10" s="67"/>
      <c r="X10" s="68"/>
      <c r="Y10" s="69"/>
      <c r="Z10" s="70"/>
      <c r="AA10" s="67"/>
      <c r="AB10" s="67"/>
      <c r="AC10" s="67"/>
      <c r="AD10" s="68"/>
      <c r="AE10" s="69"/>
      <c r="AF10" s="70"/>
      <c r="AG10" s="70"/>
      <c r="AH10" s="70"/>
      <c r="AI10" s="70"/>
      <c r="AJ10" s="68"/>
      <c r="AK10" s="69"/>
      <c r="AL10" s="70"/>
      <c r="AM10" s="70"/>
      <c r="AN10" s="70"/>
      <c r="AO10" s="70"/>
      <c r="AP10" s="68"/>
      <c r="AQ10" s="69"/>
      <c r="AR10" s="70"/>
      <c r="AS10" s="70"/>
      <c r="AT10" s="70"/>
      <c r="AU10" s="70"/>
      <c r="AV10" s="68"/>
      <c r="AW10" s="69"/>
      <c r="AX10" s="68"/>
      <c r="AY10" s="68"/>
      <c r="AZ10" s="69"/>
      <c r="BA10" s="70"/>
      <c r="BB10" s="71"/>
      <c r="BC10" s="72"/>
      <c r="BD10" s="73" t="str">
        <f aca="false">IF(AND(BB10&gt;=6,AP10&gt;=6,AJ10&gt;=6,AD10&gt;=6,X10&gt;=6),"да","нет")</f>
        <v>нет</v>
      </c>
      <c r="BE10" s="72"/>
      <c r="BF10" s="74"/>
      <c r="BG10" s="71"/>
      <c r="BH10" s="68"/>
      <c r="BI10" s="50"/>
      <c r="BJ10" s="75" t="n">
        <f aca="false">SUM(X10,AD10,AJ10,AP10,AV10,AX10:AY10,BH10,BB10,BG10)</f>
        <v>0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121" t="s">
        <v>445</v>
      </c>
      <c r="C11" s="61" t="s">
        <v>279</v>
      </c>
      <c r="D11" s="66" t="s">
        <v>444</v>
      </c>
      <c r="E11" s="62"/>
      <c r="F11" s="63"/>
      <c r="G11" s="63"/>
      <c r="H11" s="63"/>
      <c r="I11" s="63"/>
      <c r="J11" s="63"/>
      <c r="K11" s="63"/>
      <c r="L11" s="63"/>
      <c r="M11" s="63"/>
      <c r="N11" s="64"/>
      <c r="O11" s="64"/>
      <c r="P11" s="64"/>
      <c r="Q11" s="64"/>
      <c r="R11" s="64"/>
      <c r="S11" s="65"/>
      <c r="T11" s="66"/>
      <c r="U11" s="67"/>
      <c r="V11" s="67"/>
      <c r="W11" s="67"/>
      <c r="X11" s="68"/>
      <c r="Y11" s="69"/>
      <c r="Z11" s="70"/>
      <c r="AA11" s="67"/>
      <c r="AB11" s="67"/>
      <c r="AC11" s="67"/>
      <c r="AD11" s="68"/>
      <c r="AE11" s="69"/>
      <c r="AF11" s="70"/>
      <c r="AG11" s="70"/>
      <c r="AH11" s="70"/>
      <c r="AI11" s="70"/>
      <c r="AJ11" s="68"/>
      <c r="AK11" s="69"/>
      <c r="AL11" s="70"/>
      <c r="AM11" s="70"/>
      <c r="AN11" s="70"/>
      <c r="AO11" s="70"/>
      <c r="AP11" s="68"/>
      <c r="AQ11" s="69"/>
      <c r="AR11" s="70"/>
      <c r="AS11" s="70"/>
      <c r="AT11" s="70"/>
      <c r="AU11" s="70"/>
      <c r="AV11" s="68"/>
      <c r="AW11" s="69"/>
      <c r="AX11" s="68"/>
      <c r="AY11" s="68"/>
      <c r="AZ11" s="69"/>
      <c r="BA11" s="70"/>
      <c r="BB11" s="71"/>
      <c r="BC11" s="72"/>
      <c r="BD11" s="73" t="str">
        <f aca="false">IF(AND(BB11&gt;=6,AP11&gt;=6,AJ11&gt;=6,AD11&gt;=6,X11&gt;=6),"да","нет")</f>
        <v>нет</v>
      </c>
      <c r="BE11" s="72"/>
      <c r="BF11" s="74"/>
      <c r="BG11" s="71"/>
      <c r="BH11" s="68"/>
      <c r="BI11" s="50"/>
      <c r="BJ11" s="75" t="n">
        <f aca="false">SUM(X11,AD11,AJ11,AP11,AV11,AX11:AY11,BH11,BB11,BG11)</f>
        <v>0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125" t="s">
        <v>780</v>
      </c>
      <c r="C12" s="61" t="s">
        <v>279</v>
      </c>
      <c r="D12" s="66" t="s">
        <v>494</v>
      </c>
      <c r="E12" s="62"/>
      <c r="F12" s="63"/>
      <c r="G12" s="63" t="s">
        <v>739</v>
      </c>
      <c r="H12" s="63"/>
      <c r="I12" s="63" t="s">
        <v>734</v>
      </c>
      <c r="J12" s="63" t="s">
        <v>734</v>
      </c>
      <c r="K12" s="63" t="s">
        <v>734</v>
      </c>
      <c r="L12" s="63" t="s">
        <v>734</v>
      </c>
      <c r="M12" s="63" t="s">
        <v>734</v>
      </c>
      <c r="N12" s="64"/>
      <c r="O12" s="64"/>
      <c r="P12" s="64"/>
      <c r="Q12" s="64"/>
      <c r="R12" s="64"/>
      <c r="S12" s="65"/>
      <c r="T12" s="66" t="s">
        <v>781</v>
      </c>
      <c r="U12" s="106" t="n">
        <v>45728</v>
      </c>
      <c r="V12" s="67" t="n">
        <v>45728</v>
      </c>
      <c r="W12" s="67" t="n">
        <v>45742</v>
      </c>
      <c r="X12" s="68" t="n">
        <v>9</v>
      </c>
      <c r="Y12" s="69"/>
      <c r="Z12" s="70" t="n">
        <v>86853</v>
      </c>
      <c r="AA12" s="122" t="n">
        <v>45770</v>
      </c>
      <c r="AB12" s="67" t="n">
        <v>45770</v>
      </c>
      <c r="AC12" s="67" t="n">
        <v>45784</v>
      </c>
      <c r="AD12" s="70" t="n">
        <v>9.5</v>
      </c>
      <c r="AE12" s="69"/>
      <c r="AF12" s="70" t="n">
        <v>42856</v>
      </c>
      <c r="AG12" s="122" t="n">
        <v>45798</v>
      </c>
      <c r="AH12" s="122" t="n">
        <v>45819</v>
      </c>
      <c r="AI12" s="122" t="n">
        <v>45819</v>
      </c>
      <c r="AJ12" s="68" t="n">
        <v>9.5</v>
      </c>
      <c r="AK12" s="69"/>
      <c r="AL12" s="70" t="n">
        <v>46767</v>
      </c>
      <c r="AM12" s="122" t="n">
        <v>45828</v>
      </c>
      <c r="AN12" s="122" t="n">
        <v>45828</v>
      </c>
      <c r="AO12" s="122" t="n">
        <v>45828</v>
      </c>
      <c r="AP12" s="68" t="n">
        <v>9.5</v>
      </c>
      <c r="AQ12" s="69"/>
      <c r="AR12" s="70" t="n">
        <v>48769</v>
      </c>
      <c r="AS12" s="122" t="n">
        <v>45828</v>
      </c>
      <c r="AT12" s="122" t="n">
        <v>45828</v>
      </c>
      <c r="AU12" s="122" t="n">
        <v>45828</v>
      </c>
      <c r="AV12" s="68" t="n">
        <v>9</v>
      </c>
      <c r="AW12" s="69"/>
      <c r="AX12" s="68" t="n">
        <v>0</v>
      </c>
      <c r="AY12" s="68" t="n">
        <v>0</v>
      </c>
      <c r="AZ12" s="69"/>
      <c r="BA12" s="122" t="n">
        <v>45799</v>
      </c>
      <c r="BB12" s="71" t="n">
        <v>7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45836</v>
      </c>
      <c r="BG12" s="71" t="n">
        <v>30</v>
      </c>
      <c r="BH12" s="68"/>
      <c r="BI12" s="50"/>
      <c r="BJ12" s="75" t="n">
        <f aca="false">SUM(X12,AD12,AJ12,AP12,AV12,AX12:AY12,BH12,BB12,BG12)</f>
        <v>83.5</v>
      </c>
      <c r="BK12" s="73" t="str">
        <f aca="false">IF(BJ12&gt;90,"A",IF(BJ12&gt;83,"B",IF(BJ12&gt;74,"C",IF(BJ12&gt;67,"D",IF(BJ12&gt;=60,"E","FX")))))</f>
        <v>B</v>
      </c>
    </row>
    <row r="13" customFormat="false" ht="15.75" hidden="false" customHeight="false" outlineLevel="0" collapsed="false">
      <c r="A13" s="59" t="n">
        <f aca="false">A12+1</f>
        <v>11</v>
      </c>
      <c r="B13" s="121" t="s">
        <v>499</v>
      </c>
      <c r="C13" s="61" t="s">
        <v>279</v>
      </c>
      <c r="D13" s="66" t="s">
        <v>498</v>
      </c>
      <c r="E13" s="62"/>
      <c r="F13" s="63"/>
      <c r="G13" s="63"/>
      <c r="H13" s="63"/>
      <c r="I13" s="63"/>
      <c r="J13" s="63" t="s">
        <v>734</v>
      </c>
      <c r="K13" s="63" t="s">
        <v>734</v>
      </c>
      <c r="L13" s="63" t="s">
        <v>734</v>
      </c>
      <c r="M13" s="63" t="s">
        <v>734</v>
      </c>
      <c r="N13" s="64"/>
      <c r="O13" s="64"/>
      <c r="P13" s="64"/>
      <c r="Q13" s="64"/>
      <c r="R13" s="64"/>
      <c r="S13" s="65"/>
      <c r="T13" s="66" t="s">
        <v>782</v>
      </c>
      <c r="U13" s="67" t="n">
        <v>45770</v>
      </c>
      <c r="V13" s="67" t="n">
        <v>45770</v>
      </c>
      <c r="W13" s="67" t="n">
        <v>45784</v>
      </c>
      <c r="X13" s="68" t="n">
        <v>10</v>
      </c>
      <c r="Y13" s="69"/>
      <c r="Z13" s="70" t="n">
        <v>46357</v>
      </c>
      <c r="AA13" s="67" t="n">
        <v>45784</v>
      </c>
      <c r="AB13" s="67" t="n">
        <v>45798</v>
      </c>
      <c r="AC13" s="67" t="n">
        <v>45798</v>
      </c>
      <c r="AD13" s="70" t="n">
        <v>9.5</v>
      </c>
      <c r="AE13" s="69"/>
      <c r="AF13" s="70" t="n">
        <v>55655</v>
      </c>
      <c r="AG13" s="122" t="n">
        <v>45798</v>
      </c>
      <c r="AH13" s="122" t="n">
        <v>45819</v>
      </c>
      <c r="AI13" s="122" t="n">
        <v>45819</v>
      </c>
      <c r="AJ13" s="68" t="n">
        <v>9.5</v>
      </c>
      <c r="AK13" s="69"/>
      <c r="AL13" s="70" t="n">
        <v>86866</v>
      </c>
      <c r="AM13" s="122" t="n">
        <v>45819</v>
      </c>
      <c r="AN13" s="122" t="n">
        <v>45819</v>
      </c>
      <c r="AO13" s="122" t="n">
        <v>45819</v>
      </c>
      <c r="AP13" s="68" t="n">
        <v>9.5</v>
      </c>
      <c r="AQ13" s="69"/>
      <c r="AR13" s="70" t="n">
        <v>58608</v>
      </c>
      <c r="AS13" s="122" t="n">
        <v>45828</v>
      </c>
      <c r="AT13" s="122" t="n">
        <v>45819</v>
      </c>
      <c r="AU13" s="122" t="n">
        <v>45828</v>
      </c>
      <c r="AV13" s="68" t="n">
        <v>10</v>
      </c>
      <c r="AW13" s="69"/>
      <c r="AX13" s="68" t="n">
        <v>0</v>
      </c>
      <c r="AY13" s="68" t="n">
        <v>2</v>
      </c>
      <c r="AZ13" s="69"/>
      <c r="BA13" s="122" t="n">
        <v>45799</v>
      </c>
      <c r="BB13" s="71" t="n">
        <v>10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45836</v>
      </c>
      <c r="BG13" s="71" t="n">
        <v>30</v>
      </c>
      <c r="BH13" s="68" t="n">
        <v>3</v>
      </c>
      <c r="BI13" s="50"/>
      <c r="BJ13" s="75" t="n">
        <f aca="false">SUM(X13,AD13,AJ13,AP13,AV13,AX13:AY13,BH13,BB13,BG13)</f>
        <v>93.5</v>
      </c>
      <c r="BK13" s="73" t="str">
        <f aca="false">IF(BJ13&gt;90,"A",IF(BJ13&gt;83,"B",IF(BJ13&gt;74,"C",IF(BJ13&gt;67,"D",IF(BJ13&gt;=60,"E","FX")))))</f>
        <v>A</v>
      </c>
    </row>
    <row r="14" customFormat="false" ht="15.75" hidden="false" customHeight="false" outlineLevel="0" collapsed="false">
      <c r="A14" s="59" t="n">
        <f aca="false">A13+1</f>
        <v>12</v>
      </c>
      <c r="B14" s="121" t="s">
        <v>501</v>
      </c>
      <c r="C14" s="61" t="s">
        <v>279</v>
      </c>
      <c r="D14" s="66" t="s">
        <v>500</v>
      </c>
      <c r="E14" s="62"/>
      <c r="F14" s="63"/>
      <c r="G14" s="63" t="s">
        <v>738</v>
      </c>
      <c r="H14" s="63" t="s">
        <v>734</v>
      </c>
      <c r="I14" s="63" t="s">
        <v>734</v>
      </c>
      <c r="J14" s="63" t="s">
        <v>734</v>
      </c>
      <c r="K14" s="63" t="s">
        <v>734</v>
      </c>
      <c r="L14" s="63" t="s">
        <v>734</v>
      </c>
      <c r="M14" s="63" t="s">
        <v>734</v>
      </c>
      <c r="N14" s="64"/>
      <c r="O14" s="64"/>
      <c r="P14" s="64"/>
      <c r="Q14" s="64"/>
      <c r="R14" s="64"/>
      <c r="S14" s="65"/>
      <c r="T14" s="66" t="s">
        <v>783</v>
      </c>
      <c r="U14" s="122" t="n">
        <v>45714</v>
      </c>
      <c r="V14" s="67" t="n">
        <v>45734</v>
      </c>
      <c r="W14" s="67" t="n">
        <v>45828</v>
      </c>
      <c r="X14" s="68" t="n">
        <v>8.5</v>
      </c>
      <c r="Y14" s="69"/>
      <c r="Z14" s="70" t="n">
        <v>86859</v>
      </c>
      <c r="AA14" s="122" t="n">
        <v>45742</v>
      </c>
      <c r="AB14" s="67" t="n">
        <v>45742</v>
      </c>
      <c r="AC14" s="67" t="n">
        <v>45798</v>
      </c>
      <c r="AD14" s="68" t="n">
        <v>8.5</v>
      </c>
      <c r="AE14" s="69"/>
      <c r="AF14" s="70" t="n">
        <v>57567</v>
      </c>
      <c r="AG14" s="122" t="n">
        <v>45770</v>
      </c>
      <c r="AH14" s="122" t="n">
        <v>45784</v>
      </c>
      <c r="AI14" s="122" t="n">
        <v>45828</v>
      </c>
      <c r="AJ14" s="68" t="n">
        <v>8.5</v>
      </c>
      <c r="AK14" s="69"/>
      <c r="AL14" s="70" t="n">
        <v>46385</v>
      </c>
      <c r="AM14" s="122" t="n">
        <v>45790</v>
      </c>
      <c r="AN14" s="122" t="n">
        <v>45797</v>
      </c>
      <c r="AO14" s="122" t="n">
        <v>45828</v>
      </c>
      <c r="AP14" s="68" t="n">
        <v>7.5</v>
      </c>
      <c r="AQ14" s="69"/>
      <c r="AR14" s="70" t="n">
        <v>35775</v>
      </c>
      <c r="AS14" s="122" t="n">
        <v>45819</v>
      </c>
      <c r="AT14" s="122" t="n">
        <v>45828</v>
      </c>
      <c r="AU14" s="122" t="n">
        <v>45828</v>
      </c>
      <c r="AV14" s="68" t="n">
        <v>6</v>
      </c>
      <c r="AW14" s="69"/>
      <c r="AX14" s="68" t="n">
        <v>0</v>
      </c>
      <c r="AY14" s="68" t="n">
        <v>1</v>
      </c>
      <c r="AZ14" s="69"/>
      <c r="BA14" s="122" t="n">
        <v>45828</v>
      </c>
      <c r="BB14" s="71" t="n">
        <v>7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45836</v>
      </c>
      <c r="BG14" s="71" t="n">
        <v>26.1</v>
      </c>
      <c r="BH14" s="68" t="n">
        <v>1</v>
      </c>
      <c r="BI14" s="50"/>
      <c r="BJ14" s="75" t="n">
        <f aca="false">SUM(X14,AD14,AJ14,AP14,AV14,AX14:AY14,BH14,BB14,BG14)</f>
        <v>74.1</v>
      </c>
      <c r="BK14" s="73" t="str">
        <f aca="false">IF(BJ14&gt;90,"A",IF(BJ14&gt;83,"B",IF(BJ14&gt;74,"C",IF(BJ14&gt;67,"D",IF(BJ14&gt;=60,"E","FX")))))</f>
        <v>C</v>
      </c>
    </row>
    <row r="15" customFormat="false" ht="15.75" hidden="false" customHeight="false" outlineLevel="0" collapsed="false">
      <c r="A15" s="59" t="n">
        <f aca="false">A14+1</f>
        <v>13</v>
      </c>
      <c r="B15" s="121" t="s">
        <v>525</v>
      </c>
      <c r="C15" s="61" t="s">
        <v>279</v>
      </c>
      <c r="D15" s="66" t="s">
        <v>524</v>
      </c>
      <c r="E15" s="62"/>
      <c r="F15" s="63"/>
      <c r="G15" s="63" t="s">
        <v>739</v>
      </c>
      <c r="H15" s="63" t="s">
        <v>734</v>
      </c>
      <c r="I15" s="63" t="s">
        <v>734</v>
      </c>
      <c r="J15" s="63" t="s">
        <v>734</v>
      </c>
      <c r="K15" s="63" t="s">
        <v>734</v>
      </c>
      <c r="L15" s="63" t="s">
        <v>734</v>
      </c>
      <c r="M15" s="63" t="s">
        <v>734</v>
      </c>
      <c r="N15" s="64"/>
      <c r="O15" s="64"/>
      <c r="P15" s="64"/>
      <c r="Q15" s="64"/>
      <c r="R15" s="64"/>
      <c r="S15" s="65"/>
      <c r="T15" s="66" t="s">
        <v>784</v>
      </c>
      <c r="U15" s="122" t="n">
        <v>45714</v>
      </c>
      <c r="V15" s="67" t="n">
        <v>45714</v>
      </c>
      <c r="W15" s="124" t="n">
        <v>45728</v>
      </c>
      <c r="X15" s="68" t="n">
        <v>10</v>
      </c>
      <c r="Y15" s="69"/>
      <c r="Z15" s="70" t="n">
        <v>86565</v>
      </c>
      <c r="AA15" s="124" t="n">
        <v>45728</v>
      </c>
      <c r="AB15" s="67" t="n">
        <v>45742</v>
      </c>
      <c r="AC15" s="67" t="n">
        <v>45784</v>
      </c>
      <c r="AD15" s="70" t="n">
        <v>9.5</v>
      </c>
      <c r="AE15" s="69"/>
      <c r="AF15" s="70" t="n">
        <v>58688</v>
      </c>
      <c r="AG15" s="122" t="n">
        <v>45770</v>
      </c>
      <c r="AH15" s="122" t="n">
        <v>45819</v>
      </c>
      <c r="AI15" s="122" t="n">
        <v>45819</v>
      </c>
      <c r="AJ15" s="68" t="n">
        <v>9.5</v>
      </c>
      <c r="AK15" s="69"/>
      <c r="AL15" s="70" t="n">
        <v>46889</v>
      </c>
      <c r="AM15" s="122" t="n">
        <v>45798</v>
      </c>
      <c r="AN15" s="122" t="n">
        <v>45828</v>
      </c>
      <c r="AO15" s="122" t="n">
        <v>45828</v>
      </c>
      <c r="AP15" s="68" t="n">
        <v>10</v>
      </c>
      <c r="AQ15" s="69"/>
      <c r="AR15" s="70" t="n">
        <v>28658</v>
      </c>
      <c r="AS15" s="122" t="n">
        <v>45828</v>
      </c>
      <c r="AT15" s="122" t="n">
        <v>45819</v>
      </c>
      <c r="AU15" s="122" t="n">
        <v>46184</v>
      </c>
      <c r="AV15" s="68" t="n">
        <v>10</v>
      </c>
      <c r="AW15" s="69"/>
      <c r="AX15" s="68" t="n">
        <v>3</v>
      </c>
      <c r="AY15" s="68" t="n">
        <v>1</v>
      </c>
      <c r="AZ15" s="69"/>
      <c r="BA15" s="122" t="n">
        <v>45799</v>
      </c>
      <c r="BB15" s="71" t="n">
        <v>9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45836</v>
      </c>
      <c r="BG15" s="71" t="n">
        <v>29</v>
      </c>
      <c r="BH15" s="68"/>
      <c r="BI15" s="50"/>
      <c r="BJ15" s="75" t="n">
        <f aca="false">SUM(X15,AD15,AJ15,AP15,AV15,AX15:AY15,BH15,BB15,BG15)</f>
        <v>91</v>
      </c>
      <c r="BK15" s="73" t="str">
        <f aca="false">IF(BJ15&gt;90,"A",IF(BJ15&gt;83,"B",IF(BJ15&gt;74,"C",IF(BJ15&gt;67,"D",IF(BJ15&gt;=60,"E","FX")))))</f>
        <v>A</v>
      </c>
    </row>
    <row r="16" customFormat="false" ht="15.75" hidden="false" customHeight="false" outlineLevel="0" collapsed="false">
      <c r="A16" s="59" t="n">
        <f aca="false">A15+1</f>
        <v>14</v>
      </c>
      <c r="B16" s="121" t="s">
        <v>569</v>
      </c>
      <c r="C16" s="61" t="s">
        <v>279</v>
      </c>
      <c r="D16" s="66" t="s">
        <v>568</v>
      </c>
      <c r="E16" s="62"/>
      <c r="F16" s="63"/>
      <c r="G16" s="63" t="s">
        <v>738</v>
      </c>
      <c r="H16" s="63" t="s">
        <v>734</v>
      </c>
      <c r="I16" s="63"/>
      <c r="J16" s="63" t="s">
        <v>734</v>
      </c>
      <c r="K16" s="63"/>
      <c r="L16" s="63" t="s">
        <v>734</v>
      </c>
      <c r="M16" s="63" t="s">
        <v>734</v>
      </c>
      <c r="N16" s="64"/>
      <c r="O16" s="64"/>
      <c r="P16" s="64"/>
      <c r="Q16" s="64"/>
      <c r="R16" s="64"/>
      <c r="S16" s="65"/>
      <c r="T16" s="66" t="s">
        <v>785</v>
      </c>
      <c r="U16" s="122" t="n">
        <v>45714</v>
      </c>
      <c r="V16" s="122" t="n">
        <v>45714</v>
      </c>
      <c r="W16" s="67" t="n">
        <v>45728</v>
      </c>
      <c r="X16" s="70" t="n">
        <v>10</v>
      </c>
      <c r="Y16" s="69"/>
      <c r="Z16" s="70" t="n">
        <v>46610</v>
      </c>
      <c r="AA16" s="123" t="n">
        <v>45728</v>
      </c>
      <c r="AB16" s="67" t="n">
        <v>45742</v>
      </c>
      <c r="AC16" s="67" t="n">
        <v>45784</v>
      </c>
      <c r="AD16" s="68" t="n">
        <v>10</v>
      </c>
      <c r="AE16" s="69"/>
      <c r="AF16" s="70" t="n">
        <v>56853</v>
      </c>
      <c r="AG16" s="122" t="n">
        <v>45770</v>
      </c>
      <c r="AH16" s="122" t="n">
        <v>45784</v>
      </c>
      <c r="AI16" s="122" t="n">
        <v>45819</v>
      </c>
      <c r="AJ16" s="68" t="n">
        <v>9.5</v>
      </c>
      <c r="AK16" s="69"/>
      <c r="AL16" s="70" t="n">
        <v>42856</v>
      </c>
      <c r="AM16" s="122" t="n">
        <v>45798</v>
      </c>
      <c r="AN16" s="122" t="n">
        <v>45798</v>
      </c>
      <c r="AO16" s="122" t="n">
        <v>45798</v>
      </c>
      <c r="AP16" s="68" t="n">
        <v>10</v>
      </c>
      <c r="AQ16" s="69"/>
      <c r="AR16" s="70" t="n">
        <v>24649</v>
      </c>
      <c r="AS16" s="122" t="n">
        <v>45819</v>
      </c>
      <c r="AT16" s="122" t="n">
        <v>45819</v>
      </c>
      <c r="AU16" s="122" t="n">
        <v>45819</v>
      </c>
      <c r="AV16" s="68" t="n">
        <v>10</v>
      </c>
      <c r="AW16" s="69"/>
      <c r="AX16" s="68" t="n">
        <v>2</v>
      </c>
      <c r="AY16" s="68" t="n">
        <v>1</v>
      </c>
      <c r="AZ16" s="69"/>
      <c r="BA16" s="122" t="n">
        <v>45799</v>
      </c>
      <c r="BB16" s="71" t="n">
        <v>10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45836</v>
      </c>
      <c r="BG16" s="71" t="n">
        <v>30</v>
      </c>
      <c r="BH16" s="68"/>
      <c r="BI16" s="50"/>
      <c r="BJ16" s="126" t="n">
        <f aca="false">SUM(X16,AD16,AJ16,AP16,AV16,AX16:AY16,BH16,BB16,BG16)</f>
        <v>92.5</v>
      </c>
      <c r="BK16" s="73" t="str">
        <f aca="false">IF(BJ16&gt;90,"A",IF(BJ16&gt;83,"B",IF(BJ16&gt;74,"C",IF(BJ16&gt;67,"D",IF(BJ16&gt;=60,"E","FX")))))</f>
        <v>A</v>
      </c>
    </row>
    <row r="17" customFormat="false" ht="15.75" hidden="false" customHeight="false" outlineLevel="0" collapsed="false">
      <c r="A17" s="59" t="n">
        <f aca="false">A16+1</f>
        <v>15</v>
      </c>
      <c r="B17" s="121" t="s">
        <v>589</v>
      </c>
      <c r="C17" s="61" t="s">
        <v>279</v>
      </c>
      <c r="D17" s="66" t="s">
        <v>588</v>
      </c>
      <c r="E17" s="62"/>
      <c r="F17" s="63"/>
      <c r="G17" s="63" t="s">
        <v>739</v>
      </c>
      <c r="H17" s="63" t="s">
        <v>734</v>
      </c>
      <c r="I17" s="63"/>
      <c r="J17" s="63" t="s">
        <v>734</v>
      </c>
      <c r="K17" s="63" t="s">
        <v>734</v>
      </c>
      <c r="L17" s="63" t="s">
        <v>734</v>
      </c>
      <c r="M17" s="63" t="s">
        <v>734</v>
      </c>
      <c r="N17" s="64"/>
      <c r="O17" s="64"/>
      <c r="P17" s="64"/>
      <c r="Q17" s="64"/>
      <c r="R17" s="64"/>
      <c r="S17" s="65"/>
      <c r="T17" s="66" t="s">
        <v>786</v>
      </c>
      <c r="U17" s="122" t="n">
        <v>45714</v>
      </c>
      <c r="V17" s="67" t="n">
        <v>45784</v>
      </c>
      <c r="W17" s="67" t="n">
        <v>45784</v>
      </c>
      <c r="X17" s="70" t="n">
        <v>8.5</v>
      </c>
      <c r="Y17" s="69"/>
      <c r="Z17" s="70" t="n">
        <v>76794</v>
      </c>
      <c r="AA17" s="124" t="n">
        <v>45728</v>
      </c>
      <c r="AB17" s="67" t="n">
        <v>45770</v>
      </c>
      <c r="AC17" s="67" t="n">
        <v>45798</v>
      </c>
      <c r="AD17" s="68" t="n">
        <v>9</v>
      </c>
      <c r="AE17" s="69"/>
      <c r="AF17" s="70" t="n">
        <v>42539</v>
      </c>
      <c r="AG17" s="122" t="n">
        <v>45784</v>
      </c>
      <c r="AH17" s="122" t="n">
        <v>45788</v>
      </c>
      <c r="AI17" s="122" t="n">
        <v>45828</v>
      </c>
      <c r="AJ17" s="68" t="n">
        <v>8.5</v>
      </c>
      <c r="AK17" s="69"/>
      <c r="AL17" s="70" t="n">
        <v>53685</v>
      </c>
      <c r="AM17" s="122" t="n">
        <v>45819</v>
      </c>
      <c r="AN17" s="122" t="n">
        <v>45828</v>
      </c>
      <c r="AO17" s="122" t="n">
        <v>45828</v>
      </c>
      <c r="AP17" s="68" t="n">
        <v>6</v>
      </c>
      <c r="AQ17" s="69"/>
      <c r="AR17" s="70"/>
      <c r="AS17" s="70"/>
      <c r="AT17" s="70"/>
      <c r="AU17" s="70"/>
      <c r="AV17" s="68"/>
      <c r="AW17" s="69"/>
      <c r="AX17" s="68"/>
      <c r="AY17" s="68" t="n">
        <v>1</v>
      </c>
      <c r="AZ17" s="69"/>
      <c r="BA17" s="122" t="n">
        <v>45799</v>
      </c>
      <c r="BB17" s="71" t="n">
        <v>6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45836</v>
      </c>
      <c r="BG17" s="71" t="n">
        <v>29</v>
      </c>
      <c r="BH17" s="68"/>
      <c r="BI17" s="50"/>
      <c r="BJ17" s="126" t="n">
        <f aca="false">SUM(X17,AD17,AJ17,AP17,AV17,AX17:AY17,BH17,BB17,BG17)</f>
        <v>68</v>
      </c>
      <c r="BK17" s="73" t="str">
        <f aca="false">IF(BJ17&gt;90,"A",IF(BJ17&gt;83,"B",IF(BJ17&gt;74,"C",IF(BJ17&gt;67,"D",IF(BJ17&gt;=60,"E","FX")))))</f>
        <v>D</v>
      </c>
    </row>
    <row r="18" customFormat="false" ht="15.75" hidden="false" customHeight="false" outlineLevel="0" collapsed="false">
      <c r="A18" s="59" t="n">
        <f aca="false">A17+1</f>
        <v>16</v>
      </c>
      <c r="B18" s="121" t="s">
        <v>619</v>
      </c>
      <c r="C18" s="61" t="s">
        <v>279</v>
      </c>
      <c r="D18" s="66" t="s">
        <v>618</v>
      </c>
      <c r="E18" s="62"/>
      <c r="F18" s="63"/>
      <c r="G18" s="63" t="s">
        <v>739</v>
      </c>
      <c r="H18" s="63" t="s">
        <v>735</v>
      </c>
      <c r="I18" s="63" t="s">
        <v>734</v>
      </c>
      <c r="J18" s="63" t="s">
        <v>734</v>
      </c>
      <c r="K18" s="63" t="s">
        <v>734</v>
      </c>
      <c r="L18" s="63" t="s">
        <v>734</v>
      </c>
      <c r="M18" s="63"/>
      <c r="N18" s="64"/>
      <c r="O18" s="64"/>
      <c r="P18" s="64"/>
      <c r="Q18" s="64"/>
      <c r="R18" s="64"/>
      <c r="S18" s="65"/>
      <c r="T18" s="66" t="s">
        <v>787</v>
      </c>
      <c r="U18" s="122" t="n">
        <v>45714</v>
      </c>
      <c r="V18" s="67" t="n">
        <v>45714</v>
      </c>
      <c r="W18" s="67" t="n">
        <v>45770</v>
      </c>
      <c r="X18" s="68" t="n">
        <v>10</v>
      </c>
      <c r="Y18" s="69"/>
      <c r="Z18" s="70" t="n">
        <v>84667</v>
      </c>
      <c r="AA18" s="67" t="n">
        <v>45742</v>
      </c>
      <c r="AB18" s="67" t="n">
        <v>45784</v>
      </c>
      <c r="AC18" s="67" t="n">
        <v>45784</v>
      </c>
      <c r="AD18" s="68" t="n">
        <v>10</v>
      </c>
      <c r="AE18" s="69"/>
      <c r="AF18" s="70" t="n">
        <v>75663</v>
      </c>
      <c r="AG18" s="122" t="n">
        <v>45798</v>
      </c>
      <c r="AH18" s="122" t="n">
        <v>45828</v>
      </c>
      <c r="AI18" s="122" t="n">
        <v>45828</v>
      </c>
      <c r="AJ18" s="68" t="n">
        <v>8</v>
      </c>
      <c r="AK18" s="69"/>
      <c r="AL18" s="70" t="n">
        <v>28658</v>
      </c>
      <c r="AM18" s="122" t="n">
        <v>45828</v>
      </c>
      <c r="AN18" s="122" t="n">
        <v>45828</v>
      </c>
      <c r="AO18" s="122" t="n">
        <v>45828</v>
      </c>
      <c r="AP18" s="68" t="n">
        <v>6</v>
      </c>
      <c r="AQ18" s="69"/>
      <c r="AR18" s="70"/>
      <c r="AS18" s="70"/>
      <c r="AT18" s="70"/>
      <c r="AU18" s="70"/>
      <c r="AV18" s="68"/>
      <c r="AW18" s="69"/>
      <c r="AX18" s="68" t="n">
        <v>2</v>
      </c>
      <c r="AY18" s="68"/>
      <c r="AZ18" s="69"/>
      <c r="BA18" s="122" t="n">
        <v>45799</v>
      </c>
      <c r="BB18" s="71" t="n">
        <v>10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45836</v>
      </c>
      <c r="BG18" s="71" t="n">
        <v>25.1</v>
      </c>
      <c r="BH18" s="68" t="n">
        <v>3</v>
      </c>
      <c r="BI18" s="50"/>
      <c r="BJ18" s="75" t="n">
        <f aca="false">SUM(X18,AD18,AJ18,AP18,AV18,AX18:AY18,BH18,BB18,BG18)</f>
        <v>74.1</v>
      </c>
      <c r="BK18" s="73" t="str">
        <f aca="false">IF(BJ18&gt;90,"A",IF(BJ18&gt;83,"B",IF(BJ18&gt;74,"C",IF(BJ18&gt;67,"D",IF(BJ18&gt;=60,"E","FX")))))</f>
        <v>C</v>
      </c>
    </row>
    <row r="19" customFormat="false" ht="15.75" hidden="false" customHeight="false" outlineLevel="0" collapsed="false">
      <c r="A19" s="59" t="n">
        <f aca="false">A18+1</f>
        <v>17</v>
      </c>
      <c r="B19" s="121" t="s">
        <v>647</v>
      </c>
      <c r="C19" s="61" t="s">
        <v>279</v>
      </c>
      <c r="D19" s="66" t="s">
        <v>646</v>
      </c>
      <c r="E19" s="62"/>
      <c r="F19" s="63"/>
      <c r="G19" s="63" t="s">
        <v>739</v>
      </c>
      <c r="H19" s="63" t="s">
        <v>734</v>
      </c>
      <c r="I19" s="63"/>
      <c r="J19" s="63"/>
      <c r="K19" s="63"/>
      <c r="L19" s="63" t="s">
        <v>734</v>
      </c>
      <c r="M19" s="63" t="s">
        <v>734</v>
      </c>
      <c r="N19" s="64"/>
      <c r="O19" s="64"/>
      <c r="P19" s="64"/>
      <c r="Q19" s="64"/>
      <c r="R19" s="64"/>
      <c r="S19" s="65"/>
      <c r="T19" s="66" t="s">
        <v>788</v>
      </c>
      <c r="U19" s="122" t="n">
        <v>45714</v>
      </c>
      <c r="V19" s="123" t="n">
        <v>45728</v>
      </c>
      <c r="W19" s="67" t="n">
        <v>45828</v>
      </c>
      <c r="X19" s="68" t="n">
        <v>6</v>
      </c>
      <c r="Y19" s="69"/>
      <c r="Z19" s="70" t="n">
        <v>94640</v>
      </c>
      <c r="AA19" s="123" t="n">
        <v>45728</v>
      </c>
      <c r="AB19" s="122" t="n">
        <v>45798</v>
      </c>
      <c r="AC19" s="67" t="n">
        <v>45828</v>
      </c>
      <c r="AD19" s="68" t="n">
        <v>7.5</v>
      </c>
      <c r="AE19" s="69"/>
      <c r="AF19" s="70" t="n">
        <v>58645</v>
      </c>
      <c r="AG19" s="106" t="n">
        <v>45776</v>
      </c>
      <c r="AH19" s="122" t="n">
        <v>45828</v>
      </c>
      <c r="AI19" s="122" t="n">
        <v>45828</v>
      </c>
      <c r="AJ19" s="68" t="n">
        <v>6</v>
      </c>
      <c r="AK19" s="69"/>
      <c r="AL19" s="70" t="n">
        <v>48858</v>
      </c>
      <c r="AM19" s="122" t="n">
        <v>45828</v>
      </c>
      <c r="AN19" s="122" t="n">
        <v>45828</v>
      </c>
      <c r="AO19" s="122" t="n">
        <v>45828</v>
      </c>
      <c r="AP19" s="68" t="n">
        <v>6</v>
      </c>
      <c r="AQ19" s="69"/>
      <c r="AR19" s="70"/>
      <c r="AS19" s="70"/>
      <c r="AT19" s="70"/>
      <c r="AU19" s="70"/>
      <c r="AV19" s="68"/>
      <c r="AW19" s="69"/>
      <c r="AX19" s="68"/>
      <c r="AY19" s="68" t="n">
        <v>0</v>
      </c>
      <c r="AZ19" s="69"/>
      <c r="BA19" s="122" t="n">
        <v>45799</v>
      </c>
      <c r="BB19" s="71" t="n">
        <v>7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45836</v>
      </c>
      <c r="BG19" s="71" t="n">
        <v>0</v>
      </c>
      <c r="BH19" s="68"/>
      <c r="BI19" s="50"/>
      <c r="BJ19" s="75" t="n">
        <f aca="false">SUM(X19,AD19,AJ19,AP19,AV19,AX19:AY19,BH19,BB19,BG19)</f>
        <v>32.5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18</v>
      </c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/>
      <c r="H20" s="63"/>
      <c r="I20" s="63"/>
      <c r="J20" s="63"/>
      <c r="K20" s="63"/>
      <c r="L20" s="63"/>
      <c r="M20" s="63"/>
      <c r="N20" s="64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67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122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3" t="str">
        <f aca="false">IF(AND(BB26&gt;=6,AP26&gt;=6,AJ26&gt;=6,AD26&gt;=6,X26&gt;=6),"да","нет")</f>
        <v>нет</v>
      </c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COUNTIF(F$3:F$22, "~**")</f>
        <v>0</v>
      </c>
      <c r="G27" s="70" t="n">
        <f aca="false">COUNTIF(G$3:G$22, "~**")</f>
        <v>8</v>
      </c>
      <c r="H27" s="70" t="n">
        <f aca="false">COUNTIF(H$3:H$22, "~**")</f>
        <v>7</v>
      </c>
      <c r="I27" s="70" t="n">
        <f aca="false">COUNTIF(I$3:I$22, "~**")</f>
        <v>7</v>
      </c>
      <c r="J27" s="70" t="n">
        <f aca="false">COUNTIF(J$3:J$22, "~**")</f>
        <v>11</v>
      </c>
      <c r="K27" s="70" t="n">
        <f aca="false">COUNTIF(K$3:K$22, "~**")</f>
        <v>10</v>
      </c>
      <c r="L27" s="70" t="n">
        <f aca="false">COUNTIF(L$3:L$22, "~**")</f>
        <v>12</v>
      </c>
      <c r="M27" s="70" t="n">
        <f aca="false">COUNTIF(M$3:M$22, "~**")</f>
        <v>10</v>
      </c>
      <c r="N27" s="70" t="n">
        <f aca="false">COUNTIF(N$3:N$22, "~**")</f>
        <v>1</v>
      </c>
      <c r="O27" s="70"/>
      <c r="P27" s="70"/>
      <c r="Q27" s="70" t="n">
        <f aca="false">COUNTIF(Q$3:Q$22, "~**")</f>
        <v>0</v>
      </c>
      <c r="R27" s="70" t="n">
        <f aca="false">COUNTIF(R$3:R$22,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COUNTIF(F$3:F$22, "~**")+COUNTIF(F$3:F$22, "Y")</f>
        <v>0</v>
      </c>
      <c r="G28" s="70" t="n">
        <f aca="false">COUNTIF(G$3:G$22, "~**")+COUNTIF(G$3:G$22, "Y")</f>
        <v>8</v>
      </c>
      <c r="H28" s="70" t="n">
        <f aca="false">COUNTIF(H$3:H$22, "~**")+COUNTIF(H$3:H$22, "Y")</f>
        <v>7</v>
      </c>
      <c r="I28" s="70" t="n">
        <f aca="false">COUNTIF(I$3:I$22, "~**")+COUNTIF(I$3:I$22, "Y")</f>
        <v>8</v>
      </c>
      <c r="J28" s="70" t="n">
        <f aca="false">COUNTIF(J$3:J$22, "~**")+COUNTIF(J$3:J$22, "Y")</f>
        <v>11</v>
      </c>
      <c r="K28" s="70" t="n">
        <f aca="false">COUNTIF(K$3:K$22, "~**")+COUNTIF(K$3:K$22, "Y")</f>
        <v>10</v>
      </c>
      <c r="L28" s="70" t="n">
        <f aca="false">COUNTIF(L$3:L$22, "~**")+COUNTIF(L$3:L$22, "Y")</f>
        <v>12</v>
      </c>
      <c r="M28" s="70" t="n">
        <f aca="false">COUNTIF(M$3:M$22, "~**")+COUNTIF(M$3:M$22, "Y")</f>
        <v>10</v>
      </c>
      <c r="N28" s="70" t="n">
        <f aca="false">COUNTIF(N$3:N$22, "~**")+COUNTIF(N$3:N$22, "Y")</f>
        <v>1</v>
      </c>
      <c r="O28" s="70"/>
      <c r="P28" s="70"/>
      <c r="Q28" s="70" t="n">
        <f aca="false">COUNTIF(Q$3:Q$22, "~**")+COUNTIF(Q$3:Q$22, "Y")</f>
        <v>0</v>
      </c>
      <c r="R28" s="70" t="n">
        <f aca="false">COUNTIF(R$3:R$22, "~**")+COUNTIF(R$3:R$22,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12</v>
      </c>
      <c r="W30" s="44" t="n">
        <f aca="false">COUNT(W3:W25)</f>
        <v>12</v>
      </c>
      <c r="X30" s="44" t="n">
        <f aca="false">COUNT(X3:X25)</f>
        <v>12</v>
      </c>
      <c r="Y30" s="77"/>
      <c r="Z30" s="44"/>
      <c r="AA30" s="44" t="n">
        <f aca="false">COUNT(AA3:AA25)</f>
        <v>12</v>
      </c>
      <c r="AB30" s="44" t="n">
        <f aca="false">COUNT(AB3:AB25)</f>
        <v>11</v>
      </c>
      <c r="AC30" s="44" t="n">
        <f aca="false">COUNT(AC3:AC25)</f>
        <v>11</v>
      </c>
      <c r="AD30" s="44" t="n">
        <f aca="false">COUNT(AD3:AD25)</f>
        <v>11</v>
      </c>
      <c r="AE30" s="77"/>
      <c r="AF30" s="44"/>
      <c r="AG30" s="44" t="n">
        <f aca="false">COUNT(AG3:AG25)</f>
        <v>11</v>
      </c>
      <c r="AH30" s="44" t="n">
        <f aca="false">COUNT(AH3:AH25)</f>
        <v>11</v>
      </c>
      <c r="AI30" s="44" t="n">
        <f aca="false">COUNT(AI3:AI25)</f>
        <v>11</v>
      </c>
      <c r="AJ30" s="44" t="n">
        <f aca="false">COUNT(AJ3:AJ25)</f>
        <v>11</v>
      </c>
      <c r="AK30" s="77"/>
      <c r="AL30" s="44"/>
      <c r="AM30" s="44" t="n">
        <f aca="false">COUNT(AM3:AM25)</f>
        <v>11</v>
      </c>
      <c r="AN30" s="44" t="n">
        <f aca="false">COUNT(AN3:AN25)</f>
        <v>11</v>
      </c>
      <c r="AO30" s="44" t="n">
        <f aca="false">COUNT(AO3:AO25)</f>
        <v>11</v>
      </c>
      <c r="AP30" s="44" t="n">
        <f aca="false">COUNT(AP3:AP25)</f>
        <v>11</v>
      </c>
      <c r="AQ30" s="77"/>
      <c r="AR30" s="44"/>
      <c r="AS30" s="44" t="n">
        <f aca="false">COUNT(AS3:AS25)</f>
        <v>7</v>
      </c>
      <c r="AT30" s="44" t="n">
        <f aca="false">COUNT(AT3:AT25)</f>
        <v>7</v>
      </c>
      <c r="AU30" s="44" t="n">
        <f aca="false">COUNT(AU3:AU25)</f>
        <v>7</v>
      </c>
      <c r="AV30" s="44" t="n">
        <f aca="false">COUNT(AV3:AV25)</f>
        <v>7</v>
      </c>
      <c r="AW30" s="77"/>
      <c r="AX30" s="44" t="n">
        <f aca="false">COUNT(AX3:AX25)</f>
        <v>8</v>
      </c>
      <c r="AY30" s="44" t="n">
        <f aca="false">COUNT(AY3:AY25)</f>
        <v>9</v>
      </c>
      <c r="AZ30" s="77"/>
      <c r="BA30" s="44"/>
      <c r="BB30" s="44" t="n">
        <f aca="false">COUNTIF(BB3:BB25, "&gt;=6")</f>
        <v>12</v>
      </c>
      <c r="BC30" s="77"/>
      <c r="BD30" s="44" t="n">
        <f aca="false">COUNTIF(BD3:BD25, "Да")</f>
        <v>11</v>
      </c>
      <c r="BE30" s="77"/>
      <c r="BF30" s="44"/>
      <c r="BG30" s="44" t="n">
        <f aca="false">COUNT(BG3:BG25)</f>
        <v>10</v>
      </c>
      <c r="BH30" s="44" t="n">
        <f aca="false">COUNT(BH3:BH25)</f>
        <v>4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95" t="n">
        <f aca="false">IF(COUNTA($B$3:$B$22)&gt;0,COUNTA(X$3:X$22)/COUNTA($B$3:$B$22), 0)</f>
        <v>0.6</v>
      </c>
      <c r="Y31" s="96"/>
      <c r="Z31" s="93"/>
      <c r="AA31" s="93"/>
      <c r="AB31" s="93"/>
      <c r="AC31" s="93"/>
      <c r="AD31" s="95" t="n">
        <f aca="false">IF(COUNTA($B$3:$B$22)&gt;0,COUNTA(AD$3:AD$22)/COUNTA($B$3:$B$22), 0)</f>
        <v>0.55</v>
      </c>
      <c r="AE31" s="97"/>
      <c r="AF31" s="98"/>
      <c r="AG31" s="93"/>
      <c r="AH31" s="98"/>
      <c r="AI31" s="93"/>
      <c r="AJ31" s="95" t="n">
        <f aca="false">IF(COUNTA($B$3:$B$22)&gt;0,COUNTA(AJ$3:AJ$22)/COUNTA($B$3:$B$22), 0)</f>
        <v>0.55</v>
      </c>
      <c r="AK31" s="96"/>
      <c r="AL31" s="93"/>
      <c r="AM31" s="93"/>
      <c r="AN31" s="93"/>
      <c r="AO31" s="93"/>
      <c r="AP31" s="95" t="n">
        <f aca="false">IF(COUNTA($B$3:$B$22)&gt;0,COUNTA(AP$3:AP$22)/COUNTA($B$3:$B$22), 0)</f>
        <v>0.55</v>
      </c>
      <c r="AQ31" s="96"/>
      <c r="AR31" s="93"/>
      <c r="AS31" s="93"/>
      <c r="AT31" s="93"/>
      <c r="AU31" s="93"/>
      <c r="AV31" s="95" t="n">
        <f aca="false">IF(COUNTA($B$3:$B$22)&gt;0,COUNTA(AV$3:AV$22)/COUNTA($B$3:$B$22), 0)</f>
        <v>0.35</v>
      </c>
      <c r="AW31" s="99"/>
      <c r="AX31" s="100"/>
      <c r="AY31" s="100"/>
      <c r="AZ31" s="99"/>
      <c r="BA31" s="100"/>
      <c r="BB31" s="95" t="n">
        <f aca="false">IF(COUNTA($B$3:$B$22)&gt;0,COUNTA(BB$3:BB$22)/COUNTA($B$3:$B$22), 0)</f>
        <v>0.6</v>
      </c>
      <c r="BC31" s="77"/>
      <c r="BD31" s="44" t="n">
        <f aca="false">COUNTIF(BD3:BD25, "Да")</f>
        <v>11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">
    <cfRule type="expression" priority="2" aboveAverage="0" equalAverage="0" bottom="0" percent="0" rank="0" text="" dxfId="2">
      <formula>U3&gt;45809</formula>
    </cfRule>
  </conditionalFormatting>
  <conditionalFormatting sqref="BC3:BC25 BD3:BD26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hyperlinks>
    <hyperlink ref="B3" r:id="rId2" display="Добрышкин Владимир Александрович"/>
    <hyperlink ref="B4" r:id="rId3" display="Клеева Ульяна Сергеевна"/>
    <hyperlink ref="B5" r:id="rId4" display="Корепанов Олег Сергеевич"/>
    <hyperlink ref="B6" r:id="rId5" display="Кудрявцев Матвей Иванович"/>
    <hyperlink ref="B7" r:id="rId6" display="Логачев Владислав Алексеевич"/>
    <hyperlink ref="B8" r:id="rId7" display="Мартинес Родригес Мартин Адриан"/>
    <hyperlink ref="B9" r:id="rId8" display="Меснянкин Максим Александрович"/>
    <hyperlink ref="B10" r:id="rId9" display="Мучокочоко Этель Тиней"/>
    <hyperlink ref="B11" r:id="rId10" display="Некрасов Александр"/>
    <hyperlink ref="B13" r:id="rId11" display="Пшеничников Артём Дмитриевич"/>
    <hyperlink ref="B14" r:id="rId12" display="Радченко Алина Александровна"/>
    <hyperlink ref="B15" r:id="rId13" display="Рязанов Никита Сергеевич"/>
    <hyperlink ref="B16" r:id="rId14" display="Софьин Вячеслав Евгеньевич"/>
    <hyperlink ref="B17" r:id="rId15" display="Таратенко Алексей Вадимович"/>
    <hyperlink ref="B18" r:id="rId16" display="Хойрыш Семён Алексеевич"/>
    <hyperlink ref="B19" r:id="rId17" display="Шишкин Артём Владимирович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A853"/>
    <outlinePr summaryBelow="0"/>
    <pageSetUpPr fitToPage="false"/>
  </sheetPr>
  <dimension ref="A1:BK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B14" activeCellId="0" sqref="AB14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789</v>
      </c>
      <c r="C1" s="110" t="s">
        <v>790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45693</v>
      </c>
      <c r="G2" s="55" t="n">
        <f aca="false">F2+14</f>
        <v>45707</v>
      </c>
      <c r="H2" s="55" t="n">
        <f aca="false">G2+14</f>
        <v>45721</v>
      </c>
      <c r="I2" s="55" t="n">
        <f aca="false">H2+14</f>
        <v>45735</v>
      </c>
      <c r="J2" s="55" t="n">
        <f aca="false">I2+14</f>
        <v>45749</v>
      </c>
      <c r="K2" s="55" t="n">
        <f aca="false">J2+14</f>
        <v>45763</v>
      </c>
      <c r="L2" s="55" t="n">
        <f aca="false">K2+14</f>
        <v>45777</v>
      </c>
      <c r="M2" s="55" t="n">
        <f aca="false">L2+14</f>
        <v>45791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60" t="s">
        <v>173</v>
      </c>
      <c r="C3" s="61" t="s">
        <v>174</v>
      </c>
      <c r="D3" s="61" t="s">
        <v>172</v>
      </c>
      <c r="E3" s="62"/>
      <c r="F3" s="63" t="s">
        <v>696</v>
      </c>
      <c r="G3" s="63" t="s">
        <v>791</v>
      </c>
      <c r="H3" s="63" t="s">
        <v>791</v>
      </c>
      <c r="I3" s="63" t="s">
        <v>791</v>
      </c>
      <c r="J3" s="63" t="s">
        <v>791</v>
      </c>
      <c r="K3" s="63" t="s">
        <v>791</v>
      </c>
      <c r="L3" s="63" t="s">
        <v>791</v>
      </c>
      <c r="M3" s="63" t="s">
        <v>791</v>
      </c>
      <c r="N3" s="64"/>
      <c r="O3" s="64"/>
      <c r="P3" s="64"/>
      <c r="Q3" s="64"/>
      <c r="R3" s="64"/>
      <c r="S3" s="65"/>
      <c r="T3" s="61" t="s">
        <v>792</v>
      </c>
      <c r="U3" s="67" t="n">
        <v>45707</v>
      </c>
      <c r="V3" s="70" t="s">
        <v>793</v>
      </c>
      <c r="W3" s="67" t="n">
        <v>45707</v>
      </c>
      <c r="X3" s="68" t="n">
        <v>10</v>
      </c>
      <c r="Y3" s="69"/>
      <c r="Z3" s="70" t="n">
        <v>8313</v>
      </c>
      <c r="AA3" s="67" t="n">
        <v>45721</v>
      </c>
      <c r="AB3" s="67" t="n">
        <v>45721</v>
      </c>
      <c r="AC3" s="67" t="n">
        <v>45721</v>
      </c>
      <c r="AD3" s="70" t="n">
        <v>9.5</v>
      </c>
      <c r="AE3" s="69"/>
      <c r="AF3" s="70" t="n">
        <v>8313</v>
      </c>
      <c r="AG3" s="67" t="n">
        <v>45735</v>
      </c>
      <c r="AH3" s="106" t="n">
        <v>45749</v>
      </c>
      <c r="AI3" s="106" t="n">
        <v>45763</v>
      </c>
      <c r="AJ3" s="68" t="n">
        <v>10</v>
      </c>
      <c r="AK3" s="69"/>
      <c r="AL3" s="70" t="n">
        <v>8313</v>
      </c>
      <c r="AM3" s="106" t="n">
        <v>45777</v>
      </c>
      <c r="AN3" s="106" t="n">
        <v>45777</v>
      </c>
      <c r="AO3" s="106" t="n">
        <v>45777</v>
      </c>
      <c r="AP3" s="68" t="n">
        <v>10</v>
      </c>
      <c r="AQ3" s="69"/>
      <c r="AR3" s="70" t="n">
        <v>507</v>
      </c>
      <c r="AS3" s="106" t="n">
        <v>45791</v>
      </c>
      <c r="AT3" s="106" t="n">
        <v>45791</v>
      </c>
      <c r="AU3" s="106" t="n">
        <v>45791</v>
      </c>
      <c r="AV3" s="68" t="n">
        <v>10</v>
      </c>
      <c r="AW3" s="69"/>
      <c r="AX3" s="68" t="n">
        <v>0</v>
      </c>
      <c r="AY3" s="68" t="n">
        <v>0</v>
      </c>
      <c r="AZ3" s="69"/>
      <c r="BA3" s="106" t="n">
        <v>45799</v>
      </c>
      <c r="BB3" s="71" t="n">
        <v>10</v>
      </c>
      <c r="BC3" s="72"/>
      <c r="BD3" s="73" t="str">
        <f aca="false">IF(AND(BB3&gt;=6,AP3&gt;=6,AJ3&gt;=6,AD3&gt;=6,X3&gt;=6),"да","нет")</f>
        <v>да</v>
      </c>
      <c r="BE3" s="72"/>
      <c r="BF3" s="118" t="n">
        <v>45897</v>
      </c>
      <c r="BG3" s="71" t="n">
        <v>29</v>
      </c>
      <c r="BH3" s="68" t="n">
        <v>2</v>
      </c>
      <c r="BI3" s="50"/>
      <c r="BJ3" s="75" t="n">
        <f aca="false">SUM(X3,AD3,AJ3,AP3,AV3,AX3:AY3,BH3,BB3,BG3)</f>
        <v>90.5</v>
      </c>
      <c r="BK3" s="73" t="str">
        <f aca="false">IF(BJ3&gt;90,"A",IF(BJ3&gt;83,"B",IF(BJ3&gt;74,"C",IF(BJ3&gt;67,"D",IF(BJ3&gt;=60,"E","FX")))))</f>
        <v>A</v>
      </c>
    </row>
    <row r="4" customFormat="false" ht="15.75" hidden="false" customHeight="false" outlineLevel="0" collapsed="false">
      <c r="A4" s="59" t="n">
        <f aca="false">A3+1</f>
        <v>2</v>
      </c>
      <c r="B4" s="60" t="s">
        <v>794</v>
      </c>
      <c r="C4" s="61" t="s">
        <v>174</v>
      </c>
      <c r="D4" s="61" t="s">
        <v>795</v>
      </c>
      <c r="E4" s="62"/>
      <c r="F4" s="63" t="s">
        <v>735</v>
      </c>
      <c r="G4" s="63" t="s">
        <v>735</v>
      </c>
      <c r="H4" s="63" t="s">
        <v>735</v>
      </c>
      <c r="I4" s="63" t="s">
        <v>735</v>
      </c>
      <c r="J4" s="63" t="s">
        <v>735</v>
      </c>
      <c r="K4" s="63" t="s">
        <v>735</v>
      </c>
      <c r="L4" s="63" t="s">
        <v>735</v>
      </c>
      <c r="M4" s="63" t="s">
        <v>735</v>
      </c>
      <c r="N4" s="64"/>
      <c r="O4" s="64"/>
      <c r="P4" s="64"/>
      <c r="Q4" s="64"/>
      <c r="R4" s="64"/>
      <c r="S4" s="65"/>
      <c r="T4" s="61" t="s">
        <v>796</v>
      </c>
      <c r="U4" s="67"/>
      <c r="V4" s="67"/>
      <c r="W4" s="67"/>
      <c r="X4" s="68"/>
      <c r="Y4" s="69"/>
      <c r="Z4" s="70"/>
      <c r="AA4" s="67"/>
      <c r="AB4" s="67"/>
      <c r="AC4" s="67"/>
      <c r="AD4" s="68"/>
      <c r="AE4" s="69"/>
      <c r="AF4" s="70"/>
      <c r="AG4" s="70"/>
      <c r="AH4" s="70"/>
      <c r="AI4" s="70"/>
      <c r="AJ4" s="68"/>
      <c r="AK4" s="69"/>
      <c r="AL4" s="70"/>
      <c r="AM4" s="70"/>
      <c r="AN4" s="70"/>
      <c r="AO4" s="70"/>
      <c r="AP4" s="68"/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68" t="n">
        <v>0</v>
      </c>
      <c r="AW4" s="69"/>
      <c r="AX4" s="68"/>
      <c r="AY4" s="68"/>
      <c r="AZ4" s="69"/>
      <c r="BA4" s="123"/>
      <c r="BB4" s="71"/>
      <c r="BC4" s="72"/>
      <c r="BD4" s="73" t="str">
        <f aca="false">IF(AND(BB4&gt;=6,AP4&gt;=6,AJ4&gt;=6,AD4&gt;=6,X4&gt;=6),"да","нет")</f>
        <v>нет</v>
      </c>
      <c r="BE4" s="72"/>
      <c r="BF4" s="74"/>
      <c r="BG4" s="71"/>
      <c r="BH4" s="68"/>
      <c r="BI4" s="50"/>
      <c r="BJ4" s="75" t="n">
        <f aca="false">SUM(X4,AD4,AJ4,AP4,AV4,AX4:AY4,BH4,BB4,BG4)</f>
        <v>0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60" t="s">
        <v>262</v>
      </c>
      <c r="C5" s="61" t="s">
        <v>174</v>
      </c>
      <c r="D5" s="61" t="s">
        <v>261</v>
      </c>
      <c r="E5" s="62"/>
      <c r="F5" s="63" t="s">
        <v>696</v>
      </c>
      <c r="G5" s="63" t="s">
        <v>791</v>
      </c>
      <c r="H5" s="63" t="s">
        <v>735</v>
      </c>
      <c r="I5" s="63" t="s">
        <v>791</v>
      </c>
      <c r="J5" s="63" t="s">
        <v>791</v>
      </c>
      <c r="K5" s="63" t="s">
        <v>791</v>
      </c>
      <c r="L5" s="63" t="s">
        <v>791</v>
      </c>
      <c r="M5" s="63" t="s">
        <v>791</v>
      </c>
      <c r="N5" s="64"/>
      <c r="O5" s="64"/>
      <c r="P5" s="64"/>
      <c r="Q5" s="64"/>
      <c r="R5" s="64"/>
      <c r="S5" s="65"/>
      <c r="T5" s="61" t="s">
        <v>797</v>
      </c>
      <c r="U5" s="67" t="n">
        <v>45707</v>
      </c>
      <c r="V5" s="67" t="n">
        <v>45707</v>
      </c>
      <c r="W5" s="67" t="n">
        <v>45707</v>
      </c>
      <c r="X5" s="68" t="n">
        <v>10</v>
      </c>
      <c r="Y5" s="69"/>
      <c r="Z5" s="70" t="n">
        <v>8777</v>
      </c>
      <c r="AA5" s="67" t="n">
        <v>45735</v>
      </c>
      <c r="AB5" s="67" t="n">
        <v>45735</v>
      </c>
      <c r="AC5" s="67" t="n">
        <v>45735</v>
      </c>
      <c r="AD5" s="68" t="n">
        <v>10</v>
      </c>
      <c r="AE5" s="69"/>
      <c r="AF5" s="70" t="n">
        <v>8777</v>
      </c>
      <c r="AG5" s="106" t="n">
        <v>45749</v>
      </c>
      <c r="AH5" s="106" t="n">
        <v>45763</v>
      </c>
      <c r="AI5" s="106" t="n">
        <v>45763</v>
      </c>
      <c r="AJ5" s="68" t="n">
        <v>10</v>
      </c>
      <c r="AK5" s="69"/>
      <c r="AL5" s="70" t="n">
        <v>8777</v>
      </c>
      <c r="AM5" s="106" t="n">
        <v>45777</v>
      </c>
      <c r="AN5" s="106" t="n">
        <v>45777</v>
      </c>
      <c r="AO5" s="106" t="n">
        <v>45777</v>
      </c>
      <c r="AP5" s="68" t="n">
        <v>10</v>
      </c>
      <c r="AQ5" s="69"/>
      <c r="AR5" s="70" t="n">
        <v>378</v>
      </c>
      <c r="AS5" s="106" t="n">
        <v>45791</v>
      </c>
      <c r="AT5" s="106" t="n">
        <v>45791</v>
      </c>
      <c r="AU5" s="106" t="n">
        <v>45791</v>
      </c>
      <c r="AV5" s="68" t="n">
        <v>10</v>
      </c>
      <c r="AW5" s="69"/>
      <c r="AX5" s="68" t="n">
        <v>3</v>
      </c>
      <c r="AY5" s="68" t="n">
        <v>1.5</v>
      </c>
      <c r="AZ5" s="69"/>
      <c r="BA5" s="106" t="n">
        <v>45799</v>
      </c>
      <c r="BB5" s="70" t="n">
        <v>10</v>
      </c>
      <c r="BC5" s="72"/>
      <c r="BD5" s="73" t="str">
        <f aca="false">IF(AND(BB5&gt;=6,AP5&gt;=6,AJ5&gt;=6,AD5&gt;=6,X5&gt;=6),"да","нет")</f>
        <v>да</v>
      </c>
      <c r="BE5" s="72"/>
      <c r="BF5" s="118" t="n">
        <v>45897</v>
      </c>
      <c r="BG5" s="71" t="n">
        <v>30</v>
      </c>
      <c r="BH5" s="68" t="n">
        <v>2</v>
      </c>
      <c r="BI5" s="50"/>
      <c r="BJ5" s="75" t="n">
        <f aca="false">SUM(X5,AD5,AJ5,AP5,AV5,AX5:AY5,BH5,BB5,BG5)</f>
        <v>96.5</v>
      </c>
      <c r="BK5" s="73" t="str">
        <f aca="false">IF(BJ5&gt;90,"A",IF(BJ5&gt;83,"B",IF(BJ5&gt;74,"C",IF(BJ5&gt;67,"D",IF(BJ5&gt;=60,"E","FX")))))</f>
        <v>A</v>
      </c>
    </row>
    <row r="6" customFormat="false" ht="15.75" hidden="false" customHeight="false" outlineLevel="0" collapsed="false">
      <c r="A6" s="59" t="n">
        <f aca="false">A5+1</f>
        <v>4</v>
      </c>
      <c r="B6" s="60" t="s">
        <v>276</v>
      </c>
      <c r="C6" s="61" t="s">
        <v>174</v>
      </c>
      <c r="D6" s="61" t="s">
        <v>275</v>
      </c>
      <c r="E6" s="62"/>
      <c r="F6" s="63" t="s">
        <v>696</v>
      </c>
      <c r="G6" s="63" t="s">
        <v>791</v>
      </c>
      <c r="H6" s="63" t="s">
        <v>791</v>
      </c>
      <c r="I6" s="63" t="s">
        <v>791</v>
      </c>
      <c r="J6" s="63" t="s">
        <v>791</v>
      </c>
      <c r="K6" s="63" t="s">
        <v>791</v>
      </c>
      <c r="L6" s="63" t="s">
        <v>791</v>
      </c>
      <c r="M6" s="63" t="s">
        <v>791</v>
      </c>
      <c r="N6" s="64" t="s">
        <v>791</v>
      </c>
      <c r="O6" s="64" t="s">
        <v>791</v>
      </c>
      <c r="P6" s="64" t="s">
        <v>791</v>
      </c>
      <c r="Q6" s="64"/>
      <c r="R6" s="64"/>
      <c r="S6" s="65"/>
      <c r="T6" s="61" t="s">
        <v>798</v>
      </c>
      <c r="U6" s="67" t="n">
        <v>45721</v>
      </c>
      <c r="V6" s="67" t="n">
        <v>45721</v>
      </c>
      <c r="W6" s="67" t="n">
        <v>45721</v>
      </c>
      <c r="X6" s="68" t="n">
        <v>10</v>
      </c>
      <c r="Y6" s="69"/>
      <c r="Z6" s="70" t="n">
        <v>8650</v>
      </c>
      <c r="AA6" s="67" t="n">
        <v>45749</v>
      </c>
      <c r="AB6" s="106" t="n">
        <v>45749</v>
      </c>
      <c r="AC6" s="67" t="n">
        <v>45749</v>
      </c>
      <c r="AD6" s="68" t="n">
        <v>9</v>
      </c>
      <c r="AE6" s="69"/>
      <c r="AF6" s="70" t="n">
        <v>8407</v>
      </c>
      <c r="AG6" s="67" t="n">
        <v>45763</v>
      </c>
      <c r="AH6" s="106" t="n">
        <v>45777</v>
      </c>
      <c r="AI6" s="106" t="n">
        <v>45791</v>
      </c>
      <c r="AJ6" s="68" t="n">
        <v>9</v>
      </c>
      <c r="AK6" s="69"/>
      <c r="AL6" s="70" t="n">
        <v>8586</v>
      </c>
      <c r="AM6" s="106" t="n">
        <v>45825</v>
      </c>
      <c r="AN6" s="106" t="n">
        <v>45833</v>
      </c>
      <c r="AO6" s="106" t="n">
        <v>45833</v>
      </c>
      <c r="AP6" s="68" t="n">
        <v>7</v>
      </c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 t="n">
        <v>0</v>
      </c>
      <c r="AY6" s="68"/>
      <c r="AZ6" s="69"/>
      <c r="BA6" s="123" t="n">
        <v>45817</v>
      </c>
      <c r="BB6" s="44" t="n">
        <v>6</v>
      </c>
      <c r="BC6" s="72"/>
      <c r="BD6" s="73" t="str">
        <f aca="false">IF(AND(BB6&gt;=6,AP6&gt;=6,AJ6&gt;=6,AD6&gt;=6,X6&gt;=6),"да","нет")</f>
        <v>да</v>
      </c>
      <c r="BE6" s="72"/>
      <c r="BF6" s="118" t="n">
        <v>45897</v>
      </c>
      <c r="BG6" s="71" t="n">
        <v>19</v>
      </c>
      <c r="BH6" s="68"/>
      <c r="BI6" s="50"/>
      <c r="BJ6" s="75" t="n">
        <f aca="false">SUM(X6,AD6,AJ6,AP6,AV6,AX6:AY6,BH6,BB6,BG6)</f>
        <v>60</v>
      </c>
      <c r="BK6" s="73" t="str">
        <f aca="false">IF(BJ6&gt;90,"A",IF(BJ6&gt;83,"B",IF(BJ6&gt;74,"C",IF(BJ6&gt;67,"D",IF(BJ6&gt;=60,"E","FX")))))</f>
        <v>E</v>
      </c>
    </row>
    <row r="7" customFormat="false" ht="15.75" hidden="false" customHeight="false" outlineLevel="0" collapsed="false">
      <c r="A7" s="59" t="n">
        <f aca="false">A6+1</f>
        <v>5</v>
      </c>
      <c r="B7" s="60" t="s">
        <v>281</v>
      </c>
      <c r="C7" s="61" t="s">
        <v>174</v>
      </c>
      <c r="D7" s="61" t="s">
        <v>280</v>
      </c>
      <c r="E7" s="62"/>
      <c r="F7" s="63" t="s">
        <v>696</v>
      </c>
      <c r="G7" s="63" t="s">
        <v>735</v>
      </c>
      <c r="H7" s="63" t="s">
        <v>791</v>
      </c>
      <c r="I7" s="63" t="s">
        <v>791</v>
      </c>
      <c r="J7" s="63" t="s">
        <v>735</v>
      </c>
      <c r="K7" s="63" t="s">
        <v>791</v>
      </c>
      <c r="L7" s="63" t="s">
        <v>735</v>
      </c>
      <c r="M7" s="63" t="s">
        <v>791</v>
      </c>
      <c r="N7" s="64" t="s">
        <v>791</v>
      </c>
      <c r="O7" s="64" t="s">
        <v>791</v>
      </c>
      <c r="P7" s="64" t="s">
        <v>791</v>
      </c>
      <c r="Q7" s="64"/>
      <c r="R7" s="64"/>
      <c r="S7" s="65"/>
      <c r="T7" s="61" t="s">
        <v>799</v>
      </c>
      <c r="U7" s="67" t="n">
        <v>45735</v>
      </c>
      <c r="V7" s="67" t="n">
        <v>45735</v>
      </c>
      <c r="W7" s="67" t="n">
        <v>45735</v>
      </c>
      <c r="X7" s="68" t="n">
        <v>9</v>
      </c>
      <c r="Y7" s="69"/>
      <c r="Z7" s="70" t="n">
        <v>8450</v>
      </c>
      <c r="AA7" s="67" t="n">
        <v>45763</v>
      </c>
      <c r="AB7" s="67" t="n">
        <v>45763</v>
      </c>
      <c r="AC7" s="67" t="n">
        <v>45763</v>
      </c>
      <c r="AD7" s="68" t="n">
        <v>9</v>
      </c>
      <c r="AE7" s="69"/>
      <c r="AF7" s="70" t="n">
        <v>8589</v>
      </c>
      <c r="AG7" s="106" t="n">
        <v>45791</v>
      </c>
      <c r="AH7" s="106" t="n">
        <v>45825</v>
      </c>
      <c r="AI7" s="106" t="n">
        <v>45825</v>
      </c>
      <c r="AJ7" s="68" t="n">
        <v>9</v>
      </c>
      <c r="AK7" s="69"/>
      <c r="AL7" s="70" t="n">
        <v>8841</v>
      </c>
      <c r="AM7" s="106" t="n">
        <v>45833</v>
      </c>
      <c r="AN7" s="106" t="n">
        <v>45833</v>
      </c>
      <c r="AO7" s="106" t="n">
        <v>45833</v>
      </c>
      <c r="AP7" s="68" t="n">
        <v>8</v>
      </c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68" t="n">
        <v>0</v>
      </c>
      <c r="AW7" s="69"/>
      <c r="AX7" s="68"/>
      <c r="AY7" s="68"/>
      <c r="AZ7" s="69"/>
      <c r="BA7" s="106" t="n">
        <v>45817</v>
      </c>
      <c r="BB7" s="70" t="n">
        <v>6</v>
      </c>
      <c r="BC7" s="72"/>
      <c r="BD7" s="73" t="str">
        <f aca="false">IF(AND(BB7&gt;=6,AP7&gt;=6,AJ7&gt;=6,AD7&gt;=6,X7&gt;=6),"да","нет")</f>
        <v>да</v>
      </c>
      <c r="BE7" s="72"/>
      <c r="BF7" s="74"/>
      <c r="BG7" s="71"/>
      <c r="BH7" s="68"/>
      <c r="BI7" s="50"/>
      <c r="BJ7" s="75" t="n">
        <f aca="false">SUM(X7,AD7,AJ7,AP7,AV7,AX7:AY7,BH7,BB7,BG7)</f>
        <v>41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60" t="s">
        <v>311</v>
      </c>
      <c r="C8" s="61" t="s">
        <v>174</v>
      </c>
      <c r="D8" s="61" t="s">
        <v>310</v>
      </c>
      <c r="E8" s="62"/>
      <c r="F8" s="63" t="s">
        <v>696</v>
      </c>
      <c r="G8" s="63" t="s">
        <v>791</v>
      </c>
      <c r="H8" s="63" t="s">
        <v>791</v>
      </c>
      <c r="I8" s="63" t="s">
        <v>735</v>
      </c>
      <c r="J8" s="63" t="s">
        <v>791</v>
      </c>
      <c r="K8" s="63" t="s">
        <v>791</v>
      </c>
      <c r="L8" s="63" t="s">
        <v>791</v>
      </c>
      <c r="M8" s="63" t="s">
        <v>791</v>
      </c>
      <c r="N8" s="64"/>
      <c r="O8" s="64"/>
      <c r="P8" s="64"/>
      <c r="Q8" s="64"/>
      <c r="R8" s="64"/>
      <c r="S8" s="65"/>
      <c r="T8" s="61" t="s">
        <v>800</v>
      </c>
      <c r="U8" s="67" t="n">
        <v>45721</v>
      </c>
      <c r="V8" s="67" t="n">
        <v>45721</v>
      </c>
      <c r="W8" s="67" t="n">
        <v>45721</v>
      </c>
      <c r="X8" s="68" t="n">
        <v>10</v>
      </c>
      <c r="Y8" s="69"/>
      <c r="Z8" s="70" t="n">
        <v>8533</v>
      </c>
      <c r="AA8" s="67" t="n">
        <v>45763</v>
      </c>
      <c r="AB8" s="67" t="n">
        <v>45763</v>
      </c>
      <c r="AC8" s="67" t="n">
        <v>45763</v>
      </c>
      <c r="AD8" s="68" t="n">
        <v>10</v>
      </c>
      <c r="AE8" s="69"/>
      <c r="AF8" s="70" t="n">
        <v>8550</v>
      </c>
      <c r="AG8" s="106" t="n">
        <v>45777</v>
      </c>
      <c r="AH8" s="106" t="n">
        <v>45791</v>
      </c>
      <c r="AI8" s="106" t="n">
        <v>45825</v>
      </c>
      <c r="AJ8" s="68" t="n">
        <v>9</v>
      </c>
      <c r="AK8" s="69"/>
      <c r="AL8" s="70" t="n">
        <v>8539</v>
      </c>
      <c r="AM8" s="106" t="n">
        <v>45833</v>
      </c>
      <c r="AN8" s="106" t="n">
        <v>45833</v>
      </c>
      <c r="AO8" s="106" t="n">
        <v>45833</v>
      </c>
      <c r="AP8" s="68" t="n">
        <v>8</v>
      </c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/>
      <c r="AY8" s="68" t="n">
        <v>1</v>
      </c>
      <c r="AZ8" s="69"/>
      <c r="BA8" s="123" t="n">
        <v>45799</v>
      </c>
      <c r="BB8" s="70" t="n">
        <v>10</v>
      </c>
      <c r="BC8" s="72"/>
      <c r="BD8" s="73" t="str">
        <f aca="false">IF(AND(BB8&gt;=6,AP8&gt;=6,AJ8&gt;=6,AD8&gt;=6,X8&gt;=6),"да","нет")</f>
        <v>да</v>
      </c>
      <c r="BE8" s="72"/>
      <c r="BF8" s="118" t="n">
        <v>45897</v>
      </c>
      <c r="BG8" s="71" t="n">
        <v>0</v>
      </c>
      <c r="BH8" s="68"/>
      <c r="BI8" s="50"/>
      <c r="BJ8" s="75" t="n">
        <f aca="false">SUM(X8,AD8,AJ8,AP8,AV8,AX8:AY8,BH8,BB8,BG8)</f>
        <v>48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f aca="false">A8+1</f>
        <v>7</v>
      </c>
      <c r="B9" s="60" t="s">
        <v>345</v>
      </c>
      <c r="C9" s="61" t="s">
        <v>174</v>
      </c>
      <c r="D9" s="61" t="s">
        <v>344</v>
      </c>
      <c r="E9" s="62"/>
      <c r="F9" s="63" t="s">
        <v>696</v>
      </c>
      <c r="G9" s="63" t="s">
        <v>791</v>
      </c>
      <c r="H9" s="63" t="s">
        <v>791</v>
      </c>
      <c r="I9" s="63" t="s">
        <v>791</v>
      </c>
      <c r="J9" s="63" t="s">
        <v>791</v>
      </c>
      <c r="K9" s="63" t="s">
        <v>696</v>
      </c>
      <c r="L9" s="63" t="s">
        <v>696</v>
      </c>
      <c r="M9" s="63" t="s">
        <v>791</v>
      </c>
      <c r="N9" s="64" t="s">
        <v>791</v>
      </c>
      <c r="O9" s="64"/>
      <c r="P9" s="64"/>
      <c r="Q9" s="64"/>
      <c r="R9" s="64"/>
      <c r="S9" s="65"/>
      <c r="T9" s="61" t="s">
        <v>801</v>
      </c>
      <c r="U9" s="67" t="n">
        <v>45721</v>
      </c>
      <c r="V9" s="67" t="n">
        <v>45721</v>
      </c>
      <c r="W9" s="67" t="n">
        <v>45721</v>
      </c>
      <c r="X9" s="68" t="n">
        <v>10</v>
      </c>
      <c r="Y9" s="69"/>
      <c r="Z9" s="70" t="n">
        <v>8321</v>
      </c>
      <c r="AA9" s="67" t="n">
        <v>45735</v>
      </c>
      <c r="AB9" s="67" t="n">
        <v>45735</v>
      </c>
      <c r="AC9" s="67" t="n">
        <v>45735</v>
      </c>
      <c r="AD9" s="68" t="n">
        <v>9</v>
      </c>
      <c r="AE9" s="69"/>
      <c r="AF9" s="70" t="n">
        <v>8540</v>
      </c>
      <c r="AG9" s="106" t="n">
        <v>45749</v>
      </c>
      <c r="AH9" s="106" t="n">
        <v>45791</v>
      </c>
      <c r="AI9" s="106" t="n">
        <v>45791</v>
      </c>
      <c r="AJ9" s="68" t="n">
        <v>10</v>
      </c>
      <c r="AK9" s="69"/>
      <c r="AL9" s="70" t="n">
        <v>8548</v>
      </c>
      <c r="AM9" s="106" t="n">
        <v>45817</v>
      </c>
      <c r="AN9" s="106" t="n">
        <v>45817</v>
      </c>
      <c r="AO9" s="106" t="n">
        <v>45817</v>
      </c>
      <c r="AP9" s="68" t="n">
        <v>9</v>
      </c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68" t="n">
        <v>0</v>
      </c>
      <c r="AW9" s="69"/>
      <c r="AX9" s="68" t="n">
        <v>1</v>
      </c>
      <c r="AY9" s="68" t="n">
        <v>1.5</v>
      </c>
      <c r="AZ9" s="69"/>
      <c r="BA9" s="106" t="n">
        <v>45799</v>
      </c>
      <c r="BB9" s="70" t="n">
        <v>10</v>
      </c>
      <c r="BC9" s="72"/>
      <c r="BD9" s="73" t="str">
        <f aca="false">IF(AND(BB9&gt;=6,AP9&gt;=6,AJ9&gt;=6,AD9&gt;=6,X9&gt;=6),"да","нет")</f>
        <v>да</v>
      </c>
      <c r="BE9" s="72"/>
      <c r="BF9" s="118" t="n">
        <v>45897</v>
      </c>
      <c r="BG9" s="71" t="n">
        <v>0</v>
      </c>
      <c r="BH9" s="68"/>
      <c r="BI9" s="50"/>
      <c r="BJ9" s="75" t="n">
        <f aca="false">SUM(X9,AD9,AJ9,AP9,AV9,AX9:AY9,BH9,BB9,BG9)</f>
        <v>50.5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60" t="s">
        <v>371</v>
      </c>
      <c r="C10" s="61" t="s">
        <v>174</v>
      </c>
      <c r="D10" s="61" t="s">
        <v>370</v>
      </c>
      <c r="E10" s="62"/>
      <c r="F10" s="63" t="s">
        <v>696</v>
      </c>
      <c r="G10" s="63" t="s">
        <v>735</v>
      </c>
      <c r="H10" s="63" t="s">
        <v>791</v>
      </c>
      <c r="I10" s="63" t="s">
        <v>735</v>
      </c>
      <c r="J10" s="63" t="s">
        <v>791</v>
      </c>
      <c r="K10" s="63" t="s">
        <v>735</v>
      </c>
      <c r="L10" s="63" t="s">
        <v>791</v>
      </c>
      <c r="M10" s="63" t="s">
        <v>791</v>
      </c>
      <c r="N10" s="64" t="s">
        <v>791</v>
      </c>
      <c r="O10" s="64"/>
      <c r="P10" s="64"/>
      <c r="Q10" s="64"/>
      <c r="R10" s="64"/>
      <c r="S10" s="65"/>
      <c r="T10" s="61" t="s">
        <v>802</v>
      </c>
      <c r="U10" s="67" t="n">
        <v>45721</v>
      </c>
      <c r="V10" s="67" t="n">
        <v>45721</v>
      </c>
      <c r="W10" s="67" t="n">
        <v>45721</v>
      </c>
      <c r="X10" s="68" t="n">
        <v>10</v>
      </c>
      <c r="Y10" s="69"/>
      <c r="Z10" s="70" t="n">
        <v>8931</v>
      </c>
      <c r="AA10" s="67" t="n">
        <v>45749</v>
      </c>
      <c r="AB10" s="106" t="n">
        <v>45749</v>
      </c>
      <c r="AC10" s="106" t="n">
        <v>45749</v>
      </c>
      <c r="AD10" s="68" t="n">
        <v>10</v>
      </c>
      <c r="AE10" s="69"/>
      <c r="AF10" s="70" t="n">
        <v>8691</v>
      </c>
      <c r="AG10" s="106" t="n">
        <v>45777</v>
      </c>
      <c r="AH10" s="106" t="n">
        <v>45791</v>
      </c>
      <c r="AI10" s="106" t="n">
        <v>45791</v>
      </c>
      <c r="AJ10" s="68" t="n">
        <v>9</v>
      </c>
      <c r="AK10" s="69"/>
      <c r="AL10" s="70" t="n">
        <v>8484</v>
      </c>
      <c r="AM10" s="106" t="n">
        <v>45817</v>
      </c>
      <c r="AN10" s="106" t="n">
        <v>45817</v>
      </c>
      <c r="AO10" s="106" t="n">
        <v>45817</v>
      </c>
      <c r="AP10" s="68" t="n">
        <v>10</v>
      </c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68" t="n">
        <v>0</v>
      </c>
      <c r="AW10" s="69"/>
      <c r="AX10" s="68" t="n">
        <v>1</v>
      </c>
      <c r="AY10" s="68" t="n">
        <v>0</v>
      </c>
      <c r="AZ10" s="69"/>
      <c r="BA10" s="123" t="n">
        <v>45799</v>
      </c>
      <c r="BB10" s="70" t="n">
        <v>10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45897</v>
      </c>
      <c r="BG10" s="71" t="n">
        <v>27</v>
      </c>
      <c r="BH10" s="68"/>
      <c r="BI10" s="50"/>
      <c r="BJ10" s="75" t="n">
        <f aca="false">SUM(X10,AD10,AJ10,AP10,AV10,AX10:AY10,BH10,BB10,BG10)</f>
        <v>77</v>
      </c>
      <c r="BK10" s="73" t="str">
        <f aca="false">IF(BJ10&gt;90,"A",IF(BJ10&gt;83,"B",IF(BJ10&gt;74,"C",IF(BJ10&gt;67,"D",IF(BJ10&gt;=60,"E","FX")))))</f>
        <v>C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803</v>
      </c>
      <c r="C11" s="61" t="s">
        <v>174</v>
      </c>
      <c r="D11" s="61" t="s">
        <v>804</v>
      </c>
      <c r="E11" s="62"/>
      <c r="F11" s="63" t="s">
        <v>696</v>
      </c>
      <c r="G11" s="63" t="s">
        <v>735</v>
      </c>
      <c r="H11" s="63" t="s">
        <v>735</v>
      </c>
      <c r="I11" s="63" t="s">
        <v>735</v>
      </c>
      <c r="J11" s="63" t="s">
        <v>735</v>
      </c>
      <c r="K11" s="63" t="s">
        <v>735</v>
      </c>
      <c r="L11" s="63" t="s">
        <v>735</v>
      </c>
      <c r="M11" s="63" t="s">
        <v>735</v>
      </c>
      <c r="N11" s="64"/>
      <c r="O11" s="64"/>
      <c r="P11" s="64"/>
      <c r="Q11" s="64"/>
      <c r="R11" s="64"/>
      <c r="S11" s="65"/>
      <c r="T11" s="61" t="s">
        <v>805</v>
      </c>
      <c r="U11" s="67"/>
      <c r="V11" s="67"/>
      <c r="W11" s="67"/>
      <c r="X11" s="68"/>
      <c r="Y11" s="69"/>
      <c r="Z11" s="70"/>
      <c r="AA11" s="67"/>
      <c r="AB11" s="67"/>
      <c r="AC11" s="67"/>
      <c r="AD11" s="68"/>
      <c r="AE11" s="69"/>
      <c r="AF11" s="70"/>
      <c r="AG11" s="70"/>
      <c r="AH11" s="70"/>
      <c r="AI11" s="70"/>
      <c r="AJ11" s="68"/>
      <c r="AK11" s="69"/>
      <c r="AL11" s="70"/>
      <c r="AM11" s="70"/>
      <c r="AN11" s="70"/>
      <c r="AO11" s="70"/>
      <c r="AP11" s="68"/>
      <c r="AQ11" s="69"/>
      <c r="AR11" s="70" t="s">
        <v>737</v>
      </c>
      <c r="AS11" s="70" t="s">
        <v>737</v>
      </c>
      <c r="AT11" s="70" t="s">
        <v>737</v>
      </c>
      <c r="AU11" s="70" t="s">
        <v>737</v>
      </c>
      <c r="AV11" s="68" t="n">
        <v>0</v>
      </c>
      <c r="AW11" s="69"/>
      <c r="AX11" s="68"/>
      <c r="AY11" s="68"/>
      <c r="AZ11" s="69"/>
      <c r="BA11" s="106"/>
      <c r="BB11" s="71"/>
      <c r="BC11" s="72"/>
      <c r="BD11" s="73" t="str">
        <f aca="false">IF(AND(BB11&gt;=6,AP11&gt;=6,AJ11&gt;=6,AD11&gt;=6,X11&gt;=6),"да","нет")</f>
        <v>нет</v>
      </c>
      <c r="BE11" s="72"/>
      <c r="BF11" s="74"/>
      <c r="BG11" s="71"/>
      <c r="BH11" s="68"/>
      <c r="BI11" s="50"/>
      <c r="BJ11" s="75" t="n">
        <f aca="false">SUM(X11,AD11,AJ11,AP11,AV11,AX11:AY11,BH11,BB11,BG11)</f>
        <v>0</v>
      </c>
      <c r="BK11" s="73" t="str">
        <f aca="false">IF(BJ11&gt;90,"A",IF(BJ11&gt;83,"B",IF(BJ11&gt;74,"C",IF(BJ11&gt;67,"D",IF(BJ11&gt;=60,"E","FX")))))</f>
        <v>FX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806</v>
      </c>
      <c r="C12" s="61" t="s">
        <v>174</v>
      </c>
      <c r="D12" s="61" t="s">
        <v>807</v>
      </c>
      <c r="E12" s="62"/>
      <c r="F12" s="63" t="s">
        <v>696</v>
      </c>
      <c r="G12" s="63" t="s">
        <v>735</v>
      </c>
      <c r="H12" s="63" t="s">
        <v>735</v>
      </c>
      <c r="I12" s="63" t="s">
        <v>735</v>
      </c>
      <c r="J12" s="63" t="s">
        <v>735</v>
      </c>
      <c r="K12" s="63" t="s">
        <v>735</v>
      </c>
      <c r="L12" s="63" t="s">
        <v>735</v>
      </c>
      <c r="M12" s="63" t="s">
        <v>735</v>
      </c>
      <c r="N12" s="64"/>
      <c r="O12" s="64"/>
      <c r="P12" s="64"/>
      <c r="Q12" s="64"/>
      <c r="R12" s="64"/>
      <c r="S12" s="65"/>
      <c r="T12" s="61" t="s">
        <v>808</v>
      </c>
      <c r="U12" s="67"/>
      <c r="V12" s="67"/>
      <c r="W12" s="67"/>
      <c r="X12" s="68"/>
      <c r="Y12" s="69"/>
      <c r="Z12" s="70"/>
      <c r="AA12" s="67"/>
      <c r="AB12" s="67"/>
      <c r="AC12" s="67"/>
      <c r="AD12" s="68"/>
      <c r="AE12" s="69"/>
      <c r="AF12" s="70"/>
      <c r="AG12" s="70"/>
      <c r="AH12" s="70"/>
      <c r="AI12" s="70"/>
      <c r="AJ12" s="68"/>
      <c r="AK12" s="69"/>
      <c r="AL12" s="70"/>
      <c r="AM12" s="70"/>
      <c r="AN12" s="70"/>
      <c r="AO12" s="70"/>
      <c r="AP12" s="68"/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68" t="n">
        <v>0</v>
      </c>
      <c r="AW12" s="69"/>
      <c r="AX12" s="68"/>
      <c r="AY12" s="68"/>
      <c r="AZ12" s="69"/>
      <c r="BA12" s="123"/>
      <c r="BB12" s="71"/>
      <c r="BC12" s="72"/>
      <c r="BD12" s="73" t="str">
        <f aca="false">IF(AND(BB12&gt;=6,AP12&gt;=6,AJ12&gt;=6,AD12&gt;=6,X12&gt;=6),"да","нет")</f>
        <v>нет</v>
      </c>
      <c r="BE12" s="72"/>
      <c r="BF12" s="74"/>
      <c r="BG12" s="71"/>
      <c r="BH12" s="68"/>
      <c r="BI12" s="50"/>
      <c r="BJ12" s="75" t="n">
        <f aca="false">SUM(X12,AD12,AJ12,AP12,AV12,AX12:AY12,BH12,BB12,BG12)</f>
        <v>0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60" t="s">
        <v>493</v>
      </c>
      <c r="C13" s="61" t="s">
        <v>174</v>
      </c>
      <c r="D13" s="61" t="s">
        <v>492</v>
      </c>
      <c r="E13" s="62"/>
      <c r="F13" s="63" t="s">
        <v>696</v>
      </c>
      <c r="G13" s="63" t="s">
        <v>735</v>
      </c>
      <c r="H13" s="63" t="s">
        <v>735</v>
      </c>
      <c r="I13" s="63" t="s">
        <v>791</v>
      </c>
      <c r="J13" s="63" t="s">
        <v>735</v>
      </c>
      <c r="K13" s="63" t="s">
        <v>735</v>
      </c>
      <c r="L13" s="63" t="s">
        <v>791</v>
      </c>
      <c r="M13" s="63" t="s">
        <v>696</v>
      </c>
      <c r="N13" s="64"/>
      <c r="O13" s="64"/>
      <c r="P13" s="64"/>
      <c r="Q13" s="64"/>
      <c r="R13" s="64"/>
      <c r="S13" s="65"/>
      <c r="T13" s="61" t="s">
        <v>809</v>
      </c>
      <c r="U13" s="67" t="n">
        <v>45735</v>
      </c>
      <c r="V13" s="67" t="n">
        <v>45735</v>
      </c>
      <c r="W13" s="67" t="n">
        <v>45735</v>
      </c>
      <c r="X13" s="68" t="n">
        <v>9.5</v>
      </c>
      <c r="Y13" s="69"/>
      <c r="Z13" s="70" t="n">
        <v>8841</v>
      </c>
      <c r="AA13" s="67" t="n">
        <v>45777</v>
      </c>
      <c r="AB13" s="67" t="n">
        <v>45777</v>
      </c>
      <c r="AC13" s="67" t="n">
        <v>45777</v>
      </c>
      <c r="AD13" s="68" t="n">
        <v>10</v>
      </c>
      <c r="AE13" s="69"/>
      <c r="AF13" s="70" t="n">
        <v>8499</v>
      </c>
      <c r="AG13" s="70"/>
      <c r="AH13" s="70"/>
      <c r="AI13" s="70"/>
      <c r="AJ13" s="68"/>
      <c r="AK13" s="69"/>
      <c r="AL13" s="70"/>
      <c r="AM13" s="70"/>
      <c r="AN13" s="70"/>
      <c r="AO13" s="70"/>
      <c r="AP13" s="68"/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68" t="n">
        <v>0</v>
      </c>
      <c r="AW13" s="69"/>
      <c r="AX13" s="68"/>
      <c r="AY13" s="68"/>
      <c r="AZ13" s="69"/>
      <c r="BA13" s="106"/>
      <c r="BB13" s="71"/>
      <c r="BC13" s="72"/>
      <c r="BD13" s="73" t="str">
        <f aca="false">IF(AND(BB13&gt;=6,AP13&gt;=6,AJ13&gt;=6,AD13&gt;=6,X13&gt;=6),"да","нет")</f>
        <v>нет</v>
      </c>
      <c r="BE13" s="72"/>
      <c r="BF13" s="74"/>
      <c r="BG13" s="71"/>
      <c r="BH13" s="68"/>
      <c r="BI13" s="50"/>
      <c r="BJ13" s="75" t="n">
        <f aca="false">SUM(X13,AD13,AJ13,AP13,AV13,AX13:AY13,BH13,BB13,BG13)</f>
        <v>19.5</v>
      </c>
      <c r="BK13" s="73" t="str">
        <f aca="false">IF(BJ13&gt;90,"A",IF(BJ13&gt;83,"B",IF(BJ13&gt;74,"C",IF(BJ13&gt;67,"D",IF(BJ13&gt;=60,"E","FX")))))</f>
        <v>FX</v>
      </c>
    </row>
    <row r="14" customFormat="false" ht="15.75" hidden="false" customHeight="false" outlineLevel="0" collapsed="false">
      <c r="A14" s="59" t="n">
        <f aca="false">A13+1</f>
        <v>12</v>
      </c>
      <c r="B14" s="60" t="s">
        <v>507</v>
      </c>
      <c r="C14" s="61" t="s">
        <v>174</v>
      </c>
      <c r="D14" s="61" t="s">
        <v>506</v>
      </c>
      <c r="E14" s="62"/>
      <c r="F14" s="63" t="s">
        <v>696</v>
      </c>
      <c r="G14" s="63" t="s">
        <v>791</v>
      </c>
      <c r="H14" s="63" t="s">
        <v>791</v>
      </c>
      <c r="I14" s="63" t="s">
        <v>791</v>
      </c>
      <c r="J14" s="63" t="s">
        <v>791</v>
      </c>
      <c r="K14" s="63" t="s">
        <v>791</v>
      </c>
      <c r="L14" s="63" t="s">
        <v>791</v>
      </c>
      <c r="M14" s="63" t="s">
        <v>791</v>
      </c>
      <c r="N14" s="64"/>
      <c r="O14" s="64"/>
      <c r="P14" s="64"/>
      <c r="Q14" s="64"/>
      <c r="R14" s="64"/>
      <c r="S14" s="65"/>
      <c r="T14" s="61" t="s">
        <v>810</v>
      </c>
      <c r="U14" s="67" t="n">
        <v>45721</v>
      </c>
      <c r="V14" s="67" t="n">
        <v>45721</v>
      </c>
      <c r="W14" s="67" t="n">
        <v>45721</v>
      </c>
      <c r="X14" s="68" t="n">
        <v>9</v>
      </c>
      <c r="Y14" s="69"/>
      <c r="Z14" s="70" t="n">
        <v>8601</v>
      </c>
      <c r="AA14" s="67" t="n">
        <v>45735</v>
      </c>
      <c r="AB14" s="67" t="n">
        <v>45735</v>
      </c>
      <c r="AC14" s="67" t="n">
        <v>45735</v>
      </c>
      <c r="AD14" s="68" t="n">
        <v>10</v>
      </c>
      <c r="AE14" s="69"/>
      <c r="AF14" s="70" t="n">
        <v>8500</v>
      </c>
      <c r="AG14" s="106" t="n">
        <v>45749</v>
      </c>
      <c r="AH14" s="106" t="n">
        <v>45777</v>
      </c>
      <c r="AI14" s="106" t="n">
        <v>45777</v>
      </c>
      <c r="AJ14" s="68" t="n">
        <v>10</v>
      </c>
      <c r="AK14" s="69"/>
      <c r="AL14" s="70" t="n">
        <v>8765</v>
      </c>
      <c r="AM14" s="106" t="n">
        <v>45791</v>
      </c>
      <c r="AN14" s="106" t="n">
        <v>45791</v>
      </c>
      <c r="AO14" s="106" t="n">
        <v>45791</v>
      </c>
      <c r="AP14" s="68" t="n">
        <v>10</v>
      </c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68" t="n">
        <v>0</v>
      </c>
      <c r="AW14" s="69"/>
      <c r="AX14" s="68" t="n">
        <v>0</v>
      </c>
      <c r="AY14" s="68" t="n">
        <v>1.5</v>
      </c>
      <c r="AZ14" s="69"/>
      <c r="BA14" s="123" t="n">
        <v>45799</v>
      </c>
      <c r="BB14" s="70" t="n">
        <v>7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45897</v>
      </c>
      <c r="BG14" s="71" t="n">
        <v>21</v>
      </c>
      <c r="BH14" s="68"/>
      <c r="BI14" s="50"/>
      <c r="BJ14" s="75" t="n">
        <f aca="false">SUM(X14,AD14,AJ14,AP14,AV14,AX14:AY14,BH14,BB14,BG14)</f>
        <v>68.5</v>
      </c>
      <c r="BK14" s="73" t="str">
        <f aca="false">IF(BJ14&gt;90,"A",IF(BJ14&gt;83,"B",IF(BJ14&gt;74,"C",IF(BJ14&gt;67,"D",IF(BJ14&gt;=60,"E","FX")))))</f>
        <v>D</v>
      </c>
    </row>
    <row r="15" customFormat="false" ht="15.75" hidden="false" customHeight="false" outlineLevel="0" collapsed="false">
      <c r="A15" s="59" t="n">
        <f aca="false">A14+1</f>
        <v>13</v>
      </c>
      <c r="B15" s="60" t="s">
        <v>509</v>
      </c>
      <c r="C15" s="61" t="s">
        <v>174</v>
      </c>
      <c r="D15" s="61" t="s">
        <v>508</v>
      </c>
      <c r="E15" s="62"/>
      <c r="F15" s="63" t="s">
        <v>696</v>
      </c>
      <c r="G15" s="63" t="s">
        <v>791</v>
      </c>
      <c r="H15" s="63" t="s">
        <v>791</v>
      </c>
      <c r="I15" s="63" t="s">
        <v>791</v>
      </c>
      <c r="J15" s="63" t="s">
        <v>791</v>
      </c>
      <c r="K15" s="63" t="s">
        <v>791</v>
      </c>
      <c r="L15" s="63" t="s">
        <v>735</v>
      </c>
      <c r="M15" s="63" t="s">
        <v>791</v>
      </c>
      <c r="N15" s="64"/>
      <c r="O15" s="64"/>
      <c r="P15" s="64"/>
      <c r="Q15" s="64"/>
      <c r="R15" s="64"/>
      <c r="S15" s="65"/>
      <c r="T15" s="61" t="s">
        <v>811</v>
      </c>
      <c r="U15" s="67" t="n">
        <v>45735</v>
      </c>
      <c r="V15" s="67" t="n">
        <v>45735</v>
      </c>
      <c r="W15" s="67" t="n">
        <v>45735</v>
      </c>
      <c r="X15" s="70" t="n">
        <v>9.5</v>
      </c>
      <c r="Y15" s="69"/>
      <c r="Z15" s="70" t="n">
        <v>8301</v>
      </c>
      <c r="AA15" s="67" t="n">
        <v>45749</v>
      </c>
      <c r="AB15" s="106" t="n">
        <v>45749</v>
      </c>
      <c r="AC15" s="67" t="n">
        <v>45763</v>
      </c>
      <c r="AD15" s="70" t="n">
        <v>8.5</v>
      </c>
      <c r="AE15" s="69"/>
      <c r="AF15" s="70" t="n">
        <v>8484</v>
      </c>
      <c r="AG15" s="106" t="n">
        <v>45763</v>
      </c>
      <c r="AH15" s="106" t="n">
        <v>45791</v>
      </c>
      <c r="AI15" s="106" t="n">
        <v>45791</v>
      </c>
      <c r="AJ15" s="68" t="n">
        <v>10</v>
      </c>
      <c r="AK15" s="69"/>
      <c r="AL15" s="70" t="n">
        <v>8401</v>
      </c>
      <c r="AM15" s="70"/>
      <c r="AN15" s="70"/>
      <c r="AO15" s="70"/>
      <c r="AP15" s="68"/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68" t="n">
        <v>0</v>
      </c>
      <c r="AW15" s="69"/>
      <c r="AX15" s="68"/>
      <c r="AY15" s="68"/>
      <c r="AZ15" s="69"/>
      <c r="BA15" s="106" t="n">
        <v>45799</v>
      </c>
      <c r="BB15" s="70" t="n">
        <v>10</v>
      </c>
      <c r="BC15" s="72"/>
      <c r="BD15" s="73" t="str">
        <f aca="false">IF(AND(BB15&gt;=6,AP15&gt;=6,AJ15&gt;=6,AD15&gt;=6,X15&gt;=6),"да","нет")</f>
        <v>нет</v>
      </c>
      <c r="BE15" s="72"/>
      <c r="BF15" s="74"/>
      <c r="BG15" s="71"/>
      <c r="BH15" s="68"/>
      <c r="BI15" s="50"/>
      <c r="BJ15" s="126" t="n">
        <f aca="false">SUM(X15,AD15,AJ15,AP15,AV15,AX15:AY15,BH15,BB15,BG15)</f>
        <v>38</v>
      </c>
      <c r="BK15" s="73" t="str">
        <f aca="false">IF(BJ15&gt;90,"A",IF(BJ15&gt;83,"B",IF(BJ15&gt;74,"C",IF(BJ15&gt;67,"D",IF(BJ15&gt;=60,"E","FX")))))</f>
        <v>FX</v>
      </c>
    </row>
    <row r="16" customFormat="false" ht="15.75" hidden="false" customHeight="false" outlineLevel="0" collapsed="false">
      <c r="A16" s="59" t="n">
        <f aca="false">A15+1</f>
        <v>14</v>
      </c>
      <c r="B16" s="60" t="s">
        <v>565</v>
      </c>
      <c r="C16" s="61" t="s">
        <v>174</v>
      </c>
      <c r="D16" s="61" t="s">
        <v>564</v>
      </c>
      <c r="E16" s="62"/>
      <c r="F16" s="63" t="s">
        <v>696</v>
      </c>
      <c r="G16" s="63" t="s">
        <v>791</v>
      </c>
      <c r="H16" s="63" t="s">
        <v>735</v>
      </c>
      <c r="I16" s="63" t="s">
        <v>791</v>
      </c>
      <c r="J16" s="63" t="s">
        <v>791</v>
      </c>
      <c r="K16" s="63" t="s">
        <v>791</v>
      </c>
      <c r="L16" s="63" t="s">
        <v>735</v>
      </c>
      <c r="M16" s="63" t="s">
        <v>791</v>
      </c>
      <c r="N16" s="64"/>
      <c r="O16" s="64"/>
      <c r="P16" s="64"/>
      <c r="Q16" s="64"/>
      <c r="R16" s="64"/>
      <c r="S16" s="65"/>
      <c r="T16" s="61" t="s">
        <v>812</v>
      </c>
      <c r="U16" s="67" t="n">
        <v>45707</v>
      </c>
      <c r="V16" s="67" t="n">
        <v>45707</v>
      </c>
      <c r="W16" s="67" t="n">
        <v>45707</v>
      </c>
      <c r="X16" s="68" t="n">
        <v>10</v>
      </c>
      <c r="Y16" s="69"/>
      <c r="Z16" s="70" t="n">
        <v>8888</v>
      </c>
      <c r="AA16" s="67" t="n">
        <v>45735</v>
      </c>
      <c r="AB16" s="67" t="n">
        <v>45735</v>
      </c>
      <c r="AC16" s="67" t="n">
        <v>45735</v>
      </c>
      <c r="AD16" s="68" t="n">
        <v>10</v>
      </c>
      <c r="AE16" s="69"/>
      <c r="AF16" s="70" t="n">
        <v>8888</v>
      </c>
      <c r="AG16" s="106" t="n">
        <v>45749</v>
      </c>
      <c r="AH16" s="106" t="n">
        <v>45763</v>
      </c>
      <c r="AI16" s="106" t="n">
        <v>45763</v>
      </c>
      <c r="AJ16" s="70" t="n">
        <v>9.5</v>
      </c>
      <c r="AK16" s="69"/>
      <c r="AL16" s="70" t="n">
        <v>8888</v>
      </c>
      <c r="AM16" s="106" t="n">
        <v>45791</v>
      </c>
      <c r="AN16" s="106" t="n">
        <v>45791</v>
      </c>
      <c r="AO16" s="106" t="n">
        <v>45791</v>
      </c>
      <c r="AP16" s="68" t="n">
        <v>10</v>
      </c>
      <c r="AQ16" s="69"/>
      <c r="AR16" s="70" t="n">
        <v>889</v>
      </c>
      <c r="AS16" s="70" t="s">
        <v>737</v>
      </c>
      <c r="AT16" s="70" t="s">
        <v>737</v>
      </c>
      <c r="AU16" s="70" t="s">
        <v>737</v>
      </c>
      <c r="AV16" s="68" t="n">
        <v>0</v>
      </c>
      <c r="AW16" s="69"/>
      <c r="AX16" s="68"/>
      <c r="AY16" s="68"/>
      <c r="AZ16" s="69"/>
      <c r="BA16" s="123" t="n">
        <v>45799</v>
      </c>
      <c r="BB16" s="70" t="n">
        <v>10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45897</v>
      </c>
      <c r="BG16" s="71" t="n">
        <v>27</v>
      </c>
      <c r="BH16" s="68"/>
      <c r="BI16" s="50"/>
      <c r="BJ16" s="75" t="n">
        <f aca="false">SUM(X16,AD16,AJ16,AP16,AV16,AX16:AY16,BH16,BB16,BG16)</f>
        <v>76.5</v>
      </c>
      <c r="BK16" s="73" t="str">
        <f aca="false">IF(BJ16&gt;90,"A",IF(BJ16&gt;83,"B",IF(BJ16&gt;74,"C",IF(BJ16&gt;67,"D",IF(BJ16&gt;=60,"E","FX")))))</f>
        <v>C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577</v>
      </c>
      <c r="C17" s="61" t="s">
        <v>174</v>
      </c>
      <c r="D17" s="61" t="s">
        <v>576</v>
      </c>
      <c r="E17" s="62"/>
      <c r="F17" s="63" t="s">
        <v>696</v>
      </c>
      <c r="G17" s="63" t="s">
        <v>791</v>
      </c>
      <c r="H17" s="63" t="s">
        <v>791</v>
      </c>
      <c r="I17" s="63" t="s">
        <v>791</v>
      </c>
      <c r="J17" s="63" t="s">
        <v>735</v>
      </c>
      <c r="K17" s="63" t="s">
        <v>791</v>
      </c>
      <c r="L17" s="63" t="s">
        <v>791</v>
      </c>
      <c r="M17" s="63" t="s">
        <v>791</v>
      </c>
      <c r="N17" s="64" t="s">
        <v>791</v>
      </c>
      <c r="O17" s="64" t="s">
        <v>791</v>
      </c>
      <c r="P17" s="64"/>
      <c r="Q17" s="64"/>
      <c r="R17" s="64"/>
      <c r="S17" s="65"/>
      <c r="T17" s="61" t="s">
        <v>813</v>
      </c>
      <c r="U17" s="67" t="n">
        <v>45721</v>
      </c>
      <c r="V17" s="67" t="n">
        <v>45721</v>
      </c>
      <c r="W17" s="67" t="n">
        <v>45735</v>
      </c>
      <c r="X17" s="68" t="n">
        <v>8.5</v>
      </c>
      <c r="Y17" s="69"/>
      <c r="Z17" s="70" t="n">
        <v>8501</v>
      </c>
      <c r="AA17" s="67" t="n">
        <v>45763</v>
      </c>
      <c r="AB17" s="67" t="n">
        <v>45763</v>
      </c>
      <c r="AC17" s="67" t="n">
        <v>45777</v>
      </c>
      <c r="AD17" s="68" t="n">
        <v>8.5</v>
      </c>
      <c r="AE17" s="69"/>
      <c r="AF17" s="70" t="n">
        <v>8541</v>
      </c>
      <c r="AG17" s="106" t="n">
        <v>45817</v>
      </c>
      <c r="AH17" s="106" t="n">
        <v>45817</v>
      </c>
      <c r="AI17" s="106" t="n">
        <v>45817</v>
      </c>
      <c r="AJ17" s="68" t="n">
        <v>7</v>
      </c>
      <c r="AK17" s="69"/>
      <c r="AL17" s="70" t="n">
        <v>8932</v>
      </c>
      <c r="AM17" s="106" t="n">
        <v>45825</v>
      </c>
      <c r="AN17" s="70"/>
      <c r="AO17" s="70"/>
      <c r="AP17" s="68"/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68" t="n">
        <v>0</v>
      </c>
      <c r="AW17" s="69"/>
      <c r="AX17" s="68"/>
      <c r="AY17" s="68"/>
      <c r="AZ17" s="69"/>
      <c r="BA17" s="123" t="n">
        <v>45817</v>
      </c>
      <c r="BB17" s="70" t="n">
        <v>6</v>
      </c>
      <c r="BC17" s="72"/>
      <c r="BD17" s="73" t="str">
        <f aca="false">IF(AND(BB17&gt;=6,AP17&gt;=6,AJ17&gt;=6,AD17&gt;=6,X17&gt;=6),"да","нет")</f>
        <v>нет</v>
      </c>
      <c r="BE17" s="72"/>
      <c r="BF17" s="74"/>
      <c r="BG17" s="71"/>
      <c r="BH17" s="68"/>
      <c r="BI17" s="50"/>
      <c r="BJ17" s="75" t="n">
        <f aca="false">SUM(X17,AD17,AJ17,AP17,AV17,AX17:AY17,BH17,BB17,BG17)</f>
        <v>30</v>
      </c>
      <c r="BK17" s="73" t="str">
        <f aca="false">IF(BJ17&gt;90,"A",IF(BJ17&gt;83,"B",IF(BJ17&gt;74,"C",IF(BJ17&gt;67,"D",IF(BJ17&gt;=60,"E","FX")))))</f>
        <v>FX</v>
      </c>
    </row>
    <row r="18" customFormat="false" ht="15.75" hidden="false" customHeight="false" outlineLevel="0" collapsed="false">
      <c r="A18" s="59" t="n">
        <f aca="false">A17+1</f>
        <v>16</v>
      </c>
      <c r="B18" s="60" t="s">
        <v>591</v>
      </c>
      <c r="C18" s="61" t="s">
        <v>174</v>
      </c>
      <c r="D18" s="61" t="s">
        <v>590</v>
      </c>
      <c r="E18" s="62"/>
      <c r="F18" s="63" t="s">
        <v>696</v>
      </c>
      <c r="G18" s="63" t="s">
        <v>791</v>
      </c>
      <c r="H18" s="63" t="s">
        <v>791</v>
      </c>
      <c r="I18" s="63" t="s">
        <v>791</v>
      </c>
      <c r="J18" s="63" t="s">
        <v>791</v>
      </c>
      <c r="K18" s="63" t="s">
        <v>791</v>
      </c>
      <c r="L18" s="63" t="s">
        <v>791</v>
      </c>
      <c r="M18" s="63" t="s">
        <v>791</v>
      </c>
      <c r="N18" s="64"/>
      <c r="O18" s="64"/>
      <c r="P18" s="64"/>
      <c r="Q18" s="64"/>
      <c r="R18" s="64"/>
      <c r="S18" s="65"/>
      <c r="T18" s="61" t="s">
        <v>814</v>
      </c>
      <c r="U18" s="67" t="n">
        <v>45721</v>
      </c>
      <c r="V18" s="67" t="n">
        <v>45721</v>
      </c>
      <c r="W18" s="67" t="n">
        <v>45735</v>
      </c>
      <c r="X18" s="68" t="n">
        <v>8.5</v>
      </c>
      <c r="Y18" s="69"/>
      <c r="Z18" s="70" t="n">
        <v>8308</v>
      </c>
      <c r="AA18" s="106" t="n">
        <v>45749</v>
      </c>
      <c r="AB18" s="67" t="n">
        <v>45749</v>
      </c>
      <c r="AC18" s="67" t="n">
        <v>45749</v>
      </c>
      <c r="AD18" s="68" t="n">
        <v>9</v>
      </c>
      <c r="AE18" s="69"/>
      <c r="AF18" s="70" t="n">
        <v>8765</v>
      </c>
      <c r="AG18" s="106" t="n">
        <v>45763</v>
      </c>
      <c r="AH18" s="106" t="n">
        <v>45777</v>
      </c>
      <c r="AI18" s="106" t="n">
        <v>45777</v>
      </c>
      <c r="AJ18" s="68" t="n">
        <v>9</v>
      </c>
      <c r="AK18" s="69"/>
      <c r="AL18" s="70" t="n">
        <v>8912</v>
      </c>
      <c r="AM18" s="106" t="n">
        <v>45791</v>
      </c>
      <c r="AN18" s="106" t="n">
        <v>45791</v>
      </c>
      <c r="AO18" s="106" t="n">
        <v>45791</v>
      </c>
      <c r="AP18" s="68" t="n">
        <v>8</v>
      </c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 t="n">
        <v>0</v>
      </c>
      <c r="AY18" s="68" t="n">
        <v>1.5</v>
      </c>
      <c r="AZ18" s="69"/>
      <c r="BA18" s="123" t="n">
        <v>45817</v>
      </c>
      <c r="BB18" s="70" t="n">
        <v>6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45897</v>
      </c>
      <c r="BG18" s="71" t="n">
        <v>18</v>
      </c>
      <c r="BH18" s="68"/>
      <c r="BI18" s="50"/>
      <c r="BJ18" s="75" t="n">
        <f aca="false">SUM(X18,AD18,AJ18,AP18,AV18,AX18:AY18,BH18,BB18,BG18)</f>
        <v>60</v>
      </c>
      <c r="BK18" s="73" t="str">
        <f aca="false">IF(BJ18&gt;90,"A",IF(BJ18&gt;83,"B",IF(BJ18&gt;74,"C",IF(BJ18&gt;67,"D",IF(BJ18&gt;=60,"E","FX")))))</f>
        <v>E</v>
      </c>
    </row>
    <row r="19" customFormat="false" ht="15.75" hidden="false" customHeight="false" outlineLevel="0" collapsed="false">
      <c r="A19" s="59" t="n">
        <f aca="false">A18+1</f>
        <v>17</v>
      </c>
      <c r="B19" s="60" t="s">
        <v>613</v>
      </c>
      <c r="C19" s="61" t="s">
        <v>174</v>
      </c>
      <c r="D19" s="61" t="s">
        <v>612</v>
      </c>
      <c r="E19" s="62"/>
      <c r="F19" s="63" t="s">
        <v>696</v>
      </c>
      <c r="G19" s="63" t="s">
        <v>791</v>
      </c>
      <c r="H19" s="63" t="s">
        <v>791</v>
      </c>
      <c r="I19" s="63" t="s">
        <v>791</v>
      </c>
      <c r="J19" s="63" t="s">
        <v>791</v>
      </c>
      <c r="K19" s="63" t="s">
        <v>696</v>
      </c>
      <c r="L19" s="63" t="s">
        <v>696</v>
      </c>
      <c r="M19" s="63" t="s">
        <v>696</v>
      </c>
      <c r="N19" s="64" t="s">
        <v>791</v>
      </c>
      <c r="O19" s="64"/>
      <c r="P19" s="64"/>
      <c r="Q19" s="64"/>
      <c r="R19" s="64"/>
      <c r="S19" s="65"/>
      <c r="T19" s="61" t="s">
        <v>815</v>
      </c>
      <c r="U19" s="67" t="n">
        <v>45721</v>
      </c>
      <c r="V19" s="67" t="n">
        <v>45721</v>
      </c>
      <c r="W19" s="67" t="n">
        <v>45721</v>
      </c>
      <c r="X19" s="68" t="n">
        <v>10</v>
      </c>
      <c r="Y19" s="69"/>
      <c r="Z19" s="70" t="n">
        <v>8991</v>
      </c>
      <c r="AA19" s="106" t="n">
        <v>45749</v>
      </c>
      <c r="AB19" s="106" t="n">
        <v>45749</v>
      </c>
      <c r="AC19" s="106" t="n">
        <v>45749</v>
      </c>
      <c r="AD19" s="68" t="n">
        <v>10</v>
      </c>
      <c r="AE19" s="69"/>
      <c r="AF19" s="70" t="n">
        <v>8914</v>
      </c>
      <c r="AG19" s="106" t="n">
        <v>45749</v>
      </c>
      <c r="AH19" s="106" t="n">
        <v>45817</v>
      </c>
      <c r="AI19" s="106" t="n">
        <v>45817</v>
      </c>
      <c r="AJ19" s="68" t="n">
        <v>10</v>
      </c>
      <c r="AK19" s="69"/>
      <c r="AL19" s="70" t="n">
        <v>8709</v>
      </c>
      <c r="AM19" s="106" t="n">
        <v>45817</v>
      </c>
      <c r="AN19" s="106" t="n">
        <v>45817</v>
      </c>
      <c r="AO19" s="106" t="n">
        <v>45817</v>
      </c>
      <c r="AP19" s="68" t="n">
        <v>9</v>
      </c>
      <c r="AQ19" s="69"/>
      <c r="AR19" s="70" t="s">
        <v>737</v>
      </c>
      <c r="AS19" s="70" t="s">
        <v>737</v>
      </c>
      <c r="AT19" s="70" t="s">
        <v>737</v>
      </c>
      <c r="AU19" s="70" t="s">
        <v>737</v>
      </c>
      <c r="AV19" s="68" t="n">
        <v>0</v>
      </c>
      <c r="AW19" s="69"/>
      <c r="AX19" s="68"/>
      <c r="AY19" s="68"/>
      <c r="AZ19" s="69"/>
      <c r="BA19" s="106" t="n">
        <v>45799</v>
      </c>
      <c r="BB19" s="70" t="n">
        <v>10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45897</v>
      </c>
      <c r="BG19" s="71" t="n">
        <v>18</v>
      </c>
      <c r="BH19" s="68"/>
      <c r="BI19" s="50"/>
      <c r="BJ19" s="75" t="n">
        <f aca="false">SUM(X19,AD19,AJ19,AP19,AV19,AX19:AY19,BH19,BB19,BG19)</f>
        <v>67</v>
      </c>
      <c r="BK19" s="73" t="str">
        <f aca="false">IF(BJ19&gt;90,"A",IF(BJ19&gt;83,"B",IF(BJ19&gt;74,"C",IF(BJ19&gt;67,"D",IF(BJ19&gt;=60,"E","FX")))))</f>
        <v>E</v>
      </c>
    </row>
    <row r="20" customFormat="false" ht="15.75" hidden="false" customHeight="false" outlineLevel="0" collapsed="false">
      <c r="A20" s="59" t="n">
        <f aca="false">A19+1</f>
        <v>18</v>
      </c>
      <c r="B20" s="60" t="s">
        <v>649</v>
      </c>
      <c r="C20" s="61" t="s">
        <v>174</v>
      </c>
      <c r="D20" s="61" t="s">
        <v>648</v>
      </c>
      <c r="E20" s="62"/>
      <c r="F20" s="63" t="s">
        <v>696</v>
      </c>
      <c r="G20" s="63" t="s">
        <v>735</v>
      </c>
      <c r="H20" s="63" t="s">
        <v>791</v>
      </c>
      <c r="I20" s="63" t="s">
        <v>791</v>
      </c>
      <c r="J20" s="63" t="s">
        <v>791</v>
      </c>
      <c r="K20" s="63" t="s">
        <v>791</v>
      </c>
      <c r="L20" s="63" t="s">
        <v>735</v>
      </c>
      <c r="M20" s="63" t="s">
        <v>791</v>
      </c>
      <c r="N20" s="64"/>
      <c r="O20" s="64"/>
      <c r="P20" s="64"/>
      <c r="Q20" s="64"/>
      <c r="R20" s="64"/>
      <c r="S20" s="65"/>
      <c r="T20" s="61" t="s">
        <v>816</v>
      </c>
      <c r="U20" s="67" t="n">
        <v>45721</v>
      </c>
      <c r="V20" s="67" t="n">
        <v>45721</v>
      </c>
      <c r="W20" s="67" t="n">
        <v>45721</v>
      </c>
      <c r="X20" s="68" t="n">
        <v>10</v>
      </c>
      <c r="Y20" s="69"/>
      <c r="Z20" s="70" t="n">
        <v>8572</v>
      </c>
      <c r="AA20" s="67" t="n">
        <v>45735</v>
      </c>
      <c r="AB20" s="67" t="n">
        <v>45735</v>
      </c>
      <c r="AC20" s="67" t="n">
        <v>45735</v>
      </c>
      <c r="AD20" s="68" t="n">
        <v>10</v>
      </c>
      <c r="AE20" s="69"/>
      <c r="AF20" s="70" t="n">
        <v>8551</v>
      </c>
      <c r="AG20" s="106" t="n">
        <v>45749</v>
      </c>
      <c r="AH20" s="106" t="n">
        <v>45763</v>
      </c>
      <c r="AI20" s="106" t="n">
        <v>45763</v>
      </c>
      <c r="AJ20" s="68" t="n">
        <v>10</v>
      </c>
      <c r="AK20" s="69"/>
      <c r="AL20" s="70" t="n">
        <v>8558</v>
      </c>
      <c r="AM20" s="106" t="n">
        <v>45791</v>
      </c>
      <c r="AN20" s="106" t="n">
        <v>45791</v>
      </c>
      <c r="AO20" s="106" t="n">
        <v>45791</v>
      </c>
      <c r="AP20" s="68" t="n">
        <v>10</v>
      </c>
      <c r="AQ20" s="69"/>
      <c r="AR20" s="70" t="s">
        <v>737</v>
      </c>
      <c r="AS20" s="70" t="s">
        <v>737</v>
      </c>
      <c r="AT20" s="70" t="s">
        <v>737</v>
      </c>
      <c r="AU20" s="70" t="s">
        <v>737</v>
      </c>
      <c r="AV20" s="68" t="n">
        <v>0</v>
      </c>
      <c r="AW20" s="69"/>
      <c r="AX20" s="68"/>
      <c r="AY20" s="68"/>
      <c r="AZ20" s="69"/>
      <c r="BA20" s="123" t="n">
        <v>45799</v>
      </c>
      <c r="BB20" s="70" t="n">
        <v>10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45897</v>
      </c>
      <c r="BG20" s="71" t="n">
        <v>27</v>
      </c>
      <c r="BH20" s="68"/>
      <c r="BI20" s="50"/>
      <c r="BJ20" s="75" t="n">
        <f aca="false">SUM(X20,AD20,AJ20,AP20,AV20,AX20:AY20,BH20,BB20,BG20)</f>
        <v>77</v>
      </c>
      <c r="BK20" s="73" t="str">
        <f aca="false">IF(BJ20&gt;90,"A",IF(BJ20&gt;83,"B",IF(BJ20&gt;74,"C",IF(BJ20&gt;67,"D",IF(BJ20&gt;=60,"E","FX")))))</f>
        <v>C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63"/>
      <c r="H21" s="63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 t="s">
        <v>737</v>
      </c>
      <c r="AS21" s="70" t="s">
        <v>737</v>
      </c>
      <c r="AT21" s="70" t="s">
        <v>737</v>
      </c>
      <c r="AU21" s="70" t="s">
        <v>737</v>
      </c>
      <c r="AV21" s="68" t="n">
        <v>0</v>
      </c>
      <c r="AW21" s="69"/>
      <c r="AX21" s="68"/>
      <c r="AY21" s="68"/>
      <c r="AZ21" s="69"/>
      <c r="BA21" s="106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">
        <v>241</v>
      </c>
      <c r="C22" s="61" t="s">
        <v>174</v>
      </c>
      <c r="D22" s="61" t="s">
        <v>240</v>
      </c>
      <c r="E22" s="62"/>
      <c r="F22" s="63" t="s">
        <v>735</v>
      </c>
      <c r="G22" s="63" t="s">
        <v>735</v>
      </c>
      <c r="H22" s="63" t="s">
        <v>735</v>
      </c>
      <c r="I22" s="63" t="s">
        <v>735</v>
      </c>
      <c r="J22" s="63" t="s">
        <v>791</v>
      </c>
      <c r="K22" s="63" t="s">
        <v>735</v>
      </c>
      <c r="L22" s="63" t="s">
        <v>791</v>
      </c>
      <c r="M22" s="63"/>
      <c r="N22" s="64" t="s">
        <v>791</v>
      </c>
      <c r="O22" s="64"/>
      <c r="P22" s="64"/>
      <c r="Q22" s="64"/>
      <c r="R22" s="64"/>
      <c r="S22" s="65"/>
      <c r="T22" s="66" t="s">
        <v>817</v>
      </c>
      <c r="U22" s="106" t="n">
        <v>45749</v>
      </c>
      <c r="V22" s="67" t="n">
        <v>45749</v>
      </c>
      <c r="W22" s="67" t="n">
        <v>45749</v>
      </c>
      <c r="X22" s="68" t="n">
        <v>10</v>
      </c>
      <c r="Y22" s="69"/>
      <c r="Z22" s="70" t="n">
        <v>8300</v>
      </c>
      <c r="AA22" s="67" t="n">
        <v>45777</v>
      </c>
      <c r="AB22" s="67" t="n">
        <v>45777</v>
      </c>
      <c r="AC22" s="67" t="n">
        <v>45777</v>
      </c>
      <c r="AD22" s="68" t="n">
        <v>10</v>
      </c>
      <c r="AE22" s="69"/>
      <c r="AF22" s="70" t="n">
        <v>8401</v>
      </c>
      <c r="AG22" s="106" t="n">
        <v>45817</v>
      </c>
      <c r="AH22" s="106" t="n">
        <v>45817</v>
      </c>
      <c r="AI22" s="106" t="n">
        <v>45817</v>
      </c>
      <c r="AJ22" s="68" t="n">
        <v>9</v>
      </c>
      <c r="AK22" s="69"/>
      <c r="AL22" s="70" t="n">
        <v>8300</v>
      </c>
      <c r="AM22" s="70"/>
      <c r="AN22" s="70"/>
      <c r="AO22" s="70"/>
      <c r="AP22" s="68"/>
      <c r="AQ22" s="69"/>
      <c r="AR22" s="70" t="s">
        <v>737</v>
      </c>
      <c r="AS22" s="70" t="s">
        <v>737</v>
      </c>
      <c r="AT22" s="70" t="s">
        <v>737</v>
      </c>
      <c r="AU22" s="70" t="s">
        <v>737</v>
      </c>
      <c r="AV22" s="68" t="n">
        <v>0</v>
      </c>
      <c r="AW22" s="69"/>
      <c r="AX22" s="68"/>
      <c r="AY22" s="68"/>
      <c r="AZ22" s="69"/>
      <c r="BA22" s="123" t="n">
        <v>45799</v>
      </c>
      <c r="BB22" s="70" t="n">
        <v>10</v>
      </c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39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67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COUNTIF(F$3:F$22, "W")</f>
        <v>0</v>
      </c>
      <c r="G27" s="70" t="n">
        <f aca="false">COUNTIF(G$3:G$22, "W")</f>
        <v>11</v>
      </c>
      <c r="H27" s="70" t="n">
        <f aca="false">COUNTIF(H$3:H$22, "W")</f>
        <v>12</v>
      </c>
      <c r="I27" s="70" t="n">
        <f aca="false">COUNTIF(I$3:I$22, "W")</f>
        <v>13</v>
      </c>
      <c r="J27" s="70" t="n">
        <f aca="false">COUNTIF(J$3:J$22, "W")</f>
        <v>13</v>
      </c>
      <c r="K27" s="70" t="n">
        <f aca="false">COUNTIF(K$3:K$22, "W")</f>
        <v>11</v>
      </c>
      <c r="L27" s="70" t="n">
        <f aca="false">COUNTIF(L$3:L$22, "W")</f>
        <v>10</v>
      </c>
      <c r="M27" s="70" t="n">
        <f aca="false">COUNTIF(M$3:M$22, "W")</f>
        <v>13</v>
      </c>
      <c r="N27" s="70" t="n">
        <f aca="false">COUNTIF(N$3:N$22, "W")</f>
        <v>7</v>
      </c>
      <c r="O27" s="70"/>
      <c r="P27" s="70"/>
      <c r="Q27" s="70" t="n">
        <f aca="false">COUNTIF(Q$3:Q$22, "~**")</f>
        <v>0</v>
      </c>
      <c r="R27" s="70" t="n">
        <f aca="false">COUNTIF(R$3:R$22,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COUNTIF(F$3:F$22, "~**")+COUNTIF(F$3:F$22, "Y")</f>
        <v>17</v>
      </c>
      <c r="G28" s="70" t="n">
        <f aca="false">COUNTIF(G$3:G$22, "~**")+COUNTIF(G$3:G$22, "Y")</f>
        <v>0</v>
      </c>
      <c r="H28" s="70" t="n">
        <f aca="false">COUNTIF(H$3:H$22, "~**")+COUNTIF(H$3:H$22, "Y")</f>
        <v>0</v>
      </c>
      <c r="I28" s="70" t="n">
        <f aca="false">COUNTIF(I$3:I$22, "~**")+COUNTIF(I$3:I$22, "Y")</f>
        <v>0</v>
      </c>
      <c r="J28" s="70" t="n">
        <f aca="false">COUNTIF(J$3:J$22, "~**")+COUNTIF(J$3:J$22, "Y")</f>
        <v>0</v>
      </c>
      <c r="K28" s="70" t="n">
        <f aca="false">COUNTIF(K$3:K$22, "~**")+COUNTIF(K$3:K$22, "Y")</f>
        <v>2</v>
      </c>
      <c r="L28" s="70" t="n">
        <f aca="false">COUNTIF(L$3:L$22, "~**")+COUNTIF(L$3:L$22, "Y")</f>
        <v>2</v>
      </c>
      <c r="M28" s="70" t="n">
        <f aca="false">COUNTIF(M$3:M$22, "~**")+COUNTIF(M$3:M$22, "Y")</f>
        <v>2</v>
      </c>
      <c r="N28" s="70" t="n">
        <f aca="false">COUNTIF(N$3:N$22, "~**")+COUNTIF(N$3:N$22, "Y")</f>
        <v>0</v>
      </c>
      <c r="O28" s="70"/>
      <c r="P28" s="70"/>
      <c r="Q28" s="70" t="n">
        <f aca="false">COUNTIF(Q$3:Q$22, "~**")+COUNTIF(Q$3:Q$22, "Y")</f>
        <v>0</v>
      </c>
      <c r="R28" s="70" t="n">
        <f aca="false">COUNTIF(R$3:R$22, "~**")+COUNTIF(R$3:R$22,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15</v>
      </c>
      <c r="W30" s="44" t="n">
        <f aca="false">COUNT(W3:W25)</f>
        <v>16</v>
      </c>
      <c r="X30" s="44" t="n">
        <f aca="false">COUNT(X3:X25)</f>
        <v>16</v>
      </c>
      <c r="Y30" s="77"/>
      <c r="Z30" s="44"/>
      <c r="AA30" s="44" t="n">
        <f aca="false">COUNT(AA3:AA25)</f>
        <v>16</v>
      </c>
      <c r="AB30" s="44" t="n">
        <f aca="false">COUNT(AB3:AB25)</f>
        <v>16</v>
      </c>
      <c r="AC30" s="44" t="n">
        <f aca="false">COUNT(AC3:AC25)</f>
        <v>16</v>
      </c>
      <c r="AD30" s="44" t="n">
        <f aca="false">COUNT(AD3:AD25)</f>
        <v>16</v>
      </c>
      <c r="AE30" s="77"/>
      <c r="AF30" s="44"/>
      <c r="AG30" s="44" t="n">
        <f aca="false">COUNT(AG3:AG25)</f>
        <v>15</v>
      </c>
      <c r="AH30" s="44" t="n">
        <f aca="false">COUNT(AH3:AH25)</f>
        <v>15</v>
      </c>
      <c r="AI30" s="44" t="n">
        <f aca="false">COUNT(AI3:AI25)</f>
        <v>15</v>
      </c>
      <c r="AJ30" s="44" t="n">
        <f aca="false">COUNT(AJ3:AJ25)</f>
        <v>15</v>
      </c>
      <c r="AK30" s="77"/>
      <c r="AL30" s="44"/>
      <c r="AM30" s="44" t="n">
        <f aca="false">COUNT(AM3:AM25)</f>
        <v>13</v>
      </c>
      <c r="AN30" s="44" t="n">
        <f aca="false">COUNT(AN3:AN25)</f>
        <v>12</v>
      </c>
      <c r="AO30" s="44" t="n">
        <f aca="false">COUNT(AO3:AO25)</f>
        <v>12</v>
      </c>
      <c r="AP30" s="44" t="n">
        <f aca="false">COUNT(AP3:AP25)</f>
        <v>12</v>
      </c>
      <c r="AQ30" s="77"/>
      <c r="AR30" s="44"/>
      <c r="AS30" s="44" t="n">
        <f aca="false">COUNT(AS3:AS25)</f>
        <v>2</v>
      </c>
      <c r="AT30" s="44" t="n">
        <f aca="false">COUNT(AT3:AT25)</f>
        <v>2</v>
      </c>
      <c r="AU30" s="44" t="n">
        <f aca="false">COUNT(AU3:AU25)</f>
        <v>2</v>
      </c>
      <c r="AV30" s="44" t="n">
        <f aca="false">COUNT(AV3:AV25)</f>
        <v>20</v>
      </c>
      <c r="AW30" s="77"/>
      <c r="AX30" s="44" t="n">
        <f aca="false">COUNT(AX3:AX25)</f>
        <v>7</v>
      </c>
      <c r="AY30" s="44" t="n">
        <f aca="false">COUNT(AY3:AY25)</f>
        <v>7</v>
      </c>
      <c r="AZ30" s="77"/>
      <c r="BA30" s="44"/>
      <c r="BB30" s="44" t="n">
        <f aca="false">COUNTIF(BB3:BB25, "&gt;=6")</f>
        <v>15</v>
      </c>
      <c r="BC30" s="77"/>
      <c r="BD30" s="44" t="n">
        <f aca="false">COUNTIF(BD3:BD25, "Да")</f>
        <v>12</v>
      </c>
      <c r="BE30" s="77"/>
      <c r="BF30" s="44"/>
      <c r="BG30" s="44" t="n">
        <f aca="false">COUNT(BG3:BG25)</f>
        <v>11</v>
      </c>
      <c r="BH30" s="44" t="n">
        <f aca="false">COUNT(BH3:BH25)</f>
        <v>2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95" t="n">
        <f aca="false">IF(COUNTA($B$3:$B$22)&gt;0,COUNTA(X$3:X$22)/COUNTA($B$3:$B$22), 0)</f>
        <v>0.8</v>
      </c>
      <c r="Y31" s="96"/>
      <c r="Z31" s="93"/>
      <c r="AA31" s="93"/>
      <c r="AB31" s="93"/>
      <c r="AC31" s="93"/>
      <c r="AD31" s="95" t="n">
        <f aca="false">IF(COUNTA($B$3:$B$22)&gt;0,COUNTA(AD$3:AD$22)/COUNTA($B$3:$B$22), 0)</f>
        <v>0.8</v>
      </c>
      <c r="AE31" s="97"/>
      <c r="AF31" s="98"/>
      <c r="AG31" s="93"/>
      <c r="AH31" s="98"/>
      <c r="AI31" s="93"/>
      <c r="AJ31" s="95" t="n">
        <f aca="false">IF(COUNTA($B$3:$B$22)&gt;0,COUNTA(AJ$3:AJ$22)/COUNTA($B$3:$B$22), 0)</f>
        <v>0.75</v>
      </c>
      <c r="AK31" s="96"/>
      <c r="AL31" s="93"/>
      <c r="AM31" s="93"/>
      <c r="AN31" s="93"/>
      <c r="AO31" s="93"/>
      <c r="AP31" s="95" t="n">
        <f aca="false">IF(COUNTA($B$3:$B$22)&gt;0,COUNTA(AP$3:AP$22)/COUNTA($B$3:$B$22), 0)</f>
        <v>0.6</v>
      </c>
      <c r="AQ31" s="96"/>
      <c r="AR31" s="93"/>
      <c r="AS31" s="93"/>
      <c r="AT31" s="93"/>
      <c r="AU31" s="93"/>
      <c r="AV31" s="95" t="n">
        <f aca="false">IF(COUNTA($B$3:$B$22)&gt;0,COUNTA(AV$3:AV$22)/COUNTA($B$3:$B$22), 0)</f>
        <v>1</v>
      </c>
      <c r="AW31" s="99"/>
      <c r="AX31" s="100"/>
      <c r="AY31" s="100"/>
      <c r="AZ31" s="99"/>
      <c r="BA31" s="100"/>
      <c r="BB31" s="95" t="n">
        <f aca="false">IF(COUNTA($B$3:$B$22)&gt;0,COUNTA(BB$3:BB$22)/COUNTA($B$3:$B$22), 0)</f>
        <v>0.75</v>
      </c>
      <c r="BC31" s="77"/>
      <c r="BD31" s="44" t="n">
        <f aca="false">COUNTIF(BD3:BD25, "Да")</f>
        <v>12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818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true" customHeight="false" outlineLevel="0" collapsed="false">
      <c r="A33" s="92"/>
      <c r="B33" s="92"/>
      <c r="C33" s="92"/>
      <c r="D33" s="92"/>
      <c r="E33" s="77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">
    <cfRule type="expression" priority="2" aboveAverage="0" equalAverage="0" bottom="0" percent="0" rank="0" text="" dxfId="2">
      <formula>U3&gt;45809</formula>
    </cfRule>
  </conditionalFormatting>
  <conditionalFormatting sqref="BC3:BD25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9138"/>
    <outlinePr summaryBelow="0"/>
    <pageSetUpPr fitToPage="false"/>
  </sheetPr>
  <dimension ref="A1:B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730</v>
      </c>
      <c r="C1" s="110" t="s">
        <v>819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45700</v>
      </c>
      <c r="G2" s="55" t="n">
        <f aca="false">F2+14</f>
        <v>45714</v>
      </c>
      <c r="H2" s="55" t="n">
        <f aca="false">G2+14</f>
        <v>45728</v>
      </c>
      <c r="I2" s="55" t="n">
        <f aca="false">H2+14</f>
        <v>45742</v>
      </c>
      <c r="J2" s="55" t="n">
        <f aca="false">I2+14</f>
        <v>45756</v>
      </c>
      <c r="K2" s="55" t="n">
        <f aca="false">J2+14</f>
        <v>45770</v>
      </c>
      <c r="L2" s="55" t="n">
        <f aca="false">K2+14</f>
        <v>45784</v>
      </c>
      <c r="M2" s="55" t="n">
        <f aca="false">L2+14</f>
        <v>45798</v>
      </c>
      <c r="N2" s="111" t="n">
        <v>45806</v>
      </c>
      <c r="O2" s="111" t="n">
        <v>45811</v>
      </c>
      <c r="P2" s="111" t="n">
        <v>45813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12" t="s">
        <v>820</v>
      </c>
      <c r="C3" s="113" t="s">
        <v>821</v>
      </c>
      <c r="D3" s="114" t="s">
        <v>822</v>
      </c>
      <c r="E3" s="62"/>
      <c r="F3" s="63" t="s">
        <v>735</v>
      </c>
      <c r="G3" s="63" t="s">
        <v>735</v>
      </c>
      <c r="H3" s="63" t="s">
        <v>735</v>
      </c>
      <c r="I3" s="63" t="s">
        <v>735</v>
      </c>
      <c r="J3" s="63" t="s">
        <v>735</v>
      </c>
      <c r="K3" s="63" t="s">
        <v>735</v>
      </c>
      <c r="L3" s="63" t="s">
        <v>735</v>
      </c>
      <c r="M3" s="63" t="s">
        <v>735</v>
      </c>
      <c r="N3" s="119"/>
      <c r="O3" s="119"/>
      <c r="P3" s="119"/>
      <c r="Q3" s="119"/>
      <c r="R3" s="119"/>
      <c r="S3" s="65"/>
      <c r="T3" s="66" t="s">
        <v>823</v>
      </c>
      <c r="U3" s="127"/>
      <c r="V3" s="127"/>
      <c r="W3" s="127"/>
      <c r="X3" s="128"/>
      <c r="Y3" s="69"/>
      <c r="Z3" s="129"/>
      <c r="AA3" s="127"/>
      <c r="AB3" s="127"/>
      <c r="AC3" s="127"/>
      <c r="AD3" s="128"/>
      <c r="AE3" s="69"/>
      <c r="AF3" s="129"/>
      <c r="AG3" s="129"/>
      <c r="AH3" s="129"/>
      <c r="AI3" s="129"/>
      <c r="AJ3" s="128"/>
      <c r="AK3" s="69"/>
      <c r="AL3" s="129"/>
      <c r="AM3" s="129"/>
      <c r="AN3" s="129"/>
      <c r="AO3" s="129"/>
      <c r="AP3" s="128"/>
      <c r="AQ3" s="69"/>
      <c r="AR3" s="70"/>
      <c r="AS3" s="70"/>
      <c r="AT3" s="70"/>
      <c r="AU3" s="70"/>
      <c r="AV3" s="68"/>
      <c r="AW3" s="69"/>
      <c r="AX3" s="68"/>
      <c r="AY3" s="68"/>
      <c r="AZ3" s="69"/>
      <c r="BA3" s="67"/>
      <c r="BB3" s="71"/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0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60" t="s">
        <v>231</v>
      </c>
      <c r="C4" s="113" t="s">
        <v>821</v>
      </c>
      <c r="D4" s="114" t="s">
        <v>230</v>
      </c>
      <c r="E4" s="62"/>
      <c r="F4" s="63" t="s">
        <v>739</v>
      </c>
      <c r="G4" s="63" t="s">
        <v>734</v>
      </c>
      <c r="H4" s="63" t="s">
        <v>734</v>
      </c>
      <c r="I4" s="63" t="s">
        <v>734</v>
      </c>
      <c r="J4" s="63" t="s">
        <v>735</v>
      </c>
      <c r="K4" s="63" t="s">
        <v>734</v>
      </c>
      <c r="L4" s="63" t="s">
        <v>734</v>
      </c>
      <c r="M4" s="63" t="s">
        <v>734</v>
      </c>
      <c r="N4" s="64" t="s">
        <v>734</v>
      </c>
      <c r="O4" s="64"/>
      <c r="P4" s="64"/>
      <c r="Q4" s="64"/>
      <c r="R4" s="64"/>
      <c r="S4" s="65"/>
      <c r="T4" s="66" t="s">
        <v>824</v>
      </c>
      <c r="U4" s="67" t="n">
        <v>45700</v>
      </c>
      <c r="V4" s="67" t="n">
        <v>45714</v>
      </c>
      <c r="W4" s="67" t="n">
        <v>45714</v>
      </c>
      <c r="X4" s="68" t="n">
        <v>10</v>
      </c>
      <c r="Y4" s="69"/>
      <c r="Z4" s="70" t="n">
        <v>9404</v>
      </c>
      <c r="AA4" s="67" t="n">
        <v>45727</v>
      </c>
      <c r="AB4" s="67" t="n">
        <v>45742</v>
      </c>
      <c r="AC4" s="67" t="n">
        <v>45742</v>
      </c>
      <c r="AD4" s="68" t="n">
        <v>9.5</v>
      </c>
      <c r="AE4" s="69"/>
      <c r="AF4" s="70" t="n">
        <v>9506</v>
      </c>
      <c r="AG4" s="106" t="n">
        <v>45784</v>
      </c>
      <c r="AH4" s="106" t="n">
        <v>45798</v>
      </c>
      <c r="AI4" s="106" t="n">
        <v>45798</v>
      </c>
      <c r="AJ4" s="68" t="n">
        <v>8</v>
      </c>
      <c r="AK4" s="69"/>
      <c r="AL4" s="70" t="n">
        <v>9612</v>
      </c>
      <c r="AM4" s="106" t="n">
        <v>45798</v>
      </c>
      <c r="AN4" s="106" t="n">
        <v>45806</v>
      </c>
      <c r="AO4" s="106" t="n">
        <v>45806</v>
      </c>
      <c r="AP4" s="68" t="n">
        <v>9</v>
      </c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68" t="n">
        <v>0</v>
      </c>
      <c r="AW4" s="69"/>
      <c r="AX4" s="68" t="n">
        <v>1</v>
      </c>
      <c r="AY4" s="68" t="n">
        <v>1</v>
      </c>
      <c r="AZ4" s="69"/>
      <c r="BA4" s="67" t="n">
        <v>45826</v>
      </c>
      <c r="BB4" s="71" t="n">
        <v>7</v>
      </c>
      <c r="BC4" s="72"/>
      <c r="BD4" s="73" t="str">
        <f aca="false">IF(AND(BB4&gt;=6,AP4&gt;=6,AJ4&gt;=6,AD4&gt;=6,X4&gt;=6),"да","нет")</f>
        <v>да</v>
      </c>
      <c r="BE4" s="72"/>
      <c r="BF4" s="118" t="n">
        <v>45836</v>
      </c>
      <c r="BG4" s="71" t="n">
        <v>29</v>
      </c>
      <c r="BH4" s="68"/>
      <c r="BI4" s="50"/>
      <c r="BJ4" s="75" t="n">
        <f aca="false">SUM(X4,AD4,AJ4,AP4,AV4,AX4:AY4,BH4,BB4,BG4)</f>
        <v>74.5</v>
      </c>
      <c r="BK4" s="73" t="str">
        <f aca="false">IF(BJ4&gt;90,"A",IF(BJ4&gt;83,"B",IF(BJ4&gt;74,"C",IF(BJ4&gt;67,"D",IF(BJ4&gt;=60,"E","FX")))))</f>
        <v>C</v>
      </c>
    </row>
    <row r="5" customFormat="false" ht="15.75" hidden="false" customHeight="false" outlineLevel="0" collapsed="false">
      <c r="A5" s="59" t="n">
        <f aca="false">A4+1</f>
        <v>3</v>
      </c>
      <c r="B5" s="60" t="s">
        <v>285</v>
      </c>
      <c r="C5" s="113" t="s">
        <v>821</v>
      </c>
      <c r="D5" s="114" t="s">
        <v>284</v>
      </c>
      <c r="E5" s="62"/>
      <c r="F5" s="63" t="s">
        <v>739</v>
      </c>
      <c r="G5" s="63" t="s">
        <v>734</v>
      </c>
      <c r="H5" s="63" t="s">
        <v>739</v>
      </c>
      <c r="I5" s="63" t="s">
        <v>739</v>
      </c>
      <c r="J5" s="63" t="s">
        <v>734</v>
      </c>
      <c r="K5" s="63" t="s">
        <v>734</v>
      </c>
      <c r="L5" s="63" t="s">
        <v>734</v>
      </c>
      <c r="M5" s="63" t="s">
        <v>735</v>
      </c>
      <c r="N5" s="64"/>
      <c r="O5" s="64"/>
      <c r="P5" s="64"/>
      <c r="Q5" s="64"/>
      <c r="R5" s="64"/>
      <c r="S5" s="65"/>
      <c r="T5" s="66" t="s">
        <v>825</v>
      </c>
      <c r="U5" s="67" t="n">
        <v>45700</v>
      </c>
      <c r="V5" s="67" t="n">
        <v>45700</v>
      </c>
      <c r="W5" s="106" t="n">
        <v>45714</v>
      </c>
      <c r="X5" s="68" t="n">
        <v>8</v>
      </c>
      <c r="Y5" s="69"/>
      <c r="Z5" s="70" t="n">
        <v>9400</v>
      </c>
      <c r="AA5" s="67" t="n">
        <v>45727</v>
      </c>
      <c r="AB5" s="67" t="n">
        <v>45727</v>
      </c>
      <c r="AC5" s="67" t="n">
        <v>45727</v>
      </c>
      <c r="AD5" s="68" t="n">
        <v>10</v>
      </c>
      <c r="AE5" s="69"/>
      <c r="AF5" s="70" t="n">
        <v>9500</v>
      </c>
      <c r="AG5" s="67" t="n">
        <v>45742</v>
      </c>
      <c r="AH5" s="106" t="n">
        <v>45756</v>
      </c>
      <c r="AI5" s="106" t="n">
        <v>45756</v>
      </c>
      <c r="AJ5" s="68" t="n">
        <v>9.5</v>
      </c>
      <c r="AK5" s="69"/>
      <c r="AL5" s="70" t="n">
        <v>9602</v>
      </c>
      <c r="AM5" s="106" t="n">
        <v>45770</v>
      </c>
      <c r="AN5" s="106" t="n">
        <v>45770</v>
      </c>
      <c r="AO5" s="106" t="n">
        <v>45770</v>
      </c>
      <c r="AP5" s="68" t="n">
        <v>10</v>
      </c>
      <c r="AQ5" s="69"/>
      <c r="AR5" s="70" t="n">
        <v>9702</v>
      </c>
      <c r="AS5" s="67" t="n">
        <v>45784</v>
      </c>
      <c r="AT5" s="67" t="n">
        <v>45784</v>
      </c>
      <c r="AU5" s="67" t="n">
        <v>45784</v>
      </c>
      <c r="AV5" s="68" t="n">
        <v>9</v>
      </c>
      <c r="AW5" s="69"/>
      <c r="AX5" s="68" t="n">
        <v>2</v>
      </c>
      <c r="AY5" s="68" t="n">
        <v>1</v>
      </c>
      <c r="AZ5" s="69"/>
      <c r="BA5" s="67" t="n">
        <v>45792</v>
      </c>
      <c r="BB5" s="71" t="n">
        <v>9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45836</v>
      </c>
      <c r="BG5" s="71" t="n">
        <v>27</v>
      </c>
      <c r="BH5" s="68"/>
      <c r="BI5" s="50"/>
      <c r="BJ5" s="75" t="n">
        <f aca="false">SUM(X5,AD5,AJ5,AP5,AV5,AX5:AY5,BH5,BB5,BG5)</f>
        <v>85.5</v>
      </c>
      <c r="BK5" s="73" t="str">
        <f aca="false">IF(BJ5&gt;90,"A",IF(BJ5&gt;83,"B",IF(BJ5&gt;74,"C",IF(BJ5&gt;67,"D",IF(BJ5&gt;=60,"E","FX")))))</f>
        <v>B</v>
      </c>
    </row>
    <row r="6" customFormat="false" ht="15.75" hidden="false" customHeight="false" outlineLevel="0" collapsed="false">
      <c r="A6" s="59" t="n">
        <f aca="false">A5+1</f>
        <v>4</v>
      </c>
      <c r="B6" s="60" t="s">
        <v>315</v>
      </c>
      <c r="C6" s="113" t="s">
        <v>821</v>
      </c>
      <c r="D6" s="114" t="s">
        <v>314</v>
      </c>
      <c r="E6" s="62"/>
      <c r="F6" s="63" t="s">
        <v>735</v>
      </c>
      <c r="G6" s="63" t="s">
        <v>735</v>
      </c>
      <c r="H6" s="63" t="s">
        <v>735</v>
      </c>
      <c r="I6" s="63" t="s">
        <v>734</v>
      </c>
      <c r="J6" s="63" t="s">
        <v>734</v>
      </c>
      <c r="K6" s="63" t="s">
        <v>734</v>
      </c>
      <c r="L6" s="63" t="s">
        <v>739</v>
      </c>
      <c r="M6" s="63" t="s">
        <v>734</v>
      </c>
      <c r="N6" s="64" t="s">
        <v>735</v>
      </c>
      <c r="O6" s="64" t="s">
        <v>734</v>
      </c>
      <c r="P6" s="64" t="s">
        <v>734</v>
      </c>
      <c r="Q6" s="64"/>
      <c r="R6" s="64"/>
      <c r="S6" s="65"/>
      <c r="T6" s="66" t="s">
        <v>826</v>
      </c>
      <c r="U6" s="67" t="n">
        <v>45742</v>
      </c>
      <c r="V6" s="67" t="n">
        <v>45756</v>
      </c>
      <c r="W6" s="67" t="n">
        <v>45756</v>
      </c>
      <c r="X6" s="68" t="n">
        <v>7.5</v>
      </c>
      <c r="Y6" s="69"/>
      <c r="Z6" s="70" t="n">
        <v>9416</v>
      </c>
      <c r="AA6" s="67" t="n">
        <v>45771</v>
      </c>
      <c r="AB6" s="67" t="n">
        <v>45784</v>
      </c>
      <c r="AC6" s="67" t="n">
        <v>45784</v>
      </c>
      <c r="AD6" s="68" t="n">
        <v>8</v>
      </c>
      <c r="AE6" s="69"/>
      <c r="AF6" s="70" t="n">
        <v>9516</v>
      </c>
      <c r="AG6" s="106" t="n">
        <v>45798</v>
      </c>
      <c r="AH6" s="106" t="n">
        <v>45811</v>
      </c>
      <c r="AI6" s="106" t="n">
        <v>45811</v>
      </c>
      <c r="AJ6" s="68" t="n">
        <v>9</v>
      </c>
      <c r="AK6" s="69"/>
      <c r="AL6" s="70" t="n">
        <v>9614</v>
      </c>
      <c r="AM6" s="106" t="n">
        <v>45813</v>
      </c>
      <c r="AN6" s="106" t="n">
        <v>45813</v>
      </c>
      <c r="AO6" s="106" t="n">
        <v>45813</v>
      </c>
      <c r="AP6" s="68" t="n">
        <v>9</v>
      </c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68" t="n">
        <v>0</v>
      </c>
      <c r="AW6" s="69"/>
      <c r="AX6" s="68" t="n">
        <v>0</v>
      </c>
      <c r="AY6" s="68" t="n">
        <v>2</v>
      </c>
      <c r="AZ6" s="69"/>
      <c r="BA6" s="67" t="n">
        <v>45792</v>
      </c>
      <c r="BB6" s="71" t="n">
        <v>7</v>
      </c>
      <c r="BC6" s="72"/>
      <c r="BD6" s="73" t="str">
        <f aca="false">IF(AND(BB6&gt;=6,AP6&gt;=6,AJ6&gt;=6,AD6&gt;=6,X6&gt;=6),"да","нет")</f>
        <v>да</v>
      </c>
      <c r="BE6" s="72"/>
      <c r="BF6" s="118" t="n">
        <v>45836</v>
      </c>
      <c r="BG6" s="71" t="n">
        <v>18</v>
      </c>
      <c r="BH6" s="68"/>
      <c r="BI6" s="50"/>
      <c r="BJ6" s="75" t="n">
        <f aca="false">SUM(X6,AD6,AJ6,AP6,AV6,AX6:AY6,BH6,BB6,BG6)</f>
        <v>60.5</v>
      </c>
      <c r="BK6" s="73" t="str">
        <f aca="false">IF(BJ6&gt;90,"A",IF(BJ6&gt;83,"B",IF(BJ6&gt;74,"C",IF(BJ6&gt;67,"D",IF(BJ6&gt;=60,"E","FX")))))</f>
        <v>E</v>
      </c>
    </row>
    <row r="7" customFormat="false" ht="15.75" hidden="false" customHeight="false" outlineLevel="0" collapsed="false">
      <c r="A7" s="59" t="n">
        <f aca="false">A6+1</f>
        <v>5</v>
      </c>
      <c r="B7" s="60" t="s">
        <v>319</v>
      </c>
      <c r="C7" s="113" t="s">
        <v>821</v>
      </c>
      <c r="D7" s="114" t="s">
        <v>318</v>
      </c>
      <c r="E7" s="62"/>
      <c r="F7" s="63" t="s">
        <v>734</v>
      </c>
      <c r="G7" s="63" t="s">
        <v>734</v>
      </c>
      <c r="H7" s="63" t="s">
        <v>739</v>
      </c>
      <c r="I7" s="63" t="s">
        <v>734</v>
      </c>
      <c r="J7" s="63" t="s">
        <v>734</v>
      </c>
      <c r="K7" s="63" t="s">
        <v>734</v>
      </c>
      <c r="L7" s="63" t="s">
        <v>734</v>
      </c>
      <c r="M7" s="63" t="s">
        <v>734</v>
      </c>
      <c r="N7" s="64"/>
      <c r="O7" s="64"/>
      <c r="P7" s="64"/>
      <c r="Q7" s="64"/>
      <c r="R7" s="64"/>
      <c r="S7" s="65"/>
      <c r="T7" s="66" t="s">
        <v>827</v>
      </c>
      <c r="U7" s="67" t="n">
        <v>45700</v>
      </c>
      <c r="V7" s="67" t="n">
        <v>45714</v>
      </c>
      <c r="W7" s="67" t="n">
        <v>45714</v>
      </c>
      <c r="X7" s="68" t="n">
        <v>9</v>
      </c>
      <c r="Y7" s="69"/>
      <c r="Z7" s="70" t="n">
        <v>9403</v>
      </c>
      <c r="AA7" s="67" t="n">
        <v>45727</v>
      </c>
      <c r="AB7" s="67" t="n">
        <v>45742</v>
      </c>
      <c r="AC7" s="67" t="n">
        <v>45742</v>
      </c>
      <c r="AD7" s="68" t="n">
        <v>10</v>
      </c>
      <c r="AE7" s="69"/>
      <c r="AF7" s="70" t="n">
        <v>9505</v>
      </c>
      <c r="AG7" s="67" t="n">
        <v>45756</v>
      </c>
      <c r="AH7" s="106" t="n">
        <v>45770</v>
      </c>
      <c r="AI7" s="106" t="n">
        <v>45784</v>
      </c>
      <c r="AJ7" s="68" t="n">
        <v>9</v>
      </c>
      <c r="AK7" s="69"/>
      <c r="AL7" s="70" t="n">
        <v>9608</v>
      </c>
      <c r="AM7" s="106" t="n">
        <v>45798</v>
      </c>
      <c r="AN7" s="106" t="n">
        <v>45798</v>
      </c>
      <c r="AO7" s="106" t="n">
        <v>45798</v>
      </c>
      <c r="AP7" s="68" t="n">
        <v>9</v>
      </c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68" t="n">
        <v>0</v>
      </c>
      <c r="AW7" s="69"/>
      <c r="AX7" s="68" t="n">
        <v>1</v>
      </c>
      <c r="AY7" s="68" t="n">
        <v>1</v>
      </c>
      <c r="AZ7" s="69"/>
      <c r="BA7" s="67" t="n">
        <v>45792</v>
      </c>
      <c r="BB7" s="71" t="n">
        <v>9</v>
      </c>
      <c r="BC7" s="72"/>
      <c r="BD7" s="73" t="str">
        <f aca="false">IF(AND(BB7&gt;=6,AP7&gt;=6,AJ7&gt;=6,AD7&gt;=6,X7&gt;=6),"да","нет")</f>
        <v>да</v>
      </c>
      <c r="BE7" s="72"/>
      <c r="BF7" s="118" t="n">
        <v>45836</v>
      </c>
      <c r="BG7" s="71" t="n">
        <v>28</v>
      </c>
      <c r="BH7" s="68"/>
      <c r="BI7" s="50"/>
      <c r="BJ7" s="75" t="n">
        <f aca="false">SUM(X7,AD7,AJ7,AP7,AV7,AX7:AY7,BH7,BB7,BG7)</f>
        <v>76</v>
      </c>
      <c r="BK7" s="73" t="str">
        <f aca="false">IF(BJ7&gt;90,"A",IF(BJ7&gt;83,"B",IF(BJ7&gt;74,"C",IF(BJ7&gt;67,"D",IF(BJ7&gt;=60,"E","FX")))))</f>
        <v>C</v>
      </c>
    </row>
    <row r="8" customFormat="false" ht="15.75" hidden="false" customHeight="false" outlineLevel="0" collapsed="false">
      <c r="A8" s="59" t="n">
        <f aca="false">A7+1</f>
        <v>6</v>
      </c>
      <c r="B8" s="60" t="s">
        <v>321</v>
      </c>
      <c r="C8" s="113" t="s">
        <v>821</v>
      </c>
      <c r="D8" s="114" t="s">
        <v>320</v>
      </c>
      <c r="E8" s="62"/>
      <c r="F8" s="63" t="s">
        <v>734</v>
      </c>
      <c r="G8" s="63" t="s">
        <v>734</v>
      </c>
      <c r="H8" s="63" t="s">
        <v>734</v>
      </c>
      <c r="I8" s="63" t="s">
        <v>739</v>
      </c>
      <c r="J8" s="63" t="s">
        <v>734</v>
      </c>
      <c r="K8" s="63" t="s">
        <v>734</v>
      </c>
      <c r="L8" s="63" t="s">
        <v>734</v>
      </c>
      <c r="M8" s="63" t="s">
        <v>734</v>
      </c>
      <c r="N8" s="64" t="s">
        <v>734</v>
      </c>
      <c r="O8" s="64"/>
      <c r="P8" s="64"/>
      <c r="Q8" s="64"/>
      <c r="R8" s="64"/>
      <c r="S8" s="65"/>
      <c r="T8" s="66" t="s">
        <v>828</v>
      </c>
      <c r="U8" s="67" t="n">
        <v>45700</v>
      </c>
      <c r="V8" s="67" t="n">
        <v>45714</v>
      </c>
      <c r="W8" s="67" t="n">
        <v>45727</v>
      </c>
      <c r="X8" s="68" t="n">
        <v>10</v>
      </c>
      <c r="Y8" s="69"/>
      <c r="Z8" s="70" t="n">
        <v>9414</v>
      </c>
      <c r="AA8" s="67" t="n">
        <v>45742</v>
      </c>
      <c r="AB8" s="67" t="n">
        <v>45756</v>
      </c>
      <c r="AC8" s="67" t="n">
        <v>45756</v>
      </c>
      <c r="AD8" s="68" t="n">
        <v>8</v>
      </c>
      <c r="AE8" s="69"/>
      <c r="AF8" s="70" t="n">
        <v>9510</v>
      </c>
      <c r="AG8" s="106" t="n">
        <v>45770</v>
      </c>
      <c r="AH8" s="106" t="n">
        <v>45784</v>
      </c>
      <c r="AI8" s="67" t="n">
        <v>45798</v>
      </c>
      <c r="AJ8" s="68" t="n">
        <v>9</v>
      </c>
      <c r="AK8" s="69"/>
      <c r="AL8" s="70" t="n">
        <v>9610</v>
      </c>
      <c r="AM8" s="106" t="n">
        <v>45798</v>
      </c>
      <c r="AN8" s="106" t="n">
        <v>45806</v>
      </c>
      <c r="AO8" s="106" t="n">
        <v>45806</v>
      </c>
      <c r="AP8" s="68" t="n">
        <v>8.5</v>
      </c>
      <c r="AQ8" s="69"/>
      <c r="AR8" s="70" t="s">
        <v>737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 t="n">
        <v>0</v>
      </c>
      <c r="AY8" s="68"/>
      <c r="AZ8" s="69"/>
      <c r="BA8" s="67" t="n">
        <v>45792</v>
      </c>
      <c r="BB8" s="71" t="n">
        <v>6</v>
      </c>
      <c r="BC8" s="72"/>
      <c r="BD8" s="73" t="str">
        <f aca="false">IF(AND(BB8&gt;=6,AP8&gt;=6,AJ8&gt;=6,AD8&gt;=6,X8&gt;=6),"да","нет")</f>
        <v>да</v>
      </c>
      <c r="BE8" s="72"/>
      <c r="BF8" s="118" t="n">
        <v>45836</v>
      </c>
      <c r="BG8" s="71" t="n">
        <v>27</v>
      </c>
      <c r="BH8" s="68"/>
      <c r="BI8" s="50"/>
      <c r="BJ8" s="75" t="n">
        <f aca="false">SUM(X8,AD8,AJ8,AP8,AV8,AX8:AY8,BH8,BB8,BG8)</f>
        <v>68.5</v>
      </c>
      <c r="BK8" s="73" t="str">
        <f aca="false">IF(BJ8&gt;90,"A",IF(BJ8&gt;83,"B",IF(BJ8&gt;74,"C",IF(BJ8&gt;67,"D",IF(BJ8&gt;=60,"E","FX")))))</f>
        <v>D</v>
      </c>
    </row>
    <row r="9" customFormat="false" ht="15.75" hidden="false" customHeight="false" outlineLevel="0" collapsed="false">
      <c r="A9" s="59" t="n">
        <f aca="false">A8+1</f>
        <v>7</v>
      </c>
      <c r="B9" s="60" t="s">
        <v>365</v>
      </c>
      <c r="C9" s="113" t="s">
        <v>821</v>
      </c>
      <c r="D9" s="114" t="s">
        <v>364</v>
      </c>
      <c r="E9" s="62"/>
      <c r="F9" s="63" t="s">
        <v>734</v>
      </c>
      <c r="G9" s="63" t="s">
        <v>696</v>
      </c>
      <c r="H9" s="63" t="s">
        <v>734</v>
      </c>
      <c r="I9" s="63" t="s">
        <v>734</v>
      </c>
      <c r="J9" s="63" t="s">
        <v>734</v>
      </c>
      <c r="K9" s="63" t="s">
        <v>734</v>
      </c>
      <c r="L9" s="63" t="s">
        <v>734</v>
      </c>
      <c r="M9" s="63" t="s">
        <v>734</v>
      </c>
      <c r="N9" s="64" t="s">
        <v>734</v>
      </c>
      <c r="O9" s="64"/>
      <c r="P9" s="64"/>
      <c r="Q9" s="64"/>
      <c r="R9" s="64"/>
      <c r="S9" s="65"/>
      <c r="T9" s="66" t="s">
        <v>829</v>
      </c>
      <c r="U9" s="67" t="n">
        <v>45700</v>
      </c>
      <c r="V9" s="67" t="n">
        <v>45727</v>
      </c>
      <c r="W9" s="67" t="n">
        <v>45742</v>
      </c>
      <c r="X9" s="68" t="n">
        <v>8</v>
      </c>
      <c r="Y9" s="69"/>
      <c r="Z9" s="70" t="n">
        <v>9415</v>
      </c>
      <c r="AA9" s="67" t="n">
        <v>45756</v>
      </c>
      <c r="AB9" s="67" t="n">
        <v>45770</v>
      </c>
      <c r="AC9" s="67" t="n">
        <v>45770</v>
      </c>
      <c r="AD9" s="68" t="n">
        <v>8</v>
      </c>
      <c r="AE9" s="69"/>
      <c r="AF9" s="70" t="n">
        <v>9513</v>
      </c>
      <c r="AG9" s="106" t="n">
        <v>45784</v>
      </c>
      <c r="AH9" s="106" t="n">
        <v>45798</v>
      </c>
      <c r="AI9" s="106" t="n">
        <v>45798</v>
      </c>
      <c r="AJ9" s="68" t="n">
        <v>8.5</v>
      </c>
      <c r="AK9" s="69"/>
      <c r="AL9" s="70" t="n">
        <v>9609</v>
      </c>
      <c r="AM9" s="106" t="n">
        <v>45798</v>
      </c>
      <c r="AN9" s="106" t="n">
        <v>45806</v>
      </c>
      <c r="AO9" s="106" t="n">
        <v>45806</v>
      </c>
      <c r="AP9" s="68" t="n">
        <v>9</v>
      </c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68" t="n">
        <v>0</v>
      </c>
      <c r="AW9" s="69"/>
      <c r="AX9" s="68" t="n">
        <v>1</v>
      </c>
      <c r="AY9" s="68" t="n">
        <v>1</v>
      </c>
      <c r="AZ9" s="69"/>
      <c r="BA9" s="67" t="n">
        <v>45826</v>
      </c>
      <c r="BB9" s="71" t="n">
        <v>7</v>
      </c>
      <c r="BC9" s="72"/>
      <c r="BD9" s="73" t="str">
        <f aca="false">IF(AND(BB9&gt;=6,AP9&gt;=6,AJ9&gt;=6,AD9&gt;=6,X9&gt;=6),"да","нет")</f>
        <v>да</v>
      </c>
      <c r="BE9" s="72"/>
      <c r="BF9" s="118" t="n">
        <v>45836</v>
      </c>
      <c r="BG9" s="71" t="n">
        <v>20</v>
      </c>
      <c r="BH9" s="68"/>
      <c r="BI9" s="50"/>
      <c r="BJ9" s="75" t="n">
        <f aca="false">SUM(X9,AD9,AJ9,AP9,AV9,AX9:AY9,BH9,BB9,BG9)</f>
        <v>62.5</v>
      </c>
      <c r="BK9" s="73" t="str">
        <f aca="false">IF(BJ9&gt;90,"A",IF(BJ9&gt;83,"B",IF(BJ9&gt;74,"C",IF(BJ9&gt;67,"D",IF(BJ9&gt;=60,"E","FX")))))</f>
        <v>E</v>
      </c>
    </row>
    <row r="10" customFormat="false" ht="15.75" hidden="false" customHeight="false" outlineLevel="0" collapsed="false">
      <c r="A10" s="59" t="n">
        <f aca="false">A9+1</f>
        <v>8</v>
      </c>
      <c r="B10" s="60" t="s">
        <v>373</v>
      </c>
      <c r="C10" s="113" t="s">
        <v>821</v>
      </c>
      <c r="D10" s="114" t="s">
        <v>372</v>
      </c>
      <c r="E10" s="62"/>
      <c r="F10" s="63" t="s">
        <v>734</v>
      </c>
      <c r="G10" s="63" t="s">
        <v>734</v>
      </c>
      <c r="H10" s="63" t="s">
        <v>734</v>
      </c>
      <c r="I10" s="63" t="s">
        <v>734</v>
      </c>
      <c r="J10" s="63" t="s">
        <v>739</v>
      </c>
      <c r="K10" s="63" t="s">
        <v>734</v>
      </c>
      <c r="L10" s="63" t="s">
        <v>739</v>
      </c>
      <c r="M10" s="63" t="s">
        <v>696</v>
      </c>
      <c r="N10" s="64"/>
      <c r="O10" s="64"/>
      <c r="P10" s="64"/>
      <c r="Q10" s="64"/>
      <c r="R10" s="64"/>
      <c r="S10" s="65"/>
      <c r="T10" s="66" t="s">
        <v>830</v>
      </c>
      <c r="U10" s="67" t="n">
        <v>45700</v>
      </c>
      <c r="V10" s="67" t="n">
        <v>45714</v>
      </c>
      <c r="W10" s="67" t="n">
        <v>45714</v>
      </c>
      <c r="X10" s="68" t="n">
        <v>10</v>
      </c>
      <c r="Y10" s="69"/>
      <c r="Z10" s="70" t="n">
        <v>9405</v>
      </c>
      <c r="AA10" s="67" t="n">
        <v>45727</v>
      </c>
      <c r="AB10" s="67" t="n">
        <v>45742</v>
      </c>
      <c r="AC10" s="67" t="n">
        <v>45742</v>
      </c>
      <c r="AD10" s="68" t="n">
        <v>10</v>
      </c>
      <c r="AE10" s="69"/>
      <c r="AF10" s="70" t="n">
        <v>9502</v>
      </c>
      <c r="AG10" s="67" t="n">
        <v>45742</v>
      </c>
      <c r="AH10" s="106" t="n">
        <v>45756</v>
      </c>
      <c r="AI10" s="106" t="n">
        <v>45756</v>
      </c>
      <c r="AJ10" s="68" t="n">
        <v>8.5</v>
      </c>
      <c r="AK10" s="69"/>
      <c r="AL10" s="70" t="n">
        <v>9600</v>
      </c>
      <c r="AM10" s="106" t="n">
        <v>45770</v>
      </c>
      <c r="AN10" s="106" t="n">
        <v>45770</v>
      </c>
      <c r="AO10" s="106" t="n">
        <v>45770</v>
      </c>
      <c r="AP10" s="68" t="n">
        <v>10</v>
      </c>
      <c r="AQ10" s="69"/>
      <c r="AR10" s="70" t="n">
        <v>9700</v>
      </c>
      <c r="AS10" s="67" t="n">
        <v>45784</v>
      </c>
      <c r="AT10" s="67" t="n">
        <v>45784</v>
      </c>
      <c r="AU10" s="67" t="n">
        <v>45784</v>
      </c>
      <c r="AV10" s="68" t="n">
        <v>10</v>
      </c>
      <c r="AW10" s="69"/>
      <c r="AX10" s="68" t="n">
        <v>3</v>
      </c>
      <c r="AY10" s="68" t="n">
        <v>1</v>
      </c>
      <c r="AZ10" s="69"/>
      <c r="BA10" s="67" t="n">
        <v>45792</v>
      </c>
      <c r="BB10" s="71" t="n">
        <v>8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45836</v>
      </c>
      <c r="BG10" s="71" t="n">
        <v>25</v>
      </c>
      <c r="BH10" s="68"/>
      <c r="BI10" s="50"/>
      <c r="BJ10" s="75" t="n">
        <f aca="false">SUM(X10,AD10,AJ10,AP10,AV10,AX10:AY10,BH10,BB10,BG10)</f>
        <v>85.5</v>
      </c>
      <c r="BK10" s="73" t="str">
        <f aca="false">IF(BJ10&gt;90,"A",IF(BJ10&gt;83,"B",IF(BJ10&gt;74,"C",IF(BJ10&gt;67,"D",IF(BJ10&gt;=60,"E","FX")))))</f>
        <v>B</v>
      </c>
    </row>
    <row r="11" customFormat="false" ht="15.75" hidden="false" customHeight="false" outlineLevel="0" collapsed="false">
      <c r="A11" s="59" t="n">
        <f aca="false">A10+1</f>
        <v>9</v>
      </c>
      <c r="B11" s="60" t="s">
        <v>379</v>
      </c>
      <c r="C11" s="113" t="s">
        <v>821</v>
      </c>
      <c r="D11" s="114" t="s">
        <v>378</v>
      </c>
      <c r="E11" s="62"/>
      <c r="F11" s="63" t="s">
        <v>739</v>
      </c>
      <c r="G11" s="63" t="s">
        <v>696</v>
      </c>
      <c r="H11" s="63" t="s">
        <v>739</v>
      </c>
      <c r="I11" s="63" t="s">
        <v>734</v>
      </c>
      <c r="J11" s="63" t="s">
        <v>734</v>
      </c>
      <c r="K11" s="63" t="s">
        <v>734</v>
      </c>
      <c r="L11" s="63" t="s">
        <v>734</v>
      </c>
      <c r="M11" s="63" t="s">
        <v>739</v>
      </c>
      <c r="N11" s="64"/>
      <c r="O11" s="64"/>
      <c r="P11" s="64"/>
      <c r="Q11" s="64"/>
      <c r="R11" s="64"/>
      <c r="S11" s="65"/>
      <c r="T11" s="66" t="s">
        <v>831</v>
      </c>
      <c r="U11" s="67" t="n">
        <v>45700</v>
      </c>
      <c r="V11" s="67" t="n">
        <v>45727</v>
      </c>
      <c r="W11" s="67" t="n">
        <v>45727</v>
      </c>
      <c r="X11" s="68" t="n">
        <v>8</v>
      </c>
      <c r="Y11" s="69"/>
      <c r="Z11" s="70" t="n">
        <v>9408</v>
      </c>
      <c r="AA11" s="67" t="n">
        <v>45727</v>
      </c>
      <c r="AB11" s="67" t="n">
        <v>45742</v>
      </c>
      <c r="AC11" s="67" t="n">
        <v>45742</v>
      </c>
      <c r="AD11" s="68" t="n">
        <v>8</v>
      </c>
      <c r="AE11" s="69"/>
      <c r="AF11" s="70" t="n">
        <v>9504</v>
      </c>
      <c r="AG11" s="106" t="n">
        <v>45756</v>
      </c>
      <c r="AH11" s="106" t="n">
        <v>45771</v>
      </c>
      <c r="AI11" s="106" t="n">
        <v>45771</v>
      </c>
      <c r="AJ11" s="68" t="n">
        <v>7</v>
      </c>
      <c r="AK11" s="69"/>
      <c r="AL11" s="70" t="n">
        <v>9606</v>
      </c>
      <c r="AM11" s="67" t="n">
        <v>45784</v>
      </c>
      <c r="AN11" s="67" t="n">
        <v>45784</v>
      </c>
      <c r="AO11" s="67" t="n">
        <v>45784</v>
      </c>
      <c r="AP11" s="68" t="n">
        <v>9</v>
      </c>
      <c r="AQ11" s="69"/>
      <c r="AR11" s="70" t="n">
        <v>9705</v>
      </c>
      <c r="AS11" s="106" t="n">
        <v>45798</v>
      </c>
      <c r="AT11" s="106" t="n">
        <v>45798</v>
      </c>
      <c r="AU11" s="106" t="n">
        <v>45798</v>
      </c>
      <c r="AV11" s="68" t="n">
        <v>8</v>
      </c>
      <c r="AW11" s="69"/>
      <c r="AX11" s="68" t="n">
        <v>0</v>
      </c>
      <c r="AY11" s="68" t="n">
        <v>1</v>
      </c>
      <c r="AZ11" s="69"/>
      <c r="BA11" s="67" t="n">
        <v>45792</v>
      </c>
      <c r="BB11" s="71" t="n">
        <v>8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45836</v>
      </c>
      <c r="BG11" s="71" t="n">
        <v>29</v>
      </c>
      <c r="BH11" s="68"/>
      <c r="BI11" s="50"/>
      <c r="BJ11" s="75" t="n">
        <f aca="false">SUM(X11,AD11,AJ11,AP11,AV11,AX11:AY11,BH11,BB11,BG11)</f>
        <v>78</v>
      </c>
      <c r="BK11" s="73" t="str">
        <f aca="false">IF(BJ11&gt;90,"A",IF(BJ11&gt;83,"B",IF(BJ11&gt;74,"C",IF(BJ11&gt;67,"D",IF(BJ11&gt;=60,"E","FX")))))</f>
        <v>C</v>
      </c>
    </row>
    <row r="12" customFormat="false" ht="15.75" hidden="false" customHeight="false" outlineLevel="0" collapsed="false">
      <c r="A12" s="59" t="n">
        <f aca="false">A11+1</f>
        <v>10</v>
      </c>
      <c r="B12" s="60" t="s">
        <v>433</v>
      </c>
      <c r="C12" s="113" t="s">
        <v>821</v>
      </c>
      <c r="D12" s="114" t="s">
        <v>432</v>
      </c>
      <c r="E12" s="62"/>
      <c r="F12" s="63" t="s">
        <v>734</v>
      </c>
      <c r="G12" s="63" t="s">
        <v>696</v>
      </c>
      <c r="H12" s="63" t="s">
        <v>734</v>
      </c>
      <c r="I12" s="63" t="s">
        <v>696</v>
      </c>
      <c r="J12" s="63" t="s">
        <v>734</v>
      </c>
      <c r="K12" s="63" t="s">
        <v>735</v>
      </c>
      <c r="L12" s="63" t="s">
        <v>739</v>
      </c>
      <c r="M12" s="63" t="s">
        <v>739</v>
      </c>
      <c r="N12" s="64" t="s">
        <v>734</v>
      </c>
      <c r="O12" s="64"/>
      <c r="P12" s="64"/>
      <c r="Q12" s="64"/>
      <c r="R12" s="64"/>
      <c r="S12" s="65"/>
      <c r="T12" s="66" t="s">
        <v>832</v>
      </c>
      <c r="U12" s="67" t="n">
        <v>45700</v>
      </c>
      <c r="V12" s="67" t="n">
        <v>45727</v>
      </c>
      <c r="W12" s="67" t="n">
        <v>45727</v>
      </c>
      <c r="X12" s="68" t="n">
        <v>10</v>
      </c>
      <c r="Y12" s="69"/>
      <c r="Z12" s="70" t="n">
        <v>9412</v>
      </c>
      <c r="AA12" s="67" t="n">
        <v>45756</v>
      </c>
      <c r="AB12" s="67" t="n">
        <v>45784</v>
      </c>
      <c r="AC12" s="67" t="n">
        <v>45784</v>
      </c>
      <c r="AD12" s="68" t="n">
        <v>8</v>
      </c>
      <c r="AE12" s="69"/>
      <c r="AF12" s="70" t="n">
        <v>9515</v>
      </c>
      <c r="AG12" s="106" t="n">
        <v>45798</v>
      </c>
      <c r="AH12" s="106" t="n">
        <v>45798</v>
      </c>
      <c r="AI12" s="106" t="n">
        <v>45798</v>
      </c>
      <c r="AJ12" s="68" t="n">
        <v>9</v>
      </c>
      <c r="AK12" s="69"/>
      <c r="AL12" s="70" t="n">
        <v>9613</v>
      </c>
      <c r="AM12" s="106" t="n">
        <v>45806</v>
      </c>
      <c r="AN12" s="106" t="n">
        <v>45806</v>
      </c>
      <c r="AO12" s="106" t="n">
        <v>45806</v>
      </c>
      <c r="AP12" s="68" t="n">
        <v>9</v>
      </c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68" t="n">
        <v>0</v>
      </c>
      <c r="AW12" s="69"/>
      <c r="AX12" s="68" t="n">
        <v>0</v>
      </c>
      <c r="AY12" s="68" t="n">
        <v>2</v>
      </c>
      <c r="AZ12" s="69"/>
      <c r="BA12" s="67" t="n">
        <v>45792</v>
      </c>
      <c r="BB12" s="71" t="n">
        <v>6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45836</v>
      </c>
      <c r="BG12" s="71" t="n">
        <v>28.1</v>
      </c>
      <c r="BH12" s="68" t="n">
        <v>2</v>
      </c>
      <c r="BI12" s="50"/>
      <c r="BJ12" s="75" t="n">
        <f aca="false">SUM(X12,AD12,AJ12,AP12,AV12,AX12:AY12,BH12,BB12,BG12)</f>
        <v>74.1</v>
      </c>
      <c r="BK12" s="73" t="str">
        <f aca="false">IF(BJ12&gt;90,"A",IF(BJ12&gt;83,"B",IF(BJ12&gt;74,"C",IF(BJ12&gt;67,"D",IF(BJ12&gt;=60,"E","FX")))))</f>
        <v>C</v>
      </c>
    </row>
    <row r="13" customFormat="false" ht="15.75" hidden="false" customHeight="false" outlineLevel="0" collapsed="false">
      <c r="A13" s="59" t="n">
        <f aca="false">A12+1</f>
        <v>11</v>
      </c>
      <c r="B13" s="60" t="s">
        <v>439</v>
      </c>
      <c r="C13" s="113" t="s">
        <v>821</v>
      </c>
      <c r="D13" s="114" t="s">
        <v>438</v>
      </c>
      <c r="E13" s="62"/>
      <c r="F13" s="63" t="s">
        <v>734</v>
      </c>
      <c r="G13" s="63" t="s">
        <v>734</v>
      </c>
      <c r="H13" s="63" t="s">
        <v>734</v>
      </c>
      <c r="I13" s="63" t="s">
        <v>735</v>
      </c>
      <c r="J13" s="63" t="s">
        <v>696</v>
      </c>
      <c r="K13" s="63" t="s">
        <v>739</v>
      </c>
      <c r="L13" s="63" t="s">
        <v>739</v>
      </c>
      <c r="M13" s="63" t="s">
        <v>734</v>
      </c>
      <c r="N13" s="64"/>
      <c r="O13" s="64" t="s">
        <v>734</v>
      </c>
      <c r="P13" s="64"/>
      <c r="Q13" s="64"/>
      <c r="R13" s="64"/>
      <c r="S13" s="65"/>
      <c r="T13" s="66" t="s">
        <v>833</v>
      </c>
      <c r="U13" s="67" t="n">
        <v>45700</v>
      </c>
      <c r="V13" s="67" t="n">
        <v>45714</v>
      </c>
      <c r="W13" s="67" t="n">
        <v>45714</v>
      </c>
      <c r="X13" s="68" t="n">
        <v>7</v>
      </c>
      <c r="Y13" s="69"/>
      <c r="Z13" s="70" t="n">
        <v>9407</v>
      </c>
      <c r="AA13" s="67" t="n">
        <v>45727</v>
      </c>
      <c r="AB13" s="106" t="n">
        <v>45770</v>
      </c>
      <c r="AC13" s="67" t="n">
        <v>45784</v>
      </c>
      <c r="AD13" s="68" t="n">
        <v>8</v>
      </c>
      <c r="AE13" s="69"/>
      <c r="AF13" s="70" t="n">
        <v>9514</v>
      </c>
      <c r="AG13" s="67" t="n">
        <v>45784</v>
      </c>
      <c r="AH13" s="106" t="n">
        <v>45798</v>
      </c>
      <c r="AI13" s="106" t="n">
        <v>45811</v>
      </c>
      <c r="AJ13" s="68" t="n">
        <v>9</v>
      </c>
      <c r="AK13" s="69"/>
      <c r="AL13" s="70" t="n">
        <v>9615</v>
      </c>
      <c r="AM13" s="106" t="n">
        <v>45813</v>
      </c>
      <c r="AN13" s="106" t="n">
        <v>45813</v>
      </c>
      <c r="AO13" s="106" t="n">
        <v>45813</v>
      </c>
      <c r="AP13" s="68" t="n">
        <v>8.5</v>
      </c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68" t="n">
        <v>0</v>
      </c>
      <c r="AW13" s="69"/>
      <c r="AX13" s="68" t="n">
        <v>0</v>
      </c>
      <c r="AY13" s="68"/>
      <c r="AZ13" s="69"/>
      <c r="BA13" s="67" t="n">
        <v>45792</v>
      </c>
      <c r="BB13" s="71" t="n">
        <v>7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45836</v>
      </c>
      <c r="BG13" s="71" t="n">
        <v>21</v>
      </c>
      <c r="BH13" s="68"/>
      <c r="BI13" s="50"/>
      <c r="BJ13" s="75" t="n">
        <f aca="false">SUM(X13,AD13,AJ13,AP13,AV13,AX13:AY13,BH13,BB13,BG13)</f>
        <v>60.5</v>
      </c>
      <c r="BK13" s="73" t="str">
        <f aca="false">IF(BJ13&gt;90,"A",IF(BJ13&gt;83,"B",IF(BJ13&gt;74,"C",IF(BJ13&gt;67,"D",IF(BJ13&gt;=60,"E","FX")))))</f>
        <v>E</v>
      </c>
    </row>
    <row r="14" customFormat="false" ht="15.75" hidden="false" customHeight="false" outlineLevel="0" collapsed="false">
      <c r="A14" s="59" t="n">
        <f aca="false">A13+1</f>
        <v>12</v>
      </c>
      <c r="B14" s="60" t="s">
        <v>451</v>
      </c>
      <c r="C14" s="113" t="s">
        <v>821</v>
      </c>
      <c r="D14" s="114" t="s">
        <v>450</v>
      </c>
      <c r="E14" s="62"/>
      <c r="F14" s="63" t="s">
        <v>734</v>
      </c>
      <c r="G14" s="63" t="s">
        <v>734</v>
      </c>
      <c r="H14" s="63" t="s">
        <v>734</v>
      </c>
      <c r="I14" s="63" t="s">
        <v>734</v>
      </c>
      <c r="J14" s="63" t="s">
        <v>734</v>
      </c>
      <c r="K14" s="63" t="s">
        <v>734</v>
      </c>
      <c r="L14" s="63" t="s">
        <v>735</v>
      </c>
      <c r="M14" s="63" t="s">
        <v>735</v>
      </c>
      <c r="N14" s="64" t="s">
        <v>735</v>
      </c>
      <c r="O14" s="64" t="s">
        <v>739</v>
      </c>
      <c r="P14" s="64" t="s">
        <v>734</v>
      </c>
      <c r="Q14" s="64"/>
      <c r="R14" s="64"/>
      <c r="S14" s="65"/>
      <c r="T14" s="66" t="s">
        <v>834</v>
      </c>
      <c r="U14" s="67" t="n">
        <v>45714</v>
      </c>
      <c r="V14" s="67" t="n">
        <v>45727</v>
      </c>
      <c r="W14" s="67" t="n">
        <v>45727</v>
      </c>
      <c r="X14" s="68" t="n">
        <v>9.5</v>
      </c>
      <c r="Y14" s="69"/>
      <c r="Z14" s="70" t="n">
        <v>9413</v>
      </c>
      <c r="AA14" s="67" t="n">
        <v>45742</v>
      </c>
      <c r="AB14" s="67" t="n">
        <v>45756</v>
      </c>
      <c r="AC14" s="67" t="n">
        <v>45756</v>
      </c>
      <c r="AD14" s="68" t="n">
        <v>8</v>
      </c>
      <c r="AE14" s="69"/>
      <c r="AF14" s="70" t="n">
        <v>9512</v>
      </c>
      <c r="AG14" s="106" t="n">
        <v>45770</v>
      </c>
      <c r="AH14" s="106" t="n">
        <v>45811</v>
      </c>
      <c r="AI14" s="106" t="n">
        <v>45811</v>
      </c>
      <c r="AJ14" s="68" t="n">
        <v>8</v>
      </c>
      <c r="AK14" s="69"/>
      <c r="AL14" s="70" t="n">
        <v>9616</v>
      </c>
      <c r="AM14" s="106" t="n">
        <v>45813</v>
      </c>
      <c r="AN14" s="106" t="n">
        <v>45813</v>
      </c>
      <c r="AO14" s="106" t="n">
        <v>45813</v>
      </c>
      <c r="AP14" s="68" t="n">
        <v>9</v>
      </c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68" t="n">
        <v>0</v>
      </c>
      <c r="AW14" s="69"/>
      <c r="AX14" s="68" t="n">
        <v>1</v>
      </c>
      <c r="AY14" s="68" t="n">
        <v>2</v>
      </c>
      <c r="AZ14" s="69"/>
      <c r="BA14" s="67" t="n">
        <v>45826</v>
      </c>
      <c r="BB14" s="71" t="n">
        <v>10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45836</v>
      </c>
      <c r="BG14" s="71" t="n">
        <v>20</v>
      </c>
      <c r="BH14" s="68"/>
      <c r="BI14" s="50"/>
      <c r="BJ14" s="75" t="n">
        <f aca="false">SUM(X14,AD14,AJ14,AP14,AV14,AX14:AY14,BH14,BB14,BG14)</f>
        <v>67.5</v>
      </c>
      <c r="BK14" s="73" t="str">
        <f aca="false">IF(BJ14&gt;90,"A",IF(BJ14&gt;83,"B",IF(BJ14&gt;74,"C",IF(BJ14&gt;67,"D",IF(BJ14&gt;=60,"E","FX")))))</f>
        <v>D</v>
      </c>
    </row>
    <row r="15" customFormat="false" ht="15.75" hidden="false" customHeight="false" outlineLevel="0" collapsed="false">
      <c r="A15" s="59" t="n">
        <f aca="false">A14+1</f>
        <v>13</v>
      </c>
      <c r="B15" s="60" t="s">
        <v>491</v>
      </c>
      <c r="C15" s="113" t="s">
        <v>821</v>
      </c>
      <c r="D15" s="114" t="s">
        <v>490</v>
      </c>
      <c r="E15" s="62"/>
      <c r="F15" s="63" t="s">
        <v>735</v>
      </c>
      <c r="G15" s="63" t="s">
        <v>734</v>
      </c>
      <c r="H15" s="63" t="s">
        <v>734</v>
      </c>
      <c r="I15" s="63" t="s">
        <v>739</v>
      </c>
      <c r="J15" s="63" t="s">
        <v>734</v>
      </c>
      <c r="K15" s="63" t="s">
        <v>734</v>
      </c>
      <c r="L15" s="63" t="s">
        <v>735</v>
      </c>
      <c r="M15" s="63" t="s">
        <v>734</v>
      </c>
      <c r="N15" s="64" t="s">
        <v>739</v>
      </c>
      <c r="O15" s="64"/>
      <c r="P15" s="64"/>
      <c r="Q15" s="64"/>
      <c r="R15" s="64"/>
      <c r="S15" s="65"/>
      <c r="T15" s="66" t="s">
        <v>835</v>
      </c>
      <c r="U15" s="67" t="n">
        <v>45714</v>
      </c>
      <c r="V15" s="67" t="n">
        <v>45727</v>
      </c>
      <c r="W15" s="67" t="n">
        <v>45727</v>
      </c>
      <c r="X15" s="68" t="n">
        <v>9</v>
      </c>
      <c r="Y15" s="69"/>
      <c r="Z15" s="70" t="n">
        <v>9411</v>
      </c>
      <c r="AA15" s="67" t="n">
        <v>45742</v>
      </c>
      <c r="AB15" s="67" t="n">
        <v>45756</v>
      </c>
      <c r="AC15" s="67" t="n">
        <v>45756</v>
      </c>
      <c r="AD15" s="68" t="n">
        <v>9</v>
      </c>
      <c r="AE15" s="69"/>
      <c r="AF15" s="70" t="n">
        <v>9511</v>
      </c>
      <c r="AG15" s="106" t="n">
        <v>45770</v>
      </c>
      <c r="AH15" s="106" t="n">
        <v>45798</v>
      </c>
      <c r="AI15" s="106" t="n">
        <v>45798</v>
      </c>
      <c r="AJ15" s="68" t="n">
        <v>9</v>
      </c>
      <c r="AK15" s="69"/>
      <c r="AL15" s="70" t="n">
        <v>9611</v>
      </c>
      <c r="AM15" s="106" t="n">
        <v>45806</v>
      </c>
      <c r="AN15" s="106" t="n">
        <v>45806</v>
      </c>
      <c r="AO15" s="106" t="n">
        <v>45806</v>
      </c>
      <c r="AP15" s="68" t="n">
        <v>9</v>
      </c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68" t="n">
        <v>0</v>
      </c>
      <c r="AW15" s="69"/>
      <c r="AX15" s="68" t="n">
        <v>1</v>
      </c>
      <c r="AY15" s="68" t="n">
        <v>1</v>
      </c>
      <c r="AZ15" s="69"/>
      <c r="BA15" s="67" t="n">
        <v>45792</v>
      </c>
      <c r="BB15" s="71" t="n">
        <v>6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45836</v>
      </c>
      <c r="BG15" s="71" t="n">
        <v>18</v>
      </c>
      <c r="BH15" s="68"/>
      <c r="BI15" s="50"/>
      <c r="BJ15" s="75" t="n">
        <f aca="false">SUM(X15,AD15,AJ15,AP15,AV15,AX15:AY15,BH15,BB15,BG15)</f>
        <v>62</v>
      </c>
      <c r="BK15" s="73" t="str">
        <f aca="false">IF(BJ15&gt;90,"A",IF(BJ15&gt;83,"B",IF(BJ15&gt;74,"C",IF(BJ15&gt;67,"D",IF(BJ15&gt;=60,"E","FX")))))</f>
        <v>E</v>
      </c>
    </row>
    <row r="16" customFormat="false" ht="15.75" hidden="false" customHeight="false" outlineLevel="0" collapsed="false">
      <c r="A16" s="59" t="n">
        <f aca="false">A15+1</f>
        <v>14</v>
      </c>
      <c r="B16" s="112" t="s">
        <v>836</v>
      </c>
      <c r="C16" s="113" t="s">
        <v>821</v>
      </c>
      <c r="D16" s="114" t="s">
        <v>837</v>
      </c>
      <c r="E16" s="62"/>
      <c r="F16" s="63" t="s">
        <v>696</v>
      </c>
      <c r="G16" s="63" t="s">
        <v>735</v>
      </c>
      <c r="H16" s="63" t="s">
        <v>735</v>
      </c>
      <c r="I16" s="63" t="s">
        <v>735</v>
      </c>
      <c r="J16" s="63" t="s">
        <v>735</v>
      </c>
      <c r="K16" s="63" t="s">
        <v>735</v>
      </c>
      <c r="L16" s="63" t="s">
        <v>735</v>
      </c>
      <c r="M16" s="63" t="s">
        <v>735</v>
      </c>
      <c r="N16" s="119"/>
      <c r="O16" s="119"/>
      <c r="P16" s="119"/>
      <c r="Q16" s="119"/>
      <c r="R16" s="119"/>
      <c r="S16" s="65"/>
      <c r="T16" s="66" t="s">
        <v>838</v>
      </c>
      <c r="U16" s="127"/>
      <c r="V16" s="127"/>
      <c r="W16" s="127"/>
      <c r="X16" s="128"/>
      <c r="Y16" s="69"/>
      <c r="Z16" s="129"/>
      <c r="AA16" s="127"/>
      <c r="AB16" s="127"/>
      <c r="AC16" s="127"/>
      <c r="AD16" s="128"/>
      <c r="AE16" s="69"/>
      <c r="AF16" s="129"/>
      <c r="AG16" s="129"/>
      <c r="AH16" s="129"/>
      <c r="AI16" s="129"/>
      <c r="AJ16" s="128"/>
      <c r="AK16" s="69"/>
      <c r="AL16" s="129"/>
      <c r="AM16" s="129"/>
      <c r="AN16" s="129"/>
      <c r="AO16" s="129"/>
      <c r="AP16" s="128"/>
      <c r="AQ16" s="69"/>
      <c r="AR16" s="70"/>
      <c r="AS16" s="70"/>
      <c r="AT16" s="70"/>
      <c r="AU16" s="70"/>
      <c r="AV16" s="68"/>
      <c r="AW16" s="69"/>
      <c r="AX16" s="68"/>
      <c r="AY16" s="68"/>
      <c r="AZ16" s="69"/>
      <c r="BA16" s="67"/>
      <c r="BB16" s="71"/>
      <c r="BC16" s="72"/>
      <c r="BD16" s="73" t="str">
        <f aca="false">IF(AND(BB16&gt;=6,AP16&gt;=6,AJ16&gt;=6,AD16&gt;=6,X16&gt;=6),"да","нет")</f>
        <v>нет</v>
      </c>
      <c r="BE16" s="72"/>
      <c r="BF16" s="74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f aca="false">A16+1</f>
        <v>15</v>
      </c>
      <c r="B17" s="60" t="s">
        <v>511</v>
      </c>
      <c r="C17" s="113" t="s">
        <v>821</v>
      </c>
      <c r="D17" s="114" t="s">
        <v>510</v>
      </c>
      <c r="E17" s="62"/>
      <c r="F17" s="63" t="s">
        <v>734</v>
      </c>
      <c r="G17" s="63" t="s">
        <v>696</v>
      </c>
      <c r="H17" s="63" t="s">
        <v>734</v>
      </c>
      <c r="I17" s="63" t="s">
        <v>734</v>
      </c>
      <c r="J17" s="63" t="s">
        <v>734</v>
      </c>
      <c r="K17" s="63" t="s">
        <v>734</v>
      </c>
      <c r="L17" s="63" t="s">
        <v>734</v>
      </c>
      <c r="M17" s="63" t="s">
        <v>734</v>
      </c>
      <c r="N17" s="64"/>
      <c r="O17" s="64"/>
      <c r="P17" s="64"/>
      <c r="Q17" s="64"/>
      <c r="R17" s="64"/>
      <c r="S17" s="65"/>
      <c r="T17" s="66" t="s">
        <v>839</v>
      </c>
      <c r="U17" s="67" t="n">
        <v>45700</v>
      </c>
      <c r="V17" s="67" t="n">
        <v>45727</v>
      </c>
      <c r="W17" s="67" t="n">
        <v>45727</v>
      </c>
      <c r="X17" s="68" t="n">
        <v>9</v>
      </c>
      <c r="Y17" s="69"/>
      <c r="Z17" s="70" t="n">
        <v>9410</v>
      </c>
      <c r="AA17" s="67" t="n">
        <v>45727</v>
      </c>
      <c r="AB17" s="67" t="n">
        <v>45742</v>
      </c>
      <c r="AC17" s="67" t="n">
        <v>45742</v>
      </c>
      <c r="AD17" s="68" t="n">
        <v>9</v>
      </c>
      <c r="AE17" s="69"/>
      <c r="AF17" s="70" t="n">
        <v>9509</v>
      </c>
      <c r="AG17" s="106" t="n">
        <v>45756</v>
      </c>
      <c r="AH17" s="106" t="n">
        <v>45771</v>
      </c>
      <c r="AI17" s="106" t="n">
        <v>45771</v>
      </c>
      <c r="AJ17" s="68" t="n">
        <v>7</v>
      </c>
      <c r="AK17" s="69"/>
      <c r="AL17" s="70" t="n">
        <v>9607</v>
      </c>
      <c r="AM17" s="67" t="n">
        <v>45777</v>
      </c>
      <c r="AN17" s="67" t="n">
        <v>45777</v>
      </c>
      <c r="AO17" s="67" t="n">
        <v>45777</v>
      </c>
      <c r="AP17" s="68" t="n">
        <v>8</v>
      </c>
      <c r="AQ17" s="69"/>
      <c r="AR17" s="70" t="n">
        <v>9703</v>
      </c>
      <c r="AS17" s="67" t="n">
        <v>45805</v>
      </c>
      <c r="AT17" s="67" t="n">
        <v>45805</v>
      </c>
      <c r="AU17" s="67" t="n">
        <v>45805</v>
      </c>
      <c r="AV17" s="68" t="n">
        <v>7</v>
      </c>
      <c r="AW17" s="69"/>
      <c r="AX17" s="68" t="n">
        <v>1</v>
      </c>
      <c r="AY17" s="68"/>
      <c r="AZ17" s="69"/>
      <c r="BA17" s="67" t="n">
        <v>45792</v>
      </c>
      <c r="BB17" s="71" t="n">
        <v>7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45836</v>
      </c>
      <c r="BG17" s="71" t="n">
        <v>18</v>
      </c>
      <c r="BH17" s="68"/>
      <c r="BI17" s="50"/>
      <c r="BJ17" s="75" t="n">
        <f aca="false">SUM(X17,AD17,AJ17,AP17,AV17,AX17:AY17,BH17,BB17,BG17)</f>
        <v>66</v>
      </c>
      <c r="BK17" s="73" t="str">
        <f aca="false">IF(BJ17&gt;90,"A",IF(BJ17&gt;83,"B",IF(BJ17&gt;74,"C",IF(BJ17&gt;67,"D",IF(BJ17&gt;=60,"E","FX")))))</f>
        <v>E</v>
      </c>
    </row>
    <row r="18" customFormat="false" ht="15.75" hidden="false" customHeight="false" outlineLevel="0" collapsed="false">
      <c r="A18" s="59" t="n">
        <f aca="false">A17+1</f>
        <v>16</v>
      </c>
      <c r="B18" s="60" t="s">
        <v>563</v>
      </c>
      <c r="C18" s="113" t="s">
        <v>821</v>
      </c>
      <c r="D18" s="114" t="s">
        <v>562</v>
      </c>
      <c r="E18" s="62"/>
      <c r="F18" s="63" t="s">
        <v>739</v>
      </c>
      <c r="G18" s="63" t="s">
        <v>739</v>
      </c>
      <c r="H18" s="63" t="s">
        <v>734</v>
      </c>
      <c r="I18" s="63" t="s">
        <v>734</v>
      </c>
      <c r="J18" s="63" t="s">
        <v>696</v>
      </c>
      <c r="K18" s="63" t="s">
        <v>734</v>
      </c>
      <c r="L18" s="63" t="s">
        <v>734</v>
      </c>
      <c r="M18" s="63" t="s">
        <v>739</v>
      </c>
      <c r="N18" s="64"/>
      <c r="O18" s="64"/>
      <c r="P18" s="64"/>
      <c r="Q18" s="64"/>
      <c r="R18" s="64"/>
      <c r="S18" s="65"/>
      <c r="T18" s="66" t="s">
        <v>840</v>
      </c>
      <c r="U18" s="67" t="n">
        <v>45700</v>
      </c>
      <c r="V18" s="67" t="n">
        <v>45714</v>
      </c>
      <c r="W18" s="67" t="n">
        <v>45714</v>
      </c>
      <c r="X18" s="68" t="n">
        <v>9</v>
      </c>
      <c r="Y18" s="69"/>
      <c r="Z18" s="70" t="n">
        <v>9402</v>
      </c>
      <c r="AA18" s="67" t="n">
        <v>45727</v>
      </c>
      <c r="AB18" s="67" t="n">
        <v>45742</v>
      </c>
      <c r="AC18" s="67" t="n">
        <v>45742</v>
      </c>
      <c r="AD18" s="68" t="n">
        <v>9</v>
      </c>
      <c r="AE18" s="69"/>
      <c r="AF18" s="70" t="n">
        <v>9507</v>
      </c>
      <c r="AG18" s="106" t="n">
        <v>45742</v>
      </c>
      <c r="AH18" s="106" t="n">
        <v>45770</v>
      </c>
      <c r="AI18" s="106" t="n">
        <v>45770</v>
      </c>
      <c r="AJ18" s="68" t="n">
        <v>10</v>
      </c>
      <c r="AK18" s="69"/>
      <c r="AL18" s="70" t="n">
        <v>9603</v>
      </c>
      <c r="AM18" s="67" t="n">
        <v>45784</v>
      </c>
      <c r="AN18" s="67" t="n">
        <v>45784</v>
      </c>
      <c r="AO18" s="67" t="n">
        <v>45784</v>
      </c>
      <c r="AP18" s="68" t="n">
        <v>9</v>
      </c>
      <c r="AQ18" s="69"/>
      <c r="AR18" s="70" t="n">
        <v>9706</v>
      </c>
      <c r="AS18" s="106" t="n">
        <v>45798</v>
      </c>
      <c r="AT18" s="106" t="n">
        <v>45798</v>
      </c>
      <c r="AU18" s="106" t="n">
        <v>45798</v>
      </c>
      <c r="AV18" s="68" t="n">
        <v>8.5</v>
      </c>
      <c r="AW18" s="69"/>
      <c r="AX18" s="68" t="n">
        <v>0</v>
      </c>
      <c r="AY18" s="68" t="n">
        <v>0</v>
      </c>
      <c r="AZ18" s="69"/>
      <c r="BA18" s="67" t="n">
        <v>45792</v>
      </c>
      <c r="BB18" s="71" t="n">
        <v>8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45836</v>
      </c>
      <c r="BG18" s="71" t="n">
        <v>23</v>
      </c>
      <c r="BH18" s="68"/>
      <c r="BI18" s="50"/>
      <c r="BJ18" s="75" t="n">
        <f aca="false">SUM(X18,AD18,AJ18,AP18,AV18,AX18:AY18,BH18,BB18,BG18)</f>
        <v>76.5</v>
      </c>
      <c r="BK18" s="73" t="str">
        <f aca="false">IF(BJ18&gt;90,"A",IF(BJ18&gt;83,"B",IF(BJ18&gt;74,"C",IF(BJ18&gt;67,"D",IF(BJ18&gt;=60,"E","FX")))))</f>
        <v>C</v>
      </c>
    </row>
    <row r="19" customFormat="false" ht="15.75" hidden="false" customHeight="false" outlineLevel="0" collapsed="false">
      <c r="A19" s="59" t="n">
        <f aca="false">A18+1</f>
        <v>17</v>
      </c>
      <c r="B19" s="60" t="s">
        <v>593</v>
      </c>
      <c r="C19" s="113" t="s">
        <v>821</v>
      </c>
      <c r="D19" s="114" t="s">
        <v>592</v>
      </c>
      <c r="E19" s="62"/>
      <c r="F19" s="63" t="s">
        <v>734</v>
      </c>
      <c r="G19" s="63" t="s">
        <v>734</v>
      </c>
      <c r="H19" s="63" t="s">
        <v>734</v>
      </c>
      <c r="I19" s="63" t="s">
        <v>734</v>
      </c>
      <c r="J19" s="63" t="s">
        <v>734</v>
      </c>
      <c r="K19" s="63" t="s">
        <v>734</v>
      </c>
      <c r="L19" s="63" t="s">
        <v>734</v>
      </c>
      <c r="M19" s="63" t="s">
        <v>739</v>
      </c>
      <c r="N19" s="64"/>
      <c r="O19" s="64"/>
      <c r="P19" s="64"/>
      <c r="Q19" s="64"/>
      <c r="R19" s="64"/>
      <c r="S19" s="65"/>
      <c r="T19" s="66" t="s">
        <v>841</v>
      </c>
      <c r="U19" s="67" t="n">
        <v>45700</v>
      </c>
      <c r="V19" s="67" t="n">
        <v>45714</v>
      </c>
      <c r="W19" s="67" t="n">
        <v>45714</v>
      </c>
      <c r="X19" s="68" t="n">
        <v>8</v>
      </c>
      <c r="Y19" s="69"/>
      <c r="Z19" s="70" t="n">
        <v>9401</v>
      </c>
      <c r="AA19" s="67" t="n">
        <v>45727</v>
      </c>
      <c r="AB19" s="67" t="n">
        <v>45742</v>
      </c>
      <c r="AC19" s="67" t="n">
        <v>45742</v>
      </c>
      <c r="AD19" s="68" t="n">
        <v>9.5</v>
      </c>
      <c r="AE19" s="69"/>
      <c r="AF19" s="70" t="n">
        <v>9508</v>
      </c>
      <c r="AG19" s="106" t="n">
        <v>45756</v>
      </c>
      <c r="AH19" s="106" t="n">
        <v>45770</v>
      </c>
      <c r="AI19" s="106" t="n">
        <v>45770</v>
      </c>
      <c r="AJ19" s="68" t="n">
        <v>8.5</v>
      </c>
      <c r="AK19" s="69"/>
      <c r="AL19" s="70" t="n">
        <v>9605</v>
      </c>
      <c r="AM19" s="106" t="n">
        <v>45784</v>
      </c>
      <c r="AN19" s="106" t="n">
        <v>45784</v>
      </c>
      <c r="AO19" s="106" t="n">
        <v>45784</v>
      </c>
      <c r="AP19" s="68" t="n">
        <v>9.5</v>
      </c>
      <c r="AQ19" s="69"/>
      <c r="AR19" s="70" t="n">
        <v>9704</v>
      </c>
      <c r="AS19" s="106" t="n">
        <v>45798</v>
      </c>
      <c r="AT19" s="106" t="n">
        <v>45798</v>
      </c>
      <c r="AU19" s="106" t="n">
        <v>45798</v>
      </c>
      <c r="AV19" s="68" t="n">
        <v>9</v>
      </c>
      <c r="AW19" s="69"/>
      <c r="AX19" s="68" t="n">
        <v>2</v>
      </c>
      <c r="AY19" s="68" t="n">
        <v>1</v>
      </c>
      <c r="AZ19" s="69"/>
      <c r="BA19" s="67" t="n">
        <v>45792</v>
      </c>
      <c r="BB19" s="71" t="n">
        <v>8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45836</v>
      </c>
      <c r="BG19" s="71" t="n">
        <v>20</v>
      </c>
      <c r="BH19" s="68"/>
      <c r="BI19" s="50"/>
      <c r="BJ19" s="75" t="n">
        <f aca="false">SUM(X19,AD19,AJ19,AP19,AV19,AX19:AY19,BH19,BB19,BG19)</f>
        <v>75.5</v>
      </c>
      <c r="BK19" s="73" t="str">
        <f aca="false">IF(BJ19&gt;90,"A",IF(BJ19&gt;83,"B",IF(BJ19&gt;74,"C",IF(BJ19&gt;67,"D",IF(BJ19&gt;=60,"E","FX")))))</f>
        <v>C</v>
      </c>
    </row>
    <row r="20" customFormat="false" ht="15.75" hidden="false" customHeight="false" outlineLevel="0" collapsed="false">
      <c r="A20" s="59" t="n">
        <f aca="false">A19+1</f>
        <v>18</v>
      </c>
      <c r="B20" s="60" t="s">
        <v>607</v>
      </c>
      <c r="C20" s="113" t="s">
        <v>821</v>
      </c>
      <c r="D20" s="114" t="s">
        <v>606</v>
      </c>
      <c r="E20" s="62"/>
      <c r="F20" s="63" t="s">
        <v>734</v>
      </c>
      <c r="G20" s="63" t="s">
        <v>739</v>
      </c>
      <c r="H20" s="63" t="s">
        <v>734</v>
      </c>
      <c r="I20" s="63" t="s">
        <v>734</v>
      </c>
      <c r="J20" s="63" t="s">
        <v>696</v>
      </c>
      <c r="K20" s="63" t="s">
        <v>739</v>
      </c>
      <c r="L20" s="63" t="s">
        <v>739</v>
      </c>
      <c r="M20" s="63" t="s">
        <v>739</v>
      </c>
      <c r="N20" s="64"/>
      <c r="O20" s="64"/>
      <c r="P20" s="64"/>
      <c r="Q20" s="64"/>
      <c r="R20" s="64"/>
      <c r="S20" s="65"/>
      <c r="T20" s="66" t="s">
        <v>842</v>
      </c>
      <c r="U20" s="67" t="n">
        <v>45700</v>
      </c>
      <c r="V20" s="67" t="n">
        <v>45714</v>
      </c>
      <c r="W20" s="67" t="n">
        <v>45714</v>
      </c>
      <c r="X20" s="68" t="n">
        <v>9</v>
      </c>
      <c r="Y20" s="69"/>
      <c r="Z20" s="70" t="n">
        <v>9406</v>
      </c>
      <c r="AA20" s="67" t="n">
        <v>45727</v>
      </c>
      <c r="AB20" s="67" t="n">
        <v>45742</v>
      </c>
      <c r="AC20" s="67" t="n">
        <v>45742</v>
      </c>
      <c r="AD20" s="68" t="n">
        <v>9</v>
      </c>
      <c r="AE20" s="69"/>
      <c r="AF20" s="70" t="n">
        <v>9503</v>
      </c>
      <c r="AG20" s="106" t="n">
        <v>45770</v>
      </c>
      <c r="AH20" s="106" t="n">
        <v>45770</v>
      </c>
      <c r="AI20" s="106" t="n">
        <v>45770</v>
      </c>
      <c r="AJ20" s="68" t="n">
        <v>9</v>
      </c>
      <c r="AK20" s="69"/>
      <c r="AL20" s="70" t="n">
        <v>9604</v>
      </c>
      <c r="AM20" s="106" t="n">
        <v>45784</v>
      </c>
      <c r="AN20" s="106" t="n">
        <v>45784</v>
      </c>
      <c r="AO20" s="106" t="n">
        <v>45784</v>
      </c>
      <c r="AP20" s="68" t="n">
        <v>9.5</v>
      </c>
      <c r="AQ20" s="69"/>
      <c r="AR20" s="70" t="n">
        <v>9707</v>
      </c>
      <c r="AS20" s="106" t="n">
        <v>45798</v>
      </c>
      <c r="AT20" s="106" t="n">
        <v>45798</v>
      </c>
      <c r="AU20" s="106" t="n">
        <v>45798</v>
      </c>
      <c r="AV20" s="68" t="n">
        <v>9</v>
      </c>
      <c r="AW20" s="69"/>
      <c r="AX20" s="68" t="n">
        <v>2</v>
      </c>
      <c r="AY20" s="68" t="n">
        <v>1</v>
      </c>
      <c r="AZ20" s="69"/>
      <c r="BA20" s="67" t="n">
        <v>45792</v>
      </c>
      <c r="BB20" s="71" t="n">
        <v>8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45836</v>
      </c>
      <c r="BG20" s="71" t="n">
        <v>29</v>
      </c>
      <c r="BH20" s="68"/>
      <c r="BI20" s="50"/>
      <c r="BJ20" s="75" t="n">
        <f aca="false">SUM(X20,AD20,AJ20,AP20,AV20,AX20:AY20,BH20,BB20,BG20)</f>
        <v>85.5</v>
      </c>
      <c r="BK20" s="73" t="str">
        <f aca="false">IF(BJ20&gt;90,"A",IF(BJ20&gt;83,"B",IF(BJ20&gt;74,"C",IF(BJ20&gt;67,"D",IF(BJ20&gt;=60,"E","FX")))))</f>
        <v>B</v>
      </c>
    </row>
    <row r="21" customFormat="false" ht="15.75" hidden="false" customHeight="false" outlineLevel="0" collapsed="false">
      <c r="A21" s="59" t="n">
        <f aca="false">A20+1</f>
        <v>19</v>
      </c>
      <c r="B21" s="60" t="s">
        <v>651</v>
      </c>
      <c r="C21" s="113" t="s">
        <v>821</v>
      </c>
      <c r="D21" s="114" t="s">
        <v>650</v>
      </c>
      <c r="E21" s="62"/>
      <c r="F21" s="63" t="s">
        <v>734</v>
      </c>
      <c r="G21" s="63" t="s">
        <v>734</v>
      </c>
      <c r="H21" s="63" t="s">
        <v>734</v>
      </c>
      <c r="I21" s="63" t="s">
        <v>734</v>
      </c>
      <c r="J21" s="63" t="s">
        <v>734</v>
      </c>
      <c r="K21" s="63" t="s">
        <v>734</v>
      </c>
      <c r="L21" s="63" t="s">
        <v>734</v>
      </c>
      <c r="M21" s="63" t="s">
        <v>696</v>
      </c>
      <c r="N21" s="64"/>
      <c r="O21" s="64"/>
      <c r="P21" s="64"/>
      <c r="Q21" s="64"/>
      <c r="R21" s="64"/>
      <c r="S21" s="65"/>
      <c r="T21" s="66" t="s">
        <v>843</v>
      </c>
      <c r="U21" s="67" t="n">
        <v>45700</v>
      </c>
      <c r="V21" s="67" t="n">
        <v>45714</v>
      </c>
      <c r="W21" s="67" t="n">
        <v>45727</v>
      </c>
      <c r="X21" s="68" t="n">
        <v>9</v>
      </c>
      <c r="Y21" s="69"/>
      <c r="Z21" s="70" t="n">
        <v>9409</v>
      </c>
      <c r="AA21" s="67" t="n">
        <v>45727</v>
      </c>
      <c r="AB21" s="67" t="n">
        <v>45742</v>
      </c>
      <c r="AC21" s="67" t="n">
        <v>45742</v>
      </c>
      <c r="AD21" s="68" t="n">
        <v>8</v>
      </c>
      <c r="AE21" s="69"/>
      <c r="AF21" s="70" t="n">
        <v>9501</v>
      </c>
      <c r="AG21" s="106" t="n">
        <v>45742</v>
      </c>
      <c r="AH21" s="106" t="n">
        <v>45756</v>
      </c>
      <c r="AI21" s="106" t="n">
        <v>45756</v>
      </c>
      <c r="AJ21" s="68" t="n">
        <v>9</v>
      </c>
      <c r="AK21" s="69"/>
      <c r="AL21" s="70" t="n">
        <v>9601</v>
      </c>
      <c r="AM21" s="106" t="n">
        <v>45770</v>
      </c>
      <c r="AN21" s="106" t="n">
        <v>45770</v>
      </c>
      <c r="AO21" s="106" t="n">
        <v>45770</v>
      </c>
      <c r="AP21" s="68" t="n">
        <v>9</v>
      </c>
      <c r="AQ21" s="69"/>
      <c r="AR21" s="70" t="n">
        <v>9701</v>
      </c>
      <c r="AS21" s="106" t="n">
        <v>45770</v>
      </c>
      <c r="AT21" s="106" t="n">
        <v>45770</v>
      </c>
      <c r="AU21" s="67" t="n">
        <v>45784</v>
      </c>
      <c r="AV21" s="68" t="n">
        <v>10</v>
      </c>
      <c r="AW21" s="69"/>
      <c r="AX21" s="68" t="n">
        <v>2</v>
      </c>
      <c r="AY21" s="68" t="n">
        <v>1</v>
      </c>
      <c r="AZ21" s="69"/>
      <c r="BA21" s="67" t="n">
        <v>45792</v>
      </c>
      <c r="BB21" s="71" t="n">
        <v>10</v>
      </c>
      <c r="BC21" s="72"/>
      <c r="BD21" s="73" t="str">
        <f aca="false">IF(AND(BB21&gt;=6,AP21&gt;=6,AJ21&gt;=6,AD21&gt;=6,X21&gt;=6),"да","нет")</f>
        <v>да</v>
      </c>
      <c r="BE21" s="72"/>
      <c r="BF21" s="118" t="n">
        <v>45836</v>
      </c>
      <c r="BG21" s="71" t="n">
        <v>25</v>
      </c>
      <c r="BH21" s="68" t="n">
        <v>1</v>
      </c>
      <c r="BI21" s="50"/>
      <c r="BJ21" s="75" t="n">
        <f aca="false">SUM(X21,AD21,AJ21,AP21,AV21,AX21:AY21,BH21,BB21,BG21)</f>
        <v>84</v>
      </c>
      <c r="BK21" s="73" t="str">
        <f aca="false">IF(BJ21&gt;90,"A",IF(BJ21&gt;83,"B",IF(BJ21&gt;74,"C",IF(BJ21&gt;67,"D",IF(BJ21&gt;=60,"E","FX")))))</f>
        <v>B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5"/>
      <c r="T22" s="66"/>
      <c r="U22" s="67"/>
      <c r="V22" s="67"/>
      <c r="W22" s="67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70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22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70"/>
      <c r="V24" s="70"/>
      <c r="W24" s="70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23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70"/>
      <c r="V25" s="70"/>
      <c r="W25" s="70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3.75" hidden="false" customHeight="true" outlineLevel="0" collapsed="false">
      <c r="A26" s="76"/>
      <c r="B26" s="76"/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  <c r="AN26" s="65"/>
      <c r="AO26" s="65"/>
      <c r="AP26" s="65"/>
      <c r="AQ26" s="65"/>
      <c r="AR26" s="65"/>
      <c r="AS26" s="65"/>
      <c r="AT26" s="65"/>
      <c r="AU26" s="65"/>
      <c r="AV26" s="65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80"/>
      <c r="BJ26" s="72"/>
      <c r="BK26" s="72"/>
    </row>
    <row r="27" customFormat="false" ht="15.75" hidden="false" customHeight="false" outlineLevel="0" collapsed="false">
      <c r="A27" s="81"/>
      <c r="B27" s="81" t="s">
        <v>678</v>
      </c>
      <c r="C27" s="81"/>
      <c r="D27" s="81"/>
      <c r="E27" s="69"/>
      <c r="F27" s="70" t="n">
        <f aca="false">COUNTIF(F$3:F$22, "~**")</f>
        <v>15</v>
      </c>
      <c r="G27" s="70" t="n">
        <f aca="false">COUNTIF(G$3:G$22, "~**")</f>
        <v>12</v>
      </c>
      <c r="H27" s="70" t="n">
        <f aca="false">COUNTIF(H$3:H$22, "~**")</f>
        <v>16</v>
      </c>
      <c r="I27" s="70" t="n">
        <f aca="false">COUNTIF(I$3:I$22, "~**")</f>
        <v>15</v>
      </c>
      <c r="J27" s="70" t="n">
        <f aca="false">COUNTIF(J$3:J$22, "~**")</f>
        <v>13</v>
      </c>
      <c r="K27" s="70" t="n">
        <f aca="false">COUNTIF(K$3:K$22, "~**")</f>
        <v>16</v>
      </c>
      <c r="L27" s="70" t="n">
        <f aca="false">COUNTIF(L$3:L$22, "~**")</f>
        <v>15</v>
      </c>
      <c r="M27" s="70" t="n">
        <f aca="false">COUNTIF(M$3:M$22, "~**")</f>
        <v>13</v>
      </c>
      <c r="N27" s="70" t="n">
        <f aca="false">COUNTIF(N$3:N$22, "~**")</f>
        <v>5</v>
      </c>
      <c r="O27" s="70"/>
      <c r="P27" s="70"/>
      <c r="Q27" s="70" t="n">
        <f aca="false">COUNTIF(Q$3:Q$22, "~**")</f>
        <v>0</v>
      </c>
      <c r="R27" s="70" t="n">
        <f aca="false">COUNTIF(R$3:R$22, "~**")</f>
        <v>0</v>
      </c>
      <c r="S27" s="82"/>
      <c r="T27" s="83" t="s">
        <v>679</v>
      </c>
      <c r="U27" s="84"/>
      <c r="V27" s="84"/>
      <c r="W27" s="84"/>
      <c r="X27" s="85" t="n">
        <v>44475</v>
      </c>
      <c r="Y27" s="69"/>
      <c r="Z27" s="70"/>
      <c r="AA27" s="85"/>
      <c r="AB27" s="85"/>
      <c r="AC27" s="85"/>
      <c r="AD27" s="85" t="n">
        <v>44475</v>
      </c>
      <c r="AE27" s="69"/>
      <c r="AF27" s="70"/>
      <c r="AG27" s="85"/>
      <c r="AH27" s="85"/>
      <c r="AI27" s="85"/>
      <c r="AJ27" s="85" t="n">
        <v>44475</v>
      </c>
      <c r="AK27" s="69"/>
      <c r="AL27" s="70"/>
      <c r="AM27" s="85"/>
      <c r="AN27" s="85"/>
      <c r="AO27" s="85"/>
      <c r="AP27" s="85" t="n">
        <v>45205</v>
      </c>
      <c r="AQ27" s="69"/>
      <c r="AR27" s="70"/>
      <c r="AS27" s="70"/>
      <c r="AT27" s="70"/>
      <c r="AU27" s="70"/>
      <c r="AV27" s="70" t="s">
        <v>680</v>
      </c>
      <c r="AW27" s="86"/>
      <c r="AX27" s="87" t="s">
        <v>681</v>
      </c>
      <c r="AY27" s="87" t="s">
        <v>681</v>
      </c>
      <c r="AZ27" s="86"/>
      <c r="BA27" s="87"/>
      <c r="BB27" s="85" t="n">
        <v>44840</v>
      </c>
      <c r="BC27" s="86"/>
      <c r="BD27" s="87"/>
      <c r="BE27" s="69"/>
      <c r="BF27" s="70"/>
      <c r="BG27" s="87" t="s">
        <v>682</v>
      </c>
      <c r="BH27" s="87" t="s">
        <v>683</v>
      </c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684</v>
      </c>
      <c r="C28" s="81"/>
      <c r="D28" s="81"/>
      <c r="E28" s="69"/>
      <c r="F28" s="70" t="n">
        <f aca="false">COUNTIF(F$3:F$22, "~**")+COUNTIF(F$3:F$22, "Y")</f>
        <v>16</v>
      </c>
      <c r="G28" s="70" t="n">
        <f aca="false">COUNTIF(G$3:G$22, "~**")+COUNTIF(G$3:G$22, "Y")</f>
        <v>16</v>
      </c>
      <c r="H28" s="70" t="n">
        <f aca="false">COUNTIF(H$3:H$22, "~**")+COUNTIF(H$3:H$22, "Y")</f>
        <v>16</v>
      </c>
      <c r="I28" s="70" t="n">
        <f aca="false">COUNTIF(I$3:I$22, "~**")+COUNTIF(I$3:I$22, "Y")</f>
        <v>16</v>
      </c>
      <c r="J28" s="70" t="n">
        <f aca="false">COUNTIF(J$3:J$22, "~**")+COUNTIF(J$3:J$22, "Y")</f>
        <v>16</v>
      </c>
      <c r="K28" s="70" t="n">
        <f aca="false">COUNTIF(K$3:K$22, "~**")+COUNTIF(K$3:K$22, "Y")</f>
        <v>16</v>
      </c>
      <c r="L28" s="70" t="n">
        <f aca="false">COUNTIF(L$3:L$22, "~**")+COUNTIF(L$3:L$22, "Y")</f>
        <v>15</v>
      </c>
      <c r="M28" s="70" t="n">
        <f aca="false">COUNTIF(M$3:M$22, "~**")+COUNTIF(M$3:M$22, "Y")</f>
        <v>15</v>
      </c>
      <c r="N28" s="70" t="n">
        <f aca="false">COUNTIF(N$3:N$22, "~**")+COUNTIF(N$3:N$22, "Y")</f>
        <v>5</v>
      </c>
      <c r="O28" s="70"/>
      <c r="P28" s="70"/>
      <c r="Q28" s="70" t="n">
        <f aca="false">COUNTIF(Q$3:Q$22, "~**")+COUNTIF(Q$3:Q$22, "Y")</f>
        <v>0</v>
      </c>
      <c r="R28" s="70" t="n">
        <f aca="false">COUNTIF(R$3:R$22, "~**")+COUNTIF(R$3:R$22, "Y")</f>
        <v>0</v>
      </c>
      <c r="S28" s="82"/>
      <c r="T28" s="83"/>
      <c r="U28" s="44"/>
      <c r="V28" s="44"/>
      <c r="W28" s="87"/>
      <c r="X28" s="88"/>
      <c r="Y28" s="78"/>
      <c r="Z28" s="88"/>
      <c r="AA28" s="88"/>
      <c r="AB28" s="88"/>
      <c r="AC28" s="87"/>
      <c r="AD28" s="87"/>
      <c r="AE28" s="86"/>
      <c r="AF28" s="87"/>
      <c r="AG28" s="89"/>
      <c r="AH28" s="87"/>
      <c r="AI28" s="87"/>
      <c r="AJ28" s="87"/>
      <c r="AK28" s="86"/>
      <c r="AL28" s="87"/>
      <c r="AM28" s="44"/>
      <c r="AN28" s="44"/>
      <c r="AO28" s="44"/>
      <c r="AP28" s="44"/>
      <c r="AQ28" s="77"/>
      <c r="AR28" s="44"/>
      <c r="AS28" s="44"/>
      <c r="AT28" s="44"/>
      <c r="AU28" s="70"/>
      <c r="AV28" s="90"/>
      <c r="AW28" s="72"/>
      <c r="AX28" s="74"/>
      <c r="AY28" s="74"/>
      <c r="AZ28" s="72"/>
      <c r="BA28" s="74"/>
      <c r="BB28" s="74"/>
      <c r="BC28" s="72"/>
      <c r="BD28" s="74"/>
      <c r="BE28" s="72"/>
      <c r="BF28" s="74"/>
      <c r="BG28" s="74"/>
      <c r="BH28" s="74"/>
      <c r="BI28" s="80"/>
      <c r="BJ28" s="74"/>
      <c r="BK28" s="74"/>
    </row>
    <row r="29" customFormat="false" ht="15.75" hidden="false" customHeight="false" outlineLevel="0" collapsed="false">
      <c r="A29" s="81"/>
      <c r="B29" s="81"/>
      <c r="C29" s="81"/>
      <c r="D29" s="81"/>
      <c r="E29" s="77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77"/>
      <c r="T29" s="44"/>
      <c r="U29" s="44"/>
      <c r="V29" s="44"/>
      <c r="W29" s="90"/>
      <c r="X29" s="44"/>
      <c r="Y29" s="77"/>
      <c r="Z29" s="44"/>
      <c r="AA29" s="44"/>
      <c r="AB29" s="44"/>
      <c r="AC29" s="90"/>
      <c r="AD29" s="90"/>
      <c r="AE29" s="91"/>
      <c r="AF29" s="90"/>
      <c r="AG29" s="44"/>
      <c r="AH29" s="90"/>
      <c r="AI29" s="44"/>
      <c r="AJ29" s="44"/>
      <c r="AK29" s="77"/>
      <c r="AL29" s="44"/>
      <c r="AM29" s="44"/>
      <c r="AN29" s="44"/>
      <c r="AO29" s="44"/>
      <c r="AP29" s="44"/>
      <c r="AQ29" s="77"/>
      <c r="AR29" s="44"/>
      <c r="AS29" s="44"/>
      <c r="AT29" s="44"/>
      <c r="AU29" s="90"/>
      <c r="AV29" s="90"/>
      <c r="AW29" s="72"/>
      <c r="AX29" s="74"/>
      <c r="AY29" s="74"/>
      <c r="AZ29" s="72"/>
      <c r="BA29" s="74"/>
      <c r="BB29" s="74"/>
      <c r="BC29" s="72"/>
      <c r="BD29" s="74"/>
      <c r="BE29" s="72"/>
      <c r="BF29" s="74"/>
      <c r="BG29" s="74"/>
      <c r="BH29" s="74"/>
      <c r="BI29" s="80"/>
      <c r="BJ29" s="74"/>
      <c r="BK29" s="74"/>
    </row>
    <row r="30" customFormat="false" ht="15.75" hidden="false" customHeight="false" outlineLevel="0" collapsed="false">
      <c r="A30" s="81"/>
      <c r="B30" s="81" t="s">
        <v>685</v>
      </c>
      <c r="C30" s="81"/>
      <c r="D30" s="81"/>
      <c r="E30" s="77"/>
      <c r="F30" s="44" t="s">
        <v>686</v>
      </c>
      <c r="G30" s="44"/>
      <c r="H30" s="44"/>
      <c r="I30" s="44"/>
      <c r="J30" s="44"/>
      <c r="K30" s="44"/>
      <c r="L30" s="44"/>
      <c r="M30" s="44"/>
      <c r="N30" s="44"/>
      <c r="S30" s="76"/>
      <c r="T30" s="81" t="s">
        <v>687</v>
      </c>
      <c r="U30" s="44" t="n">
        <v>0</v>
      </c>
      <c r="V30" s="44" t="n">
        <f aca="false">COUNT(V3:V25)</f>
        <v>17</v>
      </c>
      <c r="W30" s="44" t="n">
        <f aca="false">COUNT(W3:W25)</f>
        <v>17</v>
      </c>
      <c r="X30" s="44" t="n">
        <f aca="false">COUNT(X3:X25)</f>
        <v>17</v>
      </c>
      <c r="Y30" s="77"/>
      <c r="Z30" s="44"/>
      <c r="AA30" s="44" t="n">
        <f aca="false">COUNT(AA3:AA25)</f>
        <v>17</v>
      </c>
      <c r="AB30" s="44" t="n">
        <f aca="false">COUNT(AB3:AB25)</f>
        <v>17</v>
      </c>
      <c r="AC30" s="44" t="n">
        <f aca="false">COUNT(AC3:AC25)</f>
        <v>17</v>
      </c>
      <c r="AD30" s="44" t="n">
        <f aca="false">COUNT(AD3:AD25)</f>
        <v>17</v>
      </c>
      <c r="AE30" s="77"/>
      <c r="AF30" s="44"/>
      <c r="AG30" s="44" t="n">
        <f aca="false">COUNT(AG3:AG25)</f>
        <v>17</v>
      </c>
      <c r="AH30" s="44" t="n">
        <f aca="false">COUNT(AH3:AH25)</f>
        <v>17</v>
      </c>
      <c r="AI30" s="44" t="n">
        <f aca="false">COUNT(AI3:AI25)</f>
        <v>17</v>
      </c>
      <c r="AJ30" s="44" t="n">
        <f aca="false">COUNT(AJ3:AJ25)</f>
        <v>17</v>
      </c>
      <c r="AK30" s="77"/>
      <c r="AL30" s="44"/>
      <c r="AM30" s="44" t="n">
        <f aca="false">COUNT(AM3:AM25)</f>
        <v>17</v>
      </c>
      <c r="AN30" s="44" t="n">
        <f aca="false">COUNT(AN3:AN25)</f>
        <v>17</v>
      </c>
      <c r="AO30" s="44" t="n">
        <f aca="false">COUNT(AO3:AO25)</f>
        <v>17</v>
      </c>
      <c r="AP30" s="44" t="n">
        <f aca="false">COUNT(AP3:AP25)</f>
        <v>17</v>
      </c>
      <c r="AQ30" s="77"/>
      <c r="AR30" s="44"/>
      <c r="AS30" s="44" t="n">
        <f aca="false">COUNT(AS3:AS25)</f>
        <v>8</v>
      </c>
      <c r="AT30" s="44" t="n">
        <f aca="false">COUNT(AT3:AT25)</f>
        <v>8</v>
      </c>
      <c r="AU30" s="44" t="n">
        <f aca="false">COUNT(AU3:AU25)</f>
        <v>8</v>
      </c>
      <c r="AV30" s="44" t="n">
        <f aca="false">COUNT(AV3:AV25)</f>
        <v>17</v>
      </c>
      <c r="AW30" s="77"/>
      <c r="AX30" s="44" t="n">
        <f aca="false">COUNT(AX3:AX25)</f>
        <v>17</v>
      </c>
      <c r="AY30" s="44" t="n">
        <f aca="false">COUNT(AY3:AY25)</f>
        <v>14</v>
      </c>
      <c r="AZ30" s="77"/>
      <c r="BA30" s="44"/>
      <c r="BB30" s="44" t="n">
        <f aca="false">COUNTIF(BB3:BB25, "&gt;=6")</f>
        <v>17</v>
      </c>
      <c r="BC30" s="77"/>
      <c r="BD30" s="44" t="n">
        <f aca="false">COUNTIF(BD3:BD25, "Да")</f>
        <v>17</v>
      </c>
      <c r="BE30" s="77"/>
      <c r="BF30" s="44"/>
      <c r="BG30" s="44" t="n">
        <f aca="false">COUNT(BG3:BG25)</f>
        <v>17</v>
      </c>
      <c r="BH30" s="44" t="n">
        <f aca="false">COUNT(BH3:BH25)</f>
        <v>2</v>
      </c>
      <c r="BI30" s="80"/>
      <c r="BJ30" s="74"/>
      <c r="BK30" s="74"/>
    </row>
    <row r="31" customFormat="false" ht="15.75" hidden="false" customHeight="false" outlineLevel="0" collapsed="false">
      <c r="A31" s="92"/>
      <c r="E31" s="77"/>
      <c r="F31" s="44" t="s">
        <v>688</v>
      </c>
      <c r="G31" s="44"/>
      <c r="H31" s="44"/>
      <c r="I31" s="44"/>
      <c r="J31" s="44"/>
      <c r="K31" s="44"/>
      <c r="L31" s="44"/>
      <c r="M31" s="44"/>
      <c r="N31" s="93"/>
      <c r="S31" s="94"/>
      <c r="T31" s="92" t="s">
        <v>689</v>
      </c>
      <c r="V31" s="93"/>
      <c r="W31" s="93"/>
      <c r="X31" s="120" t="n">
        <f aca="false">IF(COUNTA($B$3:$B$22)&gt;0,COUNTA(X$3:X$22)/COUNTA($B$3:$B$22), 0)</f>
        <v>0.85</v>
      </c>
      <c r="Y31" s="96"/>
      <c r="Z31" s="93"/>
      <c r="AA31" s="93"/>
      <c r="AB31" s="93"/>
      <c r="AC31" s="93"/>
      <c r="AD31" s="120" t="n">
        <f aca="false">IF(COUNTA($B$3:$B$22)&gt;0,COUNTA(AD$3:AD$22)/COUNTA($B$3:$B$22), 0)</f>
        <v>0.85</v>
      </c>
      <c r="AE31" s="97"/>
      <c r="AF31" s="98"/>
      <c r="AG31" s="93"/>
      <c r="AH31" s="98"/>
      <c r="AI31" s="93"/>
      <c r="AJ31" s="120" t="n">
        <f aca="false">IF(COUNTA($B$3:$B$22)&gt;0,COUNTA(AJ$3:AJ$22)/COUNTA($B$3:$B$22), 0)</f>
        <v>0.85</v>
      </c>
      <c r="AK31" s="96"/>
      <c r="AL31" s="93"/>
      <c r="AM31" s="93"/>
      <c r="AN31" s="93"/>
      <c r="AO31" s="93"/>
      <c r="AP31" s="95" t="n">
        <f aca="false">IF(COUNTA($B$3:$B$22)&gt;0,COUNTA(AP$3:AP$22)/COUNTA($B$3:$B$22), 0)</f>
        <v>0.85</v>
      </c>
      <c r="AQ31" s="96"/>
      <c r="AR31" s="93"/>
      <c r="AS31" s="93"/>
      <c r="AT31" s="93"/>
      <c r="AU31" s="93"/>
      <c r="AV31" s="95" t="n">
        <f aca="false">IF(COUNTA($B$3:$B$22)&gt;0,COUNTA(AV$3:AV$22)/COUNTA($B$3:$B$22), 0)</f>
        <v>0.85</v>
      </c>
      <c r="AW31" s="99"/>
      <c r="AX31" s="100"/>
      <c r="AY31" s="100"/>
      <c r="AZ31" s="99"/>
      <c r="BA31" s="100"/>
      <c r="BB31" s="95" t="n">
        <f aca="false">IF(COUNTA($B$3:$B$22)&gt;0,COUNTA(BB$3:BB$22)/COUNTA($B$3:$B$22), 0)</f>
        <v>0.85</v>
      </c>
      <c r="BC31" s="77"/>
      <c r="BD31" s="44" t="n">
        <f aca="false">COUNTIF(BD3:BD25, "Да")</f>
        <v>17</v>
      </c>
      <c r="BE31" s="101"/>
      <c r="BF31" s="102"/>
      <c r="BG31" s="102"/>
      <c r="BH31" s="100"/>
      <c r="BI31" s="103"/>
      <c r="BJ31" s="102"/>
      <c r="BK31" s="102"/>
    </row>
    <row r="32" customFormat="false" ht="15.75" hidden="false" customHeight="false" outlineLevel="0" collapsed="false">
      <c r="A32" s="92"/>
      <c r="B32" s="92"/>
      <c r="C32" s="92"/>
      <c r="D32" s="92"/>
      <c r="E32" s="77"/>
      <c r="F32" s="44" t="s">
        <v>690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false" customHeight="false" outlineLevel="0" collapsed="false">
      <c r="A33" s="92"/>
      <c r="B33" s="92"/>
      <c r="C33" s="92"/>
      <c r="D33" s="92"/>
      <c r="E33" s="77"/>
      <c r="F33" s="44" t="s">
        <v>691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 t="s">
        <v>844</v>
      </c>
      <c r="AB34" s="44" t="s">
        <v>696</v>
      </c>
      <c r="AC34" s="44" t="s">
        <v>845</v>
      </c>
      <c r="AD34" s="90"/>
      <c r="AE34" s="91"/>
      <c r="AF34" s="90"/>
      <c r="AG34" s="44"/>
      <c r="AH34" s="90"/>
      <c r="AI34" s="44"/>
      <c r="AJ34" s="44"/>
      <c r="AK34" s="77"/>
      <c r="AL34" s="44"/>
      <c r="AM34" s="44" t="n">
        <v>7</v>
      </c>
      <c r="AN34" s="44" t="n">
        <f aca="false">4*AM34+4</f>
        <v>32</v>
      </c>
      <c r="AO34" s="44" t="str">
        <f aca="false">DEC2HEX(AN34)</f>
        <v>20</v>
      </c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  <row r="35" customFormat="false" ht="15.75" hidden="true" customHeight="false" outlineLevel="0" collapsed="false">
      <c r="A35" s="92"/>
      <c r="B35" s="92"/>
      <c r="C35" s="92"/>
      <c r="D35" s="92"/>
      <c r="E35" s="10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 t="n">
        <f aca="false">IFERROR(__xludf.dummyfunction("-3*(AA35+1) +76 -3*(AB35-1)+76-2451-1"),-5)</f>
        <v>-5</v>
      </c>
      <c r="AA35" s="44" t="n">
        <v>1686</v>
      </c>
      <c r="AB35" s="44" t="n">
        <v>-2451</v>
      </c>
      <c r="AC35" s="44" t="n">
        <v>-144</v>
      </c>
      <c r="AD35" s="90"/>
      <c r="AE35" s="91"/>
      <c r="AF35" s="90"/>
      <c r="AG35" s="44" t="n">
        <v>14054</v>
      </c>
      <c r="AH35" s="90" t="str">
        <f aca="false">DEC2HEX(AG35)</f>
        <v>36E6</v>
      </c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true" customHeight="false" outlineLevel="0" collapsed="false">
      <c r="A36" s="92"/>
      <c r="B36" s="92"/>
      <c r="C36" s="92"/>
      <c r="D36" s="92"/>
      <c r="E36" s="10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5 AA3:AC25 AG3:AI25 AM3:AO25 AS3:AU25 BA4 BA9 AL12 BA14">
    <cfRule type="expression" priority="2" aboveAverage="0" equalAverage="0" bottom="0" percent="0" rank="0" text="" dxfId="2">
      <formula>U3&gt;45809</formula>
    </cfRule>
  </conditionalFormatting>
  <conditionalFormatting sqref="BC3:BD25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5">
    <cfRule type="cellIs" priority="5" operator="equal" aboveAverage="0" equalAverage="0" bottom="0" percent="0" rank="0" text="" dxfId="5">
      <formula>"N"</formula>
    </cfRule>
  </conditionalFormatting>
  <conditionalFormatting sqref="BK3:BK22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FF"/>
    <outlinePr summaryBelow="0"/>
    <pageSetUpPr fitToPage="false"/>
  </sheetPr>
  <dimension ref="A1:B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5" min="6" style="0" width="3"/>
    <col collapsed="false" customWidth="true" hidden="true" outlineLevel="0" max="18" min="1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846</v>
      </c>
      <c r="C1" s="45" t="s">
        <v>847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/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130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45701</v>
      </c>
      <c r="G2" s="55" t="n">
        <f aca="false">F2+14</f>
        <v>45715</v>
      </c>
      <c r="H2" s="55" t="n">
        <f aca="false">G2+14</f>
        <v>45729</v>
      </c>
      <c r="I2" s="55" t="n">
        <f aca="false">H2+14</f>
        <v>45743</v>
      </c>
      <c r="J2" s="55" t="n">
        <f aca="false">I2+14</f>
        <v>45757</v>
      </c>
      <c r="K2" s="55" t="n">
        <f aca="false">J2+14</f>
        <v>45771</v>
      </c>
      <c r="L2" s="131" t="n">
        <v>45784</v>
      </c>
      <c r="M2" s="55" t="n">
        <v>45799</v>
      </c>
      <c r="N2" s="111" t="n">
        <f aca="false">M2+8</f>
        <v>45807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130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32" t="s">
        <v>193</v>
      </c>
      <c r="C3" s="133" t="s">
        <v>848</v>
      </c>
      <c r="D3" s="134" t="s">
        <v>192</v>
      </c>
      <c r="E3" s="62"/>
      <c r="F3" s="63" t="s">
        <v>696</v>
      </c>
      <c r="G3" s="63" t="s">
        <v>735</v>
      </c>
      <c r="H3" s="63" t="s">
        <v>735</v>
      </c>
      <c r="I3" s="63" t="s">
        <v>735</v>
      </c>
      <c r="J3" s="63" t="s">
        <v>735</v>
      </c>
      <c r="K3" s="63" t="s">
        <v>791</v>
      </c>
      <c r="L3" s="63" t="s">
        <v>791</v>
      </c>
      <c r="M3" s="63" t="s">
        <v>791</v>
      </c>
      <c r="N3" s="64" t="s">
        <v>737</v>
      </c>
      <c r="O3" s="64" t="s">
        <v>737</v>
      </c>
      <c r="P3" s="64"/>
      <c r="Q3" s="64"/>
      <c r="R3" s="64"/>
      <c r="S3" s="65"/>
      <c r="T3" s="66" t="s">
        <v>849</v>
      </c>
      <c r="U3" s="67" t="n">
        <v>45784</v>
      </c>
      <c r="V3" s="67" t="n">
        <v>45799</v>
      </c>
      <c r="W3" s="67" t="n">
        <v>45799</v>
      </c>
      <c r="X3" s="68" t="n">
        <v>0.1</v>
      </c>
      <c r="Y3" s="69"/>
      <c r="Z3" s="70"/>
      <c r="AA3" s="67"/>
      <c r="AB3" s="67"/>
      <c r="AC3" s="67"/>
      <c r="AD3" s="68"/>
      <c r="AE3" s="69"/>
      <c r="AF3" s="70"/>
      <c r="AG3" s="70"/>
      <c r="AH3" s="70"/>
      <c r="AI3" s="70"/>
      <c r="AJ3" s="68"/>
      <c r="AK3" s="69"/>
      <c r="AL3" s="70"/>
      <c r="AM3" s="70"/>
      <c r="AN3" s="70"/>
      <c r="AO3" s="70"/>
      <c r="AP3" s="68"/>
      <c r="AQ3" s="69"/>
      <c r="AR3" s="70" t="s">
        <v>737</v>
      </c>
      <c r="AS3" s="70" t="s">
        <v>737</v>
      </c>
      <c r="AT3" s="70" t="s">
        <v>737</v>
      </c>
      <c r="AU3" s="70" t="s">
        <v>737</v>
      </c>
      <c r="AV3" s="70" t="n">
        <v>0</v>
      </c>
      <c r="AW3" s="69"/>
      <c r="AX3" s="68"/>
      <c r="AY3" s="68"/>
      <c r="AZ3" s="69"/>
      <c r="BA3" s="135" t="n">
        <v>45818</v>
      </c>
      <c r="BB3" s="71" t="n">
        <v>0.1</v>
      </c>
      <c r="BC3" s="72"/>
      <c r="BD3" s="73" t="str">
        <f aca="false">IF(AND(BB3&gt;=6,AP3&gt;=6,AJ3&gt;=6,AD3&gt;=6,X3&gt;=6),"да","нет")</f>
        <v>нет</v>
      </c>
      <c r="BE3" s="72"/>
      <c r="BF3" s="74"/>
      <c r="BG3" s="71"/>
      <c r="BH3" s="68"/>
      <c r="BI3" s="50"/>
      <c r="BJ3" s="75" t="n">
        <f aca="false">SUM(X3,AD3,AJ3,AP3,AV3,AX3:AY3,BH3,BB3,BG3)</f>
        <v>0.2</v>
      </c>
      <c r="BK3" s="73" t="str">
        <f aca="false">IF(BJ3&gt;90,"A",IF(BJ3&gt;83,"B",IF(BJ3&gt;74,"C",IF(BJ3&gt;67,"D",IF(BJ3&gt;=60,"E","FX")))))</f>
        <v>FX</v>
      </c>
    </row>
    <row r="4" customFormat="false" ht="15.75" hidden="false" customHeight="false" outlineLevel="0" collapsed="false">
      <c r="A4" s="59" t="n">
        <f aca="false">A3+1</f>
        <v>2</v>
      </c>
      <c r="B4" s="132" t="s">
        <v>198</v>
      </c>
      <c r="C4" s="133" t="s">
        <v>848</v>
      </c>
      <c r="D4" s="134" t="s">
        <v>197</v>
      </c>
      <c r="E4" s="62"/>
      <c r="F4" s="63" t="s">
        <v>696</v>
      </c>
      <c r="G4" s="63" t="s">
        <v>735</v>
      </c>
      <c r="H4" s="63" t="s">
        <v>696</v>
      </c>
      <c r="I4" s="63" t="s">
        <v>791</v>
      </c>
      <c r="J4" s="63" t="s">
        <v>791</v>
      </c>
      <c r="K4" s="63" t="s">
        <v>791</v>
      </c>
      <c r="L4" s="63" t="s">
        <v>791</v>
      </c>
      <c r="M4" s="63" t="s">
        <v>791</v>
      </c>
      <c r="N4" s="64" t="s">
        <v>737</v>
      </c>
      <c r="O4" s="64" t="s">
        <v>737</v>
      </c>
      <c r="P4" s="64"/>
      <c r="Q4" s="64"/>
      <c r="R4" s="64"/>
      <c r="S4" s="65"/>
      <c r="T4" s="66" t="s">
        <v>850</v>
      </c>
      <c r="U4" s="67" t="n">
        <v>45743</v>
      </c>
      <c r="V4" s="67" t="n">
        <v>45757</v>
      </c>
      <c r="W4" s="67" t="n">
        <v>45757</v>
      </c>
      <c r="X4" s="68" t="n">
        <v>7.5</v>
      </c>
      <c r="Y4" s="69"/>
      <c r="Z4" s="70" t="n">
        <v>1084</v>
      </c>
      <c r="AA4" s="67" t="n">
        <v>45784</v>
      </c>
      <c r="AB4" s="67" t="n">
        <v>45784</v>
      </c>
      <c r="AC4" s="67" t="n">
        <v>45799</v>
      </c>
      <c r="AD4" s="68" t="n">
        <v>8</v>
      </c>
      <c r="AE4" s="69"/>
      <c r="AF4" s="70" t="n">
        <v>10801</v>
      </c>
      <c r="AG4" s="70"/>
      <c r="AH4" s="70" t="s">
        <v>851</v>
      </c>
      <c r="AI4" s="70"/>
      <c r="AJ4" s="68"/>
      <c r="AK4" s="69"/>
      <c r="AL4" s="70"/>
      <c r="AM4" s="70"/>
      <c r="AN4" s="70"/>
      <c r="AO4" s="70"/>
      <c r="AP4" s="68"/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70" t="n">
        <v>0</v>
      </c>
      <c r="AW4" s="69"/>
      <c r="AX4" s="68" t="n">
        <v>0</v>
      </c>
      <c r="AY4" s="68"/>
      <c r="AZ4" s="69"/>
      <c r="BA4" s="135" t="n">
        <v>45818</v>
      </c>
      <c r="BB4" s="71" t="n">
        <v>7</v>
      </c>
      <c r="BC4" s="72"/>
      <c r="BD4" s="73" t="str">
        <f aca="false">IF(AND(BB4&gt;=6,AP4&gt;=6,AJ4&gt;=6,AD4&gt;=6,X4&gt;=6),"да","нет")</f>
        <v>нет</v>
      </c>
      <c r="BE4" s="72"/>
      <c r="BF4" s="74"/>
      <c r="BG4" s="71"/>
      <c r="BH4" s="68"/>
      <c r="BI4" s="50"/>
      <c r="BJ4" s="75" t="n">
        <f aca="false">SUM(X4,AD4,AJ4,AP4,AV4,AX4:AY4,BH4,BB4,BG4)</f>
        <v>22.5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f aca="false">A4+1</f>
        <v>3</v>
      </c>
      <c r="B5" s="136" t="s">
        <v>204</v>
      </c>
      <c r="C5" s="133" t="s">
        <v>848</v>
      </c>
      <c r="D5" s="134" t="s">
        <v>203</v>
      </c>
      <c r="E5" s="62"/>
      <c r="F5" s="63" t="s">
        <v>696</v>
      </c>
      <c r="G5" s="63" t="s">
        <v>791</v>
      </c>
      <c r="H5" s="63" t="s">
        <v>791</v>
      </c>
      <c r="I5" s="63" t="s">
        <v>791</v>
      </c>
      <c r="J5" s="63" t="s">
        <v>791</v>
      </c>
      <c r="K5" s="63" t="s">
        <v>791</v>
      </c>
      <c r="L5" s="63" t="s">
        <v>791</v>
      </c>
      <c r="M5" s="63" t="s">
        <v>791</v>
      </c>
      <c r="N5" s="64" t="s">
        <v>791</v>
      </c>
      <c r="O5" s="64" t="s">
        <v>791</v>
      </c>
      <c r="P5" s="64"/>
      <c r="Q5" s="64"/>
      <c r="R5" s="64"/>
      <c r="S5" s="65"/>
      <c r="T5" s="66" t="s">
        <v>852</v>
      </c>
      <c r="U5" s="67" t="n">
        <v>45729</v>
      </c>
      <c r="V5" s="67" t="n">
        <v>45757</v>
      </c>
      <c r="W5" s="67" t="n">
        <v>45757</v>
      </c>
      <c r="X5" s="68" t="n">
        <v>8</v>
      </c>
      <c r="Y5" s="69"/>
      <c r="Z5" s="70" t="n">
        <v>10604</v>
      </c>
      <c r="AA5" s="67" t="n">
        <v>45771</v>
      </c>
      <c r="AB5" s="67" t="n">
        <v>45771</v>
      </c>
      <c r="AC5" s="67" t="n">
        <v>45784</v>
      </c>
      <c r="AD5" s="68" t="n">
        <v>9</v>
      </c>
      <c r="AE5" s="69"/>
      <c r="AF5" s="70" t="n">
        <v>1061</v>
      </c>
      <c r="AG5" s="67" t="n">
        <v>45799</v>
      </c>
      <c r="AH5" s="137" t="n">
        <v>45807</v>
      </c>
      <c r="AI5" s="137" t="n">
        <v>45807</v>
      </c>
      <c r="AJ5" s="68" t="n">
        <v>6</v>
      </c>
      <c r="AK5" s="69"/>
      <c r="AL5" s="70" t="n">
        <v>10601</v>
      </c>
      <c r="AM5" s="137" t="n">
        <v>45811</v>
      </c>
      <c r="AN5" s="137" t="n">
        <v>45811</v>
      </c>
      <c r="AO5" s="137" t="n">
        <v>45811</v>
      </c>
      <c r="AP5" s="68" t="n">
        <v>7</v>
      </c>
      <c r="AQ5" s="69"/>
      <c r="AR5" s="70" t="s">
        <v>737</v>
      </c>
      <c r="AS5" s="70" t="s">
        <v>737</v>
      </c>
      <c r="AT5" s="70" t="s">
        <v>737</v>
      </c>
      <c r="AU5" s="70" t="s">
        <v>737</v>
      </c>
      <c r="AV5" s="70" t="n">
        <v>0</v>
      </c>
      <c r="AW5" s="69"/>
      <c r="AX5" s="68" t="n">
        <v>0</v>
      </c>
      <c r="AY5" s="68"/>
      <c r="AZ5" s="69"/>
      <c r="BA5" s="135" t="n">
        <v>45818</v>
      </c>
      <c r="BB5" s="71" t="n">
        <v>10</v>
      </c>
      <c r="BC5" s="72"/>
      <c r="BD5" s="73" t="str">
        <f aca="false">IF(AND(BB5&gt;=6,AP5&gt;=6,AJ5&gt;=6,AD5&gt;=6,X5&gt;=6),"да","нет")</f>
        <v>да</v>
      </c>
      <c r="BE5" s="72"/>
      <c r="BF5" s="118" t="n">
        <v>45836</v>
      </c>
      <c r="BG5" s="71" t="n">
        <v>0</v>
      </c>
      <c r="BH5" s="68"/>
      <c r="BI5" s="50"/>
      <c r="BJ5" s="75" t="n">
        <f aca="false">SUM(X5,AD5,AJ5,AP5,AV5,AX5:AY5,BH5,BB5,BG5)</f>
        <v>40</v>
      </c>
      <c r="BK5" s="73" t="str">
        <f aca="false">IF(BJ5&gt;90,"A",IF(BJ5&gt;83,"B",IF(BJ5&gt;74,"C",IF(BJ5&gt;67,"D",IF(BJ5&gt;=60,"E","FX")))))</f>
        <v>FX</v>
      </c>
    </row>
    <row r="6" customFormat="false" ht="15.75" hidden="false" customHeight="false" outlineLevel="0" collapsed="false">
      <c r="A6" s="59" t="n">
        <f aca="false">A5+1</f>
        <v>4</v>
      </c>
      <c r="B6" s="132" t="s">
        <v>225</v>
      </c>
      <c r="C6" s="133" t="s">
        <v>848</v>
      </c>
      <c r="D6" s="134" t="s">
        <v>224</v>
      </c>
      <c r="E6" s="62"/>
      <c r="F6" s="63" t="s">
        <v>696</v>
      </c>
      <c r="G6" s="63" t="s">
        <v>791</v>
      </c>
      <c r="H6" s="63" t="s">
        <v>735</v>
      </c>
      <c r="I6" s="63" t="s">
        <v>791</v>
      </c>
      <c r="J6" s="63" t="s">
        <v>735</v>
      </c>
      <c r="K6" s="63" t="s">
        <v>791</v>
      </c>
      <c r="L6" s="63" t="s">
        <v>791</v>
      </c>
      <c r="M6" s="63" t="s">
        <v>791</v>
      </c>
      <c r="N6" s="64" t="s">
        <v>737</v>
      </c>
      <c r="O6" s="64" t="s">
        <v>737</v>
      </c>
      <c r="P6" s="64"/>
      <c r="Q6" s="64"/>
      <c r="R6" s="64"/>
      <c r="S6" s="65"/>
      <c r="T6" s="66" t="s">
        <v>853</v>
      </c>
      <c r="U6" s="67" t="n">
        <v>45715</v>
      </c>
      <c r="V6" s="67" t="n">
        <v>45743</v>
      </c>
      <c r="W6" s="67" t="n">
        <v>45771</v>
      </c>
      <c r="X6" s="68" t="n">
        <v>7</v>
      </c>
      <c r="Y6" s="69"/>
      <c r="Z6" s="70" t="n">
        <v>10614</v>
      </c>
      <c r="AA6" s="67" t="n">
        <v>45784</v>
      </c>
      <c r="AB6" s="67" t="n">
        <v>45799</v>
      </c>
      <c r="AC6" s="67" t="n">
        <v>45799</v>
      </c>
      <c r="AD6" s="68" t="n">
        <v>6</v>
      </c>
      <c r="AE6" s="69"/>
      <c r="AF6" s="70" t="n">
        <v>106155</v>
      </c>
      <c r="AG6" s="70"/>
      <c r="AH6" s="70" t="s">
        <v>854</v>
      </c>
      <c r="AI6" s="70"/>
      <c r="AJ6" s="68"/>
      <c r="AK6" s="69"/>
      <c r="AL6" s="70"/>
      <c r="AM6" s="70"/>
      <c r="AN6" s="70"/>
      <c r="AO6" s="70"/>
      <c r="AP6" s="68"/>
      <c r="AQ6" s="69"/>
      <c r="AR6" s="70" t="s">
        <v>737</v>
      </c>
      <c r="AS6" s="70" t="s">
        <v>737</v>
      </c>
      <c r="AT6" s="70" t="s">
        <v>737</v>
      </c>
      <c r="AU6" s="70" t="s">
        <v>737</v>
      </c>
      <c r="AV6" s="70" t="n">
        <v>0</v>
      </c>
      <c r="AW6" s="69"/>
      <c r="AX6" s="68"/>
      <c r="AY6" s="68"/>
      <c r="AZ6" s="69"/>
      <c r="BA6" s="135" t="n">
        <v>45818</v>
      </c>
      <c r="BB6" s="71" t="n">
        <v>0.1</v>
      </c>
      <c r="BC6" s="72"/>
      <c r="BD6" s="73" t="str">
        <f aca="false">IF(AND(BB6&gt;=6,AP6&gt;=6,AJ6&gt;=6,AD6&gt;=6,X6&gt;=6),"да","нет")</f>
        <v>нет</v>
      </c>
      <c r="BE6" s="72"/>
      <c r="BF6" s="74"/>
      <c r="BG6" s="71"/>
      <c r="BH6" s="68"/>
      <c r="BI6" s="50"/>
      <c r="BJ6" s="75" t="n">
        <f aca="false">SUM(X6,AD6,AJ6,AP6,AV6,AX6:AY6,BH6,BB6,BG6)</f>
        <v>13.1</v>
      </c>
      <c r="BK6" s="73" t="str">
        <f aca="false">IF(BJ6&gt;90,"A",IF(BJ6&gt;83,"B",IF(BJ6&gt;74,"C",IF(BJ6&gt;67,"D",IF(BJ6&gt;=60,"E","FX")))))</f>
        <v>FX</v>
      </c>
    </row>
    <row r="7" customFormat="false" ht="15.75" hidden="false" customHeight="false" outlineLevel="0" collapsed="false">
      <c r="A7" s="59" t="n">
        <f aca="false">A6+1</f>
        <v>5</v>
      </c>
      <c r="B7" s="138" t="s">
        <v>258</v>
      </c>
      <c r="C7" s="133" t="s">
        <v>848</v>
      </c>
      <c r="D7" s="134" t="s">
        <v>257</v>
      </c>
      <c r="E7" s="62"/>
      <c r="F7" s="63" t="s">
        <v>696</v>
      </c>
      <c r="G7" s="63" t="s">
        <v>735</v>
      </c>
      <c r="H7" s="63" t="s">
        <v>735</v>
      </c>
      <c r="I7" s="63" t="s">
        <v>791</v>
      </c>
      <c r="J7" s="63" t="s">
        <v>791</v>
      </c>
      <c r="K7" s="63" t="s">
        <v>791</v>
      </c>
      <c r="L7" s="63" t="s">
        <v>791</v>
      </c>
      <c r="M7" s="63" t="s">
        <v>791</v>
      </c>
      <c r="N7" s="64" t="s">
        <v>737</v>
      </c>
      <c r="O7" s="64" t="s">
        <v>737</v>
      </c>
      <c r="P7" s="64"/>
      <c r="Q7" s="64"/>
      <c r="R7" s="64"/>
      <c r="S7" s="65"/>
      <c r="T7" s="66" t="s">
        <v>855</v>
      </c>
      <c r="U7" s="67" t="n">
        <v>45771</v>
      </c>
      <c r="V7" s="67" t="n">
        <v>45784</v>
      </c>
      <c r="W7" s="67" t="n">
        <v>45799</v>
      </c>
      <c r="X7" s="68" t="n">
        <v>1</v>
      </c>
      <c r="Y7" s="69"/>
      <c r="Z7" s="70"/>
      <c r="AA7" s="67"/>
      <c r="AB7" s="67"/>
      <c r="AC7" s="67"/>
      <c r="AD7" s="68"/>
      <c r="AE7" s="69"/>
      <c r="AF7" s="70"/>
      <c r="AG7" s="70"/>
      <c r="AH7" s="70"/>
      <c r="AI7" s="70"/>
      <c r="AJ7" s="68"/>
      <c r="AK7" s="69"/>
      <c r="AL7" s="70"/>
      <c r="AM7" s="70"/>
      <c r="AN7" s="70"/>
      <c r="AO7" s="70"/>
      <c r="AP7" s="68"/>
      <c r="AQ7" s="69"/>
      <c r="AR7" s="70" t="s">
        <v>737</v>
      </c>
      <c r="AS7" s="70" t="s">
        <v>737</v>
      </c>
      <c r="AT7" s="70" t="s">
        <v>737</v>
      </c>
      <c r="AU7" s="70" t="s">
        <v>737</v>
      </c>
      <c r="AV7" s="70" t="n">
        <v>0</v>
      </c>
      <c r="AW7" s="69"/>
      <c r="AX7" s="68" t="n">
        <v>0</v>
      </c>
      <c r="AY7" s="68"/>
      <c r="AZ7" s="69"/>
      <c r="BA7" s="135" t="n">
        <v>45818</v>
      </c>
      <c r="BB7" s="71" t="n">
        <v>6</v>
      </c>
      <c r="BC7" s="72"/>
      <c r="BD7" s="73" t="str">
        <f aca="false">IF(AND(BB7&gt;=6,AP7&gt;=6,AJ7&gt;=6,AD7&gt;=6,X7&gt;=6),"да","нет")</f>
        <v>нет</v>
      </c>
      <c r="BE7" s="72"/>
      <c r="BF7" s="74"/>
      <c r="BG7" s="71"/>
      <c r="BH7" s="68"/>
      <c r="BI7" s="50"/>
      <c r="BJ7" s="75" t="n">
        <f aca="false">SUM(X7,AD7,AJ7,AP7,AV7,AX7:AY7,BH7,BB7,BG7)</f>
        <v>7</v>
      </c>
      <c r="BK7" s="73" t="str">
        <f aca="false">IF(BJ7&gt;90,"A",IF(BJ7&gt;83,"B",IF(BJ7&gt;74,"C",IF(BJ7&gt;67,"D",IF(BJ7&gt;=60,"E","FX")))))</f>
        <v>FX</v>
      </c>
    </row>
    <row r="8" customFormat="false" ht="15.75" hidden="false" customHeight="false" outlineLevel="0" collapsed="false">
      <c r="A8" s="59" t="n">
        <f aca="false">A7+1</f>
        <v>6</v>
      </c>
      <c r="B8" s="136" t="s">
        <v>270</v>
      </c>
      <c r="C8" s="133" t="s">
        <v>848</v>
      </c>
      <c r="D8" s="134" t="s">
        <v>269</v>
      </c>
      <c r="E8" s="62"/>
      <c r="F8" s="63" t="s">
        <v>696</v>
      </c>
      <c r="G8" s="63" t="s">
        <v>791</v>
      </c>
      <c r="H8" s="63" t="s">
        <v>791</v>
      </c>
      <c r="I8" s="63" t="s">
        <v>791</v>
      </c>
      <c r="J8" s="63" t="s">
        <v>791</v>
      </c>
      <c r="K8" s="63" t="s">
        <v>791</v>
      </c>
      <c r="L8" s="63" t="s">
        <v>791</v>
      </c>
      <c r="M8" s="63" t="s">
        <v>791</v>
      </c>
      <c r="N8" s="64" t="s">
        <v>735</v>
      </c>
      <c r="O8" s="64" t="s">
        <v>735</v>
      </c>
      <c r="P8" s="64"/>
      <c r="Q8" s="64"/>
      <c r="R8" s="64"/>
      <c r="S8" s="65"/>
      <c r="T8" s="66" t="s">
        <v>856</v>
      </c>
      <c r="U8" s="67" t="n">
        <v>45715</v>
      </c>
      <c r="V8" s="67" t="n">
        <v>45729</v>
      </c>
      <c r="W8" s="67" t="n">
        <v>45729</v>
      </c>
      <c r="X8" s="68" t="n">
        <v>8.5</v>
      </c>
      <c r="Y8" s="69"/>
      <c r="Z8" s="70" t="n">
        <v>10642</v>
      </c>
      <c r="AA8" s="67" t="n">
        <v>45743</v>
      </c>
      <c r="AB8" s="67" t="n">
        <v>45757</v>
      </c>
      <c r="AC8" s="67" t="n">
        <v>45757</v>
      </c>
      <c r="AD8" s="68" t="n">
        <v>9.3</v>
      </c>
      <c r="AE8" s="69"/>
      <c r="AF8" s="70" t="n">
        <v>10645</v>
      </c>
      <c r="AG8" s="67" t="n">
        <v>45771</v>
      </c>
      <c r="AH8" s="67" t="n">
        <v>45784</v>
      </c>
      <c r="AI8" s="67" t="n">
        <v>45784</v>
      </c>
      <c r="AJ8" s="68" t="n">
        <v>8</v>
      </c>
      <c r="AK8" s="69"/>
      <c r="AL8" s="70" t="n">
        <v>10645</v>
      </c>
      <c r="AM8" s="67" t="n">
        <v>45799</v>
      </c>
      <c r="AN8" s="67" t="n">
        <v>45799</v>
      </c>
      <c r="AO8" s="67" t="n">
        <v>45799</v>
      </c>
      <c r="AP8" s="68" t="n">
        <v>9.4</v>
      </c>
      <c r="AQ8" s="69"/>
      <c r="AR8" s="66" t="s">
        <v>856</v>
      </c>
      <c r="AS8" s="70" t="s">
        <v>737</v>
      </c>
      <c r="AT8" s="70" t="s">
        <v>737</v>
      </c>
      <c r="AU8" s="70" t="s">
        <v>737</v>
      </c>
      <c r="AV8" s="68" t="n">
        <v>0</v>
      </c>
      <c r="AW8" s="69"/>
      <c r="AX8" s="68" t="n">
        <v>0</v>
      </c>
      <c r="AY8" s="68"/>
      <c r="AZ8" s="69"/>
      <c r="BA8" s="135" t="n">
        <v>45818</v>
      </c>
      <c r="BB8" s="71" t="n">
        <v>10</v>
      </c>
      <c r="BC8" s="72"/>
      <c r="BD8" s="73" t="str">
        <f aca="false">IF(AND(BB8&gt;=6,AP8&gt;=6,AJ8&gt;=6,AD8&gt;=6,X8&gt;=6),"да","нет")</f>
        <v>да</v>
      </c>
      <c r="BE8" s="72"/>
      <c r="BF8" s="118" t="n">
        <v>45822</v>
      </c>
      <c r="BG8" s="71" t="n">
        <v>28</v>
      </c>
      <c r="BH8" s="68" t="n">
        <v>1</v>
      </c>
      <c r="BI8" s="50"/>
      <c r="BJ8" s="75" t="n">
        <f aca="false">SUM(X8,AD8,AJ8,AP8,AV8,AX8:AY8,BH8,BB8,BG8)</f>
        <v>74.2</v>
      </c>
      <c r="BK8" s="73" t="str">
        <f aca="false">IF(BJ8&gt;90,"A",IF(BJ8&gt;83,"B",IF(BJ8&gt;74,"C",IF(BJ8&gt;67,"D",IF(BJ8&gt;=60,"E","FX")))))</f>
        <v>C</v>
      </c>
    </row>
    <row r="9" customFormat="false" ht="15.75" hidden="false" customHeight="false" outlineLevel="0" collapsed="false">
      <c r="A9" s="59" t="n">
        <f aca="false">A8+1</f>
        <v>7</v>
      </c>
      <c r="B9" s="132" t="s">
        <v>287</v>
      </c>
      <c r="C9" s="133" t="s">
        <v>848</v>
      </c>
      <c r="D9" s="134" t="s">
        <v>286</v>
      </c>
      <c r="E9" s="62"/>
      <c r="F9" s="63" t="s">
        <v>791</v>
      </c>
      <c r="G9" s="63" t="s">
        <v>735</v>
      </c>
      <c r="H9" s="63" t="s">
        <v>735</v>
      </c>
      <c r="I9" s="63" t="s">
        <v>791</v>
      </c>
      <c r="J9" s="63" t="s">
        <v>735</v>
      </c>
      <c r="K9" s="63" t="s">
        <v>791</v>
      </c>
      <c r="L9" s="63" t="s">
        <v>791</v>
      </c>
      <c r="M9" s="63" t="s">
        <v>735</v>
      </c>
      <c r="N9" s="64" t="s">
        <v>737</v>
      </c>
      <c r="O9" s="64" t="s">
        <v>737</v>
      </c>
      <c r="P9" s="64"/>
      <c r="Q9" s="64"/>
      <c r="R9" s="64"/>
      <c r="S9" s="65"/>
      <c r="T9" s="66" t="s">
        <v>857</v>
      </c>
      <c r="U9" s="67" t="n">
        <v>45701</v>
      </c>
      <c r="V9" s="67" t="n">
        <v>45771</v>
      </c>
      <c r="W9" s="67" t="n">
        <v>45784</v>
      </c>
      <c r="X9" s="68" t="n">
        <v>7.8</v>
      </c>
      <c r="Y9" s="69"/>
      <c r="Z9" s="70" t="n">
        <v>10654</v>
      </c>
      <c r="AA9" s="67"/>
      <c r="AB9" s="67"/>
      <c r="AC9" s="67"/>
      <c r="AD9" s="68"/>
      <c r="AE9" s="69"/>
      <c r="AF9" s="70"/>
      <c r="AG9" s="70"/>
      <c r="AH9" s="70"/>
      <c r="AI9" s="70"/>
      <c r="AJ9" s="68"/>
      <c r="AK9" s="69"/>
      <c r="AL9" s="70"/>
      <c r="AM9" s="70"/>
      <c r="AN9" s="70"/>
      <c r="AO9" s="70"/>
      <c r="AP9" s="68"/>
      <c r="AQ9" s="69"/>
      <c r="AR9" s="70" t="s">
        <v>737</v>
      </c>
      <c r="AS9" s="70" t="s">
        <v>737</v>
      </c>
      <c r="AT9" s="70" t="s">
        <v>737</v>
      </c>
      <c r="AU9" s="70" t="s">
        <v>737</v>
      </c>
      <c r="AV9" s="70" t="n">
        <v>0</v>
      </c>
      <c r="AW9" s="69"/>
      <c r="AX9" s="68"/>
      <c r="AY9" s="68"/>
      <c r="AZ9" s="69"/>
      <c r="BA9" s="135" t="n">
        <v>45818</v>
      </c>
      <c r="BB9" s="71" t="n">
        <v>0</v>
      </c>
      <c r="BC9" s="72"/>
      <c r="BD9" s="73" t="str">
        <f aca="false">IF(AND(BB9&gt;=6,AP9&gt;=6,AJ9&gt;=6,AD9&gt;=6,X9&gt;=6),"да","нет")</f>
        <v>нет</v>
      </c>
      <c r="BE9" s="72"/>
      <c r="BF9" s="74"/>
      <c r="BG9" s="71"/>
      <c r="BH9" s="68"/>
      <c r="BI9" s="50"/>
      <c r="BJ9" s="75" t="n">
        <f aca="false">SUM(X9,AD9,AJ9,AP9,AV9,AX9:AY9,BH9,BB9,BG9)</f>
        <v>7.8</v>
      </c>
      <c r="BK9" s="73" t="str">
        <f aca="false">IF(BJ9&gt;90,"A",IF(BJ9&gt;83,"B",IF(BJ9&gt;74,"C",IF(BJ9&gt;67,"D",IF(BJ9&gt;=60,"E","FX")))))</f>
        <v>FX</v>
      </c>
    </row>
    <row r="10" customFormat="false" ht="15.75" hidden="false" customHeight="false" outlineLevel="0" collapsed="false">
      <c r="A10" s="59" t="n">
        <f aca="false">A9+1</f>
        <v>8</v>
      </c>
      <c r="B10" s="136" t="s">
        <v>313</v>
      </c>
      <c r="C10" s="133" t="s">
        <v>848</v>
      </c>
      <c r="D10" s="134" t="s">
        <v>312</v>
      </c>
      <c r="E10" s="62"/>
      <c r="F10" s="63" t="s">
        <v>791</v>
      </c>
      <c r="G10" s="63" t="s">
        <v>791</v>
      </c>
      <c r="H10" s="63" t="s">
        <v>791</v>
      </c>
      <c r="I10" s="63" t="s">
        <v>791</v>
      </c>
      <c r="J10" s="63" t="s">
        <v>791</v>
      </c>
      <c r="K10" s="63" t="s">
        <v>791</v>
      </c>
      <c r="L10" s="63" t="s">
        <v>791</v>
      </c>
      <c r="M10" s="63" t="s">
        <v>791</v>
      </c>
      <c r="N10" s="64" t="s">
        <v>735</v>
      </c>
      <c r="O10" s="64" t="s">
        <v>791</v>
      </c>
      <c r="P10" s="64"/>
      <c r="Q10" s="64"/>
      <c r="R10" s="64"/>
      <c r="S10" s="65"/>
      <c r="T10" s="66" t="s">
        <v>858</v>
      </c>
      <c r="U10" s="67" t="n">
        <v>45701</v>
      </c>
      <c r="V10" s="67" t="n">
        <v>45729</v>
      </c>
      <c r="W10" s="67" t="n">
        <v>45729</v>
      </c>
      <c r="X10" s="68" t="n">
        <v>8.5</v>
      </c>
      <c r="Y10" s="69"/>
      <c r="Z10" s="70" t="n">
        <v>10662</v>
      </c>
      <c r="AA10" s="67" t="n">
        <v>45743</v>
      </c>
      <c r="AB10" s="67" t="n">
        <v>45757</v>
      </c>
      <c r="AC10" s="67" t="n">
        <v>45757</v>
      </c>
      <c r="AD10" s="68" t="n">
        <v>8</v>
      </c>
      <c r="AE10" s="69"/>
      <c r="AF10" s="70" t="n">
        <v>10665</v>
      </c>
      <c r="AG10" s="67" t="n">
        <v>45784</v>
      </c>
      <c r="AH10" s="67" t="n">
        <v>45799</v>
      </c>
      <c r="AI10" s="67" t="n">
        <v>45799</v>
      </c>
      <c r="AJ10" s="68" t="n">
        <v>8</v>
      </c>
      <c r="AK10" s="69"/>
      <c r="AL10" s="70" t="n">
        <v>10667</v>
      </c>
      <c r="AM10" s="137" t="n">
        <v>45811</v>
      </c>
      <c r="AN10" s="137" t="n">
        <v>45811</v>
      </c>
      <c r="AO10" s="137" t="n">
        <v>45811</v>
      </c>
      <c r="AP10" s="68" t="n">
        <v>8.5</v>
      </c>
      <c r="AQ10" s="69"/>
      <c r="AR10" s="70" t="s">
        <v>737</v>
      </c>
      <c r="AS10" s="70" t="s">
        <v>737</v>
      </c>
      <c r="AT10" s="70" t="s">
        <v>737</v>
      </c>
      <c r="AU10" s="70" t="s">
        <v>737</v>
      </c>
      <c r="AV10" s="70" t="n">
        <v>0</v>
      </c>
      <c r="AW10" s="69"/>
      <c r="AX10" s="68" t="n">
        <v>0</v>
      </c>
      <c r="AY10" s="68"/>
      <c r="AZ10" s="69"/>
      <c r="BA10" s="135" t="n">
        <v>45818</v>
      </c>
      <c r="BB10" s="71" t="n">
        <v>10</v>
      </c>
      <c r="BC10" s="72"/>
      <c r="BD10" s="73" t="str">
        <f aca="false">IF(AND(BB10&gt;=6,AP10&gt;=6,AJ10&gt;=6,AD10&gt;=6,X10&gt;=6),"да","нет")</f>
        <v>да</v>
      </c>
      <c r="BE10" s="72"/>
      <c r="BF10" s="118" t="n">
        <v>45836</v>
      </c>
      <c r="BG10" s="71" t="n">
        <v>25</v>
      </c>
      <c r="BH10" s="68"/>
      <c r="BI10" s="50"/>
      <c r="BJ10" s="75" t="n">
        <f aca="false">SUM(X10,AD10,AJ10,AP10,AV10,AX10:AY10,BH10,BB10,BG10)</f>
        <v>68</v>
      </c>
      <c r="BK10" s="73" t="str">
        <f aca="false">IF(BJ10&gt;90,"A",IF(BJ10&gt;83,"B",IF(BJ10&gt;74,"C",IF(BJ10&gt;67,"D",IF(BJ10&gt;=60,"E","FX")))))</f>
        <v>D</v>
      </c>
    </row>
    <row r="11" customFormat="false" ht="15.75" hidden="false" customHeight="false" outlineLevel="0" collapsed="false">
      <c r="A11" s="59" t="n">
        <f aca="false">A10+1</f>
        <v>9</v>
      </c>
      <c r="B11" s="136" t="s">
        <v>323</v>
      </c>
      <c r="C11" s="133" t="s">
        <v>848</v>
      </c>
      <c r="D11" s="134" t="s">
        <v>322</v>
      </c>
      <c r="E11" s="62"/>
      <c r="F11" s="63" t="s">
        <v>791</v>
      </c>
      <c r="G11" s="63" t="s">
        <v>791</v>
      </c>
      <c r="H11" s="63" t="s">
        <v>791</v>
      </c>
      <c r="I11" s="63" t="s">
        <v>791</v>
      </c>
      <c r="J11" s="63" t="s">
        <v>791</v>
      </c>
      <c r="K11" s="63" t="s">
        <v>791</v>
      </c>
      <c r="L11" s="63" t="s">
        <v>791</v>
      </c>
      <c r="M11" s="63" t="s">
        <v>791</v>
      </c>
      <c r="N11" s="64" t="s">
        <v>791</v>
      </c>
      <c r="O11" s="64" t="s">
        <v>791</v>
      </c>
      <c r="P11" s="64"/>
      <c r="Q11" s="64"/>
      <c r="R11" s="64"/>
      <c r="S11" s="65"/>
      <c r="T11" s="66" t="s">
        <v>859</v>
      </c>
      <c r="U11" s="67" t="n">
        <v>45701</v>
      </c>
      <c r="V11" s="67" t="n">
        <v>45715</v>
      </c>
      <c r="W11" s="67" t="n">
        <v>45729</v>
      </c>
      <c r="X11" s="68" t="n">
        <v>8.3</v>
      </c>
      <c r="Y11" s="69"/>
      <c r="Z11" s="70" t="n">
        <v>10673</v>
      </c>
      <c r="AA11" s="67" t="n">
        <v>45743</v>
      </c>
      <c r="AB11" s="67" t="n">
        <v>45757</v>
      </c>
      <c r="AC11" s="67" t="n">
        <v>45757</v>
      </c>
      <c r="AD11" s="68" t="n">
        <v>10</v>
      </c>
      <c r="AE11" s="69"/>
      <c r="AF11" s="70" t="n">
        <v>10673</v>
      </c>
      <c r="AG11" s="67" t="n">
        <v>45771</v>
      </c>
      <c r="AH11" s="67" t="n">
        <v>45784</v>
      </c>
      <c r="AI11" s="67" t="n">
        <v>45784</v>
      </c>
      <c r="AJ11" s="68" t="n">
        <v>9</v>
      </c>
      <c r="AK11" s="69"/>
      <c r="AL11" s="70" t="n">
        <v>10676</v>
      </c>
      <c r="AM11" s="67" t="n">
        <v>45799</v>
      </c>
      <c r="AN11" s="67" t="n">
        <v>45799</v>
      </c>
      <c r="AO11" s="67" t="n">
        <v>45799</v>
      </c>
      <c r="AP11" s="68" t="n">
        <v>9</v>
      </c>
      <c r="AQ11" s="69"/>
      <c r="AR11" s="70" t="n">
        <v>1067</v>
      </c>
      <c r="AS11" s="137" t="n">
        <v>45811</v>
      </c>
      <c r="AT11" s="137" t="n">
        <v>45811</v>
      </c>
      <c r="AU11" s="137" t="n">
        <v>45811</v>
      </c>
      <c r="AV11" s="68" t="n">
        <v>8</v>
      </c>
      <c r="AW11" s="69"/>
      <c r="AX11" s="68" t="n">
        <v>0</v>
      </c>
      <c r="AY11" s="68" t="n">
        <v>2</v>
      </c>
      <c r="AZ11" s="69"/>
      <c r="BA11" s="135" t="n">
        <v>45818</v>
      </c>
      <c r="BB11" s="71" t="n">
        <v>10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45836</v>
      </c>
      <c r="BG11" s="71" t="n">
        <v>28</v>
      </c>
      <c r="BH11" s="68"/>
      <c r="BI11" s="50"/>
      <c r="BJ11" s="75" t="n">
        <f aca="false">SUM(X11,AD11,AJ11,AP11,AV11,AX11:AY11,BH11,BB11,BG11)</f>
        <v>84.3</v>
      </c>
      <c r="BK11" s="73" t="str">
        <f aca="false">IF(BJ11&gt;90,"A",IF(BJ11&gt;83,"B",IF(BJ11&gt;74,"C",IF(BJ11&gt;67,"D",IF(BJ11&gt;=60,"E","FX")))))</f>
        <v>B</v>
      </c>
    </row>
    <row r="12" customFormat="false" ht="15.75" hidden="false" customHeight="false" outlineLevel="0" collapsed="false">
      <c r="A12" s="59" t="n">
        <f aca="false">A11+1</f>
        <v>10</v>
      </c>
      <c r="B12" s="136" t="s">
        <v>377</v>
      </c>
      <c r="C12" s="133" t="s">
        <v>848</v>
      </c>
      <c r="D12" s="134" t="s">
        <v>376</v>
      </c>
      <c r="E12" s="62"/>
      <c r="F12" s="63" t="s">
        <v>791</v>
      </c>
      <c r="G12" s="63" t="s">
        <v>791</v>
      </c>
      <c r="H12" s="63" t="s">
        <v>791</v>
      </c>
      <c r="I12" s="63" t="s">
        <v>791</v>
      </c>
      <c r="J12" s="63" t="s">
        <v>791</v>
      </c>
      <c r="K12" s="63" t="s">
        <v>791</v>
      </c>
      <c r="L12" s="63" t="s">
        <v>791</v>
      </c>
      <c r="M12" s="63" t="s">
        <v>791</v>
      </c>
      <c r="N12" s="64" t="s">
        <v>791</v>
      </c>
      <c r="O12" s="64" t="s">
        <v>737</v>
      </c>
      <c r="P12" s="64"/>
      <c r="Q12" s="64"/>
      <c r="R12" s="64"/>
      <c r="S12" s="65"/>
      <c r="T12" s="66" t="s">
        <v>860</v>
      </c>
      <c r="U12" s="67" t="n">
        <v>45701</v>
      </c>
      <c r="V12" s="67" t="n">
        <v>45715</v>
      </c>
      <c r="W12" s="67" t="n">
        <v>45729</v>
      </c>
      <c r="X12" s="68" t="n">
        <v>8.5</v>
      </c>
      <c r="Y12" s="69"/>
      <c r="Z12" s="70" t="n">
        <v>10681</v>
      </c>
      <c r="AA12" s="67" t="n">
        <v>45743</v>
      </c>
      <c r="AB12" s="67" t="n">
        <v>45757</v>
      </c>
      <c r="AC12" s="67" t="n">
        <v>45757</v>
      </c>
      <c r="AD12" s="68" t="n">
        <v>9.5</v>
      </c>
      <c r="AE12" s="69"/>
      <c r="AF12" s="70" t="n">
        <v>1068</v>
      </c>
      <c r="AG12" s="67" t="n">
        <v>45784</v>
      </c>
      <c r="AH12" s="67" t="n">
        <v>45784</v>
      </c>
      <c r="AI12" s="67" t="n">
        <v>45784</v>
      </c>
      <c r="AJ12" s="68" t="n">
        <v>8.5</v>
      </c>
      <c r="AK12" s="69"/>
      <c r="AL12" s="70" t="n">
        <v>10688</v>
      </c>
      <c r="AM12" s="67" t="n">
        <v>45799</v>
      </c>
      <c r="AN12" s="67" t="n">
        <v>45799</v>
      </c>
      <c r="AO12" s="67" t="n">
        <v>45799</v>
      </c>
      <c r="AP12" s="68" t="n">
        <v>9</v>
      </c>
      <c r="AQ12" s="69"/>
      <c r="AR12" s="70" t="n">
        <v>10687</v>
      </c>
      <c r="AS12" s="137" t="n">
        <v>45807</v>
      </c>
      <c r="AT12" s="137" t="n">
        <v>45807</v>
      </c>
      <c r="AU12" s="137" t="n">
        <v>45807</v>
      </c>
      <c r="AV12" s="68" t="n">
        <v>9</v>
      </c>
      <c r="AW12" s="69"/>
      <c r="AX12" s="68" t="n">
        <v>3</v>
      </c>
      <c r="AY12" s="68" t="n">
        <v>1</v>
      </c>
      <c r="AZ12" s="69"/>
      <c r="BA12" s="135" t="n">
        <v>45818</v>
      </c>
      <c r="BB12" s="71" t="n">
        <v>10</v>
      </c>
      <c r="BC12" s="72"/>
      <c r="BD12" s="73" t="str">
        <f aca="false">IF(AND(BB12&gt;=6,AP12&gt;=6,AJ12&gt;=6,AD12&gt;=6,X12&gt;=6),"да","нет")</f>
        <v>да</v>
      </c>
      <c r="BE12" s="72"/>
      <c r="BF12" s="118" t="n">
        <v>45836</v>
      </c>
      <c r="BG12" s="71" t="n">
        <v>25</v>
      </c>
      <c r="BH12" s="68"/>
      <c r="BI12" s="50"/>
      <c r="BJ12" s="75" t="n">
        <f aca="false">SUM(X12,AD12,AJ12,AP12,AV12,AX12:AY12,BH12,BB12,BG12)</f>
        <v>83.5</v>
      </c>
      <c r="BK12" s="73" t="str">
        <f aca="false">IF(BJ12&gt;90,"A",IF(BJ12&gt;83,"B",IF(BJ12&gt;74,"C",IF(BJ12&gt;67,"D",IF(BJ12&gt;=60,"E","FX")))))</f>
        <v>B</v>
      </c>
    </row>
    <row r="13" customFormat="false" ht="15.75" hidden="false" customHeight="false" outlineLevel="0" collapsed="false">
      <c r="A13" s="59" t="n">
        <f aca="false">A12+1</f>
        <v>11</v>
      </c>
      <c r="B13" s="136" t="s">
        <v>435</v>
      </c>
      <c r="C13" s="133" t="s">
        <v>848</v>
      </c>
      <c r="D13" s="134" t="s">
        <v>434</v>
      </c>
      <c r="E13" s="62"/>
      <c r="F13" s="63" t="s">
        <v>735</v>
      </c>
      <c r="G13" s="63" t="s">
        <v>791</v>
      </c>
      <c r="H13" s="63" t="s">
        <v>791</v>
      </c>
      <c r="I13" s="63" t="s">
        <v>791</v>
      </c>
      <c r="J13" s="63" t="s">
        <v>791</v>
      </c>
      <c r="K13" s="63" t="s">
        <v>791</v>
      </c>
      <c r="L13" s="63" t="s">
        <v>791</v>
      </c>
      <c r="M13" s="63" t="s">
        <v>791</v>
      </c>
      <c r="N13" s="64" t="s">
        <v>735</v>
      </c>
      <c r="O13" s="64" t="s">
        <v>791</v>
      </c>
      <c r="P13" s="64"/>
      <c r="Q13" s="64"/>
      <c r="R13" s="64"/>
      <c r="S13" s="65"/>
      <c r="T13" s="66" t="s">
        <v>861</v>
      </c>
      <c r="U13" s="67" t="n">
        <v>45715</v>
      </c>
      <c r="V13" s="67" t="n">
        <v>45729</v>
      </c>
      <c r="W13" s="67" t="n">
        <v>45729</v>
      </c>
      <c r="X13" s="68" t="n">
        <v>8.3</v>
      </c>
      <c r="Y13" s="69"/>
      <c r="Z13" s="70" t="n">
        <v>10754</v>
      </c>
      <c r="AA13" s="67" t="n">
        <v>45757</v>
      </c>
      <c r="AB13" s="67" t="n">
        <v>45771</v>
      </c>
      <c r="AC13" s="67" t="n">
        <v>45771</v>
      </c>
      <c r="AD13" s="68" t="n">
        <v>9.7</v>
      </c>
      <c r="AE13" s="69"/>
      <c r="AF13" s="70" t="n">
        <v>1075</v>
      </c>
      <c r="AG13" s="67" t="n">
        <v>45784</v>
      </c>
      <c r="AH13" s="67" t="n">
        <v>45799</v>
      </c>
      <c r="AI13" s="67" t="n">
        <v>45799</v>
      </c>
      <c r="AJ13" s="68" t="n">
        <v>9</v>
      </c>
      <c r="AK13" s="69"/>
      <c r="AL13" s="70" t="n">
        <v>197557</v>
      </c>
      <c r="AM13" s="137" t="n">
        <v>45811</v>
      </c>
      <c r="AN13" s="137" t="n">
        <v>45811</v>
      </c>
      <c r="AO13" s="137" t="n">
        <v>45811</v>
      </c>
      <c r="AP13" s="68" t="n">
        <v>8</v>
      </c>
      <c r="AQ13" s="69"/>
      <c r="AR13" s="70" t="s">
        <v>737</v>
      </c>
      <c r="AS13" s="70" t="s">
        <v>737</v>
      </c>
      <c r="AT13" s="70" t="s">
        <v>737</v>
      </c>
      <c r="AU13" s="70" t="s">
        <v>737</v>
      </c>
      <c r="AV13" s="70" t="n">
        <v>0</v>
      </c>
      <c r="AW13" s="69"/>
      <c r="AX13" s="68" t="n">
        <v>1</v>
      </c>
      <c r="AY13" s="68"/>
      <c r="AZ13" s="69"/>
      <c r="BA13" s="135" t="n">
        <v>45818</v>
      </c>
      <c r="BB13" s="71" t="n">
        <v>9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45836</v>
      </c>
      <c r="BG13" s="71" t="n">
        <v>29</v>
      </c>
      <c r="BH13" s="68" t="n">
        <v>1</v>
      </c>
      <c r="BI13" s="50"/>
      <c r="BJ13" s="75" t="n">
        <f aca="false">SUM(X13,AD13,AJ13,AP13,AV13,AX13:AY13,BH13,BB13,BG13)</f>
        <v>75</v>
      </c>
      <c r="BK13" s="73" t="str">
        <f aca="false">IF(BJ13&gt;90,"A",IF(BJ13&gt;83,"B",IF(BJ13&gt;74,"C",IF(BJ13&gt;67,"D",IF(BJ13&gt;=60,"E","FX")))))</f>
        <v>C</v>
      </c>
    </row>
    <row r="14" customFormat="false" ht="15.75" hidden="false" customHeight="false" outlineLevel="0" collapsed="false">
      <c r="A14" s="59" t="n">
        <f aca="false">A13+1</f>
        <v>12</v>
      </c>
      <c r="B14" s="136" t="s">
        <v>489</v>
      </c>
      <c r="C14" s="133" t="s">
        <v>848</v>
      </c>
      <c r="D14" s="134" t="s">
        <v>488</v>
      </c>
      <c r="E14" s="62"/>
      <c r="F14" s="63" t="s">
        <v>791</v>
      </c>
      <c r="G14" s="63" t="s">
        <v>791</v>
      </c>
      <c r="H14" s="63" t="s">
        <v>791</v>
      </c>
      <c r="I14" s="63" t="s">
        <v>791</v>
      </c>
      <c r="J14" s="63" t="s">
        <v>791</v>
      </c>
      <c r="K14" s="63" t="s">
        <v>791</v>
      </c>
      <c r="L14" s="63" t="s">
        <v>791</v>
      </c>
      <c r="M14" s="63" t="s">
        <v>791</v>
      </c>
      <c r="N14" s="64" t="s">
        <v>791</v>
      </c>
      <c r="O14" s="64" t="s">
        <v>737</v>
      </c>
      <c r="P14" s="64"/>
      <c r="Q14" s="64"/>
      <c r="R14" s="64"/>
      <c r="S14" s="65"/>
      <c r="T14" s="66" t="s">
        <v>862</v>
      </c>
      <c r="U14" s="67" t="n">
        <v>45701</v>
      </c>
      <c r="V14" s="67" t="n">
        <v>45715</v>
      </c>
      <c r="W14" s="67" t="n">
        <v>45729</v>
      </c>
      <c r="X14" s="68" t="n">
        <v>8.3</v>
      </c>
      <c r="Y14" s="69"/>
      <c r="Z14" s="70" t="n">
        <v>10691</v>
      </c>
      <c r="AA14" s="67" t="n">
        <v>45743</v>
      </c>
      <c r="AB14" s="67" t="n">
        <v>45757</v>
      </c>
      <c r="AC14" s="67" t="n">
        <v>45757</v>
      </c>
      <c r="AD14" s="68" t="n">
        <v>9.5</v>
      </c>
      <c r="AE14" s="69"/>
      <c r="AF14" s="70" t="n">
        <v>10694</v>
      </c>
      <c r="AG14" s="67" t="n">
        <v>45771</v>
      </c>
      <c r="AH14" s="67" t="n">
        <v>45771</v>
      </c>
      <c r="AI14" s="67" t="n">
        <v>45784</v>
      </c>
      <c r="AJ14" s="68" t="n">
        <v>9</v>
      </c>
      <c r="AK14" s="69"/>
      <c r="AL14" s="70" t="n">
        <v>10699</v>
      </c>
      <c r="AM14" s="137" t="n">
        <v>45807</v>
      </c>
      <c r="AN14" s="137" t="n">
        <v>45807</v>
      </c>
      <c r="AO14" s="137" t="n">
        <v>45807</v>
      </c>
      <c r="AP14" s="68" t="n">
        <v>8.5</v>
      </c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70" t="n">
        <v>0</v>
      </c>
      <c r="AW14" s="69"/>
      <c r="AX14" s="68" t="n">
        <v>1</v>
      </c>
      <c r="AY14" s="68" t="n">
        <v>1.5</v>
      </c>
      <c r="AZ14" s="69"/>
      <c r="BA14" s="135" t="n">
        <v>45818</v>
      </c>
      <c r="BB14" s="71" t="n">
        <v>10</v>
      </c>
      <c r="BC14" s="72"/>
      <c r="BD14" s="73" t="str">
        <f aca="false">IF(AND(BB14&gt;=6,AP14&gt;=6,AJ14&gt;=6,AD14&gt;=6,X14&gt;=6),"да","нет")</f>
        <v>да</v>
      </c>
      <c r="BE14" s="72"/>
      <c r="BF14" s="118" t="n">
        <v>45836</v>
      </c>
      <c r="BG14" s="71" t="n">
        <v>29</v>
      </c>
      <c r="BH14" s="68"/>
      <c r="BI14" s="50"/>
      <c r="BJ14" s="75" t="n">
        <f aca="false">SUM(X14,AD14,AJ14,AP14,AV14,AX14:AY14,BH14,BB14,BG14)</f>
        <v>76.8</v>
      </c>
      <c r="BK14" s="73" t="str">
        <f aca="false">IF(BJ14&gt;90,"A",IF(BJ14&gt;83,"B",IF(BJ14&gt;74,"C",IF(BJ14&gt;67,"D",IF(BJ14&gt;=60,"E","FX")))))</f>
        <v>C</v>
      </c>
    </row>
    <row r="15" customFormat="false" ht="15.75" hidden="false" customHeight="false" outlineLevel="0" collapsed="false">
      <c r="A15" s="59" t="n">
        <f aca="false">A14+1</f>
        <v>13</v>
      </c>
      <c r="B15" s="136" t="s">
        <v>521</v>
      </c>
      <c r="C15" s="133" t="s">
        <v>848</v>
      </c>
      <c r="D15" s="134" t="s">
        <v>520</v>
      </c>
      <c r="E15" s="62"/>
      <c r="F15" s="63" t="s">
        <v>696</v>
      </c>
      <c r="G15" s="63" t="s">
        <v>791</v>
      </c>
      <c r="H15" s="63" t="s">
        <v>791</v>
      </c>
      <c r="I15" s="63" t="s">
        <v>791</v>
      </c>
      <c r="J15" s="63" t="s">
        <v>791</v>
      </c>
      <c r="K15" s="63" t="s">
        <v>791</v>
      </c>
      <c r="L15" s="63" t="s">
        <v>791</v>
      </c>
      <c r="M15" s="63" t="s">
        <v>791</v>
      </c>
      <c r="N15" s="64" t="s">
        <v>791</v>
      </c>
      <c r="O15" s="64" t="s">
        <v>737</v>
      </c>
      <c r="P15" s="64"/>
      <c r="Q15" s="64"/>
      <c r="R15" s="64"/>
      <c r="S15" s="65"/>
      <c r="T15" s="66" t="s">
        <v>863</v>
      </c>
      <c r="U15" s="67" t="n">
        <v>45729</v>
      </c>
      <c r="V15" s="67" t="n">
        <v>45743</v>
      </c>
      <c r="W15" s="67" t="n">
        <v>45743</v>
      </c>
      <c r="X15" s="68" t="n">
        <v>8</v>
      </c>
      <c r="Y15" s="69"/>
      <c r="Z15" s="70" t="n">
        <v>10700</v>
      </c>
      <c r="AA15" s="67" t="n">
        <v>45757</v>
      </c>
      <c r="AB15" s="67" t="n">
        <v>45771</v>
      </c>
      <c r="AC15" s="67" t="n">
        <v>45771</v>
      </c>
      <c r="AD15" s="68" t="n">
        <v>9</v>
      </c>
      <c r="AE15" s="69"/>
      <c r="AF15" s="70" t="n">
        <v>107001</v>
      </c>
      <c r="AG15" s="67" t="n">
        <v>45784</v>
      </c>
      <c r="AH15" s="67" t="n">
        <v>45799</v>
      </c>
      <c r="AI15" s="67" t="n">
        <v>45799</v>
      </c>
      <c r="AJ15" s="68" t="n">
        <v>6</v>
      </c>
      <c r="AK15" s="69"/>
      <c r="AL15" s="70" t="n">
        <v>61070</v>
      </c>
      <c r="AM15" s="137" t="n">
        <v>45807</v>
      </c>
      <c r="AN15" s="137" t="n">
        <v>45807</v>
      </c>
      <c r="AO15" s="137" t="n">
        <v>45807</v>
      </c>
      <c r="AP15" s="68" t="n">
        <v>8</v>
      </c>
      <c r="AQ15" s="69"/>
      <c r="AR15" s="70" t="s">
        <v>737</v>
      </c>
      <c r="AS15" s="70" t="s">
        <v>737</v>
      </c>
      <c r="AT15" s="70" t="s">
        <v>737</v>
      </c>
      <c r="AU15" s="70" t="s">
        <v>737</v>
      </c>
      <c r="AV15" s="70" t="n">
        <v>0</v>
      </c>
      <c r="AW15" s="69"/>
      <c r="AX15" s="68"/>
      <c r="AY15" s="68"/>
      <c r="AZ15" s="69"/>
      <c r="BA15" s="135" t="n">
        <v>45818</v>
      </c>
      <c r="BB15" s="71" t="n">
        <v>10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45836</v>
      </c>
      <c r="BG15" s="71" t="n">
        <v>0</v>
      </c>
      <c r="BH15" s="68"/>
      <c r="BI15" s="50"/>
      <c r="BJ15" s="75" t="n">
        <f aca="false">SUM(X15,AD15,AJ15,AP15,AV15,AX15:AY15,BH15,BB15,BG15)</f>
        <v>41</v>
      </c>
      <c r="BK15" s="73" t="str">
        <f aca="false">IF(BJ15&gt;90,"A",IF(BJ15&gt;83,"B",IF(BJ15&gt;74,"C",IF(BJ15&gt;67,"D",IF(BJ15&gt;=60,"E","FX")))))</f>
        <v>FX</v>
      </c>
    </row>
    <row r="16" customFormat="false" ht="15.75" hidden="false" customHeight="false" outlineLevel="0" collapsed="false">
      <c r="A16" s="59" t="n">
        <f aca="false">A15+1</f>
        <v>14</v>
      </c>
      <c r="B16" s="136" t="s">
        <v>529</v>
      </c>
      <c r="C16" s="133" t="s">
        <v>848</v>
      </c>
      <c r="D16" s="134" t="s">
        <v>528</v>
      </c>
      <c r="E16" s="62"/>
      <c r="F16" s="63" t="s">
        <v>791</v>
      </c>
      <c r="G16" s="63" t="s">
        <v>791</v>
      </c>
      <c r="H16" s="63" t="s">
        <v>791</v>
      </c>
      <c r="I16" s="63" t="s">
        <v>791</v>
      </c>
      <c r="J16" s="63" t="s">
        <v>791</v>
      </c>
      <c r="K16" s="63" t="s">
        <v>791</v>
      </c>
      <c r="L16" s="63" t="s">
        <v>791</v>
      </c>
      <c r="M16" s="63" t="s">
        <v>791</v>
      </c>
      <c r="N16" s="64" t="s">
        <v>737</v>
      </c>
      <c r="O16" s="64" t="s">
        <v>737</v>
      </c>
      <c r="P16" s="64"/>
      <c r="Q16" s="64"/>
      <c r="R16" s="64"/>
      <c r="S16" s="65"/>
      <c r="T16" s="66" t="s">
        <v>864</v>
      </c>
      <c r="U16" s="67" t="n">
        <v>45701</v>
      </c>
      <c r="V16" s="67" t="n">
        <v>45715</v>
      </c>
      <c r="W16" s="67" t="n">
        <v>45715</v>
      </c>
      <c r="X16" s="68" t="n">
        <v>9</v>
      </c>
      <c r="Y16" s="69"/>
      <c r="Z16" s="70" t="n">
        <v>1071</v>
      </c>
      <c r="AA16" s="67" t="n">
        <v>45729</v>
      </c>
      <c r="AB16" s="67" t="n">
        <v>45729</v>
      </c>
      <c r="AC16" s="67" t="n">
        <v>45743</v>
      </c>
      <c r="AD16" s="68" t="n">
        <v>9</v>
      </c>
      <c r="AE16" s="69"/>
      <c r="AF16" s="70" t="n">
        <v>10711</v>
      </c>
      <c r="AG16" s="67" t="n">
        <v>45757</v>
      </c>
      <c r="AH16" s="67" t="n">
        <v>45771</v>
      </c>
      <c r="AI16" s="67" t="n">
        <v>45771</v>
      </c>
      <c r="AJ16" s="68" t="n">
        <v>8.9</v>
      </c>
      <c r="AK16" s="69"/>
      <c r="AL16" s="70" t="n">
        <v>1071</v>
      </c>
      <c r="AM16" s="67" t="n">
        <v>45784</v>
      </c>
      <c r="AN16" s="67" t="n">
        <v>45784</v>
      </c>
      <c r="AO16" s="67" t="n">
        <v>45784</v>
      </c>
      <c r="AP16" s="68" t="n">
        <v>8.9</v>
      </c>
      <c r="AQ16" s="69"/>
      <c r="AR16" s="70" t="n">
        <v>10717</v>
      </c>
      <c r="AS16" s="67" t="n">
        <v>45799</v>
      </c>
      <c r="AT16" s="67" t="n">
        <v>45799</v>
      </c>
      <c r="AU16" s="67" t="n">
        <v>45799</v>
      </c>
      <c r="AV16" s="68" t="n">
        <v>9</v>
      </c>
      <c r="AW16" s="69"/>
      <c r="AX16" s="68"/>
      <c r="AY16" s="68" t="n">
        <v>2</v>
      </c>
      <c r="AZ16" s="69"/>
      <c r="BA16" s="135" t="n">
        <v>45818</v>
      </c>
      <c r="BB16" s="71" t="n">
        <v>10</v>
      </c>
      <c r="BC16" s="72"/>
      <c r="BD16" s="73" t="str">
        <f aca="false">IF(AND(BB16&gt;=6,AP16&gt;=6,AJ16&gt;=6,AD16&gt;=6,X16&gt;=6),"да","нет")</f>
        <v>да</v>
      </c>
      <c r="BE16" s="72"/>
      <c r="BF16" s="118" t="n">
        <v>45836</v>
      </c>
      <c r="BG16" s="71" t="n">
        <v>28</v>
      </c>
      <c r="BH16" s="68"/>
      <c r="BI16" s="50"/>
      <c r="BJ16" s="75" t="n">
        <f aca="false">SUM(X16,AD16,AJ16,AP16,AV16,AX16:AY16,BH16,BB16,BG16)</f>
        <v>84.8</v>
      </c>
      <c r="BK16" s="73" t="str">
        <f aca="false">IF(BJ16&gt;90,"A",IF(BJ16&gt;83,"B",IF(BJ16&gt;74,"C",IF(BJ16&gt;67,"D",IF(BJ16&gt;=60,"E","FX")))))</f>
        <v>B</v>
      </c>
    </row>
    <row r="17" customFormat="false" ht="15.75" hidden="false" customHeight="false" outlineLevel="0" collapsed="false">
      <c r="A17" s="59" t="n">
        <f aca="false">A16+1</f>
        <v>15</v>
      </c>
      <c r="B17" s="136" t="s">
        <v>615</v>
      </c>
      <c r="C17" s="133" t="s">
        <v>848</v>
      </c>
      <c r="D17" s="134" t="s">
        <v>614</v>
      </c>
      <c r="E17" s="62"/>
      <c r="F17" s="63" t="s">
        <v>696</v>
      </c>
      <c r="G17" s="63" t="s">
        <v>791</v>
      </c>
      <c r="H17" s="63" t="s">
        <v>791</v>
      </c>
      <c r="I17" s="63" t="s">
        <v>791</v>
      </c>
      <c r="J17" s="63" t="s">
        <v>791</v>
      </c>
      <c r="K17" s="63" t="s">
        <v>791</v>
      </c>
      <c r="L17" s="63" t="s">
        <v>791</v>
      </c>
      <c r="M17" s="63" t="s">
        <v>791</v>
      </c>
      <c r="N17" s="64" t="s">
        <v>791</v>
      </c>
      <c r="O17" s="64" t="s">
        <v>737</v>
      </c>
      <c r="P17" s="64"/>
      <c r="Q17" s="64"/>
      <c r="R17" s="64"/>
      <c r="S17" s="65"/>
      <c r="T17" s="66" t="s">
        <v>865</v>
      </c>
      <c r="U17" s="67" t="n">
        <v>45715</v>
      </c>
      <c r="V17" s="67" t="n">
        <v>45743</v>
      </c>
      <c r="W17" s="67" t="n">
        <v>45743</v>
      </c>
      <c r="X17" s="68" t="n">
        <v>8</v>
      </c>
      <c r="Y17" s="69"/>
      <c r="Z17" s="70" t="n">
        <v>10722</v>
      </c>
      <c r="AA17" s="67" t="n">
        <v>45757</v>
      </c>
      <c r="AB17" s="67" t="n">
        <v>45757</v>
      </c>
      <c r="AC17" s="67" t="n">
        <v>45757</v>
      </c>
      <c r="AD17" s="68" t="n">
        <v>9</v>
      </c>
      <c r="AE17" s="69"/>
      <c r="AF17" s="70" t="n">
        <v>10722</v>
      </c>
      <c r="AG17" s="67" t="n">
        <v>45784</v>
      </c>
      <c r="AH17" s="67" t="n">
        <v>45799</v>
      </c>
      <c r="AI17" s="67" t="n">
        <v>45799</v>
      </c>
      <c r="AJ17" s="68" t="n">
        <v>7</v>
      </c>
      <c r="AK17" s="69"/>
      <c r="AL17" s="70" t="n">
        <v>107222</v>
      </c>
      <c r="AM17" s="137" t="n">
        <v>45807</v>
      </c>
      <c r="AN17" s="137" t="n">
        <v>45807</v>
      </c>
      <c r="AO17" s="137" t="n">
        <v>45807</v>
      </c>
      <c r="AP17" s="68" t="n">
        <v>8</v>
      </c>
      <c r="AQ17" s="69"/>
      <c r="AR17" s="70" t="s">
        <v>737</v>
      </c>
      <c r="AS17" s="70" t="s">
        <v>737</v>
      </c>
      <c r="AT17" s="70" t="s">
        <v>737</v>
      </c>
      <c r="AU17" s="70" t="s">
        <v>737</v>
      </c>
      <c r="AV17" s="70" t="n">
        <v>0</v>
      </c>
      <c r="AW17" s="69"/>
      <c r="AX17" s="68" t="n">
        <v>0</v>
      </c>
      <c r="AY17" s="68"/>
      <c r="AZ17" s="69"/>
      <c r="BA17" s="135" t="n">
        <v>45818</v>
      </c>
      <c r="BB17" s="71" t="n">
        <v>9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45836</v>
      </c>
      <c r="BG17" s="71" t="n">
        <v>26</v>
      </c>
      <c r="BH17" s="68" t="n">
        <v>1</v>
      </c>
      <c r="BI17" s="50"/>
      <c r="BJ17" s="75" t="n">
        <f aca="false">SUM(X17,AD17,AJ17,AP17,AV17,AX17:AY17,BH17,BB17,BG17)</f>
        <v>68</v>
      </c>
      <c r="BK17" s="73" t="str">
        <f aca="false">IF(BJ17&gt;90,"A",IF(BJ17&gt;83,"B",IF(BJ17&gt;74,"C",IF(BJ17&gt;67,"D",IF(BJ17&gt;=60,"E","FX")))))</f>
        <v>D</v>
      </c>
    </row>
    <row r="18" customFormat="false" ht="15.75" hidden="false" customHeight="false" outlineLevel="0" collapsed="false">
      <c r="A18" s="59" t="n">
        <f aca="false">A17+1</f>
        <v>16</v>
      </c>
      <c r="B18" s="132" t="s">
        <v>633</v>
      </c>
      <c r="C18" s="133" t="s">
        <v>848</v>
      </c>
      <c r="D18" s="134" t="s">
        <v>632</v>
      </c>
      <c r="E18" s="62"/>
      <c r="F18" s="63" t="s">
        <v>696</v>
      </c>
      <c r="G18" s="63" t="s">
        <v>791</v>
      </c>
      <c r="H18" s="63" t="s">
        <v>791</v>
      </c>
      <c r="I18" s="63" t="s">
        <v>791</v>
      </c>
      <c r="J18" s="63" t="s">
        <v>791</v>
      </c>
      <c r="K18" s="63" t="s">
        <v>791</v>
      </c>
      <c r="L18" s="63" t="s">
        <v>791</v>
      </c>
      <c r="M18" s="63" t="s">
        <v>791</v>
      </c>
      <c r="N18" s="64" t="s">
        <v>737</v>
      </c>
      <c r="O18" s="64" t="s">
        <v>737</v>
      </c>
      <c r="P18" s="64"/>
      <c r="Q18" s="64"/>
      <c r="R18" s="64"/>
      <c r="S18" s="65"/>
      <c r="T18" s="66" t="s">
        <v>866</v>
      </c>
      <c r="U18" s="67" t="n">
        <v>45729</v>
      </c>
      <c r="V18" s="67" t="n">
        <v>45743</v>
      </c>
      <c r="W18" s="67" t="n">
        <v>45743</v>
      </c>
      <c r="X18" s="68" t="n">
        <v>7</v>
      </c>
      <c r="Y18" s="69"/>
      <c r="Z18" s="70" t="n">
        <v>10744</v>
      </c>
      <c r="AA18" s="67" t="n">
        <v>45771</v>
      </c>
      <c r="AB18" s="67" t="n">
        <v>45771</v>
      </c>
      <c r="AC18" s="67" t="n">
        <v>45771</v>
      </c>
      <c r="AD18" s="68" t="n">
        <v>7</v>
      </c>
      <c r="AE18" s="69"/>
      <c r="AF18" s="70" t="n">
        <v>10745</v>
      </c>
      <c r="AG18" s="70"/>
      <c r="AH18" s="70"/>
      <c r="AI18" s="70" t="s">
        <v>867</v>
      </c>
      <c r="AJ18" s="68"/>
      <c r="AK18" s="69"/>
      <c r="AL18" s="70"/>
      <c r="AM18" s="70"/>
      <c r="AN18" s="70"/>
      <c r="AO18" s="70"/>
      <c r="AP18" s="68"/>
      <c r="AQ18" s="69"/>
      <c r="AR18" s="70" t="s">
        <v>737</v>
      </c>
      <c r="AS18" s="70" t="s">
        <v>737</v>
      </c>
      <c r="AT18" s="70" t="s">
        <v>737</v>
      </c>
      <c r="AU18" s="70" t="s">
        <v>737</v>
      </c>
      <c r="AV18" s="70" t="n">
        <v>0</v>
      </c>
      <c r="AW18" s="69"/>
      <c r="AX18" s="68" t="n">
        <v>1</v>
      </c>
      <c r="AY18" s="68"/>
      <c r="AZ18" s="69"/>
      <c r="BA18" s="135" t="n">
        <v>45818</v>
      </c>
      <c r="BB18" s="71" t="n">
        <v>10</v>
      </c>
      <c r="BC18" s="72"/>
      <c r="BD18" s="73" t="str">
        <f aca="false">IF(AND(BB18&gt;=6,AP18&gt;=6,AJ18&gt;=6,AD18&gt;=6,X18&gt;=6),"да","нет")</f>
        <v>нет</v>
      </c>
      <c r="BE18" s="72"/>
      <c r="BF18" s="74"/>
      <c r="BG18" s="71"/>
      <c r="BH18" s="68"/>
      <c r="BI18" s="50"/>
      <c r="BJ18" s="75" t="n">
        <f aca="false">SUM(X18,AD18,AJ18,AP18,AV18,AX18:AY18,BH18,BB18,BG18)</f>
        <v>25</v>
      </c>
      <c r="BK18" s="73" t="str">
        <f aca="false">IF(BJ18&gt;90,"A",IF(BJ18&gt;83,"B",IF(BJ18&gt;74,"C",IF(BJ18&gt;67,"D",IF(BJ18&gt;=60,"E","FX")))))</f>
        <v>FX</v>
      </c>
    </row>
    <row r="19" customFormat="false" ht="15.75" hidden="false" customHeight="false" outlineLevel="0" collapsed="false">
      <c r="A19" s="59" t="n">
        <f aca="false">A18+1</f>
        <v>17</v>
      </c>
      <c r="B19" s="136" t="s">
        <v>653</v>
      </c>
      <c r="C19" s="133" t="s">
        <v>848</v>
      </c>
      <c r="D19" s="134" t="s">
        <v>652</v>
      </c>
      <c r="E19" s="62"/>
      <c r="F19" s="63" t="s">
        <v>791</v>
      </c>
      <c r="G19" s="63" t="s">
        <v>791</v>
      </c>
      <c r="H19" s="63" t="s">
        <v>791</v>
      </c>
      <c r="I19" s="63" t="s">
        <v>791</v>
      </c>
      <c r="J19" s="63" t="s">
        <v>791</v>
      </c>
      <c r="K19" s="63" t="s">
        <v>791</v>
      </c>
      <c r="L19" s="63" t="s">
        <v>791</v>
      </c>
      <c r="M19" s="63" t="s">
        <v>791</v>
      </c>
      <c r="N19" s="64" t="s">
        <v>791</v>
      </c>
      <c r="O19" s="64" t="s">
        <v>737</v>
      </c>
      <c r="P19" s="64"/>
      <c r="Q19" s="64"/>
      <c r="R19" s="64"/>
      <c r="S19" s="65"/>
      <c r="T19" s="66" t="s">
        <v>868</v>
      </c>
      <c r="U19" s="67" t="n">
        <v>45701</v>
      </c>
      <c r="V19" s="67" t="n">
        <v>45729</v>
      </c>
      <c r="W19" s="67" t="n">
        <v>45743</v>
      </c>
      <c r="X19" s="68" t="n">
        <v>7</v>
      </c>
      <c r="Y19" s="69"/>
      <c r="Z19" s="70" t="n">
        <v>10733</v>
      </c>
      <c r="AA19" s="67" t="n">
        <v>45757</v>
      </c>
      <c r="AB19" s="67" t="n">
        <v>45771</v>
      </c>
      <c r="AC19" s="67" t="n">
        <v>45771</v>
      </c>
      <c r="AD19" s="68" t="n">
        <v>9.5</v>
      </c>
      <c r="AE19" s="69"/>
      <c r="AF19" s="70" t="n">
        <v>10735</v>
      </c>
      <c r="AG19" s="67" t="n">
        <v>45784</v>
      </c>
      <c r="AH19" s="67" t="n">
        <v>45799</v>
      </c>
      <c r="AI19" s="67" t="n">
        <v>45799</v>
      </c>
      <c r="AJ19" s="68" t="n">
        <v>8</v>
      </c>
      <c r="AK19" s="69"/>
      <c r="AL19" s="70" t="n">
        <v>10736</v>
      </c>
      <c r="AM19" s="137" t="n">
        <v>45807</v>
      </c>
      <c r="AN19" s="137" t="n">
        <v>45807</v>
      </c>
      <c r="AO19" s="137" t="n">
        <v>45807</v>
      </c>
      <c r="AP19" s="68" t="n">
        <v>9</v>
      </c>
      <c r="AQ19" s="69"/>
      <c r="AR19" s="70" t="s">
        <v>737</v>
      </c>
      <c r="AS19" s="70" t="s">
        <v>737</v>
      </c>
      <c r="AT19" s="70" t="s">
        <v>737</v>
      </c>
      <c r="AU19" s="70" t="s">
        <v>737</v>
      </c>
      <c r="AV19" s="70" t="n">
        <v>0</v>
      </c>
      <c r="AW19" s="69"/>
      <c r="AX19" s="68" t="n">
        <v>3</v>
      </c>
      <c r="AY19" s="68"/>
      <c r="AZ19" s="69"/>
      <c r="BA19" s="135" t="n">
        <v>45818</v>
      </c>
      <c r="BB19" s="71" t="n">
        <v>10</v>
      </c>
      <c r="BC19" s="72"/>
      <c r="BD19" s="73" t="str">
        <f aca="false">IF(AND(BB19&gt;=6,AP19&gt;=6,AJ19&gt;=6,AD19&gt;=6,X19&gt;=6),"да","нет")</f>
        <v>да</v>
      </c>
      <c r="BE19" s="72"/>
      <c r="BF19" s="118" t="n">
        <v>45836</v>
      </c>
      <c r="BG19" s="71" t="n">
        <v>23</v>
      </c>
      <c r="BH19" s="68"/>
      <c r="BI19" s="50"/>
      <c r="BJ19" s="75" t="n">
        <f aca="false">SUM(X19,AD19,AJ19,AP19,AV19,AX19:AY19,BH19,BB19,BG19)</f>
        <v>69.5</v>
      </c>
      <c r="BK19" s="73" t="str">
        <f aca="false">IF(BJ19&gt;90,"A",IF(BJ19&gt;83,"B",IF(BJ19&gt;74,"C",IF(BJ19&gt;67,"D",IF(BJ19&gt;=60,"E","FX")))))</f>
        <v>D</v>
      </c>
    </row>
    <row r="20" customFormat="false" ht="15.75" hidden="false" customHeight="false" outlineLevel="0" collapsed="false">
      <c r="A20" s="59" t="n">
        <f aca="false">A19+1</f>
        <v>18</v>
      </c>
      <c r="B20" s="60" t="str">
        <f aca="false">IFERROR(__xludf.dummyfunction("IFERROR(QUERY('Общий список'!$B:$C, ""SELECT C WHERE B = '""&amp;C20&amp;""' AND B &lt;&gt; '' AND D = '""&amp;$C$1&amp;""'"", 0), """")"),"")</f>
        <v/>
      </c>
      <c r="C20" s="61"/>
      <c r="D20" s="61"/>
      <c r="E20" s="62"/>
      <c r="F20" s="63"/>
      <c r="G20" s="63"/>
      <c r="H20" s="63"/>
      <c r="I20" s="63"/>
      <c r="J20" s="63"/>
      <c r="K20" s="63"/>
      <c r="L20" s="63"/>
      <c r="M20" s="63"/>
      <c r="N20" s="139"/>
      <c r="O20" s="64"/>
      <c r="P20" s="64"/>
      <c r="Q20" s="64"/>
      <c r="R20" s="64"/>
      <c r="S20" s="65"/>
      <c r="T20" s="66"/>
      <c r="U20" s="67"/>
      <c r="V20" s="67"/>
      <c r="W20" s="67"/>
      <c r="X20" s="68"/>
      <c r="Y20" s="69"/>
      <c r="Z20" s="70"/>
      <c r="AA20" s="67"/>
      <c r="AB20" s="67"/>
      <c r="AC20" s="67"/>
      <c r="AD20" s="68"/>
      <c r="AE20" s="69"/>
      <c r="AF20" s="70"/>
      <c r="AG20" s="70"/>
      <c r="AH20" s="70"/>
      <c r="AI20" s="70"/>
      <c r="AJ20" s="68"/>
      <c r="AK20" s="69"/>
      <c r="AL20" s="70"/>
      <c r="AM20" s="70"/>
      <c r="AN20" s="70"/>
      <c r="AO20" s="70"/>
      <c r="AP20" s="68"/>
      <c r="AQ20" s="69"/>
      <c r="AR20" s="70"/>
      <c r="AS20" s="70"/>
      <c r="AT20" s="70"/>
      <c r="AU20" s="70"/>
      <c r="AV20" s="68"/>
      <c r="AW20" s="69"/>
      <c r="AX20" s="68"/>
      <c r="AY20" s="68"/>
      <c r="AZ20" s="69"/>
      <c r="BA20" s="70"/>
      <c r="BB20" s="71"/>
      <c r="BC20" s="72"/>
      <c r="BD20" s="73" t="str">
        <f aca="false">IF(AND(BB20&gt;=6,AP20&gt;=6,AJ20&gt;=6,AD20&gt;=6,X20&gt;=6),"да","нет")</f>
        <v>нет</v>
      </c>
      <c r="BE20" s="72"/>
      <c r="BF20" s="74"/>
      <c r="BG20" s="71"/>
      <c r="BH20" s="68"/>
      <c r="BI20" s="50"/>
      <c r="BJ20" s="75" t="n">
        <f aca="false">SUM(X20,AD20,AJ20,AP20,AV20,AX20:AY20,BH20,BB20,BG20)</f>
        <v>0</v>
      </c>
      <c r="BK20" s="73" t="str">
        <f aca="false">IF(BJ20&gt;90,"A",IF(BJ20&gt;83,"B",IF(BJ20&gt;74,"C",IF(BJ20&gt;67,"D",IF(BJ20&gt;=60,"E","FX")))))</f>
        <v>FX</v>
      </c>
    </row>
    <row r="21" customFormat="false" ht="15.75" hidden="false" customHeight="false" outlineLevel="0" collapsed="false">
      <c r="A21" s="59" t="n">
        <f aca="false">A20+1</f>
        <v>19</v>
      </c>
      <c r="B21" s="60" t="str">
        <f aca="false">IFERROR(__xludf.dummyfunction("IFERROR(QUERY('Общий список'!$B:$C, ""SELECT C WHERE B = '""&amp;C21&amp;""' AND B &lt;&gt; '' AND D = '""&amp;$C$1&amp;""'"", 0), """")"),"")</f>
        <v/>
      </c>
      <c r="C21" s="61"/>
      <c r="D21" s="61"/>
      <c r="E21" s="62"/>
      <c r="F21" s="63"/>
      <c r="G21" s="52" t="n">
        <v>17</v>
      </c>
      <c r="H21" s="52" t="s">
        <v>869</v>
      </c>
      <c r="I21" s="52" t="n">
        <v>10</v>
      </c>
      <c r="J21" s="52"/>
      <c r="K21" s="63"/>
      <c r="L21" s="63"/>
      <c r="M21" s="63"/>
      <c r="N21" s="64"/>
      <c r="O21" s="64"/>
      <c r="P21" s="64"/>
      <c r="Q21" s="64"/>
      <c r="R21" s="64"/>
      <c r="S21" s="65"/>
      <c r="T21" s="66"/>
      <c r="U21" s="67"/>
      <c r="V21" s="67"/>
      <c r="W21" s="67"/>
      <c r="X21" s="68"/>
      <c r="Y21" s="69"/>
      <c r="Z21" s="70"/>
      <c r="AA21" s="67"/>
      <c r="AB21" s="67"/>
      <c r="AC21" s="67"/>
      <c r="AD21" s="68"/>
      <c r="AE21" s="69"/>
      <c r="AF21" s="70"/>
      <c r="AG21" s="70"/>
      <c r="AH21" s="70"/>
      <c r="AI21" s="70"/>
      <c r="AJ21" s="68"/>
      <c r="AK21" s="69"/>
      <c r="AL21" s="70"/>
      <c r="AM21" s="70"/>
      <c r="AN21" s="70"/>
      <c r="AO21" s="70"/>
      <c r="AP21" s="68"/>
      <c r="AQ21" s="69"/>
      <c r="AR21" s="70"/>
      <c r="AS21" s="70"/>
      <c r="AT21" s="70"/>
      <c r="AU21" s="70"/>
      <c r="AV21" s="68"/>
      <c r="AW21" s="69"/>
      <c r="AX21" s="68"/>
      <c r="AY21" s="68"/>
      <c r="AZ21" s="69"/>
      <c r="BA21" s="70"/>
      <c r="BB21" s="71"/>
      <c r="BC21" s="72"/>
      <c r="BD21" s="73" t="str">
        <f aca="false">IF(AND(BB21&gt;=6,AP21&gt;=6,AJ21&gt;=6,AD21&gt;=6,X21&gt;=6),"да","нет")</f>
        <v>нет</v>
      </c>
      <c r="BE21" s="72"/>
      <c r="BF21" s="74"/>
      <c r="BG21" s="71"/>
      <c r="BH21" s="68"/>
      <c r="BI21" s="50"/>
      <c r="BJ21" s="75" t="n">
        <f aca="false">SUM(X21,AD21,AJ21,AP21,AV21,AX21:AY21,BH21,BB21,BG21)</f>
        <v>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20</v>
      </c>
      <c r="B22" s="60" t="str">
        <f aca="false">IFERROR(__xludf.dummyfunction("IFERROR(QUERY('Общий список'!$B:$C, ""SELECT C WHERE B = '""&amp;C22&amp;""' AND B &lt;&gt; '' AND D = '""&amp;$C$1&amp;""'"", 0), """")"),"")</f>
        <v/>
      </c>
      <c r="C22" s="61"/>
      <c r="D22" s="61"/>
      <c r="E22" s="62"/>
      <c r="F22" s="63"/>
      <c r="G22" s="52" t="n">
        <v>24</v>
      </c>
      <c r="H22" s="52" t="n">
        <v>35</v>
      </c>
      <c r="I22" s="52" t="s">
        <v>870</v>
      </c>
      <c r="J22" s="52" t="n">
        <v>4</v>
      </c>
      <c r="K22" s="140"/>
      <c r="L22" s="63"/>
      <c r="M22" s="63"/>
      <c r="N22" s="64"/>
      <c r="O22" s="64"/>
      <c r="P22" s="64"/>
      <c r="Q22" s="64"/>
      <c r="R22" s="64"/>
      <c r="S22" s="65"/>
      <c r="T22" s="66"/>
      <c r="U22" s="70"/>
      <c r="V22" s="70"/>
      <c r="W22" s="70"/>
      <c r="X22" s="68"/>
      <c r="Y22" s="69"/>
      <c r="Z22" s="70"/>
      <c r="AA22" s="67"/>
      <c r="AB22" s="67"/>
      <c r="AC22" s="67"/>
      <c r="AD22" s="68"/>
      <c r="AE22" s="69"/>
      <c r="AF22" s="70"/>
      <c r="AG22" s="70"/>
      <c r="AH22" s="70"/>
      <c r="AI22" s="70"/>
      <c r="AJ22" s="68"/>
      <c r="AK22" s="69"/>
      <c r="AL22" s="70"/>
      <c r="AM22" s="70"/>
      <c r="AN22" s="70"/>
      <c r="AO22" s="70"/>
      <c r="AP22" s="68"/>
      <c r="AQ22" s="69"/>
      <c r="AR22" s="70"/>
      <c r="AS22" s="70"/>
      <c r="AT22" s="70"/>
      <c r="AU22" s="70"/>
      <c r="AV22" s="68"/>
      <c r="AW22" s="69"/>
      <c r="AX22" s="68"/>
      <c r="AY22" s="68"/>
      <c r="AZ22" s="69"/>
      <c r="BA22" s="70"/>
      <c r="BB22" s="71"/>
      <c r="BC22" s="72"/>
      <c r="BD22" s="73" t="str">
        <f aca="false">IF(AND(BB22&gt;=6,AP22&gt;=6,AJ22&gt;=6,AD22&gt;=6,X22&gt;=6),"да","нет")</f>
        <v>нет</v>
      </c>
      <c r="BE22" s="72"/>
      <c r="BF22" s="74"/>
      <c r="BG22" s="71"/>
      <c r="BH22" s="68"/>
      <c r="BI22" s="50"/>
      <c r="BJ22" s="75" t="n">
        <f aca="false">SUM(X22,AD22,AJ22,AP22,AV22,AX22:AY22,BH22,BB22,BG22)</f>
        <v>0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21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70"/>
      <c r="V23" s="70"/>
      <c r="W23" s="70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3.75" hidden="false" customHeight="true" outlineLevel="0" collapsed="false">
      <c r="A24" s="76"/>
      <c r="B24" s="76"/>
      <c r="C24" s="76"/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9"/>
      <c r="AN24" s="65"/>
      <c r="AO24" s="65"/>
      <c r="AP24" s="65"/>
      <c r="AQ24" s="65"/>
      <c r="AR24" s="65"/>
      <c r="AS24" s="65"/>
      <c r="AT24" s="65"/>
      <c r="AU24" s="65"/>
      <c r="AV24" s="65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80"/>
      <c r="BJ24" s="72"/>
      <c r="BK24" s="72"/>
    </row>
    <row r="25" customFormat="false" ht="15.75" hidden="false" customHeight="false" outlineLevel="0" collapsed="false">
      <c r="A25" s="81"/>
      <c r="B25" s="81" t="s">
        <v>678</v>
      </c>
      <c r="C25" s="81"/>
      <c r="D25" s="81"/>
      <c r="E25" s="69"/>
      <c r="F25" s="70" t="n">
        <f aca="false">COUNTIF(F$3:F$20, "~**")</f>
        <v>0</v>
      </c>
      <c r="G25" s="70" t="n">
        <f aca="false">COUNTIF(G$3:G$20, "~**")</f>
        <v>0</v>
      </c>
      <c r="H25" s="70" t="n">
        <f aca="false">COUNTIF(H$3:H$20, "~**")</f>
        <v>0</v>
      </c>
      <c r="I25" s="70" t="n">
        <f aca="false">COUNTIF(I$3:I$20, "~**")</f>
        <v>0</v>
      </c>
      <c r="J25" s="70" t="n">
        <f aca="false">COUNTIF(J$3:J$20, "~**")</f>
        <v>0</v>
      </c>
      <c r="K25" s="70" t="n">
        <f aca="false">COUNTIF(K$3:K$20, "~**")</f>
        <v>0</v>
      </c>
      <c r="L25" s="70" t="n">
        <f aca="false">COUNTIF(L$3:L$20, "~**")</f>
        <v>0</v>
      </c>
      <c r="M25" s="70" t="n">
        <f aca="false">COUNTIF(M$3:M$20, "~**")</f>
        <v>0</v>
      </c>
      <c r="N25" s="70" t="n">
        <f aca="false">COUNTIF(N$3:N$20, "~**")</f>
        <v>0</v>
      </c>
      <c r="O25" s="70"/>
      <c r="P25" s="70"/>
      <c r="Q25" s="70" t="n">
        <f aca="false">COUNTIF(Q$3:Q$20, "~**")</f>
        <v>0</v>
      </c>
      <c r="R25" s="70" t="n">
        <f aca="false">COUNTIF(R$3:R$20, "~**")</f>
        <v>0</v>
      </c>
      <c r="S25" s="82"/>
      <c r="T25" s="83" t="s">
        <v>679</v>
      </c>
      <c r="U25" s="84"/>
      <c r="V25" s="84"/>
      <c r="W25" s="84"/>
      <c r="X25" s="85" t="n">
        <v>44475</v>
      </c>
      <c r="Y25" s="69"/>
      <c r="Z25" s="70"/>
      <c r="AA25" s="85"/>
      <c r="AB25" s="85"/>
      <c r="AC25" s="85"/>
      <c r="AD25" s="85" t="n">
        <v>44475</v>
      </c>
      <c r="AE25" s="69"/>
      <c r="AF25" s="70"/>
      <c r="AG25" s="85"/>
      <c r="AH25" s="85"/>
      <c r="AI25" s="85"/>
      <c r="AJ25" s="85" t="n">
        <v>44475</v>
      </c>
      <c r="AK25" s="69"/>
      <c r="AL25" s="70"/>
      <c r="AM25" s="85"/>
      <c r="AN25" s="85"/>
      <c r="AO25" s="85"/>
      <c r="AP25" s="85" t="n">
        <v>45205</v>
      </c>
      <c r="AQ25" s="69"/>
      <c r="AR25" s="70"/>
      <c r="AS25" s="70"/>
      <c r="AT25" s="70"/>
      <c r="AU25" s="70"/>
      <c r="AV25" s="70" t="s">
        <v>680</v>
      </c>
      <c r="AW25" s="86"/>
      <c r="AX25" s="87" t="s">
        <v>681</v>
      </c>
      <c r="AY25" s="87" t="s">
        <v>681</v>
      </c>
      <c r="AZ25" s="86"/>
      <c r="BA25" s="87"/>
      <c r="BB25" s="85" t="n">
        <v>44840</v>
      </c>
      <c r="BC25" s="86"/>
      <c r="BD25" s="87"/>
      <c r="BE25" s="69"/>
      <c r="BF25" s="70"/>
      <c r="BG25" s="87" t="s">
        <v>682</v>
      </c>
      <c r="BH25" s="87" t="s">
        <v>683</v>
      </c>
      <c r="BI25" s="80"/>
      <c r="BJ25" s="74"/>
      <c r="BK25" s="74"/>
    </row>
    <row r="26" customFormat="false" ht="15.75" hidden="false" customHeight="false" outlineLevel="0" collapsed="false">
      <c r="A26" s="81"/>
      <c r="B26" s="81" t="s">
        <v>684</v>
      </c>
      <c r="C26" s="81"/>
      <c r="D26" s="81"/>
      <c r="E26" s="69"/>
      <c r="F26" s="70" t="n">
        <f aca="false">COUNTIF(F$3:F$20, "~**")+COUNTIF(F$3:F$20, "Y")</f>
        <v>9</v>
      </c>
      <c r="G26" s="70" t="n">
        <f aca="false">COUNTIF(G$3:G$20, "~**")+COUNTIF(G$3:G$20, "Y")</f>
        <v>0</v>
      </c>
      <c r="H26" s="70" t="n">
        <f aca="false">COUNTIF(H$3:H$20, "~**")+COUNTIF(H$3:H$20, "Y")</f>
        <v>1</v>
      </c>
      <c r="I26" s="70" t="n">
        <f aca="false">COUNTIF(I$3:I$20, "~**")+COUNTIF(I$3:I$20, "Y")</f>
        <v>0</v>
      </c>
      <c r="J26" s="70" t="n">
        <f aca="false">COUNTIF(J$3:J$20, "~**")+COUNTIF(J$3:J$20, "Y")</f>
        <v>0</v>
      </c>
      <c r="K26" s="70" t="n">
        <f aca="false">COUNTIF(K$3:K$20, "~**")+COUNTIF(K$3:K$20, "Y")</f>
        <v>0</v>
      </c>
      <c r="L26" s="70" t="n">
        <f aca="false">COUNTIF(L$3:L$20, "~**")+COUNTIF(L$3:L$20, "Y")</f>
        <v>0</v>
      </c>
      <c r="M26" s="70" t="n">
        <f aca="false">COUNTIF(M$3:M$20, "~**")+COUNTIF(M$3:M$20, "Y")</f>
        <v>0</v>
      </c>
      <c r="N26" s="70" t="n">
        <f aca="false">COUNTIF(N$3:N$20, "~**")+COUNTIF(N$3:N$20, "Y")</f>
        <v>0</v>
      </c>
      <c r="O26" s="70"/>
      <c r="P26" s="70"/>
      <c r="Q26" s="70" t="n">
        <f aca="false">COUNTIF(Q$3:Q$20, "~**")+COUNTIF(Q$3:Q$20, "Y")</f>
        <v>0</v>
      </c>
      <c r="R26" s="70" t="n">
        <f aca="false">COUNTIF(R$3:R$20, "~**")+COUNTIF(R$3:R$20, "Y")</f>
        <v>0</v>
      </c>
      <c r="S26" s="82"/>
      <c r="T26" s="83"/>
      <c r="U26" s="44"/>
      <c r="V26" s="44"/>
      <c r="W26" s="87"/>
      <c r="X26" s="88"/>
      <c r="Y26" s="78"/>
      <c r="Z26" s="88"/>
      <c r="AA26" s="88"/>
      <c r="AB26" s="88"/>
      <c r="AC26" s="87"/>
      <c r="AD26" s="87"/>
      <c r="AE26" s="86"/>
      <c r="AF26" s="87"/>
      <c r="AG26" s="89"/>
      <c r="AH26" s="87"/>
      <c r="AI26" s="87"/>
      <c r="AJ26" s="87"/>
      <c r="AK26" s="86"/>
      <c r="AL26" s="87"/>
      <c r="AM26" s="44"/>
      <c r="AN26" s="44"/>
      <c r="AO26" s="44"/>
      <c r="AP26" s="44"/>
      <c r="AQ26" s="77"/>
      <c r="AR26" s="44"/>
      <c r="AS26" s="44"/>
      <c r="AT26" s="44"/>
      <c r="AU26" s="70"/>
      <c r="AV26" s="90"/>
      <c r="AW26" s="72"/>
      <c r="AX26" s="74"/>
      <c r="AY26" s="74"/>
      <c r="AZ26" s="72"/>
      <c r="BA26" s="74"/>
      <c r="BB26" s="74"/>
      <c r="BC26" s="72"/>
      <c r="BD26" s="74"/>
      <c r="BE26" s="72"/>
      <c r="BF26" s="74"/>
      <c r="BG26" s="74"/>
      <c r="BH26" s="74"/>
      <c r="BI26" s="80"/>
      <c r="BJ26" s="74"/>
      <c r="BK26" s="74"/>
    </row>
    <row r="27" customFormat="false" ht="15.75" hidden="false" customHeight="false" outlineLevel="0" collapsed="false">
      <c r="A27" s="81"/>
      <c r="B27" s="81"/>
      <c r="C27" s="81"/>
      <c r="D27" s="81"/>
      <c r="E27" s="77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77"/>
      <c r="T27" s="44"/>
      <c r="U27" s="44"/>
      <c r="V27" s="44"/>
      <c r="W27" s="90"/>
      <c r="X27" s="44"/>
      <c r="Y27" s="77"/>
      <c r="Z27" s="44"/>
      <c r="AA27" s="44"/>
      <c r="AB27" s="44"/>
      <c r="AC27" s="90"/>
      <c r="AD27" s="90"/>
      <c r="AE27" s="91"/>
      <c r="AF27" s="90"/>
      <c r="AG27" s="44"/>
      <c r="AH27" s="90"/>
      <c r="AI27" s="44"/>
      <c r="AJ27" s="44"/>
      <c r="AK27" s="77"/>
      <c r="AL27" s="44"/>
      <c r="AM27" s="44"/>
      <c r="AN27" s="44"/>
      <c r="AO27" s="44"/>
      <c r="AP27" s="44"/>
      <c r="AQ27" s="77"/>
      <c r="AR27" s="44"/>
      <c r="AS27" s="44"/>
      <c r="AT27" s="44"/>
      <c r="AU27" s="90"/>
      <c r="AV27" s="90"/>
      <c r="AW27" s="72"/>
      <c r="AX27" s="74"/>
      <c r="AY27" s="74"/>
      <c r="AZ27" s="72"/>
      <c r="BA27" s="74"/>
      <c r="BB27" s="74"/>
      <c r="BC27" s="72"/>
      <c r="BD27" s="74"/>
      <c r="BE27" s="72"/>
      <c r="BF27" s="74"/>
      <c r="BG27" s="74"/>
      <c r="BH27" s="74"/>
      <c r="BI27" s="80"/>
      <c r="BJ27" s="74"/>
      <c r="BK27" s="74"/>
    </row>
    <row r="28" customFormat="false" ht="15.75" hidden="false" customHeight="false" outlineLevel="0" collapsed="false">
      <c r="A28" s="81"/>
      <c r="B28" s="81" t="s">
        <v>685</v>
      </c>
      <c r="C28" s="81"/>
      <c r="D28" s="81"/>
      <c r="E28" s="77"/>
      <c r="F28" s="44" t="s">
        <v>686</v>
      </c>
      <c r="G28" s="44"/>
      <c r="H28" s="44"/>
      <c r="I28" s="44"/>
      <c r="J28" s="44"/>
      <c r="K28" s="44"/>
      <c r="L28" s="44"/>
      <c r="M28" s="44"/>
      <c r="N28" s="44"/>
      <c r="S28" s="76"/>
      <c r="T28" s="81" t="s">
        <v>687</v>
      </c>
      <c r="U28" s="44" t="n">
        <v>0</v>
      </c>
      <c r="V28" s="44" t="n">
        <f aca="false">COUNT(V3:V23)</f>
        <v>17</v>
      </c>
      <c r="W28" s="44" t="n">
        <f aca="false">COUNT(W3:W23)</f>
        <v>17</v>
      </c>
      <c r="X28" s="44" t="n">
        <f aca="false">COUNT(X3:X23)</f>
        <v>17</v>
      </c>
      <c r="Y28" s="77"/>
      <c r="Z28" s="44"/>
      <c r="AA28" s="44" t="n">
        <f aca="false">COUNT(AA3:AA23)</f>
        <v>14</v>
      </c>
      <c r="AB28" s="44" t="n">
        <f aca="false">COUNT(AB3:AB23)</f>
        <v>14</v>
      </c>
      <c r="AC28" s="44" t="n">
        <f aca="false">COUNT(AC3:AC23)</f>
        <v>14</v>
      </c>
      <c r="AD28" s="44" t="n">
        <f aca="false">COUNT(AD3:AD23)</f>
        <v>14</v>
      </c>
      <c r="AE28" s="77"/>
      <c r="AF28" s="44"/>
      <c r="AG28" s="44" t="n">
        <f aca="false">COUNT(AG3:AG23)</f>
        <v>11</v>
      </c>
      <c r="AH28" s="44" t="n">
        <f aca="false">COUNT(AH3:AH23)</f>
        <v>11</v>
      </c>
      <c r="AI28" s="44" t="n">
        <f aca="false">COUNT(AI3:AI23)</f>
        <v>11</v>
      </c>
      <c r="AJ28" s="44" t="n">
        <f aca="false">COUNT(AJ3:AJ23)</f>
        <v>11</v>
      </c>
      <c r="AK28" s="77"/>
      <c r="AL28" s="44"/>
      <c r="AM28" s="44" t="n">
        <f aca="false">COUNT(AM3:AM23)</f>
        <v>11</v>
      </c>
      <c r="AN28" s="44" t="n">
        <f aca="false">COUNT(AN3:AN23)</f>
        <v>11</v>
      </c>
      <c r="AO28" s="44" t="n">
        <f aca="false">COUNT(AO3:AO23)</f>
        <v>11</v>
      </c>
      <c r="AP28" s="44" t="n">
        <f aca="false">COUNT(AP3:AP23)</f>
        <v>11</v>
      </c>
      <c r="AQ28" s="77"/>
      <c r="AR28" s="44"/>
      <c r="AS28" s="44" t="n">
        <f aca="false">COUNT(AS3:AS23)</f>
        <v>3</v>
      </c>
      <c r="AT28" s="44" t="n">
        <f aca="false">COUNT(AT3:AT23)</f>
        <v>3</v>
      </c>
      <c r="AU28" s="44" t="n">
        <f aca="false">COUNT(AU3:AU23)</f>
        <v>3</v>
      </c>
      <c r="AV28" s="44" t="n">
        <f aca="false">COUNT(AV3:AV23)</f>
        <v>17</v>
      </c>
      <c r="AW28" s="77"/>
      <c r="AX28" s="44" t="n">
        <f aca="false">COUNT(AX3:AX23)</f>
        <v>12</v>
      </c>
      <c r="AY28" s="44" t="n">
        <f aca="false">COUNT(AY3:AY23)</f>
        <v>4</v>
      </c>
      <c r="AZ28" s="77"/>
      <c r="BA28" s="44"/>
      <c r="BB28" s="44" t="n">
        <f aca="false">COUNTIF(BB3:BB23, "&gt;=6")</f>
        <v>14</v>
      </c>
      <c r="BC28" s="77"/>
      <c r="BD28" s="44" t="n">
        <f aca="false">COUNTIF(BD3:BD23, "Да")</f>
        <v>11</v>
      </c>
      <c r="BE28" s="77"/>
      <c r="BF28" s="44"/>
      <c r="BG28" s="44" t="n">
        <f aca="false">COUNT(BG3:BG23)</f>
        <v>11</v>
      </c>
      <c r="BH28" s="44" t="n">
        <f aca="false">COUNT(BH3:BH23)</f>
        <v>3</v>
      </c>
      <c r="BI28" s="80"/>
      <c r="BJ28" s="74"/>
      <c r="BK28" s="74"/>
    </row>
    <row r="29" customFormat="false" ht="15.75" hidden="false" customHeight="false" outlineLevel="0" collapsed="false">
      <c r="A29" s="92"/>
      <c r="E29" s="77"/>
      <c r="F29" s="44" t="s">
        <v>688</v>
      </c>
      <c r="G29" s="44"/>
      <c r="H29" s="44"/>
      <c r="I29" s="44"/>
      <c r="J29" s="44"/>
      <c r="K29" s="44"/>
      <c r="L29" s="44"/>
      <c r="M29" s="44"/>
      <c r="N29" s="93"/>
      <c r="S29" s="94"/>
      <c r="T29" s="92" t="s">
        <v>689</v>
      </c>
      <c r="V29" s="93"/>
      <c r="W29" s="93"/>
      <c r="X29" s="95" t="n">
        <f aca="false">IF(COUNTA($B$3:$B$20)&gt;0,COUNTA(X$3:X$20)/COUNTA($B$3:$B$20), 0)</f>
        <v>0.9444444444</v>
      </c>
      <c r="Y29" s="96"/>
      <c r="Z29" s="93"/>
      <c r="AA29" s="93"/>
      <c r="AB29" s="93"/>
      <c r="AC29" s="93"/>
      <c r="AD29" s="95" t="n">
        <f aca="false">IF(COUNTA($B$3:$B$20)&gt;0,COUNTA(AD$3:AD$20)/COUNTA($B$3:$B$20), 0)</f>
        <v>0.7777777778</v>
      </c>
      <c r="AE29" s="97"/>
      <c r="AF29" s="98"/>
      <c r="AG29" s="93"/>
      <c r="AH29" s="98"/>
      <c r="AI29" s="93"/>
      <c r="AJ29" s="95" t="n">
        <f aca="false">IF(COUNTA($B$3:$B$20)&gt;0,COUNTA(AJ$3:AJ$20)/COUNTA($B$3:$B$20), 0)</f>
        <v>0.6111111111</v>
      </c>
      <c r="AK29" s="96"/>
      <c r="AL29" s="93"/>
      <c r="AM29" s="93"/>
      <c r="AN29" s="93"/>
      <c r="AO29" s="93"/>
      <c r="AP29" s="95" t="n">
        <f aca="false">IF(COUNTA($B$3:$B$20)&gt;0,COUNTA(AP$3:AP$20)/COUNTA($B$3:$B$20), 0)</f>
        <v>0.6111111111</v>
      </c>
      <c r="AQ29" s="96"/>
      <c r="AR29" s="93"/>
      <c r="AS29" s="93"/>
      <c r="AT29" s="93"/>
      <c r="AU29" s="93"/>
      <c r="AV29" s="95" t="n">
        <f aca="false">IF(COUNTA($B$3:$B$20)&gt;0,COUNTA(AV$3:AV$20)/COUNTA($B$3:$B$20), 0)</f>
        <v>0.9444444444</v>
      </c>
      <c r="AW29" s="99"/>
      <c r="AX29" s="100"/>
      <c r="AY29" s="100"/>
      <c r="AZ29" s="99"/>
      <c r="BA29" s="100"/>
      <c r="BB29" s="95" t="n">
        <f aca="false">IF(COUNTA($B$3:$B$20)&gt;0,COUNTA(BB$3:BB$20)/COUNTA($B$3:$B$20), 0)</f>
        <v>0.9444444444</v>
      </c>
      <c r="BC29" s="77"/>
      <c r="BD29" s="44" t="n">
        <f aca="false">COUNTIF(BD3:BD23, "Да")</f>
        <v>11</v>
      </c>
      <c r="BE29" s="101"/>
      <c r="BF29" s="102"/>
      <c r="BG29" s="102"/>
      <c r="BH29" s="100"/>
      <c r="BI29" s="103"/>
      <c r="BJ29" s="102"/>
      <c r="BK29" s="102"/>
    </row>
    <row r="30" customFormat="false" ht="15.75" hidden="false" customHeight="false" outlineLevel="0" collapsed="false">
      <c r="A30" s="92"/>
      <c r="B30" s="92"/>
      <c r="C30" s="92"/>
      <c r="D30" s="92"/>
      <c r="E30" s="77"/>
      <c r="F30" s="44" t="s">
        <v>690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77"/>
      <c r="T30" s="44"/>
      <c r="U30" s="44"/>
      <c r="V30" s="44"/>
      <c r="W30" s="44"/>
      <c r="X30" s="44"/>
      <c r="Y30" s="77"/>
      <c r="Z30" s="44"/>
      <c r="AA30" s="44"/>
      <c r="AB30" s="44"/>
      <c r="AC30" s="44"/>
      <c r="AD30" s="90"/>
      <c r="AE30" s="91"/>
      <c r="AF30" s="90"/>
      <c r="AG30" s="44"/>
      <c r="AH30" s="90"/>
      <c r="AI30" s="44"/>
      <c r="AJ30" s="44"/>
      <c r="AK30" s="77"/>
      <c r="AL30" s="44"/>
      <c r="AM30" s="44"/>
      <c r="AN30" s="44"/>
      <c r="AO30" s="44"/>
      <c r="AP30" s="44"/>
      <c r="AQ30" s="77"/>
      <c r="AR30" s="44"/>
      <c r="AS30" s="44"/>
      <c r="AT30" s="44"/>
      <c r="AU30" s="44"/>
      <c r="AV30" s="44"/>
      <c r="AW30" s="101"/>
      <c r="AX30" s="102"/>
      <c r="AY30" s="102"/>
      <c r="AZ30" s="101"/>
      <c r="BA30" s="102"/>
      <c r="BB30" s="102"/>
      <c r="BC30" s="101"/>
      <c r="BD30" s="102"/>
      <c r="BE30" s="101"/>
      <c r="BF30" s="102"/>
      <c r="BG30" s="102"/>
      <c r="BH30" s="102"/>
      <c r="BI30" s="103"/>
      <c r="BJ30" s="102"/>
      <c r="BK30" s="102"/>
    </row>
    <row r="31" customFormat="false" ht="15.75" hidden="false" customHeight="false" outlineLevel="0" collapsed="false">
      <c r="A31" s="92"/>
      <c r="B31" s="92"/>
      <c r="C31" s="92"/>
      <c r="D31" s="92"/>
      <c r="E31" s="77"/>
      <c r="F31" s="44" t="s">
        <v>691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77"/>
      <c r="T31" s="44"/>
      <c r="U31" s="44"/>
      <c r="V31" s="44"/>
      <c r="W31" s="44"/>
      <c r="X31" s="44"/>
      <c r="Y31" s="77"/>
      <c r="Z31" s="44"/>
      <c r="AA31" s="44"/>
      <c r="AB31" s="44"/>
      <c r="AC31" s="44"/>
      <c r="AD31" s="90"/>
      <c r="AE31" s="91"/>
      <c r="AF31" s="90"/>
      <c r="AG31" s="44"/>
      <c r="AH31" s="90"/>
      <c r="AI31" s="44"/>
      <c r="AJ31" s="44"/>
      <c r="AK31" s="77"/>
      <c r="AL31" s="44"/>
      <c r="AM31" s="44"/>
      <c r="AN31" s="44"/>
      <c r="AO31" s="44"/>
      <c r="AP31" s="44"/>
      <c r="AQ31" s="77"/>
      <c r="AR31" s="44"/>
      <c r="AS31" s="44"/>
      <c r="AT31" s="44"/>
      <c r="AU31" s="44"/>
      <c r="AV31" s="44"/>
      <c r="AW31" s="101"/>
      <c r="AX31" s="102"/>
      <c r="AY31" s="102"/>
      <c r="AZ31" s="101"/>
      <c r="BA31" s="102"/>
      <c r="BB31" s="102"/>
      <c r="BC31" s="101"/>
      <c r="BD31" s="102"/>
      <c r="BE31" s="101"/>
      <c r="BF31" s="102"/>
      <c r="BG31" s="102"/>
      <c r="BH31" s="102"/>
      <c r="BI31" s="103"/>
      <c r="BJ31" s="102"/>
      <c r="BK31" s="102"/>
    </row>
    <row r="32" customFormat="false" ht="15.75" hidden="true" customHeight="false" outlineLevel="0" collapsed="false">
      <c r="A32" s="92"/>
      <c r="B32" s="92"/>
      <c r="C32" s="92"/>
      <c r="D32" s="92"/>
      <c r="E32" s="10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44"/>
      <c r="X32" s="44"/>
      <c r="Y32" s="77"/>
      <c r="Z32" s="44"/>
      <c r="AA32" s="44"/>
      <c r="AB32" s="44"/>
      <c r="AC32" s="44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44"/>
      <c r="AV32" s="44"/>
      <c r="AW32" s="101"/>
      <c r="AX32" s="102"/>
      <c r="AY32" s="102"/>
      <c r="AZ32" s="101"/>
      <c r="BA32" s="102"/>
      <c r="BB32" s="102"/>
      <c r="BC32" s="101"/>
      <c r="BD32" s="102"/>
      <c r="BE32" s="101"/>
      <c r="BF32" s="102"/>
      <c r="BG32" s="102"/>
      <c r="BH32" s="102"/>
      <c r="BI32" s="103"/>
      <c r="BJ32" s="102"/>
      <c r="BK32" s="102"/>
    </row>
    <row r="33" customFormat="false" ht="15.75" hidden="true" customHeight="false" outlineLevel="0" collapsed="false">
      <c r="A33" s="92"/>
      <c r="B33" s="92"/>
      <c r="C33" s="92"/>
      <c r="D33" s="92"/>
      <c r="E33" s="10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77"/>
      <c r="T33" s="44"/>
      <c r="U33" s="44"/>
      <c r="V33" s="44"/>
      <c r="W33" s="44"/>
      <c r="X33" s="44"/>
      <c r="Y33" s="77"/>
      <c r="Z33" s="44"/>
      <c r="AA33" s="44"/>
      <c r="AB33" s="44"/>
      <c r="AC33" s="44"/>
      <c r="AD33" s="90"/>
      <c r="AE33" s="91"/>
      <c r="AF33" s="90"/>
      <c r="AG33" s="44"/>
      <c r="AH33" s="90"/>
      <c r="AI33" s="44"/>
      <c r="AJ33" s="44"/>
      <c r="AK33" s="77"/>
      <c r="AL33" s="44"/>
      <c r="AM33" s="44"/>
      <c r="AN33" s="44"/>
      <c r="AO33" s="44"/>
      <c r="AP33" s="44"/>
      <c r="AQ33" s="77"/>
      <c r="AR33" s="44"/>
      <c r="AS33" s="44"/>
      <c r="AT33" s="44"/>
      <c r="AU33" s="44"/>
      <c r="AV33" s="44"/>
      <c r="AW33" s="101"/>
      <c r="AX33" s="102"/>
      <c r="AY33" s="102"/>
      <c r="AZ33" s="101"/>
      <c r="BA33" s="102"/>
      <c r="BB33" s="102"/>
      <c r="BC33" s="101"/>
      <c r="BD33" s="102"/>
      <c r="BE33" s="101"/>
      <c r="BF33" s="102"/>
      <c r="BG33" s="102"/>
      <c r="BH33" s="102"/>
      <c r="BI33" s="103"/>
      <c r="BJ33" s="102"/>
      <c r="BK33" s="102"/>
    </row>
    <row r="34" customFormat="false" ht="15.75" hidden="true" customHeight="false" outlineLevel="0" collapsed="false">
      <c r="A34" s="92"/>
      <c r="B34" s="92"/>
      <c r="C34" s="92"/>
      <c r="D34" s="92"/>
      <c r="E34" s="10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77"/>
      <c r="T34" s="44"/>
      <c r="U34" s="44"/>
      <c r="V34" s="44"/>
      <c r="W34" s="44"/>
      <c r="X34" s="44"/>
      <c r="Y34" s="77"/>
      <c r="Z34" s="44"/>
      <c r="AA34" s="44"/>
      <c r="AB34" s="44"/>
      <c r="AC34" s="44"/>
      <c r="AD34" s="90"/>
      <c r="AE34" s="91"/>
      <c r="AF34" s="90"/>
      <c r="AG34" s="44"/>
      <c r="AH34" s="90"/>
      <c r="AI34" s="44"/>
      <c r="AJ34" s="44"/>
      <c r="AK34" s="77"/>
      <c r="AL34" s="44"/>
      <c r="AM34" s="44"/>
      <c r="AN34" s="44"/>
      <c r="AO34" s="44"/>
      <c r="AP34" s="44"/>
      <c r="AQ34" s="77"/>
      <c r="AR34" s="44"/>
      <c r="AS34" s="44"/>
      <c r="AT34" s="44"/>
      <c r="AU34" s="44"/>
      <c r="AV34" s="44"/>
      <c r="AW34" s="101"/>
      <c r="AX34" s="102"/>
      <c r="AY34" s="102"/>
      <c r="AZ34" s="101"/>
      <c r="BA34" s="102"/>
      <c r="BB34" s="102"/>
      <c r="BC34" s="101"/>
      <c r="BD34" s="102"/>
      <c r="BE34" s="101"/>
      <c r="BF34" s="102"/>
      <c r="BG34" s="102"/>
      <c r="BH34" s="102"/>
      <c r="BI34" s="103"/>
      <c r="BJ34" s="102"/>
      <c r="BK34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3 AA3:AC23 AG3:AI23 AM3:AO23 AS8:AU8 AS11:AU12 AS16:AU16 AS20:AU23">
    <cfRule type="expression" priority="2" aboveAverage="0" equalAverage="0" bottom="0" percent="0" rank="0" text="" dxfId="2">
      <formula>U3&gt;45901</formula>
    </cfRule>
  </conditionalFormatting>
  <conditionalFormatting sqref="BC3:BD23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3">
    <cfRule type="cellIs" priority="5" operator="equal" aboveAverage="0" equalAverage="0" bottom="0" percent="0" rank="0" text="" dxfId="5">
      <formula>"N"</formula>
    </cfRule>
  </conditionalFormatting>
  <conditionalFormatting sqref="BK3:BK20">
    <cfRule type="notContainsText" priority="6" operator="notContains" aboveAverage="0" equalAverage="0" bottom="0" percent="0" rank="0" text="FX" dxfId="6">
      <formula>ISERROR(SEARCH("FX",BK3))</formula>
    </cfRule>
  </conditionalFormatting>
  <conditionalFormatting sqref="BB3:BB19">
    <cfRule type="cellIs" priority="7" operator="lessThan" aboveAverage="0" equalAverage="0" bottom="0" percent="0" rank="0" text="" dxfId="7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K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.25"/>
    <col collapsed="false" customWidth="true" hidden="false" outlineLevel="0" max="3" min="3" style="0" width="6.63"/>
    <col collapsed="false" customWidth="true" hidden="false" outlineLevel="0" max="4" min="4" style="0" width="6.12"/>
    <col collapsed="false" customWidth="true" hidden="false" outlineLevel="0" max="5" min="5" style="0" width="0.38"/>
    <col collapsed="false" customWidth="true" hidden="false" outlineLevel="0" max="18" min="6" style="0" width="3"/>
    <col collapsed="false" customWidth="true" hidden="false" outlineLevel="0" max="19" min="19" style="0" width="0.38"/>
    <col collapsed="false" customWidth="true" hidden="false" outlineLevel="0" max="20" min="20" style="0" width="6.51"/>
    <col collapsed="false" customWidth="true" hidden="false" outlineLevel="0" max="23" min="21" style="0" width="5.13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6.51"/>
    <col collapsed="false" customWidth="true" hidden="false" outlineLevel="0" max="29" min="27" style="0" width="5.13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6.51"/>
    <col collapsed="false" customWidth="true" hidden="false" outlineLevel="0" max="35" min="33" style="0" width="5.13"/>
    <col collapsed="false" customWidth="true" hidden="false" outlineLevel="0" max="36" min="36" style="0" width="4.38"/>
    <col collapsed="false" customWidth="true" hidden="false" outlineLevel="0" max="37" min="37" style="0" width="0.38"/>
    <col collapsed="false" customWidth="true" hidden="false" outlineLevel="0" max="38" min="38" style="0" width="6.51"/>
    <col collapsed="false" customWidth="true" hidden="false" outlineLevel="0" max="41" min="39" style="0" width="5.13"/>
    <col collapsed="false" customWidth="true" hidden="false" outlineLevel="0" max="42" min="42" style="0" width="4.38"/>
    <col collapsed="false" customWidth="true" hidden="false" outlineLevel="0" max="43" min="43" style="0" width="0.38"/>
    <col collapsed="false" customWidth="true" hidden="false" outlineLevel="0" max="44" min="44" style="0" width="6.51"/>
    <col collapsed="false" customWidth="true" hidden="false" outlineLevel="0" max="47" min="45" style="0" width="5.13"/>
    <col collapsed="false" customWidth="true" hidden="false" outlineLevel="0" max="48" min="48" style="0" width="4.38"/>
    <col collapsed="false" customWidth="true" hidden="false" outlineLevel="0" max="49" min="49" style="0" width="0.38"/>
    <col collapsed="false" customWidth="true" hidden="false" outlineLevel="0" max="51" min="50" style="0" width="4.75"/>
    <col collapsed="false" customWidth="true" hidden="false" outlineLevel="0" max="52" min="52" style="0" width="0.38"/>
    <col collapsed="false" customWidth="true" hidden="false" outlineLevel="0" max="54" min="53" style="0" width="6"/>
    <col collapsed="false" customWidth="true" hidden="false" outlineLevel="0" max="55" min="55" style="0" width="0.38"/>
    <col collapsed="false" customWidth="true" hidden="false" outlineLevel="0" max="56" min="56" style="0" width="7.38"/>
    <col collapsed="false" customWidth="true" hidden="false" outlineLevel="0" max="57" min="57" style="0" width="0.38"/>
    <col collapsed="false" customWidth="true" hidden="false" outlineLevel="0" max="60" min="58" style="0" width="6"/>
    <col collapsed="false" customWidth="true" hidden="false" outlineLevel="0" max="61" min="61" style="0" width="0.38"/>
    <col collapsed="false" customWidth="true" hidden="false" outlineLevel="0" max="62" min="62" style="0" width="5.75"/>
    <col collapsed="false" customWidth="true" hidden="false" outlineLevel="0" max="63" min="63" style="0" width="7.38"/>
  </cols>
  <sheetData>
    <row r="1" customFormat="false" ht="15.75" hidden="false" customHeight="true" outlineLevel="0" collapsed="false">
      <c r="A1" s="43" t="s">
        <v>0</v>
      </c>
      <c r="B1" s="44" t="s">
        <v>871</v>
      </c>
      <c r="C1" s="45" t="s">
        <v>661</v>
      </c>
      <c r="D1" s="44" t="n">
        <f aca="false">COLUMNS(A2:BK2)-63</f>
        <v>0</v>
      </c>
      <c r="E1" s="46"/>
      <c r="F1" s="47" t="s">
        <v>662</v>
      </c>
      <c r="G1" s="47"/>
      <c r="H1" s="47"/>
      <c r="I1" s="47"/>
      <c r="J1" s="47"/>
      <c r="K1" s="47"/>
      <c r="L1" s="47"/>
      <c r="M1" s="47"/>
      <c r="N1" s="48" t="s">
        <v>663</v>
      </c>
      <c r="O1" s="48"/>
      <c r="P1" s="48"/>
      <c r="Q1" s="48"/>
      <c r="R1" s="48"/>
      <c r="S1" s="46"/>
      <c r="T1" s="47" t="s">
        <v>8</v>
      </c>
      <c r="U1" s="47"/>
      <c r="V1" s="47"/>
      <c r="W1" s="47"/>
      <c r="X1" s="47"/>
      <c r="Y1" s="46"/>
      <c r="Z1" s="47" t="s">
        <v>9</v>
      </c>
      <c r="AA1" s="47"/>
      <c r="AB1" s="47"/>
      <c r="AC1" s="47"/>
      <c r="AD1" s="47"/>
      <c r="AE1" s="46"/>
      <c r="AF1" s="47" t="s">
        <v>10</v>
      </c>
      <c r="AG1" s="47"/>
      <c r="AH1" s="47"/>
      <c r="AI1" s="47"/>
      <c r="AJ1" s="47"/>
      <c r="AK1" s="46"/>
      <c r="AL1" s="47" t="s">
        <v>11</v>
      </c>
      <c r="AM1" s="47"/>
      <c r="AN1" s="47"/>
      <c r="AO1" s="47"/>
      <c r="AP1" s="47"/>
      <c r="AQ1" s="46"/>
      <c r="AR1" s="47" t="s">
        <v>12</v>
      </c>
      <c r="AS1" s="47"/>
      <c r="AT1" s="47"/>
      <c r="AU1" s="47"/>
      <c r="AV1" s="47"/>
      <c r="AW1" s="46"/>
      <c r="AX1" s="47" t="s">
        <v>664</v>
      </c>
      <c r="AY1" s="47"/>
      <c r="AZ1" s="46"/>
      <c r="BA1" s="47" t="s">
        <v>15</v>
      </c>
      <c r="BB1" s="47"/>
      <c r="BC1" s="46"/>
      <c r="BD1" s="49" t="s">
        <v>665</v>
      </c>
      <c r="BE1" s="46"/>
      <c r="BF1" s="47" t="s">
        <v>16</v>
      </c>
      <c r="BG1" s="47"/>
      <c r="BH1" s="47" t="s">
        <v>17</v>
      </c>
      <c r="BI1" s="50"/>
      <c r="BJ1" s="51" t="s">
        <v>18</v>
      </c>
      <c r="BK1" s="51"/>
    </row>
    <row r="2" customFormat="false" ht="28.35" hidden="false" customHeight="false" outlineLevel="0" collapsed="false">
      <c r="A2" s="43"/>
      <c r="B2" s="52" t="s">
        <v>666</v>
      </c>
      <c r="C2" s="53" t="s">
        <v>667</v>
      </c>
      <c r="D2" s="53" t="s">
        <v>668</v>
      </c>
      <c r="E2" s="54"/>
      <c r="F2" s="55" t="n">
        <v>45335</v>
      </c>
      <c r="G2" s="55" t="n">
        <f aca="false">F2+14</f>
        <v>45349</v>
      </c>
      <c r="H2" s="55" t="n">
        <f aca="false">G2+15</f>
        <v>45364</v>
      </c>
      <c r="I2" s="55" t="n">
        <f aca="false">H2+14</f>
        <v>45378</v>
      </c>
      <c r="J2" s="55" t="n">
        <f aca="false">I2+14</f>
        <v>45392</v>
      </c>
      <c r="K2" s="55" t="n">
        <f aca="false">J2+14</f>
        <v>45406</v>
      </c>
      <c r="L2" s="55" t="n">
        <f aca="false">K2+14</f>
        <v>45420</v>
      </c>
      <c r="M2" s="55" t="n">
        <f aca="false">L2+14</f>
        <v>45434</v>
      </c>
      <c r="N2" s="56" t="n">
        <v>1</v>
      </c>
      <c r="O2" s="56" t="n">
        <v>2</v>
      </c>
      <c r="P2" s="56" t="n">
        <v>3</v>
      </c>
      <c r="Q2" s="56" t="n">
        <v>4</v>
      </c>
      <c r="R2" s="56" t="n">
        <v>5</v>
      </c>
      <c r="S2" s="57"/>
      <c r="T2" s="58" t="s">
        <v>669</v>
      </c>
      <c r="U2" s="58" t="s">
        <v>670</v>
      </c>
      <c r="V2" s="58" t="s">
        <v>671</v>
      </c>
      <c r="W2" s="58" t="s">
        <v>672</v>
      </c>
      <c r="X2" s="58" t="s">
        <v>673</v>
      </c>
      <c r="Y2" s="57"/>
      <c r="Z2" s="58" t="s">
        <v>669</v>
      </c>
      <c r="AA2" s="58" t="s">
        <v>670</v>
      </c>
      <c r="AB2" s="58" t="s">
        <v>671</v>
      </c>
      <c r="AC2" s="58" t="s">
        <v>672</v>
      </c>
      <c r="AD2" s="58" t="s">
        <v>673</v>
      </c>
      <c r="AE2" s="57"/>
      <c r="AF2" s="58" t="s">
        <v>669</v>
      </c>
      <c r="AG2" s="58" t="s">
        <v>670</v>
      </c>
      <c r="AH2" s="58" t="s">
        <v>671</v>
      </c>
      <c r="AI2" s="58" t="s">
        <v>672</v>
      </c>
      <c r="AJ2" s="58" t="s">
        <v>673</v>
      </c>
      <c r="AK2" s="57"/>
      <c r="AL2" s="58" t="s">
        <v>669</v>
      </c>
      <c r="AM2" s="58" t="s">
        <v>670</v>
      </c>
      <c r="AN2" s="58" t="s">
        <v>671</v>
      </c>
      <c r="AO2" s="58" t="s">
        <v>672</v>
      </c>
      <c r="AP2" s="58" t="s">
        <v>673</v>
      </c>
      <c r="AQ2" s="57"/>
      <c r="AR2" s="58" t="s">
        <v>669</v>
      </c>
      <c r="AS2" s="58" t="s">
        <v>670</v>
      </c>
      <c r="AT2" s="58" t="s">
        <v>671</v>
      </c>
      <c r="AU2" s="58" t="s">
        <v>672</v>
      </c>
      <c r="AV2" s="58" t="s">
        <v>673</v>
      </c>
      <c r="AW2" s="57"/>
      <c r="AX2" s="58" t="n">
        <v>1</v>
      </c>
      <c r="AY2" s="58" t="n">
        <v>2</v>
      </c>
      <c r="AZ2" s="57"/>
      <c r="BA2" s="58" t="s">
        <v>674</v>
      </c>
      <c r="BB2" s="58" t="s">
        <v>675</v>
      </c>
      <c r="BC2" s="46"/>
      <c r="BD2" s="49"/>
      <c r="BE2" s="57"/>
      <c r="BF2" s="58" t="s">
        <v>674</v>
      </c>
      <c r="BG2" s="58" t="s">
        <v>675</v>
      </c>
      <c r="BH2" s="47"/>
      <c r="BI2" s="50"/>
      <c r="BJ2" s="58" t="s">
        <v>676</v>
      </c>
      <c r="BK2" s="58" t="s">
        <v>677</v>
      </c>
    </row>
    <row r="3" customFormat="false" ht="15.75" hidden="false" customHeight="false" outlineLevel="0" collapsed="false">
      <c r="A3" s="59" t="n">
        <v>1</v>
      </c>
      <c r="B3" s="141" t="s">
        <v>179</v>
      </c>
      <c r="C3" s="142" t="s">
        <v>180</v>
      </c>
      <c r="D3" s="142" t="s">
        <v>178</v>
      </c>
      <c r="E3" s="62"/>
      <c r="F3" s="63" t="s">
        <v>696</v>
      </c>
      <c r="G3" s="63" t="s">
        <v>696</v>
      </c>
      <c r="H3" s="63" t="s">
        <v>696</v>
      </c>
      <c r="I3" s="63" t="s">
        <v>696</v>
      </c>
      <c r="J3" s="63"/>
      <c r="K3" s="63" t="s">
        <v>735</v>
      </c>
      <c r="L3" s="63" t="s">
        <v>696</v>
      </c>
      <c r="M3" s="63" t="s">
        <v>735</v>
      </c>
      <c r="N3" s="64"/>
      <c r="O3" s="64"/>
      <c r="P3" s="64"/>
      <c r="Q3" s="64"/>
      <c r="R3" s="64"/>
      <c r="S3" s="65"/>
      <c r="T3" s="66" t="s">
        <v>872</v>
      </c>
      <c r="U3" s="67" t="n">
        <v>45701</v>
      </c>
      <c r="V3" s="67" t="n">
        <v>45701</v>
      </c>
      <c r="W3" s="67" t="n">
        <v>45701</v>
      </c>
      <c r="X3" s="68" t="n">
        <v>10</v>
      </c>
      <c r="Y3" s="69"/>
      <c r="Z3" s="70" t="n">
        <v>6351</v>
      </c>
      <c r="AA3" s="67" t="n">
        <v>45715</v>
      </c>
      <c r="AB3" s="106" t="n">
        <v>45715</v>
      </c>
      <c r="AC3" s="67" t="n">
        <v>45715</v>
      </c>
      <c r="AD3" s="68" t="n">
        <v>10</v>
      </c>
      <c r="AE3" s="69"/>
      <c r="AF3" s="70" t="n">
        <v>6324</v>
      </c>
      <c r="AG3" s="67" t="n">
        <v>45701</v>
      </c>
      <c r="AH3" s="67" t="n">
        <v>45701</v>
      </c>
      <c r="AI3" s="67" t="n">
        <v>45701</v>
      </c>
      <c r="AJ3" s="68" t="n">
        <v>10</v>
      </c>
      <c r="AK3" s="69"/>
      <c r="AL3" s="70" t="n">
        <v>8625</v>
      </c>
      <c r="AM3" s="106" t="n">
        <v>45803</v>
      </c>
      <c r="AN3" s="106" t="n">
        <v>45803</v>
      </c>
      <c r="AO3" s="106" t="n">
        <v>45803</v>
      </c>
      <c r="AP3" s="68" t="n">
        <v>10</v>
      </c>
      <c r="AQ3" s="69"/>
      <c r="AR3" s="70" t="n">
        <v>7843</v>
      </c>
      <c r="AS3" s="106" t="n">
        <v>45821</v>
      </c>
      <c r="AT3" s="106" t="n">
        <v>45821</v>
      </c>
      <c r="AU3" s="106" t="n">
        <v>45821</v>
      </c>
      <c r="AV3" s="68" t="n">
        <v>10</v>
      </c>
      <c r="AW3" s="69"/>
      <c r="AX3" s="68" t="n">
        <v>0</v>
      </c>
      <c r="AY3" s="68"/>
      <c r="AZ3" s="69"/>
      <c r="BA3" s="106" t="n">
        <v>45792</v>
      </c>
      <c r="BB3" s="71" t="n">
        <v>6</v>
      </c>
      <c r="BC3" s="72"/>
      <c r="BD3" s="73" t="str">
        <f aca="false">IF(AND(BB3&gt;=6,AP3&gt;=6,AJ3&gt;=6,AD3&gt;=6,X3&gt;=6),"да","нет")</f>
        <v>да</v>
      </c>
      <c r="BE3" s="72"/>
      <c r="BF3" s="118" t="n">
        <v>45822</v>
      </c>
      <c r="BG3" s="71" t="n">
        <v>20</v>
      </c>
      <c r="BH3" s="68"/>
      <c r="BI3" s="50"/>
      <c r="BJ3" s="75" t="n">
        <f aca="false">SUM(X3,AD3,AJ3,AP3,AV3,AX3:AY3,BH3,BB3,BG3)</f>
        <v>76</v>
      </c>
      <c r="BK3" s="73" t="str">
        <f aca="false">IF(BJ3&gt;90,"A",IF(BJ3&gt;83,"B",IF(BJ3&gt;74,"C",IF(BJ3&gt;67,"D",IF(BJ3&gt;=60,"E","FX")))))</f>
        <v>C</v>
      </c>
    </row>
    <row r="4" customFormat="false" ht="15.75" hidden="false" customHeight="false" outlineLevel="0" collapsed="false">
      <c r="A4" s="59" t="n">
        <v>2</v>
      </c>
      <c r="B4" s="141" t="s">
        <v>202</v>
      </c>
      <c r="C4" s="142" t="s">
        <v>180</v>
      </c>
      <c r="D4" s="142" t="s">
        <v>201</v>
      </c>
      <c r="E4" s="62"/>
      <c r="F4" s="63" t="s">
        <v>696</v>
      </c>
      <c r="G4" s="63" t="s">
        <v>735</v>
      </c>
      <c r="H4" s="63" t="s">
        <v>696</v>
      </c>
      <c r="I4" s="63" t="s">
        <v>696</v>
      </c>
      <c r="J4" s="63" t="s">
        <v>739</v>
      </c>
      <c r="K4" s="63" t="s">
        <v>696</v>
      </c>
      <c r="L4" s="63" t="s">
        <v>735</v>
      </c>
      <c r="M4" s="63" t="s">
        <v>696</v>
      </c>
      <c r="N4" s="64"/>
      <c r="O4" s="64"/>
      <c r="P4" s="64"/>
      <c r="Q4" s="64"/>
      <c r="R4" s="64"/>
      <c r="S4" s="65"/>
      <c r="T4" s="66" t="s">
        <v>873</v>
      </c>
      <c r="U4" s="106" t="n">
        <v>45814</v>
      </c>
      <c r="V4" s="106" t="n">
        <v>45814</v>
      </c>
      <c r="W4" s="106" t="n">
        <v>45814</v>
      </c>
      <c r="X4" s="68" t="n">
        <v>9</v>
      </c>
      <c r="Y4" s="69"/>
      <c r="Z4" s="70" t="n">
        <v>1287</v>
      </c>
      <c r="AA4" s="67" t="n">
        <v>45819</v>
      </c>
      <c r="AB4" s="106" t="n">
        <v>45819</v>
      </c>
      <c r="AC4" s="67" t="n">
        <v>45819</v>
      </c>
      <c r="AD4" s="68" t="n">
        <v>8</v>
      </c>
      <c r="AE4" s="69"/>
      <c r="AF4" s="70" t="n">
        <v>3588</v>
      </c>
      <c r="AG4" s="106" t="n">
        <v>45827</v>
      </c>
      <c r="AH4" s="106" t="n">
        <v>45827</v>
      </c>
      <c r="AI4" s="106" t="n">
        <v>45827</v>
      </c>
      <c r="AJ4" s="68" t="n">
        <v>8</v>
      </c>
      <c r="AK4" s="69"/>
      <c r="AL4" s="70" t="n">
        <v>3588</v>
      </c>
      <c r="AM4" s="106" t="n">
        <v>45827</v>
      </c>
      <c r="AN4" s="106" t="n">
        <v>45827</v>
      </c>
      <c r="AO4" s="106" t="n">
        <v>45827</v>
      </c>
      <c r="AP4" s="68" t="n">
        <v>7</v>
      </c>
      <c r="AQ4" s="69"/>
      <c r="AR4" s="70" t="s">
        <v>737</v>
      </c>
      <c r="AS4" s="70" t="s">
        <v>737</v>
      </c>
      <c r="AT4" s="70" t="s">
        <v>737</v>
      </c>
      <c r="AU4" s="70" t="s">
        <v>737</v>
      </c>
      <c r="AV4" s="68" t="n">
        <v>0</v>
      </c>
      <c r="AW4" s="69"/>
      <c r="AX4" s="68" t="n">
        <v>0</v>
      </c>
      <c r="AY4" s="68"/>
      <c r="AZ4" s="69"/>
      <c r="BA4" s="106" t="n">
        <v>45827</v>
      </c>
      <c r="BB4" s="71" t="n">
        <v>6</v>
      </c>
      <c r="BC4" s="72"/>
      <c r="BD4" s="73" t="str">
        <f aca="false">IF(AND(BB4&gt;=6,AP4&gt;=6,AJ4&gt;=6,AD4&gt;=6,X4&gt;=6),"да","нет")</f>
        <v>да</v>
      </c>
      <c r="BE4" s="72"/>
      <c r="BF4" s="118"/>
      <c r="BG4" s="71"/>
      <c r="BH4" s="68"/>
      <c r="BI4" s="50"/>
      <c r="BJ4" s="75" t="n">
        <f aca="false">SUM(X4,AD4,AJ4,AP4,AV4,AX4:AY4,BH4,BB4,BG4)</f>
        <v>38</v>
      </c>
      <c r="BK4" s="73" t="str">
        <f aca="false">IF(BJ4&gt;90,"A",IF(BJ4&gt;83,"B",IF(BJ4&gt;74,"C",IF(BJ4&gt;67,"D",IF(BJ4&gt;=60,"E","FX")))))</f>
        <v>FX</v>
      </c>
    </row>
    <row r="5" customFormat="false" ht="15.75" hidden="false" customHeight="false" outlineLevel="0" collapsed="false">
      <c r="A5" s="59" t="n">
        <v>3</v>
      </c>
      <c r="B5" s="141" t="s">
        <v>260</v>
      </c>
      <c r="C5" s="142" t="s">
        <v>180</v>
      </c>
      <c r="D5" s="142" t="s">
        <v>259</v>
      </c>
      <c r="E5" s="62"/>
      <c r="F5" s="63" t="s">
        <v>696</v>
      </c>
      <c r="G5" s="63" t="s">
        <v>735</v>
      </c>
      <c r="H5" s="63" t="s">
        <v>696</v>
      </c>
      <c r="I5" s="63" t="s">
        <v>735</v>
      </c>
      <c r="J5" s="63"/>
      <c r="K5" s="63" t="s">
        <v>696</v>
      </c>
      <c r="L5" s="63" t="s">
        <v>696</v>
      </c>
      <c r="M5" s="63" t="s">
        <v>696</v>
      </c>
      <c r="N5" s="64"/>
      <c r="O5" s="64"/>
      <c r="P5" s="64"/>
      <c r="Q5" s="64"/>
      <c r="R5" s="64"/>
      <c r="S5" s="65"/>
      <c r="T5" s="66" t="s">
        <v>874</v>
      </c>
      <c r="U5" s="67" t="n">
        <v>45701</v>
      </c>
      <c r="V5" s="67" t="n">
        <v>45701</v>
      </c>
      <c r="W5" s="67" t="n">
        <v>45701</v>
      </c>
      <c r="X5" s="68" t="n">
        <v>10</v>
      </c>
      <c r="Y5" s="69"/>
      <c r="Z5" s="70" t="n">
        <v>3570</v>
      </c>
      <c r="AA5" s="67" t="n">
        <v>45729</v>
      </c>
      <c r="AB5" s="67" t="n">
        <v>45729</v>
      </c>
      <c r="AC5" s="67" t="n">
        <v>45729</v>
      </c>
      <c r="AD5" s="68" t="n">
        <v>10</v>
      </c>
      <c r="AE5" s="69"/>
      <c r="AF5" s="70" t="n">
        <v>3748</v>
      </c>
      <c r="AG5" s="106" t="n">
        <v>45799</v>
      </c>
      <c r="AH5" s="106" t="n">
        <v>45799</v>
      </c>
      <c r="AI5" s="106" t="n">
        <v>45799</v>
      </c>
      <c r="AJ5" s="68" t="n">
        <v>10</v>
      </c>
      <c r="AK5" s="69"/>
      <c r="AL5" s="70" t="n">
        <v>3275</v>
      </c>
      <c r="AM5" s="106" t="n">
        <v>45803</v>
      </c>
      <c r="AN5" s="106" t="n">
        <v>45803</v>
      </c>
      <c r="AO5" s="106" t="n">
        <v>45803</v>
      </c>
      <c r="AP5" s="68" t="n">
        <v>10</v>
      </c>
      <c r="AQ5" s="69"/>
      <c r="AR5" s="70" t="n">
        <v>3589</v>
      </c>
      <c r="AS5" s="106" t="n">
        <v>45814</v>
      </c>
      <c r="AT5" s="106" t="n">
        <v>45814</v>
      </c>
      <c r="AU5" s="106" t="n">
        <v>45814</v>
      </c>
      <c r="AV5" s="68" t="n">
        <v>10</v>
      </c>
      <c r="AW5" s="69"/>
      <c r="AX5" s="68"/>
      <c r="AY5" s="68" t="n">
        <v>1</v>
      </c>
      <c r="AZ5" s="69"/>
      <c r="BA5" s="106" t="n">
        <v>45792</v>
      </c>
      <c r="BB5" s="71" t="n">
        <v>6</v>
      </c>
      <c r="BC5" s="72"/>
      <c r="BD5" s="73" t="str">
        <f aca="false">IF(AND(BB5&gt;=6,AP5&gt;=6,AJ5&gt;=6,AD5&gt;=6,X5&gt;=6),"да","нет")</f>
        <v>да</v>
      </c>
      <c r="BE5" s="72"/>
      <c r="BF5" s="118" t="n">
        <v>45822</v>
      </c>
      <c r="BG5" s="71" t="n">
        <v>26</v>
      </c>
      <c r="BH5" s="68" t="n">
        <v>2</v>
      </c>
      <c r="BI5" s="50"/>
      <c r="BJ5" s="75" t="n">
        <f aca="false">SUM(X5,AD5,AJ5,AP5,AV5,AX5:AY5,BH5,BB5,BG5)</f>
        <v>85</v>
      </c>
      <c r="BK5" s="73" t="str">
        <f aca="false">IF(BJ5&gt;90,"A",IF(BJ5&gt;83,"B",IF(BJ5&gt;74,"C",IF(BJ5&gt;67,"D",IF(BJ5&gt;=60,"E","FX")))))</f>
        <v>B</v>
      </c>
    </row>
    <row r="6" customFormat="false" ht="15.75" hidden="false" customHeight="false" outlineLevel="0" collapsed="false">
      <c r="A6" s="59" t="n">
        <f aca="false">A5+1</f>
        <v>4</v>
      </c>
      <c r="B6" s="141" t="s">
        <v>266</v>
      </c>
      <c r="C6" s="142" t="s">
        <v>180</v>
      </c>
      <c r="D6" s="142" t="s">
        <v>265</v>
      </c>
      <c r="E6" s="62"/>
      <c r="F6" s="63" t="s">
        <v>735</v>
      </c>
      <c r="G6" s="63" t="s">
        <v>696</v>
      </c>
      <c r="H6" s="63" t="s">
        <v>696</v>
      </c>
      <c r="I6" s="63" t="s">
        <v>696</v>
      </c>
      <c r="J6" s="63"/>
      <c r="K6" s="63" t="s">
        <v>696</v>
      </c>
      <c r="L6" s="63" t="s">
        <v>696</v>
      </c>
      <c r="M6" s="63" t="s">
        <v>735</v>
      </c>
      <c r="N6" s="64"/>
      <c r="O6" s="64"/>
      <c r="P6" s="64"/>
      <c r="Q6" s="64"/>
      <c r="R6" s="64"/>
      <c r="S6" s="65"/>
      <c r="T6" s="66" t="s">
        <v>875</v>
      </c>
      <c r="U6" s="67" t="n">
        <v>45715</v>
      </c>
      <c r="V6" s="106" t="n">
        <v>45715</v>
      </c>
      <c r="W6" s="67" t="n">
        <v>45715</v>
      </c>
      <c r="X6" s="68" t="n">
        <v>10</v>
      </c>
      <c r="Y6" s="69"/>
      <c r="Z6" s="70" t="n">
        <v>3644</v>
      </c>
      <c r="AA6" s="67" t="n">
        <v>45729</v>
      </c>
      <c r="AB6" s="67" t="n">
        <v>45729</v>
      </c>
      <c r="AC6" s="67" t="n">
        <v>45729</v>
      </c>
      <c r="AD6" s="68" t="n">
        <v>10</v>
      </c>
      <c r="AE6" s="69"/>
      <c r="AF6" s="70" t="n">
        <v>8646</v>
      </c>
      <c r="AG6" s="106" t="n">
        <v>45803</v>
      </c>
      <c r="AH6" s="106" t="n">
        <v>45803</v>
      </c>
      <c r="AI6" s="106" t="n">
        <v>45803</v>
      </c>
      <c r="AJ6" s="68" t="n">
        <v>10</v>
      </c>
      <c r="AK6" s="69"/>
      <c r="AL6" s="70" t="n">
        <v>4736</v>
      </c>
      <c r="AM6" s="106" t="n">
        <v>45814</v>
      </c>
      <c r="AN6" s="106" t="n">
        <v>45814</v>
      </c>
      <c r="AO6" s="106" t="n">
        <v>45814</v>
      </c>
      <c r="AP6" s="68" t="n">
        <v>10</v>
      </c>
      <c r="AQ6" s="69"/>
      <c r="AR6" s="70" t="n">
        <v>3246</v>
      </c>
      <c r="AS6" s="106" t="n">
        <v>45821</v>
      </c>
      <c r="AT6" s="106" t="n">
        <v>45821</v>
      </c>
      <c r="AU6" s="106" t="n">
        <v>45821</v>
      </c>
      <c r="AV6" s="68" t="n">
        <v>10</v>
      </c>
      <c r="AW6" s="69"/>
      <c r="AX6" s="68"/>
      <c r="AY6" s="68"/>
      <c r="AZ6" s="69"/>
      <c r="BA6" s="106" t="n">
        <v>45821</v>
      </c>
      <c r="BB6" s="71" t="n">
        <v>6</v>
      </c>
      <c r="BC6" s="72"/>
      <c r="BD6" s="73" t="str">
        <f aca="false">IF(AND(BB6&gt;=6,AP6&gt;=6,AJ6&gt;=6,AD6&gt;=6,X6&gt;=6),"да","нет")</f>
        <v>да</v>
      </c>
      <c r="BE6" s="72"/>
      <c r="BF6" s="118" t="n">
        <v>45822</v>
      </c>
      <c r="BG6" s="71" t="n">
        <v>26</v>
      </c>
      <c r="BH6" s="68" t="n">
        <v>3</v>
      </c>
      <c r="BI6" s="50"/>
      <c r="BJ6" s="75" t="n">
        <f aca="false">SUM(X6,AD6,AJ6,AP6,AV6,AX6:AY6,BH6,BB6,BG6)</f>
        <v>85</v>
      </c>
      <c r="BK6" s="73" t="str">
        <f aca="false">IF(BJ6&gt;90,"A",IF(BJ6&gt;83,"B",IF(BJ6&gt;74,"C",IF(BJ6&gt;67,"D",IF(BJ6&gt;=60,"E","FX")))))</f>
        <v>B</v>
      </c>
    </row>
    <row r="7" customFormat="false" ht="15.75" hidden="false" customHeight="false" outlineLevel="0" collapsed="false">
      <c r="A7" s="59" t="n">
        <f aca="false">A6+1</f>
        <v>5</v>
      </c>
      <c r="B7" s="141" t="s">
        <v>289</v>
      </c>
      <c r="C7" s="142" t="s">
        <v>180</v>
      </c>
      <c r="D7" s="142" t="s">
        <v>288</v>
      </c>
      <c r="E7" s="62"/>
      <c r="F7" s="63" t="s">
        <v>696</v>
      </c>
      <c r="G7" s="63" t="s">
        <v>696</v>
      </c>
      <c r="H7" s="63" t="s">
        <v>696</v>
      </c>
      <c r="I7" s="63" t="s">
        <v>735</v>
      </c>
      <c r="J7" s="63"/>
      <c r="K7" s="63" t="s">
        <v>696</v>
      </c>
      <c r="L7" s="63" t="s">
        <v>696</v>
      </c>
      <c r="M7" s="63" t="s">
        <v>696</v>
      </c>
      <c r="N7" s="64"/>
      <c r="O7" s="64"/>
      <c r="P7" s="64"/>
      <c r="Q7" s="64"/>
      <c r="R7" s="64"/>
      <c r="S7" s="65"/>
      <c r="T7" s="66" t="s">
        <v>876</v>
      </c>
      <c r="U7" s="67" t="n">
        <v>45715</v>
      </c>
      <c r="V7" s="106" t="n">
        <v>45715</v>
      </c>
      <c r="W7" s="67" t="n">
        <v>45715</v>
      </c>
      <c r="X7" s="68" t="n">
        <v>10</v>
      </c>
      <c r="Y7" s="69"/>
      <c r="Z7" s="70" t="n">
        <v>7520</v>
      </c>
      <c r="AA7" s="67" t="n">
        <v>45729</v>
      </c>
      <c r="AB7" s="67" t="n">
        <v>45729</v>
      </c>
      <c r="AC7" s="67" t="n">
        <v>45729</v>
      </c>
      <c r="AD7" s="68" t="n">
        <v>10</v>
      </c>
      <c r="AE7" s="69"/>
      <c r="AF7" s="70" t="n">
        <v>2740</v>
      </c>
      <c r="AG7" s="106" t="n">
        <v>45799</v>
      </c>
      <c r="AH7" s="106" t="n">
        <v>45799</v>
      </c>
      <c r="AI7" s="106" t="n">
        <v>45799</v>
      </c>
      <c r="AJ7" s="68" t="n">
        <v>10</v>
      </c>
      <c r="AK7" s="69"/>
      <c r="AL7" s="70" t="n">
        <v>3185</v>
      </c>
      <c r="AM7" s="106" t="n">
        <v>45803</v>
      </c>
      <c r="AN7" s="106" t="n">
        <v>45803</v>
      </c>
      <c r="AO7" s="106" t="n">
        <v>45803</v>
      </c>
      <c r="AP7" s="68" t="n">
        <v>10</v>
      </c>
      <c r="AQ7" s="69"/>
      <c r="AR7" s="70" t="n">
        <v>9764</v>
      </c>
      <c r="AS7" s="106" t="n">
        <v>45814</v>
      </c>
      <c r="AT7" s="106" t="n">
        <v>45814</v>
      </c>
      <c r="AU7" s="106" t="n">
        <v>45814</v>
      </c>
      <c r="AV7" s="68" t="n">
        <v>10</v>
      </c>
      <c r="AW7" s="69"/>
      <c r="AX7" s="68" t="n">
        <v>0</v>
      </c>
      <c r="AY7" s="68"/>
      <c r="AZ7" s="69"/>
      <c r="BA7" s="106" t="n">
        <v>45827</v>
      </c>
      <c r="BB7" s="71" t="n">
        <v>7</v>
      </c>
      <c r="BC7" s="72"/>
      <c r="BD7" s="73" t="str">
        <f aca="false">IF(AND(BB7&gt;=6,AP7&gt;=6,AJ7&gt;=6,AD7&gt;=6,X7&gt;=6),"да","нет")</f>
        <v>да</v>
      </c>
      <c r="BE7" s="72"/>
      <c r="BF7" s="118" t="n">
        <v>45836</v>
      </c>
      <c r="BG7" s="71" t="n">
        <v>25</v>
      </c>
      <c r="BH7" s="68" t="n">
        <v>2</v>
      </c>
      <c r="BI7" s="50"/>
      <c r="BJ7" s="75" t="n">
        <f aca="false">SUM(X7,AD7,AJ7,AP7,AV7,AX7:AY7,BH7,BB7,BG7)</f>
        <v>84</v>
      </c>
      <c r="BK7" s="73" t="str">
        <f aca="false">IF(BJ7&gt;90,"A",IF(BJ7&gt;83,"B",IF(BJ7&gt;74,"C",IF(BJ7&gt;67,"D",IF(BJ7&gt;=60,"E","FX")))))</f>
        <v>B</v>
      </c>
    </row>
    <row r="8" customFormat="false" ht="15.75" hidden="false" customHeight="false" outlineLevel="0" collapsed="false">
      <c r="A8" s="59" t="n">
        <v>6</v>
      </c>
      <c r="B8" s="141" t="s">
        <v>305</v>
      </c>
      <c r="C8" s="142" t="s">
        <v>180</v>
      </c>
      <c r="D8" s="142" t="s">
        <v>304</v>
      </c>
      <c r="E8" s="62"/>
      <c r="F8" s="63" t="s">
        <v>696</v>
      </c>
      <c r="G8" s="63" t="s">
        <v>735</v>
      </c>
      <c r="H8" s="63" t="s">
        <v>696</v>
      </c>
      <c r="I8" s="63" t="s">
        <v>735</v>
      </c>
      <c r="J8" s="63" t="s">
        <v>739</v>
      </c>
      <c r="K8" s="63" t="s">
        <v>696</v>
      </c>
      <c r="L8" s="63" t="s">
        <v>735</v>
      </c>
      <c r="M8" s="63" t="s">
        <v>696</v>
      </c>
      <c r="N8" s="64"/>
      <c r="O8" s="64"/>
      <c r="P8" s="64"/>
      <c r="Q8" s="64"/>
      <c r="R8" s="64"/>
      <c r="S8" s="65"/>
      <c r="T8" s="66" t="s">
        <v>877</v>
      </c>
      <c r="U8" s="67" t="n">
        <v>45803</v>
      </c>
      <c r="V8" s="67" t="n">
        <v>45803</v>
      </c>
      <c r="W8" s="67" t="n">
        <v>45803</v>
      </c>
      <c r="X8" s="68" t="n">
        <v>10</v>
      </c>
      <c r="Y8" s="69"/>
      <c r="Z8" s="70" t="n">
        <v>7450</v>
      </c>
      <c r="AA8" s="67" t="n">
        <v>45814</v>
      </c>
      <c r="AB8" s="67" t="n">
        <v>45814</v>
      </c>
      <c r="AC8" s="67" t="n">
        <v>45814</v>
      </c>
      <c r="AD8" s="68" t="n">
        <v>10</v>
      </c>
      <c r="AE8" s="69"/>
      <c r="AF8" s="70" t="n">
        <v>3264</v>
      </c>
      <c r="AG8" s="106" t="n">
        <v>45819</v>
      </c>
      <c r="AH8" s="106" t="n">
        <v>45819</v>
      </c>
      <c r="AI8" s="106" t="n">
        <v>45819</v>
      </c>
      <c r="AJ8" s="70" t="n">
        <v>9.5</v>
      </c>
      <c r="AK8" s="69"/>
      <c r="AL8" s="70" t="n">
        <v>3278</v>
      </c>
      <c r="AM8" s="70"/>
      <c r="AN8" s="70"/>
      <c r="AO8" s="70"/>
      <c r="AP8" s="68"/>
      <c r="AQ8" s="69"/>
      <c r="AR8" s="70"/>
      <c r="AS8" s="70"/>
      <c r="AT8" s="70"/>
      <c r="AU8" s="70"/>
      <c r="AV8" s="68"/>
      <c r="AW8" s="69"/>
      <c r="AX8" s="68"/>
      <c r="AY8" s="68" t="n">
        <v>1</v>
      </c>
      <c r="AZ8" s="69"/>
      <c r="BA8" s="106" t="n">
        <v>45792</v>
      </c>
      <c r="BB8" s="71" t="n">
        <v>0</v>
      </c>
      <c r="BC8" s="72"/>
      <c r="BD8" s="73" t="str">
        <f aca="false">IF(AND(BB8&gt;=6,AP8&gt;=6,AJ8&gt;=6,AD8&gt;=6,X8&gt;=6),"да","нет")</f>
        <v>нет</v>
      </c>
      <c r="BE8" s="72"/>
      <c r="BF8" s="118"/>
      <c r="BG8" s="71"/>
      <c r="BH8" s="68"/>
      <c r="BI8" s="50"/>
      <c r="BJ8" s="75" t="n">
        <f aca="false">SUM(X8,AD8,AJ8,AP8,AV8,AX8:AY8,BH8,BB8,BG8)</f>
        <v>30.5</v>
      </c>
      <c r="BK8" s="73" t="str">
        <f aca="false">IF(BJ8&gt;90,"A",IF(BJ8&gt;83,"B",IF(BJ8&gt;74,"C",IF(BJ8&gt;67,"D",IF(BJ8&gt;=60,"E","FX")))))</f>
        <v>FX</v>
      </c>
    </row>
    <row r="9" customFormat="false" ht="15.75" hidden="false" customHeight="false" outlineLevel="0" collapsed="false">
      <c r="A9" s="59" t="n">
        <v>7</v>
      </c>
      <c r="B9" s="141" t="s">
        <v>327</v>
      </c>
      <c r="C9" s="142" t="s">
        <v>180</v>
      </c>
      <c r="D9" s="142" t="s">
        <v>326</v>
      </c>
      <c r="E9" s="62"/>
      <c r="F9" s="63" t="s">
        <v>696</v>
      </c>
      <c r="G9" s="63" t="s">
        <v>696</v>
      </c>
      <c r="H9" s="63" t="s">
        <v>696</v>
      </c>
      <c r="I9" s="63" t="s">
        <v>696</v>
      </c>
      <c r="J9" s="63"/>
      <c r="K9" s="63" t="s">
        <v>735</v>
      </c>
      <c r="L9" s="63" t="s">
        <v>696</v>
      </c>
      <c r="M9" s="63" t="s">
        <v>696</v>
      </c>
      <c r="N9" s="64"/>
      <c r="O9" s="64"/>
      <c r="P9" s="64"/>
      <c r="Q9" s="64"/>
      <c r="R9" s="64"/>
      <c r="S9" s="65"/>
      <c r="T9" s="66" t="s">
        <v>878</v>
      </c>
      <c r="U9" s="67" t="n">
        <v>45715</v>
      </c>
      <c r="V9" s="67" t="n">
        <v>45715</v>
      </c>
      <c r="W9" s="67" t="n">
        <v>45715</v>
      </c>
      <c r="X9" s="68" t="n">
        <v>10</v>
      </c>
      <c r="Y9" s="69"/>
      <c r="Z9" s="70" t="n">
        <v>8823</v>
      </c>
      <c r="AA9" s="67" t="n">
        <v>45729</v>
      </c>
      <c r="AB9" s="67" t="n">
        <v>45729</v>
      </c>
      <c r="AC9" s="67" t="n">
        <v>45729</v>
      </c>
      <c r="AD9" s="68" t="n">
        <v>10</v>
      </c>
      <c r="AE9" s="69"/>
      <c r="AF9" s="70" t="n">
        <v>9533</v>
      </c>
      <c r="AG9" s="106" t="n">
        <v>45743</v>
      </c>
      <c r="AH9" s="106" t="n">
        <v>45743</v>
      </c>
      <c r="AI9" s="106" t="n">
        <v>45743</v>
      </c>
      <c r="AJ9" s="68" t="n">
        <v>10</v>
      </c>
      <c r="AK9" s="69"/>
      <c r="AL9" s="70" t="n">
        <v>4384</v>
      </c>
      <c r="AM9" s="106" t="n">
        <v>45799</v>
      </c>
      <c r="AN9" s="106" t="n">
        <v>45799</v>
      </c>
      <c r="AO9" s="106" t="n">
        <v>45799</v>
      </c>
      <c r="AP9" s="68" t="n">
        <v>10</v>
      </c>
      <c r="AQ9" s="69"/>
      <c r="AR9" s="70" t="n">
        <v>3178</v>
      </c>
      <c r="AS9" s="106" t="n">
        <v>45803</v>
      </c>
      <c r="AT9" s="106" t="n">
        <v>45803</v>
      </c>
      <c r="AU9" s="106" t="n">
        <v>45803</v>
      </c>
      <c r="AV9" s="68" t="n">
        <v>10</v>
      </c>
      <c r="AW9" s="69"/>
      <c r="AX9" s="68" t="n">
        <v>2</v>
      </c>
      <c r="AY9" s="68" t="n">
        <v>0</v>
      </c>
      <c r="AZ9" s="69"/>
      <c r="BA9" s="106" t="n">
        <v>45792</v>
      </c>
      <c r="BB9" s="71" t="n">
        <v>6</v>
      </c>
      <c r="BC9" s="72"/>
      <c r="BD9" s="73" t="str">
        <f aca="false">IF(AND(BB9&gt;=6,AP9&gt;=6,AJ9&gt;=6,AD9&gt;=6,X9&gt;=6),"да","нет")</f>
        <v>да</v>
      </c>
      <c r="BE9" s="72"/>
      <c r="BF9" s="118" t="n">
        <v>45822</v>
      </c>
      <c r="BG9" s="71" t="n">
        <v>28</v>
      </c>
      <c r="BH9" s="68"/>
      <c r="BI9" s="50"/>
      <c r="BJ9" s="75" t="n">
        <f aca="false">SUM(X9,AD9,AJ9,AP9,AV9,AX9:AY9,BH9,BB9,BG9)</f>
        <v>86</v>
      </c>
      <c r="BK9" s="73" t="str">
        <f aca="false">IF(BJ9&gt;90,"A",IF(BJ9&gt;83,"B",IF(BJ9&gt;74,"C",IF(BJ9&gt;67,"D",IF(BJ9&gt;=60,"E","FX")))))</f>
        <v>B</v>
      </c>
    </row>
    <row r="10" customFormat="false" ht="15.75" hidden="false" customHeight="false" outlineLevel="0" collapsed="false">
      <c r="A10" s="59" t="n">
        <f aca="false">A9+1</f>
        <v>8</v>
      </c>
      <c r="B10" s="141" t="s">
        <v>357</v>
      </c>
      <c r="C10" s="142" t="s">
        <v>180</v>
      </c>
      <c r="D10" s="142" t="s">
        <v>356</v>
      </c>
      <c r="E10" s="62"/>
      <c r="F10" s="63" t="s">
        <v>696</v>
      </c>
      <c r="G10" s="63" t="s">
        <v>696</v>
      </c>
      <c r="H10" s="63" t="s">
        <v>696</v>
      </c>
      <c r="I10" s="63" t="s">
        <v>696</v>
      </c>
      <c r="J10" s="63"/>
      <c r="K10" s="63" t="s">
        <v>735</v>
      </c>
      <c r="L10" s="63" t="s">
        <v>696</v>
      </c>
      <c r="M10" s="63" t="s">
        <v>696</v>
      </c>
      <c r="N10" s="64"/>
      <c r="O10" s="64"/>
      <c r="P10" s="64"/>
      <c r="Q10" s="64"/>
      <c r="R10" s="64"/>
      <c r="S10" s="65"/>
      <c r="T10" s="66" t="s">
        <v>879</v>
      </c>
      <c r="U10" s="67" t="n">
        <v>45701</v>
      </c>
      <c r="V10" s="67" t="n">
        <v>45701</v>
      </c>
      <c r="W10" s="67" t="n">
        <v>45701</v>
      </c>
      <c r="X10" s="68" t="n">
        <v>10</v>
      </c>
      <c r="Y10" s="69"/>
      <c r="Z10" s="70" t="n">
        <v>5783</v>
      </c>
      <c r="AA10" s="67" t="n">
        <v>45729</v>
      </c>
      <c r="AB10" s="67" t="n">
        <v>45729</v>
      </c>
      <c r="AC10" s="67" t="n">
        <v>45729</v>
      </c>
      <c r="AD10" s="68" t="n">
        <v>10</v>
      </c>
      <c r="AE10" s="69"/>
      <c r="AF10" s="70" t="n">
        <v>9456</v>
      </c>
      <c r="AG10" s="106" t="n">
        <v>45799</v>
      </c>
      <c r="AH10" s="106" t="n">
        <v>45799</v>
      </c>
      <c r="AI10" s="106" t="n">
        <v>45799</v>
      </c>
      <c r="AJ10" s="68" t="n">
        <v>10</v>
      </c>
      <c r="AK10" s="69"/>
      <c r="AL10" s="70" t="n">
        <v>5884</v>
      </c>
      <c r="AM10" s="106" t="n">
        <v>45803</v>
      </c>
      <c r="AN10" s="106" t="n">
        <v>45803</v>
      </c>
      <c r="AO10" s="106" t="n">
        <v>45803</v>
      </c>
      <c r="AP10" s="68" t="n">
        <v>10</v>
      </c>
      <c r="AQ10" s="69"/>
      <c r="AR10" s="70" t="n">
        <v>4782</v>
      </c>
      <c r="AS10" s="70" t="s">
        <v>737</v>
      </c>
      <c r="AT10" s="70" t="s">
        <v>737</v>
      </c>
      <c r="AU10" s="70" t="s">
        <v>737</v>
      </c>
      <c r="AV10" s="68" t="n">
        <v>0</v>
      </c>
      <c r="AW10" s="69"/>
      <c r="AX10" s="68" t="n">
        <v>2</v>
      </c>
      <c r="AY10" s="68" t="n">
        <v>1</v>
      </c>
      <c r="AZ10" s="69"/>
      <c r="BA10" s="106" t="n">
        <v>45827</v>
      </c>
      <c r="BB10" s="71" t="n">
        <v>6</v>
      </c>
      <c r="BC10" s="72"/>
      <c r="BD10" s="73" t="str">
        <f aca="false">IF(AND(BB10&gt;=6,AP10&gt;=6,AJ10&gt;=6,AD10&gt;=6,X10&gt;=6),"да","нет")</f>
        <v>да</v>
      </c>
      <c r="BE10" s="72"/>
      <c r="BF10" s="118"/>
      <c r="BG10" s="71"/>
      <c r="BH10" s="68"/>
      <c r="BI10" s="50"/>
      <c r="BJ10" s="75" t="n">
        <f aca="false">SUM(X10,AD10,AJ10,AP10,AV10,AX10:AY10,BH10,BB10,BG10)</f>
        <v>49</v>
      </c>
      <c r="BK10" s="73" t="str">
        <f aca="false">IF(BJ10&gt;90,"A",IF(BJ10&gt;83,"B",IF(BJ10&gt;74,"C",IF(BJ10&gt;67,"D",IF(BJ10&gt;=60,"E","FX")))))</f>
        <v>FX</v>
      </c>
    </row>
    <row r="11" customFormat="false" ht="15.75" hidden="false" customHeight="false" outlineLevel="0" collapsed="false">
      <c r="A11" s="59" t="n">
        <f aca="false">A10+1</f>
        <v>9</v>
      </c>
      <c r="B11" s="141" t="s">
        <v>363</v>
      </c>
      <c r="C11" s="142" t="s">
        <v>180</v>
      </c>
      <c r="D11" s="142" t="s">
        <v>362</v>
      </c>
      <c r="E11" s="62"/>
      <c r="F11" s="63" t="s">
        <v>696</v>
      </c>
      <c r="G11" s="63" t="s">
        <v>696</v>
      </c>
      <c r="H11" s="63" t="s">
        <v>735</v>
      </c>
      <c r="I11" s="63" t="s">
        <v>696</v>
      </c>
      <c r="J11" s="63"/>
      <c r="K11" s="63" t="s">
        <v>696</v>
      </c>
      <c r="L11" s="63" t="s">
        <v>696</v>
      </c>
      <c r="M11" s="63" t="s">
        <v>696</v>
      </c>
      <c r="N11" s="64"/>
      <c r="O11" s="64"/>
      <c r="P11" s="64"/>
      <c r="Q11" s="64"/>
      <c r="R11" s="64"/>
      <c r="S11" s="65"/>
      <c r="T11" s="66" t="s">
        <v>880</v>
      </c>
      <c r="U11" s="67" t="n">
        <v>45729</v>
      </c>
      <c r="V11" s="67" t="n">
        <v>45729</v>
      </c>
      <c r="W11" s="67" t="n">
        <v>45729</v>
      </c>
      <c r="X11" s="68" t="n">
        <v>10</v>
      </c>
      <c r="Y11" s="69"/>
      <c r="Z11" s="70" t="n">
        <v>1943</v>
      </c>
      <c r="AA11" s="67" t="n">
        <v>45799</v>
      </c>
      <c r="AB11" s="67" t="n">
        <v>45799</v>
      </c>
      <c r="AC11" s="67" t="n">
        <v>45799</v>
      </c>
      <c r="AD11" s="68" t="n">
        <v>10</v>
      </c>
      <c r="AE11" s="69"/>
      <c r="AF11" s="70" t="n">
        <v>3588</v>
      </c>
      <c r="AG11" s="106" t="n">
        <v>45803</v>
      </c>
      <c r="AH11" s="106" t="n">
        <v>45803</v>
      </c>
      <c r="AI11" s="106" t="n">
        <v>45803</v>
      </c>
      <c r="AJ11" s="68" t="n">
        <v>10</v>
      </c>
      <c r="AK11" s="69"/>
      <c r="AL11" s="70" t="n">
        <v>8476</v>
      </c>
      <c r="AM11" s="106" t="n">
        <v>45814</v>
      </c>
      <c r="AN11" s="106" t="n">
        <v>45814</v>
      </c>
      <c r="AO11" s="106" t="n">
        <v>45814</v>
      </c>
      <c r="AP11" s="68" t="n">
        <v>10</v>
      </c>
      <c r="AQ11" s="69"/>
      <c r="AR11" s="70" t="n">
        <v>8246</v>
      </c>
      <c r="AS11" s="70" t="s">
        <v>737</v>
      </c>
      <c r="AT11" s="70" t="s">
        <v>737</v>
      </c>
      <c r="AU11" s="70" t="s">
        <v>737</v>
      </c>
      <c r="AV11" s="68" t="n">
        <v>0</v>
      </c>
      <c r="AW11" s="69"/>
      <c r="AX11" s="68" t="n">
        <v>0</v>
      </c>
      <c r="AY11" s="68" t="n">
        <v>1</v>
      </c>
      <c r="AZ11" s="69"/>
      <c r="BA11" s="106" t="n">
        <v>45827</v>
      </c>
      <c r="BB11" s="71" t="n">
        <v>7</v>
      </c>
      <c r="BC11" s="72"/>
      <c r="BD11" s="73" t="str">
        <f aca="false">IF(AND(BB11&gt;=6,AP11&gt;=6,AJ11&gt;=6,AD11&gt;=6,X11&gt;=6),"да","нет")</f>
        <v>да</v>
      </c>
      <c r="BE11" s="72"/>
      <c r="BF11" s="118" t="n">
        <v>45836</v>
      </c>
      <c r="BG11" s="71" t="n">
        <v>26</v>
      </c>
      <c r="BH11" s="68" t="n">
        <v>1</v>
      </c>
      <c r="BI11" s="50"/>
      <c r="BJ11" s="75" t="n">
        <f aca="false">SUM(X11,AD11,AJ11,AP11,AV11,AX11:AY11,BH11,BB11,BG11)</f>
        <v>75</v>
      </c>
      <c r="BK11" s="73" t="str">
        <f aca="false">IF(BJ11&gt;90,"A",IF(BJ11&gt;83,"B",IF(BJ11&gt;74,"C",IF(BJ11&gt;67,"D",IF(BJ11&gt;=60,"E","FX")))))</f>
        <v>C</v>
      </c>
    </row>
    <row r="12" customFormat="false" ht="15.75" hidden="false" customHeight="false" outlineLevel="0" collapsed="false">
      <c r="A12" s="59" t="n">
        <f aca="false">A11+1</f>
        <v>10</v>
      </c>
      <c r="B12" s="141" t="s">
        <v>381</v>
      </c>
      <c r="C12" s="142" t="s">
        <v>180</v>
      </c>
      <c r="D12" s="142" t="s">
        <v>380</v>
      </c>
      <c r="E12" s="62"/>
      <c r="F12" s="63" t="s">
        <v>735</v>
      </c>
      <c r="G12" s="63" t="s">
        <v>735</v>
      </c>
      <c r="H12" s="63" t="s">
        <v>735</v>
      </c>
      <c r="I12" s="63" t="s">
        <v>735</v>
      </c>
      <c r="J12" s="63"/>
      <c r="K12" s="63" t="s">
        <v>735</v>
      </c>
      <c r="L12" s="63" t="s">
        <v>735</v>
      </c>
      <c r="M12" s="63" t="s">
        <v>735</v>
      </c>
      <c r="N12" s="64"/>
      <c r="O12" s="64"/>
      <c r="P12" s="64"/>
      <c r="Q12" s="64"/>
      <c r="R12" s="64"/>
      <c r="S12" s="65"/>
      <c r="T12" s="66" t="s">
        <v>881</v>
      </c>
      <c r="U12" s="67"/>
      <c r="V12" s="67"/>
      <c r="W12" s="67"/>
      <c r="X12" s="68"/>
      <c r="Y12" s="69"/>
      <c r="Z12" s="70"/>
      <c r="AA12" s="67"/>
      <c r="AB12" s="67"/>
      <c r="AC12" s="67"/>
      <c r="AD12" s="68"/>
      <c r="AE12" s="69"/>
      <c r="AF12" s="70"/>
      <c r="AG12" s="70"/>
      <c r="AH12" s="70"/>
      <c r="AI12" s="70"/>
      <c r="AJ12" s="68"/>
      <c r="AK12" s="69"/>
      <c r="AL12" s="70"/>
      <c r="AM12" s="70"/>
      <c r="AN12" s="70"/>
      <c r="AO12" s="70"/>
      <c r="AP12" s="68"/>
      <c r="AQ12" s="69"/>
      <c r="AR12" s="70" t="s">
        <v>737</v>
      </c>
      <c r="AS12" s="70" t="s">
        <v>737</v>
      </c>
      <c r="AT12" s="70" t="s">
        <v>737</v>
      </c>
      <c r="AU12" s="70" t="s">
        <v>737</v>
      </c>
      <c r="AV12" s="68" t="n">
        <v>0</v>
      </c>
      <c r="AW12" s="69"/>
      <c r="AX12" s="68"/>
      <c r="AY12" s="68"/>
      <c r="AZ12" s="69"/>
      <c r="BA12" s="70"/>
      <c r="BB12" s="71"/>
      <c r="BC12" s="72"/>
      <c r="BD12" s="73" t="str">
        <f aca="false">IF(AND(BB12&gt;=6,AP12&gt;=6,AJ12&gt;=6,AD12&gt;=6,X12&gt;=6),"да","нет")</f>
        <v>нет</v>
      </c>
      <c r="BE12" s="72"/>
      <c r="BF12" s="118"/>
      <c r="BG12" s="71"/>
      <c r="BH12" s="68"/>
      <c r="BI12" s="50"/>
      <c r="BJ12" s="75" t="n">
        <f aca="false">SUM(X12,AD12,AJ12,AP12,AV12,AX12:AY12,BH12,BB12,BG12)</f>
        <v>0</v>
      </c>
      <c r="BK12" s="73" t="str">
        <f aca="false">IF(BJ12&gt;90,"A",IF(BJ12&gt;83,"B",IF(BJ12&gt;74,"C",IF(BJ12&gt;67,"D",IF(BJ12&gt;=60,"E","FX")))))</f>
        <v>FX</v>
      </c>
    </row>
    <row r="13" customFormat="false" ht="15.75" hidden="false" customHeight="false" outlineLevel="0" collapsed="false">
      <c r="A13" s="59" t="n">
        <f aca="false">A12+1</f>
        <v>11</v>
      </c>
      <c r="B13" s="141" t="s">
        <v>429</v>
      </c>
      <c r="C13" s="142" t="s">
        <v>180</v>
      </c>
      <c r="D13" s="142" t="s">
        <v>428</v>
      </c>
      <c r="E13" s="62"/>
      <c r="F13" s="63" t="s">
        <v>735</v>
      </c>
      <c r="G13" s="63" t="s">
        <v>696</v>
      </c>
      <c r="H13" s="63" t="s">
        <v>696</v>
      </c>
      <c r="I13" s="63" t="s">
        <v>696</v>
      </c>
      <c r="J13" s="63"/>
      <c r="K13" s="63" t="s">
        <v>696</v>
      </c>
      <c r="L13" s="63" t="s">
        <v>735</v>
      </c>
      <c r="M13" s="63" t="s">
        <v>735</v>
      </c>
      <c r="N13" s="64"/>
      <c r="O13" s="64"/>
      <c r="P13" s="64"/>
      <c r="Q13" s="64"/>
      <c r="R13" s="64"/>
      <c r="S13" s="65"/>
      <c r="T13" s="66" t="s">
        <v>882</v>
      </c>
      <c r="U13" s="67" t="n">
        <v>45715</v>
      </c>
      <c r="V13" s="67" t="n">
        <v>45715</v>
      </c>
      <c r="W13" s="67" t="n">
        <v>45715</v>
      </c>
      <c r="X13" s="68" t="n">
        <v>10</v>
      </c>
      <c r="Y13" s="69"/>
      <c r="Z13" s="70" t="n">
        <v>2824</v>
      </c>
      <c r="AA13" s="67" t="n">
        <v>45729</v>
      </c>
      <c r="AB13" s="67" t="n">
        <v>45729</v>
      </c>
      <c r="AC13" s="67" t="n">
        <v>45729</v>
      </c>
      <c r="AD13" s="68" t="n">
        <v>10</v>
      </c>
      <c r="AE13" s="69"/>
      <c r="AF13" s="70" t="n">
        <v>7587</v>
      </c>
      <c r="AG13" s="106" t="n">
        <v>45743</v>
      </c>
      <c r="AH13" s="106" t="n">
        <v>45743</v>
      </c>
      <c r="AI13" s="106" t="n">
        <v>45743</v>
      </c>
      <c r="AJ13" s="68" t="n">
        <v>10</v>
      </c>
      <c r="AK13" s="69"/>
      <c r="AL13" s="70" t="n">
        <v>3289</v>
      </c>
      <c r="AM13" s="106" t="n">
        <v>45814</v>
      </c>
      <c r="AN13" s="106" t="n">
        <v>45814</v>
      </c>
      <c r="AO13" s="106" t="n">
        <v>45814</v>
      </c>
      <c r="AP13" s="68" t="n">
        <v>10</v>
      </c>
      <c r="AQ13" s="69"/>
      <c r="AR13" s="70" t="n">
        <v>8786</v>
      </c>
      <c r="AS13" s="106" t="n">
        <v>45821</v>
      </c>
      <c r="AT13" s="106" t="n">
        <v>45821</v>
      </c>
      <c r="AU13" s="106" t="n">
        <v>45821</v>
      </c>
      <c r="AV13" s="68" t="n">
        <v>10</v>
      </c>
      <c r="AW13" s="69"/>
      <c r="AX13" s="68"/>
      <c r="AY13" s="68"/>
      <c r="AZ13" s="69"/>
      <c r="BA13" s="106" t="n">
        <v>45792</v>
      </c>
      <c r="BB13" s="71" t="n">
        <v>6</v>
      </c>
      <c r="BC13" s="72"/>
      <c r="BD13" s="73" t="str">
        <f aca="false">IF(AND(BB13&gt;=6,AP13&gt;=6,AJ13&gt;=6,AD13&gt;=6,X13&gt;=6),"да","нет")</f>
        <v>да</v>
      </c>
      <c r="BE13" s="72"/>
      <c r="BF13" s="118" t="n">
        <v>45822</v>
      </c>
      <c r="BG13" s="71" t="n">
        <v>25.1</v>
      </c>
      <c r="BH13" s="68" t="n">
        <v>3</v>
      </c>
      <c r="BI13" s="50"/>
      <c r="BJ13" s="75" t="n">
        <f aca="false">SUM(X13,AD13,AJ13,AP13,AV13,AX13:AY13,BH13,BB13,BG13)</f>
        <v>84.1</v>
      </c>
      <c r="BK13" s="73" t="str">
        <f aca="false">IF(BJ13&gt;90,"A",IF(BJ13&gt;83,"B",IF(BJ13&gt;74,"C",IF(BJ13&gt;67,"D",IF(BJ13&gt;=60,"E","FX")))))</f>
        <v>B</v>
      </c>
    </row>
    <row r="14" customFormat="false" ht="15.75" hidden="false" customHeight="false" outlineLevel="0" collapsed="false">
      <c r="A14" s="59" t="n">
        <f aca="false">A13+1</f>
        <v>12</v>
      </c>
      <c r="B14" s="141" t="s">
        <v>883</v>
      </c>
      <c r="C14" s="142" t="s">
        <v>180</v>
      </c>
      <c r="D14" s="142" t="s">
        <v>884</v>
      </c>
      <c r="E14" s="62"/>
      <c r="F14" s="63" t="s">
        <v>735</v>
      </c>
      <c r="G14" s="63" t="s">
        <v>735</v>
      </c>
      <c r="H14" s="63" t="s">
        <v>735</v>
      </c>
      <c r="I14" s="63" t="s">
        <v>735</v>
      </c>
      <c r="J14" s="63"/>
      <c r="K14" s="63" t="s">
        <v>735</v>
      </c>
      <c r="L14" s="63" t="s">
        <v>735</v>
      </c>
      <c r="M14" s="63" t="s">
        <v>735</v>
      </c>
      <c r="N14" s="64"/>
      <c r="O14" s="64"/>
      <c r="P14" s="64"/>
      <c r="Q14" s="64"/>
      <c r="R14" s="64"/>
      <c r="S14" s="65"/>
      <c r="T14" s="66" t="s">
        <v>885</v>
      </c>
      <c r="U14" s="67"/>
      <c r="V14" s="67"/>
      <c r="W14" s="67"/>
      <c r="X14" s="68"/>
      <c r="Y14" s="69"/>
      <c r="Z14" s="70"/>
      <c r="AA14" s="67"/>
      <c r="AB14" s="67"/>
      <c r="AC14" s="67"/>
      <c r="AD14" s="68"/>
      <c r="AE14" s="69"/>
      <c r="AF14" s="70"/>
      <c r="AG14" s="70"/>
      <c r="AH14" s="70"/>
      <c r="AI14" s="70"/>
      <c r="AJ14" s="68"/>
      <c r="AK14" s="69"/>
      <c r="AL14" s="70"/>
      <c r="AM14" s="70"/>
      <c r="AN14" s="70"/>
      <c r="AO14" s="70"/>
      <c r="AP14" s="68"/>
      <c r="AQ14" s="69"/>
      <c r="AR14" s="70" t="s">
        <v>737</v>
      </c>
      <c r="AS14" s="70" t="s">
        <v>737</v>
      </c>
      <c r="AT14" s="70" t="s">
        <v>737</v>
      </c>
      <c r="AU14" s="70" t="s">
        <v>737</v>
      </c>
      <c r="AV14" s="68" t="n">
        <v>0</v>
      </c>
      <c r="AW14" s="69"/>
      <c r="AX14" s="68"/>
      <c r="AY14" s="68"/>
      <c r="AZ14" s="69"/>
      <c r="BA14" s="70"/>
      <c r="BB14" s="71"/>
      <c r="BC14" s="72"/>
      <c r="BD14" s="73" t="str">
        <f aca="false">IF(AND(BB14&gt;=6,AP14&gt;=6,AJ14&gt;=6,AD14&gt;=6,X14&gt;=6),"да","нет")</f>
        <v>нет</v>
      </c>
      <c r="BE14" s="72"/>
      <c r="BF14" s="118"/>
      <c r="BG14" s="71"/>
      <c r="BH14" s="68"/>
      <c r="BI14" s="50"/>
      <c r="BJ14" s="75" t="n">
        <f aca="false">SUM(X14,AD14,AJ14,AP14,AV14,AX14:AY14,BH14,BB14,BG14)</f>
        <v>0</v>
      </c>
      <c r="BK14" s="73" t="str">
        <f aca="false">IF(BJ14&gt;90,"A",IF(BJ14&gt;83,"B",IF(BJ14&gt;74,"C",IF(BJ14&gt;67,"D",IF(BJ14&gt;=60,"E","FX")))))</f>
        <v>FX</v>
      </c>
    </row>
    <row r="15" customFormat="false" ht="15.75" hidden="false" customHeight="false" outlineLevel="0" collapsed="false">
      <c r="A15" s="59" t="n">
        <f aca="false">A14+1</f>
        <v>13</v>
      </c>
      <c r="B15" s="143" t="s">
        <v>443</v>
      </c>
      <c r="C15" s="142" t="s">
        <v>180</v>
      </c>
      <c r="D15" s="142" t="s">
        <v>442</v>
      </c>
      <c r="E15" s="62"/>
      <c r="F15" s="63" t="s">
        <v>696</v>
      </c>
      <c r="G15" s="63" t="s">
        <v>696</v>
      </c>
      <c r="H15" s="63" t="s">
        <v>696</v>
      </c>
      <c r="I15" s="63" t="s">
        <v>696</v>
      </c>
      <c r="J15" s="63"/>
      <c r="K15" s="63" t="s">
        <v>735</v>
      </c>
      <c r="L15" s="63" t="s">
        <v>696</v>
      </c>
      <c r="M15" s="63" t="s">
        <v>696</v>
      </c>
      <c r="N15" s="64"/>
      <c r="O15" s="64"/>
      <c r="P15" s="64"/>
      <c r="Q15" s="64"/>
      <c r="R15" s="64"/>
      <c r="S15" s="65"/>
      <c r="T15" s="66" t="s">
        <v>886</v>
      </c>
      <c r="U15" s="67" t="n">
        <v>45701</v>
      </c>
      <c r="V15" s="67" t="n">
        <v>45701</v>
      </c>
      <c r="W15" s="67" t="n">
        <v>45701</v>
      </c>
      <c r="X15" s="68" t="n">
        <v>10</v>
      </c>
      <c r="Y15" s="69"/>
      <c r="Z15" s="70" t="n">
        <v>6389</v>
      </c>
      <c r="AA15" s="67" t="n">
        <v>45729</v>
      </c>
      <c r="AB15" s="67" t="n">
        <v>45729</v>
      </c>
      <c r="AC15" s="67" t="n">
        <v>45729</v>
      </c>
      <c r="AD15" s="68" t="n">
        <v>10</v>
      </c>
      <c r="AE15" s="69"/>
      <c r="AF15" s="70" t="n">
        <v>2567</v>
      </c>
      <c r="AG15" s="106" t="n">
        <v>45799</v>
      </c>
      <c r="AH15" s="106" t="n">
        <v>45799</v>
      </c>
      <c r="AI15" s="106" t="n">
        <v>45799</v>
      </c>
      <c r="AJ15" s="68" t="n">
        <v>10</v>
      </c>
      <c r="AK15" s="69"/>
      <c r="AL15" s="70" t="n">
        <v>2485</v>
      </c>
      <c r="AM15" s="106" t="n">
        <v>45803</v>
      </c>
      <c r="AN15" s="106" t="n">
        <v>45803</v>
      </c>
      <c r="AO15" s="106" t="n">
        <v>45803</v>
      </c>
      <c r="AP15" s="68" t="n">
        <v>9</v>
      </c>
      <c r="AQ15" s="69"/>
      <c r="AR15" s="70" t="n">
        <v>3878</v>
      </c>
      <c r="AS15" s="70" t="s">
        <v>737</v>
      </c>
      <c r="AT15" s="70" t="s">
        <v>737</v>
      </c>
      <c r="AU15" s="70" t="s">
        <v>737</v>
      </c>
      <c r="AV15" s="68" t="n">
        <v>0</v>
      </c>
      <c r="AW15" s="69"/>
      <c r="AX15" s="68" t="n">
        <v>1</v>
      </c>
      <c r="AY15" s="68" t="n">
        <v>0</v>
      </c>
      <c r="AZ15" s="69"/>
      <c r="BA15" s="106" t="n">
        <v>45827</v>
      </c>
      <c r="BB15" s="71" t="n">
        <v>7</v>
      </c>
      <c r="BC15" s="72"/>
      <c r="BD15" s="73" t="str">
        <f aca="false">IF(AND(BB15&gt;=6,AP15&gt;=6,AJ15&gt;=6,AD15&gt;=6,X15&gt;=6),"да","нет")</f>
        <v>да</v>
      </c>
      <c r="BE15" s="72"/>
      <c r="BF15" s="118" t="n">
        <v>45836</v>
      </c>
      <c r="BG15" s="71" t="n">
        <v>25</v>
      </c>
      <c r="BH15" s="68" t="n">
        <v>3</v>
      </c>
      <c r="BI15" s="50"/>
      <c r="BJ15" s="75" t="n">
        <f aca="false">SUM(X15,AD15,AJ15,AP15,AV15,AX15:AY15,BH15,BB15,BG15)</f>
        <v>75</v>
      </c>
      <c r="BK15" s="73" t="str">
        <f aca="false">IF(BJ15&gt;90,"A",IF(BJ15&gt;83,"B",IF(BJ15&gt;74,"C",IF(BJ15&gt;67,"D",IF(BJ15&gt;=60,"E","FX")))))</f>
        <v>C</v>
      </c>
    </row>
    <row r="16" customFormat="false" ht="15.75" hidden="false" customHeight="false" outlineLevel="0" collapsed="false">
      <c r="A16" s="59" t="n">
        <f aca="false">A15+1</f>
        <v>14</v>
      </c>
      <c r="B16" s="141" t="s">
        <v>487</v>
      </c>
      <c r="C16" s="142" t="s">
        <v>180</v>
      </c>
      <c r="D16" s="142" t="s">
        <v>486</v>
      </c>
      <c r="E16" s="62"/>
      <c r="F16" s="63" t="s">
        <v>735</v>
      </c>
      <c r="G16" s="63" t="s">
        <v>735</v>
      </c>
      <c r="H16" s="63" t="s">
        <v>735</v>
      </c>
      <c r="I16" s="63" t="s">
        <v>735</v>
      </c>
      <c r="J16" s="63"/>
      <c r="K16" s="63" t="s">
        <v>735</v>
      </c>
      <c r="L16" s="63" t="s">
        <v>735</v>
      </c>
      <c r="M16" s="63" t="s">
        <v>735</v>
      </c>
      <c r="N16" s="64"/>
      <c r="O16" s="64"/>
      <c r="P16" s="64"/>
      <c r="Q16" s="64"/>
      <c r="R16" s="64"/>
      <c r="S16" s="65"/>
      <c r="T16" s="66" t="s">
        <v>887</v>
      </c>
      <c r="U16" s="67"/>
      <c r="V16" s="67"/>
      <c r="W16" s="67"/>
      <c r="X16" s="68"/>
      <c r="Y16" s="69"/>
      <c r="Z16" s="70"/>
      <c r="AA16" s="67"/>
      <c r="AB16" s="67"/>
      <c r="AC16" s="67"/>
      <c r="AD16" s="68"/>
      <c r="AE16" s="69"/>
      <c r="AF16" s="70"/>
      <c r="AG16" s="70"/>
      <c r="AH16" s="70"/>
      <c r="AI16" s="70"/>
      <c r="AJ16" s="68"/>
      <c r="AK16" s="69"/>
      <c r="AL16" s="70"/>
      <c r="AM16" s="70"/>
      <c r="AN16" s="70"/>
      <c r="AO16" s="70"/>
      <c r="AP16" s="68"/>
      <c r="AQ16" s="69"/>
      <c r="AR16" s="70" t="s">
        <v>737</v>
      </c>
      <c r="AS16" s="70" t="s">
        <v>737</v>
      </c>
      <c r="AT16" s="70" t="s">
        <v>737</v>
      </c>
      <c r="AU16" s="70" t="s">
        <v>737</v>
      </c>
      <c r="AV16" s="68" t="n">
        <v>0</v>
      </c>
      <c r="AW16" s="69"/>
      <c r="AX16" s="68"/>
      <c r="AY16" s="68"/>
      <c r="AZ16" s="69"/>
      <c r="BA16" s="70"/>
      <c r="BB16" s="71"/>
      <c r="BC16" s="72"/>
      <c r="BD16" s="73" t="str">
        <f aca="false">IF(AND(BB16&gt;=6,AP16&gt;=6,AJ16&gt;=6,AD16&gt;=6,X16&gt;=6),"да","нет")</f>
        <v>нет</v>
      </c>
      <c r="BE16" s="72"/>
      <c r="BF16" s="118"/>
      <c r="BG16" s="71"/>
      <c r="BH16" s="68"/>
      <c r="BI16" s="50"/>
      <c r="BJ16" s="75" t="n">
        <f aca="false">SUM(X16,AD16,AJ16,AP16,AV16,AX16:AY16,BH16,BB16,BG16)</f>
        <v>0</v>
      </c>
      <c r="BK16" s="73" t="str">
        <f aca="false">IF(BJ16&gt;90,"A",IF(BJ16&gt;83,"B",IF(BJ16&gt;74,"C",IF(BJ16&gt;67,"D",IF(BJ16&gt;=60,"E","FX")))))</f>
        <v>FX</v>
      </c>
    </row>
    <row r="17" customFormat="false" ht="15.75" hidden="false" customHeight="false" outlineLevel="0" collapsed="false">
      <c r="A17" s="59" t="n">
        <f aca="false">A16+1</f>
        <v>15</v>
      </c>
      <c r="B17" s="141" t="s">
        <v>523</v>
      </c>
      <c r="C17" s="142" t="s">
        <v>180</v>
      </c>
      <c r="D17" s="142" t="s">
        <v>522</v>
      </c>
      <c r="E17" s="62"/>
      <c r="F17" s="63" t="s">
        <v>696</v>
      </c>
      <c r="G17" s="63" t="s">
        <v>696</v>
      </c>
      <c r="H17" s="63" t="s">
        <v>696</v>
      </c>
      <c r="I17" s="63" t="s">
        <v>696</v>
      </c>
      <c r="J17" s="63"/>
      <c r="K17" s="63" t="s">
        <v>735</v>
      </c>
      <c r="L17" s="63" t="s">
        <v>696</v>
      </c>
      <c r="M17" s="63" t="s">
        <v>696</v>
      </c>
      <c r="N17" s="64"/>
      <c r="O17" s="64"/>
      <c r="P17" s="64"/>
      <c r="Q17" s="64"/>
      <c r="R17" s="64"/>
      <c r="S17" s="65"/>
      <c r="T17" s="66" t="s">
        <v>888</v>
      </c>
      <c r="U17" s="67" t="n">
        <v>45701</v>
      </c>
      <c r="V17" s="67" t="n">
        <v>45701</v>
      </c>
      <c r="W17" s="67" t="n">
        <v>45701</v>
      </c>
      <c r="X17" s="68" t="n">
        <v>10</v>
      </c>
      <c r="Y17" s="69"/>
      <c r="Z17" s="70" t="n">
        <v>3527</v>
      </c>
      <c r="AA17" s="67" t="n">
        <v>45715</v>
      </c>
      <c r="AB17" s="106" t="n">
        <v>45715</v>
      </c>
      <c r="AC17" s="67" t="n">
        <v>45715</v>
      </c>
      <c r="AD17" s="68" t="n">
        <v>10</v>
      </c>
      <c r="AE17" s="69"/>
      <c r="AF17" s="70" t="n">
        <v>4624</v>
      </c>
      <c r="AG17" s="67" t="n">
        <v>45701</v>
      </c>
      <c r="AH17" s="67" t="n">
        <v>45701</v>
      </c>
      <c r="AI17" s="67" t="n">
        <v>45701</v>
      </c>
      <c r="AJ17" s="68" t="n">
        <v>10</v>
      </c>
      <c r="AK17" s="69"/>
      <c r="AL17" s="70" t="n">
        <v>3567</v>
      </c>
      <c r="AM17" s="144" t="n">
        <v>45799</v>
      </c>
      <c r="AN17" s="106" t="n">
        <v>45799</v>
      </c>
      <c r="AO17" s="106" t="n">
        <v>45799</v>
      </c>
      <c r="AP17" s="68" t="n">
        <v>10</v>
      </c>
      <c r="AQ17" s="69"/>
      <c r="AR17" s="70" t="n">
        <v>3286</v>
      </c>
      <c r="AS17" s="106" t="n">
        <v>45821</v>
      </c>
      <c r="AT17" s="106" t="n">
        <v>45821</v>
      </c>
      <c r="AU17" s="106" t="n">
        <v>45821</v>
      </c>
      <c r="AV17" s="68" t="n">
        <v>10</v>
      </c>
      <c r="AW17" s="69"/>
      <c r="AX17" s="68" t="n">
        <v>0</v>
      </c>
      <c r="AY17" s="68"/>
      <c r="AZ17" s="69"/>
      <c r="BA17" s="106" t="n">
        <v>45792</v>
      </c>
      <c r="BB17" s="71" t="n">
        <v>6</v>
      </c>
      <c r="BC17" s="72"/>
      <c r="BD17" s="73" t="str">
        <f aca="false">IF(AND(BB17&gt;=6,AP17&gt;=6,AJ17&gt;=6,AD17&gt;=6,X17&gt;=6),"да","нет")</f>
        <v>да</v>
      </c>
      <c r="BE17" s="72"/>
      <c r="BF17" s="118" t="n">
        <v>45822</v>
      </c>
      <c r="BG17" s="71" t="n">
        <v>26</v>
      </c>
      <c r="BH17" s="68" t="n">
        <v>3</v>
      </c>
      <c r="BI17" s="50"/>
      <c r="BJ17" s="75" t="n">
        <f aca="false">SUM(X17,AD17,AJ17,AP17,AV17,AX17:AY17,BH17,BB17,BG17)</f>
        <v>85</v>
      </c>
      <c r="BK17" s="73" t="str">
        <f aca="false">IF(BJ17&gt;90,"A",IF(BJ17&gt;83,"B",IF(BJ17&gt;74,"C",IF(BJ17&gt;67,"D",IF(BJ17&gt;=60,"E","FX")))))</f>
        <v>B</v>
      </c>
    </row>
    <row r="18" customFormat="false" ht="15.75" hidden="false" customHeight="false" outlineLevel="0" collapsed="false">
      <c r="A18" s="59" t="n">
        <v>14</v>
      </c>
      <c r="B18" s="141" t="s">
        <v>519</v>
      </c>
      <c r="C18" s="142" t="s">
        <v>180</v>
      </c>
      <c r="D18" s="142" t="s">
        <v>518</v>
      </c>
      <c r="E18" s="62"/>
      <c r="F18" s="63" t="s">
        <v>696</v>
      </c>
      <c r="G18" s="63" t="s">
        <v>696</v>
      </c>
      <c r="H18" s="63" t="s">
        <v>696</v>
      </c>
      <c r="I18" s="63" t="s">
        <v>735</v>
      </c>
      <c r="J18" s="63"/>
      <c r="K18" s="63" t="s">
        <v>696</v>
      </c>
      <c r="L18" s="63" t="s">
        <v>735</v>
      </c>
      <c r="M18" s="63" t="s">
        <v>735</v>
      </c>
      <c r="N18" s="64"/>
      <c r="O18" s="64"/>
      <c r="P18" s="64"/>
      <c r="Q18" s="64"/>
      <c r="R18" s="64"/>
      <c r="S18" s="65"/>
      <c r="T18" s="66" t="s">
        <v>889</v>
      </c>
      <c r="U18" s="67" t="n">
        <v>45701</v>
      </c>
      <c r="V18" s="67" t="n">
        <v>45701</v>
      </c>
      <c r="W18" s="67" t="n">
        <v>45701</v>
      </c>
      <c r="X18" s="68" t="n">
        <v>10</v>
      </c>
      <c r="Y18" s="69"/>
      <c r="Z18" s="70" t="n">
        <v>2427</v>
      </c>
      <c r="AA18" s="67" t="n">
        <v>45715</v>
      </c>
      <c r="AB18" s="106" t="n">
        <v>45715</v>
      </c>
      <c r="AC18" s="67" t="n">
        <v>45715</v>
      </c>
      <c r="AD18" s="68" t="n">
        <v>10</v>
      </c>
      <c r="AE18" s="69"/>
      <c r="AF18" s="70" t="n">
        <v>7425</v>
      </c>
      <c r="AG18" s="67" t="n">
        <v>45701</v>
      </c>
      <c r="AH18" s="67" t="n">
        <v>45701</v>
      </c>
      <c r="AI18" s="67" t="n">
        <v>45701</v>
      </c>
      <c r="AJ18" s="68" t="n">
        <v>10</v>
      </c>
      <c r="AK18" s="69"/>
      <c r="AL18" s="70" t="n">
        <v>4876</v>
      </c>
      <c r="AM18" s="106" t="n">
        <v>45743</v>
      </c>
      <c r="AN18" s="106" t="n">
        <v>45743</v>
      </c>
      <c r="AO18" s="106" t="n">
        <v>45743</v>
      </c>
      <c r="AP18" s="68" t="n">
        <v>10</v>
      </c>
      <c r="AQ18" s="69"/>
      <c r="AR18" s="70" t="n">
        <v>7538</v>
      </c>
      <c r="AS18" s="70" t="s">
        <v>737</v>
      </c>
      <c r="AT18" s="70" t="s">
        <v>737</v>
      </c>
      <c r="AU18" s="70" t="s">
        <v>737</v>
      </c>
      <c r="AV18" s="68" t="n">
        <v>0</v>
      </c>
      <c r="AW18" s="69"/>
      <c r="AX18" s="68"/>
      <c r="AY18" s="68"/>
      <c r="AZ18" s="69"/>
      <c r="BA18" s="106" t="n">
        <v>45792</v>
      </c>
      <c r="BB18" s="71" t="n">
        <v>6</v>
      </c>
      <c r="BC18" s="72"/>
      <c r="BD18" s="73" t="str">
        <f aca="false">IF(AND(BB18&gt;=6,AP18&gt;=6,AJ18&gt;=6,AD18&gt;=6,X18&gt;=6),"да","нет")</f>
        <v>да</v>
      </c>
      <c r="BE18" s="72"/>
      <c r="BF18" s="118" t="n">
        <v>45822</v>
      </c>
      <c r="BG18" s="71" t="n">
        <v>27</v>
      </c>
      <c r="BH18" s="68" t="n">
        <v>2</v>
      </c>
      <c r="BI18" s="50"/>
      <c r="BJ18" s="75" t="n">
        <f aca="false">SUM(X18,AD18,AJ18,AP18,AV18,AX18:AY18,BH18,BB18,BG18)</f>
        <v>75</v>
      </c>
      <c r="BK18" s="73" t="str">
        <f aca="false">IF(BJ18&gt;90,"A",IF(BJ18&gt;83,"B",IF(BJ18&gt;74,"C",IF(BJ18&gt;67,"D",IF(BJ18&gt;=60,"E","FX")))))</f>
        <v>C</v>
      </c>
    </row>
    <row r="19" customFormat="false" ht="15.75" hidden="false" customHeight="false" outlineLevel="0" collapsed="false">
      <c r="A19" s="59" t="n">
        <v>15</v>
      </c>
      <c r="B19" s="141" t="s">
        <v>890</v>
      </c>
      <c r="C19" s="142" t="s">
        <v>180</v>
      </c>
      <c r="D19" s="142" t="s">
        <v>891</v>
      </c>
      <c r="E19" s="62"/>
      <c r="F19" s="63" t="s">
        <v>735</v>
      </c>
      <c r="G19" s="63" t="s">
        <v>735</v>
      </c>
      <c r="H19" s="63" t="s">
        <v>735</v>
      </c>
      <c r="I19" s="63" t="s">
        <v>735</v>
      </c>
      <c r="J19" s="63"/>
      <c r="K19" s="63" t="s">
        <v>735</v>
      </c>
      <c r="L19" s="63" t="s">
        <v>735</v>
      </c>
      <c r="M19" s="63" t="s">
        <v>735</v>
      </c>
      <c r="N19" s="64"/>
      <c r="O19" s="64"/>
      <c r="P19" s="64"/>
      <c r="Q19" s="64"/>
      <c r="R19" s="64"/>
      <c r="S19" s="65"/>
      <c r="T19" s="66" t="s">
        <v>892</v>
      </c>
      <c r="U19" s="67"/>
      <c r="V19" s="67"/>
      <c r="W19" s="67"/>
      <c r="X19" s="68"/>
      <c r="Y19" s="69"/>
      <c r="Z19" s="70"/>
      <c r="AA19" s="67"/>
      <c r="AB19" s="67"/>
      <c r="AC19" s="67"/>
      <c r="AD19" s="68"/>
      <c r="AE19" s="69"/>
      <c r="AF19" s="70"/>
      <c r="AG19" s="70"/>
      <c r="AH19" s="70"/>
      <c r="AI19" s="70"/>
      <c r="AJ19" s="68"/>
      <c r="AK19" s="69"/>
      <c r="AL19" s="70"/>
      <c r="AM19" s="70"/>
      <c r="AN19" s="70"/>
      <c r="AO19" s="70"/>
      <c r="AP19" s="68"/>
      <c r="AQ19" s="69"/>
      <c r="AR19" s="70" t="s">
        <v>737</v>
      </c>
      <c r="AS19" s="70" t="s">
        <v>737</v>
      </c>
      <c r="AT19" s="70" t="s">
        <v>737</v>
      </c>
      <c r="AU19" s="70" t="s">
        <v>737</v>
      </c>
      <c r="AV19" s="68" t="n">
        <v>0</v>
      </c>
      <c r="AW19" s="69"/>
      <c r="AX19" s="68"/>
      <c r="AY19" s="68"/>
      <c r="AZ19" s="69"/>
      <c r="BA19" s="70"/>
      <c r="BB19" s="71"/>
      <c r="BC19" s="72"/>
      <c r="BD19" s="73" t="str">
        <f aca="false">IF(AND(BB19&gt;=6,AP19&gt;=6,AJ19&gt;=6,AD19&gt;=6,X19&gt;=6),"да","нет")</f>
        <v>нет</v>
      </c>
      <c r="BE19" s="72"/>
      <c r="BF19" s="118"/>
      <c r="BG19" s="71"/>
      <c r="BH19" s="68"/>
      <c r="BI19" s="50"/>
      <c r="BJ19" s="75" t="n">
        <f aca="false">SUM(X19,AD19,AJ19,AP19,AV19,AX19:AY19,BH19,BB19,BG19)</f>
        <v>0</v>
      </c>
      <c r="BK19" s="73" t="str">
        <f aca="false">IF(BJ19&gt;90,"A",IF(BJ19&gt;83,"B",IF(BJ19&gt;74,"C",IF(BJ19&gt;67,"D",IF(BJ19&gt;=60,"E","FX")))))</f>
        <v>FX</v>
      </c>
    </row>
    <row r="20" customFormat="false" ht="15.75" hidden="false" customHeight="false" outlineLevel="0" collapsed="false">
      <c r="A20" s="59" t="n">
        <f aca="false">A19+1</f>
        <v>16</v>
      </c>
      <c r="B20" s="141" t="s">
        <v>595</v>
      </c>
      <c r="C20" s="142" t="s">
        <v>180</v>
      </c>
      <c r="D20" s="142" t="s">
        <v>594</v>
      </c>
      <c r="E20" s="62"/>
      <c r="F20" s="63" t="s">
        <v>696</v>
      </c>
      <c r="G20" s="63" t="s">
        <v>696</v>
      </c>
      <c r="H20" s="63" t="s">
        <v>696</v>
      </c>
      <c r="I20" s="63" t="s">
        <v>696</v>
      </c>
      <c r="J20" s="63"/>
      <c r="K20" s="63" t="s">
        <v>735</v>
      </c>
      <c r="L20" s="63" t="s">
        <v>735</v>
      </c>
      <c r="M20" s="63" t="s">
        <v>696</v>
      </c>
      <c r="N20" s="64"/>
      <c r="O20" s="64"/>
      <c r="P20" s="64"/>
      <c r="Q20" s="64"/>
      <c r="R20" s="64"/>
      <c r="S20" s="65"/>
      <c r="T20" s="66" t="s">
        <v>893</v>
      </c>
      <c r="U20" s="67" t="n">
        <v>45701</v>
      </c>
      <c r="V20" s="67" t="n">
        <v>45701</v>
      </c>
      <c r="W20" s="67" t="n">
        <v>45701</v>
      </c>
      <c r="X20" s="68" t="n">
        <v>10</v>
      </c>
      <c r="Y20" s="69"/>
      <c r="Z20" s="70" t="n">
        <v>3692</v>
      </c>
      <c r="AA20" s="67" t="n">
        <v>45715</v>
      </c>
      <c r="AB20" s="106" t="n">
        <v>45715</v>
      </c>
      <c r="AC20" s="67" t="n">
        <v>45715</v>
      </c>
      <c r="AD20" s="68" t="n">
        <v>10</v>
      </c>
      <c r="AE20" s="69"/>
      <c r="AF20" s="70" t="n">
        <v>6394</v>
      </c>
      <c r="AG20" s="106" t="n">
        <v>45729</v>
      </c>
      <c r="AH20" s="106" t="n">
        <v>45729</v>
      </c>
      <c r="AI20" s="106" t="n">
        <v>45729</v>
      </c>
      <c r="AJ20" s="68" t="n">
        <v>10</v>
      </c>
      <c r="AK20" s="69"/>
      <c r="AL20" s="70" t="n">
        <v>4682</v>
      </c>
      <c r="AM20" s="106" t="n">
        <v>45743</v>
      </c>
      <c r="AN20" s="106" t="n">
        <v>45743</v>
      </c>
      <c r="AO20" s="106" t="n">
        <v>45743</v>
      </c>
      <c r="AP20" s="68" t="n">
        <v>10</v>
      </c>
      <c r="AQ20" s="69"/>
      <c r="AR20" s="70" t="n">
        <v>62578</v>
      </c>
      <c r="AS20" s="106" t="n">
        <v>45799</v>
      </c>
      <c r="AT20" s="106" t="n">
        <v>45799</v>
      </c>
      <c r="AU20" s="106" t="n">
        <v>45799</v>
      </c>
      <c r="AV20" s="68" t="n">
        <v>10</v>
      </c>
      <c r="AW20" s="69"/>
      <c r="AX20" s="68" t="n">
        <v>0</v>
      </c>
      <c r="AY20" s="68" t="n">
        <v>0</v>
      </c>
      <c r="AZ20" s="69"/>
      <c r="BA20" s="106" t="n">
        <v>45792</v>
      </c>
      <c r="BB20" s="71" t="n">
        <v>6</v>
      </c>
      <c r="BC20" s="72"/>
      <c r="BD20" s="73" t="str">
        <f aca="false">IF(AND(BB20&gt;=6,AP20&gt;=6,AJ20&gt;=6,AD20&gt;=6,X20&gt;=6),"да","нет")</f>
        <v>да</v>
      </c>
      <c r="BE20" s="72"/>
      <c r="BF20" s="118" t="n">
        <v>45822</v>
      </c>
      <c r="BG20" s="71" t="n">
        <v>24</v>
      </c>
      <c r="BH20" s="68"/>
      <c r="BI20" s="50"/>
      <c r="BJ20" s="75" t="n">
        <f aca="false">SUM(X20,AD20,AJ20,AP20,AV20,AX20:AY20,BH20,BB20,BG20)</f>
        <v>80</v>
      </c>
      <c r="BK20" s="73" t="str">
        <f aca="false">IF(BJ20&gt;90,"A",IF(BJ20&gt;83,"B",IF(BJ20&gt;74,"C",IF(BJ20&gt;67,"D",IF(BJ20&gt;=60,"E","FX")))))</f>
        <v>C</v>
      </c>
    </row>
    <row r="21" customFormat="false" ht="15.75" hidden="false" customHeight="false" outlineLevel="0" collapsed="false">
      <c r="A21" s="59" t="n">
        <f aca="false">A20+1</f>
        <v>17</v>
      </c>
      <c r="B21" s="141" t="s">
        <v>655</v>
      </c>
      <c r="C21" s="142" t="s">
        <v>180</v>
      </c>
      <c r="D21" s="142" t="s">
        <v>654</v>
      </c>
      <c r="E21" s="62"/>
      <c r="F21" s="63" t="s">
        <v>696</v>
      </c>
      <c r="G21" s="63" t="s">
        <v>735</v>
      </c>
      <c r="H21" s="63" t="s">
        <v>735</v>
      </c>
      <c r="I21" s="63" t="s">
        <v>735</v>
      </c>
      <c r="J21" s="63"/>
      <c r="K21" s="63" t="s">
        <v>696</v>
      </c>
      <c r="L21" s="63" t="s">
        <v>696</v>
      </c>
      <c r="M21" s="63" t="s">
        <v>696</v>
      </c>
      <c r="N21" s="64"/>
      <c r="O21" s="64"/>
      <c r="P21" s="64"/>
      <c r="Q21" s="64"/>
      <c r="R21" s="64"/>
      <c r="S21" s="65"/>
      <c r="T21" s="66" t="s">
        <v>894</v>
      </c>
      <c r="U21" s="67" t="n">
        <v>45799</v>
      </c>
      <c r="V21" s="67" t="n">
        <v>45799</v>
      </c>
      <c r="W21" s="67" t="n">
        <v>45799</v>
      </c>
      <c r="X21" s="68" t="n">
        <v>10</v>
      </c>
      <c r="Y21" s="69"/>
      <c r="Z21" s="70" t="n">
        <v>3248</v>
      </c>
      <c r="AA21" s="67" t="n">
        <v>45803</v>
      </c>
      <c r="AB21" s="67" t="n">
        <v>45803</v>
      </c>
      <c r="AC21" s="67" t="n">
        <v>45803</v>
      </c>
      <c r="AD21" s="68" t="n">
        <v>10</v>
      </c>
      <c r="AE21" s="69"/>
      <c r="AF21" s="70" t="n">
        <v>8756</v>
      </c>
      <c r="AG21" s="106" t="n">
        <v>45814</v>
      </c>
      <c r="AH21" s="70"/>
      <c r="AI21" s="70"/>
      <c r="AJ21" s="68" t="s">
        <v>734</v>
      </c>
      <c r="AK21" s="69"/>
      <c r="AL21" s="70"/>
      <c r="AM21" s="70"/>
      <c r="AN21" s="70"/>
      <c r="AO21" s="70"/>
      <c r="AP21" s="68"/>
      <c r="AQ21" s="69"/>
      <c r="AR21" s="70" t="s">
        <v>737</v>
      </c>
      <c r="AS21" s="70" t="s">
        <v>737</v>
      </c>
      <c r="AT21" s="70" t="s">
        <v>737</v>
      </c>
      <c r="AU21" s="70" t="s">
        <v>737</v>
      </c>
      <c r="AV21" s="68" t="n">
        <v>0</v>
      </c>
      <c r="AW21" s="69"/>
      <c r="AX21" s="68"/>
      <c r="AY21" s="68"/>
      <c r="AZ21" s="69"/>
      <c r="BA21" s="106" t="n">
        <v>45827</v>
      </c>
      <c r="BB21" s="71" t="n">
        <v>0</v>
      </c>
      <c r="BC21" s="72"/>
      <c r="BD21" s="73" t="str">
        <f aca="false">IF(AND(BB21&gt;=6,AP21&gt;=6,AJ21&gt;=6,AD21&gt;=6,X21&gt;=6),"да","нет")</f>
        <v>нет</v>
      </c>
      <c r="BE21" s="72"/>
      <c r="BF21" s="118" t="n">
        <v>45822</v>
      </c>
      <c r="BG21" s="71" t="s">
        <v>895</v>
      </c>
      <c r="BH21" s="68"/>
      <c r="BI21" s="50"/>
      <c r="BJ21" s="75" t="n">
        <f aca="false">SUM(X21,AD21,AJ21,AP21,AV21,AX21:AY21,BH21,BB21,BG21)</f>
        <v>20</v>
      </c>
      <c r="BK21" s="73" t="str">
        <f aca="false">IF(BJ21&gt;90,"A",IF(BJ21&gt;83,"B",IF(BJ21&gt;74,"C",IF(BJ21&gt;67,"D",IF(BJ21&gt;=60,"E","FX")))))</f>
        <v>FX</v>
      </c>
    </row>
    <row r="22" customFormat="false" ht="15.75" hidden="false" customHeight="false" outlineLevel="0" collapsed="false">
      <c r="A22" s="59" t="n">
        <f aca="false">A21+1</f>
        <v>18</v>
      </c>
      <c r="B22" s="141" t="s">
        <v>274</v>
      </c>
      <c r="C22" s="142" t="s">
        <v>180</v>
      </c>
      <c r="D22" s="142" t="s">
        <v>273</v>
      </c>
      <c r="E22" s="62"/>
      <c r="F22" s="63" t="s">
        <v>735</v>
      </c>
      <c r="G22" s="63" t="s">
        <v>735</v>
      </c>
      <c r="H22" s="63" t="s">
        <v>696</v>
      </c>
      <c r="I22" s="63" t="s">
        <v>696</v>
      </c>
      <c r="J22" s="63"/>
      <c r="K22" s="63" t="s">
        <v>735</v>
      </c>
      <c r="L22" s="63" t="s">
        <v>696</v>
      </c>
      <c r="M22" s="63" t="s">
        <v>735</v>
      </c>
      <c r="N22" s="64"/>
      <c r="O22" s="64"/>
      <c r="P22" s="64"/>
      <c r="Q22" s="64"/>
      <c r="R22" s="64"/>
      <c r="S22" s="65"/>
      <c r="T22" s="66" t="s">
        <v>896</v>
      </c>
      <c r="U22" s="67" t="n">
        <v>45729</v>
      </c>
      <c r="V22" s="67" t="n">
        <v>45729</v>
      </c>
      <c r="W22" s="67" t="n">
        <v>45729</v>
      </c>
      <c r="X22" s="68" t="n">
        <v>10</v>
      </c>
      <c r="Y22" s="69"/>
      <c r="Z22" s="70" t="n">
        <v>1064</v>
      </c>
      <c r="AA22" s="67" t="n">
        <v>45743</v>
      </c>
      <c r="AB22" s="67" t="n">
        <v>45743</v>
      </c>
      <c r="AC22" s="67" t="n">
        <v>45743</v>
      </c>
      <c r="AD22" s="68" t="n">
        <v>10</v>
      </c>
      <c r="AE22" s="69"/>
      <c r="AF22" s="70" t="n">
        <v>3486</v>
      </c>
      <c r="AG22" s="106" t="n">
        <v>45803</v>
      </c>
      <c r="AH22" s="106" t="n">
        <v>45803</v>
      </c>
      <c r="AI22" s="106" t="n">
        <v>45803</v>
      </c>
      <c r="AJ22" s="68" t="n">
        <v>10</v>
      </c>
      <c r="AK22" s="69"/>
      <c r="AL22" s="70" t="n">
        <v>1894</v>
      </c>
      <c r="AM22" s="106" t="n">
        <v>45831</v>
      </c>
      <c r="AN22" s="106" t="n">
        <v>45831</v>
      </c>
      <c r="AO22" s="106" t="n">
        <v>45831</v>
      </c>
      <c r="AP22" s="68" t="n">
        <v>8</v>
      </c>
      <c r="AQ22" s="69"/>
      <c r="AR22" s="70" t="s">
        <v>737</v>
      </c>
      <c r="AS22" s="70" t="s">
        <v>737</v>
      </c>
      <c r="AT22" s="70" t="s">
        <v>737</v>
      </c>
      <c r="AU22" s="70" t="s">
        <v>737</v>
      </c>
      <c r="AV22" s="68" t="n">
        <v>0</v>
      </c>
      <c r="AW22" s="69"/>
      <c r="AX22" s="68" t="n">
        <v>1</v>
      </c>
      <c r="AY22" s="68"/>
      <c r="AZ22" s="69"/>
      <c r="BA22" s="106" t="n">
        <v>45827</v>
      </c>
      <c r="BB22" s="71" t="n">
        <v>7</v>
      </c>
      <c r="BC22" s="72"/>
      <c r="BD22" s="73" t="str">
        <f aca="false">IF(AND(BB22&gt;=6,AP22&gt;=6,AJ22&gt;=6,AD22&gt;=6,X22&gt;=6),"да","нет")</f>
        <v>да</v>
      </c>
      <c r="BE22" s="72"/>
      <c r="BF22" s="118"/>
      <c r="BG22" s="71"/>
      <c r="BH22" s="68"/>
      <c r="BI22" s="50"/>
      <c r="BJ22" s="75" t="n">
        <f aca="false">SUM(X22,AD22,AJ22,AP22,AV22,AX22:AY22,BH22,BB22,BG22)</f>
        <v>46</v>
      </c>
      <c r="BK22" s="73" t="str">
        <f aca="false">IF(BJ22&gt;90,"A",IF(BJ22&gt;83,"B",IF(BJ22&gt;74,"C",IF(BJ22&gt;67,"D",IF(BJ22&gt;=60,"E","FX")))))</f>
        <v>FX</v>
      </c>
    </row>
    <row r="23" customFormat="false" ht="15.75" hidden="false" customHeight="false" outlineLevel="0" collapsed="false">
      <c r="A23" s="59" t="n">
        <f aca="false">A22+1</f>
        <v>19</v>
      </c>
      <c r="B23" s="60" t="str">
        <f aca="false">IFERROR(__xludf.dummyfunction("IFERROR(QUERY('Общий список'!$B:$C, ""SELECT C WHERE B = '""&amp;C23&amp;""' AND B &lt;&gt; '' AND D = '""&amp;$C$1&amp;""'"", 0), """")"),"")</f>
        <v/>
      </c>
      <c r="C23" s="61"/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5"/>
      <c r="T23" s="66"/>
      <c r="U23" s="67"/>
      <c r="V23" s="67"/>
      <c r="W23" s="67"/>
      <c r="X23" s="68"/>
      <c r="Y23" s="69"/>
      <c r="Z23" s="70"/>
      <c r="AA23" s="67"/>
      <c r="AB23" s="67"/>
      <c r="AC23" s="67"/>
      <c r="AD23" s="68"/>
      <c r="AE23" s="69"/>
      <c r="AF23" s="70"/>
      <c r="AG23" s="70"/>
      <c r="AH23" s="70"/>
      <c r="AI23" s="70"/>
      <c r="AJ23" s="68"/>
      <c r="AK23" s="69"/>
      <c r="AL23" s="70"/>
      <c r="AM23" s="70"/>
      <c r="AN23" s="70"/>
      <c r="AO23" s="70"/>
      <c r="AP23" s="68"/>
      <c r="AQ23" s="69"/>
      <c r="AR23" s="70"/>
      <c r="AS23" s="70"/>
      <c r="AT23" s="70"/>
      <c r="AU23" s="70"/>
      <c r="AV23" s="68"/>
      <c r="AW23" s="69"/>
      <c r="AX23" s="68"/>
      <c r="AY23" s="68"/>
      <c r="AZ23" s="69"/>
      <c r="BA23" s="70"/>
      <c r="BB23" s="71"/>
      <c r="BC23" s="72"/>
      <c r="BD23" s="73" t="str">
        <f aca="false">IF(AND(BB23&gt;=6,AP23&gt;=6,AJ23&gt;=6,AD23&gt;=6,X23&gt;=6),"да","нет")</f>
        <v>нет</v>
      </c>
      <c r="BE23" s="72"/>
      <c r="BF23" s="74"/>
      <c r="BG23" s="71"/>
      <c r="BH23" s="68"/>
      <c r="BI23" s="50"/>
      <c r="BJ23" s="75" t="n">
        <f aca="false">SUM(X23,AD23,AJ23,AP23,AV23,AX23:AY23,BH23,BB23,BG23)</f>
        <v>0</v>
      </c>
      <c r="BK23" s="73" t="str">
        <f aca="false">IF(BJ23&gt;90,"A",IF(BJ23&gt;83,"B",IF(BJ23&gt;74,"C",IF(BJ23&gt;67,"D",IF(BJ23&gt;=60,"E","FX")))))</f>
        <v>FX</v>
      </c>
    </row>
    <row r="24" customFormat="false" ht="15.75" hidden="false" customHeight="false" outlineLevel="0" collapsed="false">
      <c r="A24" s="59" t="n">
        <f aca="false">A23+1</f>
        <v>20</v>
      </c>
      <c r="B24" s="60" t="str">
        <f aca="false">IFERROR(__xludf.dummyfunction("IFERROR(QUERY('Общий список'!$B:$C, ""SELECT C WHERE B = '""&amp;C24&amp;""' AND B &lt;&gt; '' AND D = '""&amp;$C$1&amp;""'"", 0), """")"),"")</f>
        <v/>
      </c>
      <c r="C24" s="61"/>
      <c r="D24" s="61"/>
      <c r="E24" s="62"/>
      <c r="F24" s="63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5"/>
      <c r="T24" s="66"/>
      <c r="U24" s="67"/>
      <c r="V24" s="67"/>
      <c r="W24" s="67"/>
      <c r="X24" s="68"/>
      <c r="Y24" s="69"/>
      <c r="Z24" s="70"/>
      <c r="AA24" s="67"/>
      <c r="AB24" s="67"/>
      <c r="AC24" s="67"/>
      <c r="AD24" s="68"/>
      <c r="AE24" s="69"/>
      <c r="AF24" s="70"/>
      <c r="AG24" s="70"/>
      <c r="AH24" s="70"/>
      <c r="AI24" s="70"/>
      <c r="AJ24" s="68"/>
      <c r="AK24" s="69"/>
      <c r="AL24" s="70"/>
      <c r="AM24" s="70"/>
      <c r="AN24" s="70"/>
      <c r="AO24" s="70"/>
      <c r="AP24" s="68"/>
      <c r="AQ24" s="69"/>
      <c r="AR24" s="70"/>
      <c r="AS24" s="70"/>
      <c r="AT24" s="70"/>
      <c r="AU24" s="70"/>
      <c r="AV24" s="68"/>
      <c r="AW24" s="69"/>
      <c r="AX24" s="68"/>
      <c r="AY24" s="68"/>
      <c r="AZ24" s="69"/>
      <c r="BA24" s="70"/>
      <c r="BB24" s="71"/>
      <c r="BC24" s="72"/>
      <c r="BD24" s="73" t="str">
        <f aca="false">IF(AND(BB24&gt;=6,AP24&gt;=6,AJ24&gt;=6,AD24&gt;=6,X24&gt;=6),"да","нет")</f>
        <v>нет</v>
      </c>
      <c r="BE24" s="72"/>
      <c r="BF24" s="74"/>
      <c r="BG24" s="71"/>
      <c r="BH24" s="68"/>
      <c r="BI24" s="50"/>
      <c r="BJ24" s="75" t="n">
        <f aca="false">SUM(X24,AD24,AJ24,AP24,AV24,AX24:AY24,BH24,BB24,BG24)</f>
        <v>0</v>
      </c>
      <c r="BK24" s="73" t="str">
        <f aca="false">IF(BJ24&gt;90,"A",IF(BJ24&gt;83,"B",IF(BJ24&gt;74,"C",IF(BJ24&gt;67,"D",IF(BJ24&gt;=60,"E","FX")))))</f>
        <v>FX</v>
      </c>
    </row>
    <row r="25" customFormat="false" ht="15.75" hidden="false" customHeight="false" outlineLevel="0" collapsed="false">
      <c r="A25" s="59" t="n">
        <f aca="false">A24+1</f>
        <v>21</v>
      </c>
      <c r="B25" s="60" t="str">
        <f aca="false">IFERROR(__xludf.dummyfunction("IFERROR(QUERY('Общий список'!$B:$C, ""SELECT C WHERE B = '""&amp;C25&amp;""' AND B &lt;&gt; '' AND D = '""&amp;$C$1&amp;""'"", 0), """")"),"")</f>
        <v/>
      </c>
      <c r="C25" s="61"/>
      <c r="D25" s="61"/>
      <c r="E25" s="62"/>
      <c r="F25" s="63"/>
      <c r="G25" s="63"/>
      <c r="H25" s="63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5"/>
      <c r="T25" s="66"/>
      <c r="U25" s="67"/>
      <c r="V25" s="67"/>
      <c r="W25" s="67"/>
      <c r="X25" s="68"/>
      <c r="Y25" s="69"/>
      <c r="Z25" s="70"/>
      <c r="AA25" s="67"/>
      <c r="AB25" s="67"/>
      <c r="AC25" s="67"/>
      <c r="AD25" s="68"/>
      <c r="AE25" s="69"/>
      <c r="AF25" s="70"/>
      <c r="AG25" s="70"/>
      <c r="AH25" s="70"/>
      <c r="AI25" s="70"/>
      <c r="AJ25" s="68"/>
      <c r="AK25" s="69"/>
      <c r="AL25" s="70"/>
      <c r="AM25" s="70"/>
      <c r="AN25" s="70"/>
      <c r="AO25" s="70"/>
      <c r="AP25" s="68"/>
      <c r="AQ25" s="69"/>
      <c r="AR25" s="70"/>
      <c r="AS25" s="70"/>
      <c r="AT25" s="70"/>
      <c r="AU25" s="70"/>
      <c r="AV25" s="68"/>
      <c r="AW25" s="69"/>
      <c r="AX25" s="68"/>
      <c r="AY25" s="68"/>
      <c r="AZ25" s="69"/>
      <c r="BA25" s="70"/>
      <c r="BB25" s="71"/>
      <c r="BC25" s="72"/>
      <c r="BD25" s="73" t="str">
        <f aca="false">IF(AND(BB25&gt;=6,AP25&gt;=6,AJ25&gt;=6,AD25&gt;=6,X25&gt;=6),"да","нет")</f>
        <v>нет</v>
      </c>
      <c r="BE25" s="72"/>
      <c r="BF25" s="74"/>
      <c r="BG25" s="71"/>
      <c r="BH25" s="68"/>
      <c r="BI25" s="50"/>
      <c r="BJ25" s="75" t="n">
        <f aca="false">SUM(X25,AD25,AJ25,AP25,AV25,AX25:AY25,BH25,BB25,BG25)</f>
        <v>0</v>
      </c>
      <c r="BK25" s="73" t="str">
        <f aca="false">IF(BJ25&gt;90,"A",IF(BJ25&gt;83,"B",IF(BJ25&gt;74,"C",IF(BJ25&gt;67,"D",IF(BJ25&gt;=60,"E","FX")))))</f>
        <v>FX</v>
      </c>
    </row>
    <row r="26" customFormat="false" ht="15.75" hidden="false" customHeight="false" outlineLevel="0" collapsed="false">
      <c r="A26" s="59" t="n">
        <f aca="false">A25+1</f>
        <v>22</v>
      </c>
      <c r="B26" s="60" t="str">
        <f aca="false">IFERROR(__xludf.dummyfunction("IFERROR(QUERY('Общий список'!$B:$C, ""SELECT C WHERE B = '""&amp;C26&amp;""' AND B &lt;&gt; '' AND D = '""&amp;$C$1&amp;""'"", 0), """")"),"")</f>
        <v/>
      </c>
      <c r="C26" s="61"/>
      <c r="D26" s="61"/>
      <c r="E26" s="62"/>
      <c r="F26" s="63"/>
      <c r="G26" s="63"/>
      <c r="H26" s="63"/>
      <c r="I26" s="63"/>
      <c r="J26" s="63"/>
      <c r="K26" s="63"/>
      <c r="L26" s="63"/>
      <c r="M26" s="63"/>
      <c r="N26" s="64"/>
      <c r="O26" s="64"/>
      <c r="P26" s="64"/>
      <c r="Q26" s="64"/>
      <c r="R26" s="64"/>
      <c r="S26" s="65"/>
      <c r="T26" s="66"/>
      <c r="U26" s="67"/>
      <c r="V26" s="67"/>
      <c r="W26" s="67"/>
      <c r="X26" s="68"/>
      <c r="Y26" s="69"/>
      <c r="Z26" s="70"/>
      <c r="AA26" s="67"/>
      <c r="AB26" s="67"/>
      <c r="AC26" s="67"/>
      <c r="AD26" s="68"/>
      <c r="AE26" s="69"/>
      <c r="AF26" s="70"/>
      <c r="AG26" s="70"/>
      <c r="AH26" s="70"/>
      <c r="AI26" s="70"/>
      <c r="AJ26" s="68"/>
      <c r="AK26" s="69"/>
      <c r="AL26" s="70"/>
      <c r="AM26" s="70"/>
      <c r="AN26" s="70"/>
      <c r="AO26" s="70"/>
      <c r="AP26" s="68"/>
      <c r="AQ26" s="69"/>
      <c r="AR26" s="70"/>
      <c r="AS26" s="70"/>
      <c r="AT26" s="70"/>
      <c r="AU26" s="70"/>
      <c r="AV26" s="68"/>
      <c r="AW26" s="69"/>
      <c r="AX26" s="68"/>
      <c r="AY26" s="68"/>
      <c r="AZ26" s="69"/>
      <c r="BA26" s="70"/>
      <c r="BB26" s="71"/>
      <c r="BC26" s="72"/>
      <c r="BD26" s="73" t="str">
        <f aca="false">IF(AND(BB26&gt;=6,AP26&gt;=6,AJ26&gt;=6,AD26&gt;=6,X26&gt;=6),"да","нет")</f>
        <v>нет</v>
      </c>
      <c r="BE26" s="72"/>
      <c r="BF26" s="74"/>
      <c r="BG26" s="71"/>
      <c r="BH26" s="68"/>
      <c r="BI26" s="50"/>
      <c r="BJ26" s="75" t="n">
        <f aca="false">SUM(X26,AD26,AJ26,AP26,AV26,AX26:AY26,BH26,BB26,BG26)</f>
        <v>0</v>
      </c>
      <c r="BK26" s="73" t="str">
        <f aca="false">IF(BJ26&gt;90,"A",IF(BJ26&gt;83,"B",IF(BJ26&gt;74,"C",IF(BJ26&gt;67,"D",IF(BJ26&gt;=60,"E","FX")))))</f>
        <v>FX</v>
      </c>
    </row>
    <row r="27" customFormat="false" ht="15.75" hidden="false" customHeight="false" outlineLevel="0" collapsed="false">
      <c r="A27" s="59" t="n">
        <f aca="false">A26+1</f>
        <v>23</v>
      </c>
      <c r="B27" s="60" t="str">
        <f aca="false">IFERROR(__xludf.dummyfunction("IFERROR(QUERY('Общий список'!$B:$C, ""SELECT C WHERE B = '""&amp;C27&amp;""' AND B &lt;&gt; '' AND D = '""&amp;$C$1&amp;""'"", 0), """")"),"")</f>
        <v/>
      </c>
      <c r="C27" s="61"/>
      <c r="D27" s="61"/>
      <c r="E27" s="62"/>
      <c r="F27" s="63"/>
      <c r="G27" s="63"/>
      <c r="H27" s="63"/>
      <c r="I27" s="63"/>
      <c r="J27" s="63"/>
      <c r="K27" s="63"/>
      <c r="L27" s="63"/>
      <c r="M27" s="63"/>
      <c r="N27" s="64"/>
      <c r="O27" s="64"/>
      <c r="P27" s="64"/>
      <c r="Q27" s="64"/>
      <c r="R27" s="64"/>
      <c r="S27" s="65"/>
      <c r="T27" s="66"/>
      <c r="U27" s="70"/>
      <c r="V27" s="70"/>
      <c r="W27" s="70"/>
      <c r="X27" s="68"/>
      <c r="Y27" s="69"/>
      <c r="Z27" s="70"/>
      <c r="AA27" s="67"/>
      <c r="AB27" s="67"/>
      <c r="AC27" s="67"/>
      <c r="AD27" s="68"/>
      <c r="AE27" s="69"/>
      <c r="AF27" s="70"/>
      <c r="AG27" s="70"/>
      <c r="AH27" s="70"/>
      <c r="AI27" s="70"/>
      <c r="AJ27" s="68"/>
      <c r="AK27" s="69"/>
      <c r="AL27" s="70"/>
      <c r="AM27" s="70"/>
      <c r="AN27" s="70"/>
      <c r="AO27" s="70"/>
      <c r="AP27" s="68"/>
      <c r="AQ27" s="69"/>
      <c r="AR27" s="70"/>
      <c r="AS27" s="70"/>
      <c r="AT27" s="70"/>
      <c r="AU27" s="70"/>
      <c r="AV27" s="68"/>
      <c r="AW27" s="69"/>
      <c r="AX27" s="68"/>
      <c r="AY27" s="68"/>
      <c r="AZ27" s="69"/>
      <c r="BA27" s="70"/>
      <c r="BB27" s="71"/>
      <c r="BC27" s="72"/>
      <c r="BD27" s="73" t="str">
        <f aca="false">IF(AND(BB27&gt;=6,AP27&gt;=6,AJ27&gt;=6,AD27&gt;=6,X27&gt;=6),"да","нет")</f>
        <v>нет</v>
      </c>
      <c r="BE27" s="72"/>
      <c r="BF27" s="74"/>
      <c r="BG27" s="71"/>
      <c r="BH27" s="68"/>
      <c r="BI27" s="50"/>
      <c r="BJ27" s="75" t="n">
        <f aca="false">SUM(X27,AD27,AJ27,AP27,AV27,AX27:AY27,BH27,BB27,BG27)</f>
        <v>0</v>
      </c>
      <c r="BK27" s="73" t="str">
        <f aca="false">IF(BJ27&gt;90,"A",IF(BJ27&gt;83,"B",IF(BJ27&gt;74,"C",IF(BJ27&gt;67,"D",IF(BJ27&gt;=60,"E","FX")))))</f>
        <v>FX</v>
      </c>
    </row>
    <row r="28" customFormat="false" ht="15.75" hidden="false" customHeight="false" outlineLevel="0" collapsed="false">
      <c r="A28" s="59" t="n">
        <f aca="false">A27+1</f>
        <v>24</v>
      </c>
      <c r="B28" s="60" t="str">
        <f aca="false">IFERROR(__xludf.dummyfunction("IFERROR(QUERY('Общий список'!$B:$C, ""SELECT C WHERE B = '""&amp;C28&amp;""' AND B &lt;&gt; '' AND D = '""&amp;$C$1&amp;""'"", 0), """")"),"")</f>
        <v/>
      </c>
      <c r="C28" s="61"/>
      <c r="D28" s="61"/>
      <c r="E28" s="62"/>
      <c r="F28" s="63"/>
      <c r="G28" s="63"/>
      <c r="H28" s="63"/>
      <c r="I28" s="63"/>
      <c r="J28" s="63"/>
      <c r="K28" s="63"/>
      <c r="L28" s="63"/>
      <c r="M28" s="63"/>
      <c r="N28" s="64"/>
      <c r="O28" s="64"/>
      <c r="P28" s="64"/>
      <c r="Q28" s="64"/>
      <c r="R28" s="64"/>
      <c r="S28" s="65"/>
      <c r="T28" s="66"/>
      <c r="U28" s="70"/>
      <c r="V28" s="70"/>
      <c r="W28" s="70"/>
      <c r="X28" s="68"/>
      <c r="Y28" s="69"/>
      <c r="Z28" s="70"/>
      <c r="AA28" s="67"/>
      <c r="AB28" s="67"/>
      <c r="AC28" s="67"/>
      <c r="AD28" s="68"/>
      <c r="AE28" s="69"/>
      <c r="AF28" s="70"/>
      <c r="AG28" s="70"/>
      <c r="AH28" s="70"/>
      <c r="AI28" s="70"/>
      <c r="AJ28" s="68"/>
      <c r="AK28" s="69"/>
      <c r="AL28" s="70"/>
      <c r="AM28" s="70"/>
      <c r="AN28" s="70"/>
      <c r="AO28" s="70"/>
      <c r="AP28" s="68"/>
      <c r="AQ28" s="69"/>
      <c r="AR28" s="70"/>
      <c r="AS28" s="70"/>
      <c r="AT28" s="70"/>
      <c r="AU28" s="70"/>
      <c r="AV28" s="68"/>
      <c r="AW28" s="69"/>
      <c r="AX28" s="68"/>
      <c r="AY28" s="68"/>
      <c r="AZ28" s="69"/>
      <c r="BA28" s="70"/>
      <c r="BB28" s="71"/>
      <c r="BC28" s="72"/>
      <c r="BD28" s="73" t="str">
        <f aca="false">IF(AND(BB28&gt;=6,AP28&gt;=6,AJ28&gt;=6,AD28&gt;=6,X28&gt;=6),"да","нет")</f>
        <v>нет</v>
      </c>
      <c r="BE28" s="72"/>
      <c r="BF28" s="74"/>
      <c r="BG28" s="71"/>
      <c r="BH28" s="68"/>
      <c r="BI28" s="50"/>
      <c r="BJ28" s="75" t="n">
        <f aca="false">SUM(X28,AD28,AJ28,AP28,AV28,AX28:AY28,BH28,BB28,BG28)</f>
        <v>0</v>
      </c>
      <c r="BK28" s="73" t="str">
        <f aca="false">IF(BJ28&gt;90,"A",IF(BJ28&gt;83,"B",IF(BJ28&gt;74,"C",IF(BJ28&gt;67,"D",IF(BJ28&gt;=60,"E","FX")))))</f>
        <v>FX</v>
      </c>
    </row>
    <row r="29" customFormat="false" ht="3.75" hidden="false" customHeight="true" outlineLevel="0" collapsed="false">
      <c r="A29" s="76"/>
      <c r="B29" s="76"/>
      <c r="C29" s="76"/>
      <c r="D29" s="76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9"/>
      <c r="AN29" s="65"/>
      <c r="AO29" s="65"/>
      <c r="AP29" s="65"/>
      <c r="AQ29" s="65"/>
      <c r="AR29" s="65"/>
      <c r="AS29" s="65"/>
      <c r="AT29" s="65"/>
      <c r="AU29" s="65"/>
      <c r="AV29" s="65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80"/>
      <c r="BJ29" s="72"/>
      <c r="BK29" s="72"/>
    </row>
    <row r="30" customFormat="false" ht="15.75" hidden="false" customHeight="false" outlineLevel="0" collapsed="false">
      <c r="A30" s="81"/>
      <c r="B30" s="81" t="s">
        <v>678</v>
      </c>
      <c r="C30" s="81"/>
      <c r="D30" s="81"/>
      <c r="E30" s="69"/>
      <c r="F30" s="70" t="n">
        <f aca="false">COUNTIF(F$3:F$25, "~**")</f>
        <v>0</v>
      </c>
      <c r="G30" s="70" t="n">
        <f aca="false">COUNTIF(G$3:G$25, "~**")</f>
        <v>0</v>
      </c>
      <c r="H30" s="70" t="n">
        <f aca="false">COUNTIF(H$3:H$25, "~**")</f>
        <v>0</v>
      </c>
      <c r="I30" s="70" t="n">
        <f aca="false">COUNTIF(I$3:I$25, "~**")</f>
        <v>0</v>
      </c>
      <c r="J30" s="70" t="n">
        <f aca="false">COUNTIF(J$3:J$25, "~**")</f>
        <v>2</v>
      </c>
      <c r="K30" s="70" t="n">
        <f aca="false">COUNTIF(K$3:K$25, "~**")</f>
        <v>0</v>
      </c>
      <c r="L30" s="70" t="n">
        <f aca="false">COUNTIF(L$3:L$25, "~**")</f>
        <v>0</v>
      </c>
      <c r="M30" s="70" t="n">
        <f aca="false">COUNTIF(M$3:M$25, "~**")</f>
        <v>0</v>
      </c>
      <c r="N30" s="70" t="n">
        <f aca="false">COUNTIF(N$3:N$25, "~**")</f>
        <v>0</v>
      </c>
      <c r="O30" s="70"/>
      <c r="P30" s="70"/>
      <c r="Q30" s="70" t="n">
        <f aca="false">COUNTIF(Q$3:Q$25, "~**")</f>
        <v>0</v>
      </c>
      <c r="R30" s="70" t="n">
        <f aca="false">COUNTIF(R$3:R$25, "~**")</f>
        <v>0</v>
      </c>
      <c r="S30" s="82"/>
      <c r="T30" s="83" t="s">
        <v>679</v>
      </c>
      <c r="U30" s="84"/>
      <c r="V30" s="84"/>
      <c r="W30" s="84"/>
      <c r="X30" s="85" t="n">
        <v>44475</v>
      </c>
      <c r="Y30" s="69"/>
      <c r="Z30" s="70"/>
      <c r="AA30" s="85"/>
      <c r="AB30" s="85"/>
      <c r="AC30" s="85"/>
      <c r="AD30" s="85" t="n">
        <v>44475</v>
      </c>
      <c r="AE30" s="69"/>
      <c r="AF30" s="70"/>
      <c r="AG30" s="85"/>
      <c r="AH30" s="85"/>
      <c r="AI30" s="85"/>
      <c r="AJ30" s="85" t="n">
        <v>44475</v>
      </c>
      <c r="AK30" s="69"/>
      <c r="AL30" s="70"/>
      <c r="AM30" s="85"/>
      <c r="AN30" s="85"/>
      <c r="AO30" s="85"/>
      <c r="AP30" s="85" t="n">
        <v>45205</v>
      </c>
      <c r="AQ30" s="69"/>
      <c r="AR30" s="70"/>
      <c r="AS30" s="70"/>
      <c r="AT30" s="70"/>
      <c r="AU30" s="70"/>
      <c r="AV30" s="70" t="s">
        <v>680</v>
      </c>
      <c r="AW30" s="86"/>
      <c r="AX30" s="87" t="s">
        <v>681</v>
      </c>
      <c r="AY30" s="87" t="s">
        <v>681</v>
      </c>
      <c r="AZ30" s="86"/>
      <c r="BA30" s="87"/>
      <c r="BB30" s="85" t="n">
        <v>44840</v>
      </c>
      <c r="BC30" s="86"/>
      <c r="BD30" s="87"/>
      <c r="BE30" s="69"/>
      <c r="BF30" s="70"/>
      <c r="BG30" s="87" t="s">
        <v>682</v>
      </c>
      <c r="BH30" s="87" t="s">
        <v>683</v>
      </c>
      <c r="BI30" s="80"/>
      <c r="BJ30" s="74"/>
      <c r="BK30" s="74"/>
    </row>
    <row r="31" customFormat="false" ht="15.75" hidden="false" customHeight="false" outlineLevel="0" collapsed="false">
      <c r="A31" s="81"/>
      <c r="B31" s="81" t="s">
        <v>684</v>
      </c>
      <c r="C31" s="81"/>
      <c r="D31" s="81"/>
      <c r="E31" s="69"/>
      <c r="F31" s="70" t="n">
        <f aca="false">COUNTIF(F$3:F$25, "~**")+COUNTIF(F$3:F$25, "Y")</f>
        <v>13</v>
      </c>
      <c r="G31" s="70" t="n">
        <f aca="false">COUNTIF(G$3:G$25, "~**")+COUNTIF(G$3:G$25, "Y")</f>
        <v>11</v>
      </c>
      <c r="H31" s="70" t="n">
        <f aca="false">COUNTIF(H$3:H$25, "~**")+COUNTIF(H$3:H$25, "Y")</f>
        <v>14</v>
      </c>
      <c r="I31" s="70" t="n">
        <f aca="false">COUNTIF(I$3:I$25, "~**")+COUNTIF(I$3:I$25, "Y")</f>
        <v>11</v>
      </c>
      <c r="J31" s="70" t="n">
        <f aca="false">COUNTIF(J$3:J$25, "~**")+COUNTIF(J$3:J$25, "Y")</f>
        <v>2</v>
      </c>
      <c r="K31" s="70" t="n">
        <f aca="false">COUNTIF(K$3:K$25, "~**")+COUNTIF(K$3:K$25, "Y")</f>
        <v>9</v>
      </c>
      <c r="L31" s="70" t="n">
        <f aca="false">COUNTIF(L$3:L$25, "~**")+COUNTIF(L$3:L$25, "Y")</f>
        <v>11</v>
      </c>
      <c r="M31" s="70" t="n">
        <f aca="false">COUNTIF(M$3:M$25, "~**")+COUNTIF(M$3:M$25, "Y")</f>
        <v>11</v>
      </c>
      <c r="N31" s="70" t="n">
        <f aca="false">COUNTIF(N$3:N$25, "~**")+COUNTIF(N$3:N$25, "Y")</f>
        <v>0</v>
      </c>
      <c r="O31" s="70"/>
      <c r="P31" s="70"/>
      <c r="Q31" s="70" t="n">
        <f aca="false">COUNTIF(Q$3:Q$25, "~**")+COUNTIF(Q$3:Q$25, "Y")</f>
        <v>0</v>
      </c>
      <c r="R31" s="70" t="n">
        <f aca="false">COUNTIF(R$3:R$25, "~**")+COUNTIF(R$3:R$25, "Y")</f>
        <v>0</v>
      </c>
      <c r="S31" s="82"/>
      <c r="T31" s="83"/>
      <c r="U31" s="44"/>
      <c r="V31" s="44"/>
      <c r="W31" s="87"/>
      <c r="X31" s="88"/>
      <c r="Y31" s="78"/>
      <c r="Z31" s="88"/>
      <c r="AA31" s="88"/>
      <c r="AB31" s="88"/>
      <c r="AC31" s="87"/>
      <c r="AD31" s="87"/>
      <c r="AE31" s="86"/>
      <c r="AF31" s="87"/>
      <c r="AG31" s="89"/>
      <c r="AH31" s="87"/>
      <c r="AI31" s="87"/>
      <c r="AJ31" s="87"/>
      <c r="AK31" s="86"/>
      <c r="AL31" s="87"/>
      <c r="AM31" s="44"/>
      <c r="AN31" s="44"/>
      <c r="AO31" s="44"/>
      <c r="AP31" s="44"/>
      <c r="AQ31" s="77"/>
      <c r="AR31" s="44"/>
      <c r="AS31" s="44"/>
      <c r="AT31" s="44"/>
      <c r="AU31" s="70"/>
      <c r="AV31" s="90"/>
      <c r="AW31" s="72"/>
      <c r="AX31" s="74"/>
      <c r="AY31" s="74"/>
      <c r="AZ31" s="72"/>
      <c r="BA31" s="74"/>
      <c r="BB31" s="74"/>
      <c r="BC31" s="72"/>
      <c r="BD31" s="74"/>
      <c r="BE31" s="72"/>
      <c r="BF31" s="74"/>
      <c r="BG31" s="74"/>
      <c r="BH31" s="74"/>
      <c r="BI31" s="80"/>
      <c r="BJ31" s="74"/>
      <c r="BK31" s="74"/>
    </row>
    <row r="32" customFormat="false" ht="15.75" hidden="false" customHeight="false" outlineLevel="0" collapsed="false">
      <c r="A32" s="81"/>
      <c r="B32" s="81"/>
      <c r="C32" s="81"/>
      <c r="D32" s="81"/>
      <c r="E32" s="77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77"/>
      <c r="T32" s="44"/>
      <c r="U32" s="44"/>
      <c r="V32" s="44"/>
      <c r="W32" s="90"/>
      <c r="X32" s="44"/>
      <c r="Y32" s="77"/>
      <c r="Z32" s="44"/>
      <c r="AA32" s="44"/>
      <c r="AB32" s="44"/>
      <c r="AC32" s="90"/>
      <c r="AD32" s="90"/>
      <c r="AE32" s="91"/>
      <c r="AF32" s="90"/>
      <c r="AG32" s="44"/>
      <c r="AH32" s="90"/>
      <c r="AI32" s="44"/>
      <c r="AJ32" s="44"/>
      <c r="AK32" s="77"/>
      <c r="AL32" s="44"/>
      <c r="AM32" s="44"/>
      <c r="AN32" s="44"/>
      <c r="AO32" s="44"/>
      <c r="AP32" s="44"/>
      <c r="AQ32" s="77"/>
      <c r="AR32" s="44"/>
      <c r="AS32" s="44"/>
      <c r="AT32" s="44"/>
      <c r="AU32" s="90"/>
      <c r="AV32" s="90"/>
      <c r="AW32" s="72"/>
      <c r="AX32" s="74"/>
      <c r="AY32" s="74"/>
      <c r="AZ32" s="72"/>
      <c r="BA32" s="74"/>
      <c r="BB32" s="74"/>
      <c r="BC32" s="72"/>
      <c r="BD32" s="74"/>
      <c r="BE32" s="72"/>
      <c r="BF32" s="74"/>
      <c r="BG32" s="74"/>
      <c r="BH32" s="74"/>
      <c r="BI32" s="80"/>
      <c r="BJ32" s="74"/>
      <c r="BK32" s="74"/>
    </row>
    <row r="33" customFormat="false" ht="15.75" hidden="false" customHeight="false" outlineLevel="0" collapsed="false">
      <c r="A33" s="81"/>
      <c r="B33" s="81" t="s">
        <v>685</v>
      </c>
      <c r="C33" s="81"/>
      <c r="D33" s="81"/>
      <c r="E33" s="77"/>
      <c r="F33" s="44" t="s">
        <v>686</v>
      </c>
      <c r="G33" s="44"/>
      <c r="H33" s="44"/>
      <c r="I33" s="44"/>
      <c r="J33" s="44"/>
      <c r="K33" s="44"/>
      <c r="L33" s="44"/>
      <c r="M33" s="44"/>
      <c r="N33" s="44"/>
      <c r="S33" s="76"/>
      <c r="T33" s="81" t="s">
        <v>687</v>
      </c>
      <c r="U33" s="44" t="n">
        <v>0</v>
      </c>
      <c r="V33" s="44" t="n">
        <f aca="false">COUNT(V3:V28)</f>
        <v>16</v>
      </c>
      <c r="W33" s="44" t="n">
        <f aca="false">COUNT(W3:W28)</f>
        <v>16</v>
      </c>
      <c r="X33" s="44" t="n">
        <f aca="false">COUNT(X3:X28)</f>
        <v>16</v>
      </c>
      <c r="Y33" s="77"/>
      <c r="Z33" s="44"/>
      <c r="AA33" s="44" t="n">
        <f aca="false">COUNT(AA3:AA28)</f>
        <v>16</v>
      </c>
      <c r="AB33" s="44" t="n">
        <f aca="false">COUNT(AB3:AB28)</f>
        <v>16</v>
      </c>
      <c r="AC33" s="44" t="n">
        <f aca="false">COUNT(AC3:AC28)</f>
        <v>16</v>
      </c>
      <c r="AD33" s="44" t="n">
        <f aca="false">COUNT(AD3:AD28)</f>
        <v>16</v>
      </c>
      <c r="AE33" s="77"/>
      <c r="AF33" s="44"/>
      <c r="AG33" s="44" t="n">
        <f aca="false">COUNT(AG3:AG28)</f>
        <v>16</v>
      </c>
      <c r="AH33" s="44" t="n">
        <f aca="false">COUNT(AH3:AH28)</f>
        <v>15</v>
      </c>
      <c r="AI33" s="44" t="n">
        <f aca="false">COUNT(AI3:AI28)</f>
        <v>15</v>
      </c>
      <c r="AJ33" s="44" t="n">
        <f aca="false">COUNT(AJ3:AJ28)</f>
        <v>15</v>
      </c>
      <c r="AK33" s="77"/>
      <c r="AL33" s="44"/>
      <c r="AM33" s="44" t="n">
        <f aca="false">COUNT(AM3:AM28)</f>
        <v>14</v>
      </c>
      <c r="AN33" s="44" t="n">
        <f aca="false">COUNT(AN3:AN28)</f>
        <v>14</v>
      </c>
      <c r="AO33" s="44" t="n">
        <f aca="false">COUNT(AO3:AO28)</f>
        <v>14</v>
      </c>
      <c r="AP33" s="44" t="n">
        <f aca="false">COUNT(AP3:AP28)</f>
        <v>14</v>
      </c>
      <c r="AQ33" s="77"/>
      <c r="AR33" s="44"/>
      <c r="AS33" s="44" t="n">
        <f aca="false">COUNT(AS3:AS28)</f>
        <v>8</v>
      </c>
      <c r="AT33" s="44" t="n">
        <f aca="false">COUNT(AT3:AT28)</f>
        <v>8</v>
      </c>
      <c r="AU33" s="44" t="n">
        <f aca="false">COUNT(AU3:AU28)</f>
        <v>8</v>
      </c>
      <c r="AV33" s="44" t="n">
        <f aca="false">COUNT(AV3:AV28)</f>
        <v>19</v>
      </c>
      <c r="AW33" s="77"/>
      <c r="AX33" s="44" t="n">
        <f aca="false">COUNT(AX3:AX28)</f>
        <v>10</v>
      </c>
      <c r="AY33" s="44" t="n">
        <f aca="false">COUNT(AY3:AY28)</f>
        <v>7</v>
      </c>
      <c r="AZ33" s="77"/>
      <c r="BA33" s="44"/>
      <c r="BB33" s="44" t="n">
        <f aca="false">COUNTIF(BB3:BB28, "&gt;=6")</f>
        <v>14</v>
      </c>
      <c r="BC33" s="77"/>
      <c r="BD33" s="44" t="n">
        <f aca="false">COUNTIF(BD3:BD28, "Да")</f>
        <v>14</v>
      </c>
      <c r="BE33" s="77"/>
      <c r="BF33" s="44"/>
      <c r="BG33" s="44" t="n">
        <f aca="false">COUNT(BG3:BG28)</f>
        <v>11</v>
      </c>
      <c r="BH33" s="44" t="n">
        <f aca="false">COUNT(BH3:BH28)</f>
        <v>8</v>
      </c>
      <c r="BI33" s="80"/>
      <c r="BJ33" s="74"/>
      <c r="BK33" s="74"/>
    </row>
    <row r="34" customFormat="false" ht="15.75" hidden="false" customHeight="false" outlineLevel="0" collapsed="false">
      <c r="A34" s="92"/>
      <c r="E34" s="77"/>
      <c r="F34" s="44" t="s">
        <v>688</v>
      </c>
      <c r="G34" s="44"/>
      <c r="H34" s="44"/>
      <c r="I34" s="44"/>
      <c r="J34" s="44"/>
      <c r="K34" s="44"/>
      <c r="L34" s="44"/>
      <c r="M34" s="44"/>
      <c r="N34" s="93"/>
      <c r="S34" s="94"/>
      <c r="T34" s="92" t="s">
        <v>689</v>
      </c>
      <c r="V34" s="93"/>
      <c r="W34" s="93"/>
      <c r="X34" s="95" t="n">
        <f aca="false">IF(COUNTA($B$3:$B$25)&gt;0,COUNTA(X$3:X$25)/COUNTA($B$3:$B$25), 0)</f>
        <v>0.6956521739</v>
      </c>
      <c r="Y34" s="96"/>
      <c r="Z34" s="93"/>
      <c r="AA34" s="93"/>
      <c r="AB34" s="93"/>
      <c r="AC34" s="93"/>
      <c r="AD34" s="95" t="n">
        <f aca="false">IF(COUNTA($B$3:$B$25)&gt;0,COUNTA(AD$3:AD$25)/COUNTA($B$3:$B$25), 0)</f>
        <v>0.6956521739</v>
      </c>
      <c r="AE34" s="97"/>
      <c r="AF34" s="98"/>
      <c r="AG34" s="93"/>
      <c r="AH34" s="98"/>
      <c r="AI34" s="93"/>
      <c r="AJ34" s="95" t="n">
        <f aca="false">IF(COUNTA($B$3:$B$25)&gt;0,COUNTA(AJ$3:AJ$25)/COUNTA($B$3:$B$25), 0)</f>
        <v>0.6956521739</v>
      </c>
      <c r="AK34" s="96"/>
      <c r="AL34" s="93"/>
      <c r="AM34" s="93"/>
      <c r="AN34" s="93"/>
      <c r="AO34" s="93"/>
      <c r="AP34" s="95" t="n">
        <f aca="false">IF(COUNTA($B$3:$B$25)&gt;0,COUNTA(AP$3:AP$25)/COUNTA($B$3:$B$25), 0)</f>
        <v>0.6086956522</v>
      </c>
      <c r="AQ34" s="96"/>
      <c r="AR34" s="93"/>
      <c r="AS34" s="93"/>
      <c r="AT34" s="93"/>
      <c r="AU34" s="93"/>
      <c r="AV34" s="95" t="n">
        <f aca="false">IF(COUNTA($B$3:$B$25)&gt;0,COUNTA(AV$3:AV$25)/COUNTA($B$3:$B$25), 0)</f>
        <v>0.8260869565</v>
      </c>
      <c r="AW34" s="99"/>
      <c r="AX34" s="100"/>
      <c r="AY34" s="100"/>
      <c r="AZ34" s="99"/>
      <c r="BA34" s="100"/>
      <c r="BB34" s="95" t="n">
        <f aca="false">IF(COUNTA($B$3:$B$25)&gt;0,COUNTA(BB$3:BB$25)/COUNTA($B$3:$B$25), 0)</f>
        <v>0.6956521739</v>
      </c>
      <c r="BC34" s="77"/>
      <c r="BD34" s="44" t="n">
        <f aca="false">COUNTIF(BD3:BD28, "Да")</f>
        <v>14</v>
      </c>
      <c r="BE34" s="101"/>
      <c r="BF34" s="102"/>
      <c r="BG34" s="102"/>
      <c r="BH34" s="100"/>
      <c r="BI34" s="103"/>
      <c r="BJ34" s="102"/>
      <c r="BK34" s="102"/>
    </row>
    <row r="35" customFormat="false" ht="15.75" hidden="false" customHeight="false" outlineLevel="0" collapsed="false">
      <c r="A35" s="92"/>
      <c r="B35" s="92"/>
      <c r="C35" s="92"/>
      <c r="D35" s="92"/>
      <c r="E35" s="77"/>
      <c r="F35" s="44" t="s">
        <v>690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77"/>
      <c r="T35" s="44"/>
      <c r="U35" s="44"/>
      <c r="V35" s="44"/>
      <c r="W35" s="44"/>
      <c r="X35" s="44"/>
      <c r="Y35" s="77"/>
      <c r="Z35" s="44"/>
      <c r="AA35" s="44"/>
      <c r="AB35" s="44"/>
      <c r="AC35" s="44"/>
      <c r="AD35" s="90"/>
      <c r="AE35" s="91"/>
      <c r="AF35" s="90"/>
      <c r="AG35" s="44"/>
      <c r="AH35" s="90"/>
      <c r="AI35" s="44"/>
      <c r="AJ35" s="44"/>
      <c r="AK35" s="77"/>
      <c r="AL35" s="44"/>
      <c r="AM35" s="44"/>
      <c r="AN35" s="44"/>
      <c r="AO35" s="44"/>
      <c r="AP35" s="44"/>
      <c r="AQ35" s="77"/>
      <c r="AR35" s="44"/>
      <c r="AS35" s="44"/>
      <c r="AT35" s="44"/>
      <c r="AU35" s="44"/>
      <c r="AV35" s="44"/>
      <c r="AW35" s="101"/>
      <c r="AX35" s="102"/>
      <c r="AY35" s="102"/>
      <c r="AZ35" s="101"/>
      <c r="BA35" s="102"/>
      <c r="BB35" s="102"/>
      <c r="BC35" s="101"/>
      <c r="BD35" s="102"/>
      <c r="BE35" s="101"/>
      <c r="BF35" s="102"/>
      <c r="BG35" s="102"/>
      <c r="BH35" s="102"/>
      <c r="BI35" s="103"/>
      <c r="BJ35" s="102"/>
      <c r="BK35" s="102"/>
    </row>
    <row r="36" customFormat="false" ht="15.75" hidden="false" customHeight="false" outlineLevel="0" collapsed="false">
      <c r="A36" s="92"/>
      <c r="B36" s="92"/>
      <c r="C36" s="92"/>
      <c r="D36" s="92"/>
      <c r="E36" s="77"/>
      <c r="F36" s="44" t="s">
        <v>691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77"/>
      <c r="T36" s="44"/>
      <c r="U36" s="44"/>
      <c r="V36" s="44"/>
      <c r="W36" s="44"/>
      <c r="X36" s="44"/>
      <c r="Y36" s="77"/>
      <c r="Z36" s="44"/>
      <c r="AA36" s="44"/>
      <c r="AB36" s="44"/>
      <c r="AC36" s="44"/>
      <c r="AD36" s="90"/>
      <c r="AE36" s="91"/>
      <c r="AF36" s="90"/>
      <c r="AG36" s="44"/>
      <c r="AH36" s="90"/>
      <c r="AI36" s="44"/>
      <c r="AJ36" s="44"/>
      <c r="AK36" s="77"/>
      <c r="AL36" s="44"/>
      <c r="AM36" s="44"/>
      <c r="AN36" s="44"/>
      <c r="AO36" s="44"/>
      <c r="AP36" s="44"/>
      <c r="AQ36" s="77"/>
      <c r="AR36" s="44"/>
      <c r="AS36" s="44"/>
      <c r="AT36" s="44"/>
      <c r="AU36" s="44"/>
      <c r="AV36" s="44"/>
      <c r="AW36" s="101"/>
      <c r="AX36" s="102"/>
      <c r="AY36" s="102"/>
      <c r="AZ36" s="101"/>
      <c r="BA36" s="102"/>
      <c r="BB36" s="102"/>
      <c r="BC36" s="101"/>
      <c r="BD36" s="102"/>
      <c r="BE36" s="101"/>
      <c r="BF36" s="102"/>
      <c r="BG36" s="102"/>
      <c r="BH36" s="102"/>
      <c r="BI36" s="103"/>
      <c r="BJ36" s="102"/>
      <c r="BK36" s="102"/>
    </row>
    <row r="37" customFormat="false" ht="15.75" hidden="true" customHeight="false" outlineLevel="0" collapsed="false">
      <c r="A37" s="92"/>
      <c r="B37" s="92"/>
      <c r="C37" s="92"/>
      <c r="D37" s="92"/>
      <c r="E37" s="10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77"/>
      <c r="T37" s="44"/>
      <c r="U37" s="44"/>
      <c r="V37" s="44"/>
      <c r="W37" s="44"/>
      <c r="X37" s="44"/>
      <c r="Y37" s="77"/>
      <c r="Z37" s="44"/>
      <c r="AA37" s="44"/>
      <c r="AB37" s="44"/>
      <c r="AC37" s="44"/>
      <c r="AD37" s="90"/>
      <c r="AE37" s="91"/>
      <c r="AF37" s="90"/>
      <c r="AG37" s="44"/>
      <c r="AH37" s="90"/>
      <c r="AI37" s="44"/>
      <c r="AJ37" s="44"/>
      <c r="AK37" s="77"/>
      <c r="AL37" s="44"/>
      <c r="AM37" s="44"/>
      <c r="AN37" s="44"/>
      <c r="AO37" s="44"/>
      <c r="AP37" s="44"/>
      <c r="AQ37" s="77"/>
      <c r="AR37" s="44"/>
      <c r="AS37" s="44"/>
      <c r="AT37" s="44"/>
      <c r="AU37" s="44"/>
      <c r="AV37" s="44"/>
      <c r="AW37" s="101"/>
      <c r="AX37" s="102"/>
      <c r="AY37" s="102"/>
      <c r="AZ37" s="101"/>
      <c r="BA37" s="102"/>
      <c r="BB37" s="102"/>
      <c r="BC37" s="101"/>
      <c r="BD37" s="102"/>
      <c r="BE37" s="101"/>
      <c r="BF37" s="102"/>
      <c r="BG37" s="102"/>
      <c r="BH37" s="102"/>
      <c r="BI37" s="103"/>
      <c r="BJ37" s="102"/>
      <c r="BK37" s="102"/>
    </row>
    <row r="38" customFormat="false" ht="15.75" hidden="true" customHeight="false" outlineLevel="0" collapsed="false">
      <c r="A38" s="92"/>
      <c r="B38" s="92"/>
      <c r="C38" s="92"/>
      <c r="D38" s="92"/>
      <c r="E38" s="10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77"/>
      <c r="T38" s="44"/>
      <c r="U38" s="44"/>
      <c r="V38" s="44"/>
      <c r="W38" s="44"/>
      <c r="X38" s="44"/>
      <c r="Y38" s="77"/>
      <c r="Z38" s="44"/>
      <c r="AA38" s="44"/>
      <c r="AB38" s="44"/>
      <c r="AC38" s="44"/>
      <c r="AD38" s="90"/>
      <c r="AE38" s="91"/>
      <c r="AF38" s="90"/>
      <c r="AG38" s="44"/>
      <c r="AH38" s="90"/>
      <c r="AI38" s="44"/>
      <c r="AJ38" s="44"/>
      <c r="AK38" s="77"/>
      <c r="AL38" s="44"/>
      <c r="AM38" s="44"/>
      <c r="AN38" s="44"/>
      <c r="AO38" s="44"/>
      <c r="AP38" s="44"/>
      <c r="AQ38" s="77"/>
      <c r="AR38" s="44"/>
      <c r="AS38" s="44"/>
      <c r="AT38" s="44"/>
      <c r="AU38" s="44"/>
      <c r="AV38" s="44"/>
      <c r="AW38" s="101"/>
      <c r="AX38" s="102"/>
      <c r="AY38" s="102"/>
      <c r="AZ38" s="101"/>
      <c r="BA38" s="102"/>
      <c r="BB38" s="102"/>
      <c r="BC38" s="101"/>
      <c r="BD38" s="102"/>
      <c r="BE38" s="101"/>
      <c r="BF38" s="102"/>
      <c r="BG38" s="102"/>
      <c r="BH38" s="102"/>
      <c r="BI38" s="103"/>
      <c r="BJ38" s="102"/>
      <c r="BK38" s="102"/>
    </row>
    <row r="39" customFormat="false" ht="15.75" hidden="true" customHeight="false" outlineLevel="0" collapsed="false">
      <c r="A39" s="92"/>
      <c r="B39" s="92"/>
      <c r="C39" s="92"/>
      <c r="D39" s="92"/>
      <c r="E39" s="10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77"/>
      <c r="T39" s="44"/>
      <c r="U39" s="44"/>
      <c r="V39" s="44"/>
      <c r="W39" s="44"/>
      <c r="X39" s="44"/>
      <c r="Y39" s="77"/>
      <c r="Z39" s="44"/>
      <c r="AA39" s="44"/>
      <c r="AB39" s="44"/>
      <c r="AC39" s="44"/>
      <c r="AD39" s="90"/>
      <c r="AE39" s="91"/>
      <c r="AF39" s="90"/>
      <c r="AG39" s="44"/>
      <c r="AH39" s="90"/>
      <c r="AI39" s="44"/>
      <c r="AJ39" s="44"/>
      <c r="AK39" s="77"/>
      <c r="AL39" s="44"/>
      <c r="AM39" s="44"/>
      <c r="AN39" s="44"/>
      <c r="AO39" s="44"/>
      <c r="AP39" s="44"/>
      <c r="AQ39" s="77"/>
      <c r="AR39" s="44"/>
      <c r="AS39" s="44"/>
      <c r="AT39" s="44"/>
      <c r="AU39" s="44"/>
      <c r="AV39" s="44"/>
      <c r="AW39" s="101"/>
      <c r="AX39" s="102"/>
      <c r="AY39" s="102"/>
      <c r="AZ39" s="101"/>
      <c r="BA39" s="102"/>
      <c r="BB39" s="102"/>
      <c r="BC39" s="101"/>
      <c r="BD39" s="102"/>
      <c r="BE39" s="101"/>
      <c r="BF39" s="102"/>
      <c r="BG39" s="102"/>
      <c r="BH39" s="102"/>
      <c r="BI39" s="103"/>
      <c r="BJ39" s="102"/>
      <c r="BK39" s="102"/>
    </row>
  </sheetData>
  <mergeCells count="14">
    <mergeCell ref="A1:A2"/>
    <mergeCell ref="F1:M1"/>
    <mergeCell ref="N1:R1"/>
    <mergeCell ref="T1:X1"/>
    <mergeCell ref="Z1:AD1"/>
    <mergeCell ref="AF1:AJ1"/>
    <mergeCell ref="AL1:AP1"/>
    <mergeCell ref="AR1:AV1"/>
    <mergeCell ref="AX1:AY1"/>
    <mergeCell ref="BA1:BB1"/>
    <mergeCell ref="BD1:BD2"/>
    <mergeCell ref="BF1:BG1"/>
    <mergeCell ref="BH1:BH2"/>
    <mergeCell ref="BJ1:BK1"/>
  </mergeCells>
  <conditionalFormatting sqref="U3:W28 AA3:AC28 AG3:AI28 AM3:AO28 AS3:AU28">
    <cfRule type="expression" priority="2" aboveAverage="0" equalAverage="0" bottom="0" percent="0" rank="0" text="" dxfId="2">
      <formula>U3&gt;45809</formula>
    </cfRule>
  </conditionalFormatting>
  <conditionalFormatting sqref="BC3:BD28">
    <cfRule type="cellIs" priority="3" operator="equal" aboveAverage="0" equalAverage="0" bottom="0" percent="0" rank="0" text="" dxfId="3">
      <formula>"Нет"</formula>
    </cfRule>
    <cfRule type="cellIs" priority="4" operator="equal" aboveAverage="0" equalAverage="0" bottom="0" percent="0" rank="0" text="" dxfId="4">
      <formula>"Да"</formula>
    </cfRule>
  </conditionalFormatting>
  <conditionalFormatting sqref="E3:R28">
    <cfRule type="cellIs" priority="5" operator="equal" aboveAverage="0" equalAverage="0" bottom="0" percent="0" rank="0" text="" dxfId="5">
      <formula>"N"</formula>
    </cfRule>
  </conditionalFormatting>
  <conditionalFormatting sqref="BK3:BK25">
    <cfRule type="notContainsText" priority="6" operator="notContains" aboveAverage="0" equalAverage="0" bottom="0" percent="0" rank="0" text="FX" dxfId="6">
      <formula>ISERROR(SEARCH("FX",BK3))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cp:revision>0</cp:revision>
  <dc:subject/>
  <dc:title/>
</cp:coreProperties>
</file>