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/>
  <xr:revisionPtr revIDLastSave="0" documentId="13_ncr:1_{19EF0B5C-CDBF-4A24-8E03-56CF18EFEEC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整体分析(期中考）" sheetId="12" r:id="rId1"/>
    <sheet name="整体分析(上半年总表）" sheetId="13" r:id="rId2"/>
    <sheet name="考试分析" sheetId="3" r:id="rId3"/>
    <sheet name="上半年期末考考试" sheetId="2" r:id="rId4"/>
    <sheet name="上半年总表" sheetId="4" r:id="rId5"/>
    <sheet name="上半年排名" sheetId="14" state="hidden" r:id="rId6"/>
    <sheet name="下半年期中考考试" sheetId="10" r:id="rId7"/>
    <sheet name="下半年期末考考试" sheetId="9" r:id="rId8"/>
    <sheet name="下半年总表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4" i="2" l="1"/>
  <c r="D39" i="13"/>
  <c r="E36" i="13"/>
  <c r="D35" i="13"/>
  <c r="E34" i="13"/>
  <c r="D33" i="13"/>
  <c r="D30" i="13"/>
  <c r="E28" i="13"/>
  <c r="D27" i="13"/>
  <c r="E26" i="13"/>
  <c r="D25" i="13"/>
  <c r="D22" i="13"/>
  <c r="E20" i="13"/>
  <c r="E18" i="13"/>
  <c r="D18" i="13"/>
  <c r="D15" i="13"/>
  <c r="E12" i="13"/>
  <c r="E10" i="13"/>
  <c r="D10" i="13"/>
  <c r="D7" i="13"/>
  <c r="E4" i="13"/>
  <c r="E2" i="13"/>
  <c r="N26" i="4"/>
  <c r="O26" i="4" s="1"/>
  <c r="C26" i="13" s="1"/>
  <c r="N27" i="4"/>
  <c r="N28" i="4"/>
  <c r="H42" i="2"/>
  <c r="D43" i="8"/>
  <c r="E43" i="8"/>
  <c r="F43" i="8"/>
  <c r="G43" i="8"/>
  <c r="H43" i="8"/>
  <c r="I43" i="8"/>
  <c r="J43" i="8"/>
  <c r="K43" i="8"/>
  <c r="L43" i="8"/>
  <c r="M43" i="8"/>
  <c r="C43" i="8"/>
  <c r="D42" i="8"/>
  <c r="E42" i="8"/>
  <c r="F42" i="8"/>
  <c r="G42" i="8"/>
  <c r="H42" i="8"/>
  <c r="I42" i="8"/>
  <c r="J42" i="8"/>
  <c r="K42" i="8"/>
  <c r="L42" i="8"/>
  <c r="M42" i="8"/>
  <c r="C42" i="8"/>
  <c r="N39" i="8"/>
  <c r="O39" i="8" s="1"/>
  <c r="N38" i="8"/>
  <c r="O38" i="8" s="1"/>
  <c r="N37" i="8"/>
  <c r="O37" i="8" s="1"/>
  <c r="N36" i="8"/>
  <c r="O36" i="8" s="1"/>
  <c r="N35" i="8"/>
  <c r="O35" i="8" s="1"/>
  <c r="N34" i="8"/>
  <c r="O34" i="8" s="1"/>
  <c r="N33" i="8"/>
  <c r="O33" i="8" s="1"/>
  <c r="N32" i="8"/>
  <c r="O32" i="8" s="1"/>
  <c r="N31" i="8"/>
  <c r="O31" i="8" s="1"/>
  <c r="N30" i="8"/>
  <c r="O30" i="8" s="1"/>
  <c r="N29" i="8"/>
  <c r="O29" i="8" s="1"/>
  <c r="N28" i="8"/>
  <c r="O28" i="8" s="1"/>
  <c r="N27" i="8"/>
  <c r="O27" i="8" s="1"/>
  <c r="N26" i="8"/>
  <c r="O26" i="8" s="1"/>
  <c r="N25" i="8"/>
  <c r="O25" i="8" s="1"/>
  <c r="N24" i="8"/>
  <c r="O24" i="8" s="1"/>
  <c r="N23" i="8"/>
  <c r="O23" i="8" s="1"/>
  <c r="N22" i="8"/>
  <c r="O22" i="8" s="1"/>
  <c r="N21" i="8"/>
  <c r="O21" i="8" s="1"/>
  <c r="N20" i="8"/>
  <c r="O20" i="8" s="1"/>
  <c r="N19" i="8"/>
  <c r="O19" i="8" s="1"/>
  <c r="N18" i="8"/>
  <c r="O18" i="8" s="1"/>
  <c r="N17" i="8"/>
  <c r="O17" i="8" s="1"/>
  <c r="N16" i="8"/>
  <c r="O16" i="8" s="1"/>
  <c r="N15" i="8"/>
  <c r="O15" i="8" s="1"/>
  <c r="N14" i="8"/>
  <c r="O14" i="8" s="1"/>
  <c r="N13" i="8"/>
  <c r="O13" i="8" s="1"/>
  <c r="N12" i="8"/>
  <c r="O12" i="8" s="1"/>
  <c r="N11" i="8"/>
  <c r="O11" i="8" s="1"/>
  <c r="N10" i="8"/>
  <c r="O10" i="8" s="1"/>
  <c r="N9" i="8"/>
  <c r="O9" i="8" s="1"/>
  <c r="N8" i="8"/>
  <c r="O8" i="8" s="1"/>
  <c r="N7" i="8"/>
  <c r="O7" i="8" s="1"/>
  <c r="N6" i="8"/>
  <c r="O6" i="8" s="1"/>
  <c r="N5" i="8"/>
  <c r="O5" i="8" s="1"/>
  <c r="N4" i="8"/>
  <c r="O4" i="8" s="1"/>
  <c r="N3" i="8"/>
  <c r="O3" i="8" s="1"/>
  <c r="N2" i="8"/>
  <c r="O2" i="8" s="1"/>
  <c r="O42" i="8" s="1"/>
  <c r="K2" i="9"/>
  <c r="L2" i="9"/>
  <c r="K3" i="9"/>
  <c r="L3" i="9"/>
  <c r="E3" i="12" s="1"/>
  <c r="I3" i="12" s="1"/>
  <c r="K4" i="9"/>
  <c r="L4" i="9"/>
  <c r="K5" i="9"/>
  <c r="L5" i="9"/>
  <c r="E5" i="13" s="1"/>
  <c r="K6" i="9"/>
  <c r="L6" i="9"/>
  <c r="E6" i="13" s="1"/>
  <c r="K7" i="9"/>
  <c r="L7" i="9"/>
  <c r="E7" i="12" s="1"/>
  <c r="I7" i="12" s="1"/>
  <c r="K8" i="9"/>
  <c r="L8" i="9"/>
  <c r="E8" i="13" s="1"/>
  <c r="K9" i="9"/>
  <c r="L9" i="9"/>
  <c r="E9" i="12" s="1"/>
  <c r="I9" i="12" s="1"/>
  <c r="K10" i="9"/>
  <c r="L10" i="9"/>
  <c r="K11" i="9"/>
  <c r="L11" i="9"/>
  <c r="E11" i="12" s="1"/>
  <c r="I11" i="12" s="1"/>
  <c r="K12" i="9"/>
  <c r="L12" i="9"/>
  <c r="K13" i="9"/>
  <c r="L13" i="9"/>
  <c r="E13" i="12" s="1"/>
  <c r="I13" i="12" s="1"/>
  <c r="K14" i="9"/>
  <c r="L14" i="9"/>
  <c r="E14" i="13" s="1"/>
  <c r="K15" i="9"/>
  <c r="L15" i="9"/>
  <c r="E15" i="12" s="1"/>
  <c r="I15" i="12" s="1"/>
  <c r="K16" i="9"/>
  <c r="L16" i="9"/>
  <c r="E16" i="13" s="1"/>
  <c r="K17" i="9"/>
  <c r="L17" i="9"/>
  <c r="E17" i="12" s="1"/>
  <c r="I17" i="12" s="1"/>
  <c r="K18" i="9"/>
  <c r="L18" i="9"/>
  <c r="K19" i="9"/>
  <c r="L19" i="9"/>
  <c r="E19" i="12" s="1"/>
  <c r="I19" i="12" s="1"/>
  <c r="K20" i="9"/>
  <c r="L20" i="9"/>
  <c r="K21" i="9"/>
  <c r="L21" i="9"/>
  <c r="E21" i="13" s="1"/>
  <c r="K22" i="9"/>
  <c r="L22" i="9"/>
  <c r="E22" i="13" s="1"/>
  <c r="I22" i="13" s="1"/>
  <c r="K23" i="9"/>
  <c r="L23" i="9"/>
  <c r="E23" i="12" s="1"/>
  <c r="I23" i="12" s="1"/>
  <c r="K24" i="9"/>
  <c r="L24" i="9"/>
  <c r="E24" i="13" s="1"/>
  <c r="K25" i="9"/>
  <c r="L25" i="9"/>
  <c r="E25" i="12" s="1"/>
  <c r="I25" i="12" s="1"/>
  <c r="K26" i="9"/>
  <c r="L26" i="9"/>
  <c r="K27" i="9"/>
  <c r="L27" i="9"/>
  <c r="E27" i="12" s="1"/>
  <c r="I27" i="12" s="1"/>
  <c r="K28" i="9"/>
  <c r="L28" i="9"/>
  <c r="K29" i="9"/>
  <c r="L29" i="9"/>
  <c r="E29" i="13" s="1"/>
  <c r="K30" i="9"/>
  <c r="L30" i="9"/>
  <c r="E30" i="13" s="1"/>
  <c r="I30" i="13" s="1"/>
  <c r="K31" i="9"/>
  <c r="L31" i="9"/>
  <c r="E31" i="12" s="1"/>
  <c r="I31" i="12" s="1"/>
  <c r="K32" i="9"/>
  <c r="L32" i="9"/>
  <c r="E32" i="13" s="1"/>
  <c r="K33" i="9"/>
  <c r="L33" i="9"/>
  <c r="E33" i="13" s="1"/>
  <c r="I33" i="13" s="1"/>
  <c r="K34" i="9"/>
  <c r="L34" i="9"/>
  <c r="K35" i="9"/>
  <c r="L35" i="9"/>
  <c r="E35" i="12" s="1"/>
  <c r="I35" i="12" s="1"/>
  <c r="K36" i="9"/>
  <c r="L36" i="9"/>
  <c r="K37" i="9"/>
  <c r="L37" i="9"/>
  <c r="E37" i="13" s="1"/>
  <c r="K38" i="9"/>
  <c r="L38" i="9"/>
  <c r="E38" i="13" s="1"/>
  <c r="K39" i="9"/>
  <c r="L39" i="9"/>
  <c r="E39" i="12" s="1"/>
  <c r="I39" i="12" s="1"/>
  <c r="J43" i="9"/>
  <c r="H13" i="3"/>
  <c r="G43" i="9"/>
  <c r="F43" i="9"/>
  <c r="C43" i="9"/>
  <c r="I13" i="3"/>
  <c r="J42" i="4"/>
  <c r="K42" i="4"/>
  <c r="L42" i="4"/>
  <c r="M42" i="4"/>
  <c r="J43" i="4"/>
  <c r="K43" i="4"/>
  <c r="L43" i="4"/>
  <c r="M43" i="4"/>
  <c r="N2" i="4"/>
  <c r="O2" i="4" s="1"/>
  <c r="C2" i="13" s="1"/>
  <c r="N3" i="4"/>
  <c r="O3" i="4" s="1"/>
  <c r="C3" i="13" s="1"/>
  <c r="N4" i="4"/>
  <c r="O4" i="4" s="1"/>
  <c r="C4" i="13" s="1"/>
  <c r="N5" i="4"/>
  <c r="O5" i="4" s="1"/>
  <c r="C5" i="13" s="1"/>
  <c r="N6" i="4"/>
  <c r="O6" i="4" s="1"/>
  <c r="C6" i="13" s="1"/>
  <c r="N7" i="4"/>
  <c r="O7" i="4" s="1"/>
  <c r="C7" i="13" s="1"/>
  <c r="N8" i="4"/>
  <c r="O8" i="4" s="1"/>
  <c r="C8" i="13" s="1"/>
  <c r="N9" i="4"/>
  <c r="O9" i="4" s="1"/>
  <c r="C9" i="13" s="1"/>
  <c r="N10" i="4"/>
  <c r="O10" i="4" s="1"/>
  <c r="C10" i="13" s="1"/>
  <c r="H10" i="13" s="1"/>
  <c r="N11" i="4"/>
  <c r="O11" i="4" s="1"/>
  <c r="C11" i="13" s="1"/>
  <c r="N12" i="4"/>
  <c r="O12" i="4" s="1"/>
  <c r="C12" i="13" s="1"/>
  <c r="N13" i="4"/>
  <c r="O13" i="4" s="1"/>
  <c r="C13" i="13" s="1"/>
  <c r="N14" i="4"/>
  <c r="O14" i="4" s="1"/>
  <c r="C14" i="13" s="1"/>
  <c r="N15" i="4"/>
  <c r="O15" i="4" s="1"/>
  <c r="C15" i="13" s="1"/>
  <c r="N16" i="4"/>
  <c r="O16" i="4" s="1"/>
  <c r="C16" i="13" s="1"/>
  <c r="N17" i="4"/>
  <c r="O17" i="4" s="1"/>
  <c r="C17" i="13" s="1"/>
  <c r="N18" i="4"/>
  <c r="O18" i="4" s="1"/>
  <c r="C18" i="13" s="1"/>
  <c r="N19" i="4"/>
  <c r="O19" i="4" s="1"/>
  <c r="C19" i="13" s="1"/>
  <c r="N20" i="4"/>
  <c r="O20" i="4" s="1"/>
  <c r="C20" i="13" s="1"/>
  <c r="N21" i="4"/>
  <c r="O21" i="4" s="1"/>
  <c r="C21" i="13" s="1"/>
  <c r="N22" i="4"/>
  <c r="O22" i="4" s="1"/>
  <c r="C22" i="13" s="1"/>
  <c r="N23" i="4"/>
  <c r="O23" i="4" s="1"/>
  <c r="C23" i="13" s="1"/>
  <c r="N24" i="4"/>
  <c r="O24" i="4" s="1"/>
  <c r="C24" i="13" s="1"/>
  <c r="N25" i="4"/>
  <c r="O25" i="4" s="1"/>
  <c r="C25" i="13" s="1"/>
  <c r="O27" i="4"/>
  <c r="C27" i="13" s="1"/>
  <c r="O28" i="4"/>
  <c r="C28" i="13" s="1"/>
  <c r="N29" i="4"/>
  <c r="O29" i="4" s="1"/>
  <c r="C29" i="13" s="1"/>
  <c r="N30" i="4"/>
  <c r="O30" i="4" s="1"/>
  <c r="C30" i="13" s="1"/>
  <c r="N31" i="4"/>
  <c r="O31" i="4" s="1"/>
  <c r="C31" i="13" s="1"/>
  <c r="N32" i="4"/>
  <c r="O32" i="4" s="1"/>
  <c r="C32" i="13" s="1"/>
  <c r="N33" i="4"/>
  <c r="O33" i="4" s="1"/>
  <c r="C33" i="13" s="1"/>
  <c r="N34" i="4"/>
  <c r="O34" i="4" s="1"/>
  <c r="C34" i="13" s="1"/>
  <c r="N35" i="4"/>
  <c r="O35" i="4" s="1"/>
  <c r="C35" i="13" s="1"/>
  <c r="N36" i="4"/>
  <c r="O36" i="4" s="1"/>
  <c r="C36" i="13" s="1"/>
  <c r="N37" i="4"/>
  <c r="N38" i="4"/>
  <c r="O38" i="4" s="1"/>
  <c r="C38" i="13" s="1"/>
  <c r="N39" i="4"/>
  <c r="O39" i="4" s="1"/>
  <c r="C39" i="13" s="1"/>
  <c r="G13" i="3"/>
  <c r="F13" i="3"/>
  <c r="E13" i="3"/>
  <c r="D13" i="3"/>
  <c r="C13" i="3"/>
  <c r="J8" i="3"/>
  <c r="I8" i="3"/>
  <c r="H8" i="3"/>
  <c r="G8" i="3"/>
  <c r="F8" i="3"/>
  <c r="E8" i="3"/>
  <c r="D8" i="3"/>
  <c r="C8" i="3"/>
  <c r="J43" i="10"/>
  <c r="I43" i="10"/>
  <c r="H43" i="10"/>
  <c r="G43" i="10"/>
  <c r="F43" i="10"/>
  <c r="E43" i="10"/>
  <c r="D43" i="10"/>
  <c r="C43" i="10"/>
  <c r="J42" i="10"/>
  <c r="I42" i="10"/>
  <c r="H42" i="10"/>
  <c r="G42" i="10"/>
  <c r="F42" i="10"/>
  <c r="E42" i="10"/>
  <c r="D42" i="10"/>
  <c r="C42" i="10"/>
  <c r="K39" i="10"/>
  <c r="L39" i="10" s="1"/>
  <c r="D39" i="12" s="1"/>
  <c r="K38" i="10"/>
  <c r="L38" i="10" s="1"/>
  <c r="D38" i="12" s="1"/>
  <c r="K37" i="10"/>
  <c r="L37" i="10" s="1"/>
  <c r="D37" i="12" s="1"/>
  <c r="K36" i="10"/>
  <c r="L36" i="10" s="1"/>
  <c r="D36" i="12" s="1"/>
  <c r="K35" i="10"/>
  <c r="L35" i="10" s="1"/>
  <c r="D35" i="12" s="1"/>
  <c r="K34" i="10"/>
  <c r="L34" i="10" s="1"/>
  <c r="D34" i="12" s="1"/>
  <c r="K33" i="10"/>
  <c r="L33" i="10" s="1"/>
  <c r="D33" i="12" s="1"/>
  <c r="K32" i="10"/>
  <c r="L32" i="10" s="1"/>
  <c r="D32" i="12" s="1"/>
  <c r="K31" i="10"/>
  <c r="L31" i="10" s="1"/>
  <c r="D31" i="12" s="1"/>
  <c r="K30" i="10"/>
  <c r="L30" i="10" s="1"/>
  <c r="D30" i="12" s="1"/>
  <c r="K29" i="10"/>
  <c r="L29" i="10" s="1"/>
  <c r="D29" i="12" s="1"/>
  <c r="K28" i="10"/>
  <c r="L28" i="10" s="1"/>
  <c r="D28" i="12" s="1"/>
  <c r="K27" i="10"/>
  <c r="L27" i="10" s="1"/>
  <c r="D27" i="12" s="1"/>
  <c r="K26" i="10"/>
  <c r="L26" i="10" s="1"/>
  <c r="D26" i="12" s="1"/>
  <c r="K25" i="10"/>
  <c r="L25" i="10" s="1"/>
  <c r="D25" i="12" s="1"/>
  <c r="K24" i="10"/>
  <c r="L24" i="10" s="1"/>
  <c r="D24" i="12" s="1"/>
  <c r="K23" i="10"/>
  <c r="L23" i="10" s="1"/>
  <c r="D23" i="12" s="1"/>
  <c r="K22" i="10"/>
  <c r="L22" i="10" s="1"/>
  <c r="D22" i="12" s="1"/>
  <c r="K21" i="10"/>
  <c r="L21" i="10" s="1"/>
  <c r="D21" i="12" s="1"/>
  <c r="K20" i="10"/>
  <c r="L20" i="10" s="1"/>
  <c r="D20" i="12" s="1"/>
  <c r="K19" i="10"/>
  <c r="L19" i="10" s="1"/>
  <c r="D19" i="12" s="1"/>
  <c r="K18" i="10"/>
  <c r="L18" i="10" s="1"/>
  <c r="D18" i="12" s="1"/>
  <c r="K17" i="10"/>
  <c r="L17" i="10" s="1"/>
  <c r="D17" i="12" s="1"/>
  <c r="K16" i="10"/>
  <c r="L16" i="10" s="1"/>
  <c r="D16" i="12" s="1"/>
  <c r="K15" i="10"/>
  <c r="L15" i="10" s="1"/>
  <c r="D15" i="12" s="1"/>
  <c r="K14" i="10"/>
  <c r="L14" i="10" s="1"/>
  <c r="D14" i="12" s="1"/>
  <c r="K13" i="10"/>
  <c r="L13" i="10" s="1"/>
  <c r="D13" i="12" s="1"/>
  <c r="K12" i="10"/>
  <c r="L12" i="10" s="1"/>
  <c r="D12" i="12" s="1"/>
  <c r="K11" i="10"/>
  <c r="L11" i="10" s="1"/>
  <c r="D11" i="12" s="1"/>
  <c r="K10" i="10"/>
  <c r="L10" i="10" s="1"/>
  <c r="D10" i="12" s="1"/>
  <c r="K9" i="10"/>
  <c r="L9" i="10" s="1"/>
  <c r="D9" i="12" s="1"/>
  <c r="K8" i="10"/>
  <c r="L8" i="10" s="1"/>
  <c r="D8" i="12" s="1"/>
  <c r="K7" i="10"/>
  <c r="L7" i="10" s="1"/>
  <c r="D7" i="12" s="1"/>
  <c r="K6" i="10"/>
  <c r="L6" i="10" s="1"/>
  <c r="D6" i="12" s="1"/>
  <c r="K5" i="10"/>
  <c r="L5" i="10" s="1"/>
  <c r="D5" i="12" s="1"/>
  <c r="K4" i="10"/>
  <c r="L4" i="10" s="1"/>
  <c r="D4" i="12" s="1"/>
  <c r="K3" i="10"/>
  <c r="L3" i="10" s="1"/>
  <c r="D3" i="12" s="1"/>
  <c r="K2" i="10"/>
  <c r="I43" i="9"/>
  <c r="H43" i="9"/>
  <c r="E43" i="9"/>
  <c r="D43" i="9"/>
  <c r="I42" i="9"/>
  <c r="H42" i="9"/>
  <c r="E42" i="9"/>
  <c r="D42" i="9"/>
  <c r="E38" i="12"/>
  <c r="E37" i="12"/>
  <c r="I37" i="12" s="1"/>
  <c r="E36" i="12"/>
  <c r="E34" i="12"/>
  <c r="E32" i="12"/>
  <c r="I32" i="12" s="1"/>
  <c r="E30" i="12"/>
  <c r="E28" i="12"/>
  <c r="E26" i="12"/>
  <c r="E24" i="12"/>
  <c r="E22" i="12"/>
  <c r="I22" i="12" s="1"/>
  <c r="E21" i="12"/>
  <c r="I21" i="12" s="1"/>
  <c r="E20" i="12"/>
  <c r="E18" i="12"/>
  <c r="I18" i="12" s="1"/>
  <c r="E16" i="12"/>
  <c r="I16" i="12" s="1"/>
  <c r="E14" i="12"/>
  <c r="E12" i="12"/>
  <c r="E10" i="12"/>
  <c r="I10" i="12" s="1"/>
  <c r="E8" i="12"/>
  <c r="E6" i="12"/>
  <c r="I6" i="12" s="1"/>
  <c r="E5" i="12"/>
  <c r="I5" i="12" s="1"/>
  <c r="E4" i="12"/>
  <c r="D43" i="2"/>
  <c r="E43" i="2"/>
  <c r="F43" i="2"/>
  <c r="G43" i="2"/>
  <c r="H43" i="2"/>
  <c r="I43" i="2"/>
  <c r="J43" i="2"/>
  <c r="C43" i="2"/>
  <c r="D43" i="4"/>
  <c r="E43" i="4"/>
  <c r="F43" i="4"/>
  <c r="G43" i="4"/>
  <c r="H43" i="4"/>
  <c r="I43" i="4"/>
  <c r="C43" i="4"/>
  <c r="K2" i="2"/>
  <c r="L2" i="2" s="1"/>
  <c r="C2" i="12" s="1"/>
  <c r="K3" i="2"/>
  <c r="L3" i="2" s="1"/>
  <c r="C3" i="12" s="1"/>
  <c r="K4" i="2"/>
  <c r="L4" i="2" s="1"/>
  <c r="C4" i="12" s="1"/>
  <c r="K5" i="2"/>
  <c r="L5" i="2" s="1"/>
  <c r="C5" i="12" s="1"/>
  <c r="K6" i="2"/>
  <c r="L6" i="2" s="1"/>
  <c r="C6" i="12" s="1"/>
  <c r="K7" i="2"/>
  <c r="L7" i="2" s="1"/>
  <c r="C7" i="12" s="1"/>
  <c r="K8" i="2"/>
  <c r="L8" i="2" s="1"/>
  <c r="C8" i="12" s="1"/>
  <c r="K9" i="2"/>
  <c r="L9" i="2" s="1"/>
  <c r="C9" i="12" s="1"/>
  <c r="K10" i="2"/>
  <c r="L10" i="2" s="1"/>
  <c r="C10" i="12" s="1"/>
  <c r="K11" i="2"/>
  <c r="L11" i="2" s="1"/>
  <c r="C11" i="12" s="1"/>
  <c r="K12" i="2"/>
  <c r="L12" i="2" s="1"/>
  <c r="C12" i="12" s="1"/>
  <c r="K13" i="2"/>
  <c r="L13" i="2" s="1"/>
  <c r="C13" i="12" s="1"/>
  <c r="K14" i="2"/>
  <c r="L14" i="2" s="1"/>
  <c r="C14" i="12" s="1"/>
  <c r="K15" i="2"/>
  <c r="L15" i="2" s="1"/>
  <c r="C15" i="12" s="1"/>
  <c r="K16" i="2"/>
  <c r="L16" i="2" s="1"/>
  <c r="C16" i="12" s="1"/>
  <c r="K17" i="2"/>
  <c r="L17" i="2" s="1"/>
  <c r="C17" i="12" s="1"/>
  <c r="K18" i="2"/>
  <c r="L18" i="2" s="1"/>
  <c r="C18" i="12" s="1"/>
  <c r="K19" i="2"/>
  <c r="L19" i="2" s="1"/>
  <c r="C19" i="12" s="1"/>
  <c r="K20" i="2"/>
  <c r="L20" i="2" s="1"/>
  <c r="C20" i="12" s="1"/>
  <c r="K21" i="2"/>
  <c r="L21" i="2" s="1"/>
  <c r="C21" i="12" s="1"/>
  <c r="K22" i="2"/>
  <c r="L22" i="2" s="1"/>
  <c r="C22" i="12" s="1"/>
  <c r="K23" i="2"/>
  <c r="L23" i="2" s="1"/>
  <c r="C23" i="12" s="1"/>
  <c r="K24" i="2"/>
  <c r="L24" i="2" s="1"/>
  <c r="C24" i="12" s="1"/>
  <c r="K25" i="2"/>
  <c r="L25" i="2" s="1"/>
  <c r="C25" i="12" s="1"/>
  <c r="K26" i="2"/>
  <c r="L26" i="2" s="1"/>
  <c r="C26" i="12" s="1"/>
  <c r="K27" i="2"/>
  <c r="L27" i="2" s="1"/>
  <c r="C27" i="12" s="1"/>
  <c r="K28" i="2"/>
  <c r="L28" i="2" s="1"/>
  <c r="C28" i="12" s="1"/>
  <c r="K29" i="2"/>
  <c r="L29" i="2" s="1"/>
  <c r="C29" i="12" s="1"/>
  <c r="K30" i="2"/>
  <c r="L30" i="2" s="1"/>
  <c r="C30" i="12" s="1"/>
  <c r="K31" i="2"/>
  <c r="L31" i="2" s="1"/>
  <c r="C31" i="12" s="1"/>
  <c r="K32" i="2"/>
  <c r="L32" i="2" s="1"/>
  <c r="C32" i="12" s="1"/>
  <c r="K33" i="2"/>
  <c r="L33" i="2" s="1"/>
  <c r="C33" i="12" s="1"/>
  <c r="K34" i="2"/>
  <c r="L34" i="2" s="1"/>
  <c r="C34" i="12" s="1"/>
  <c r="K35" i="2"/>
  <c r="L35" i="2" s="1"/>
  <c r="C35" i="12" s="1"/>
  <c r="K36" i="2"/>
  <c r="L36" i="2" s="1"/>
  <c r="C36" i="12" s="1"/>
  <c r="K37" i="2"/>
  <c r="L37" i="2" s="1"/>
  <c r="C37" i="12" s="1"/>
  <c r="K38" i="2"/>
  <c r="L38" i="2" s="1"/>
  <c r="C38" i="12" s="1"/>
  <c r="K39" i="2"/>
  <c r="L39" i="2" s="1"/>
  <c r="C39" i="12" s="1"/>
  <c r="I42" i="4"/>
  <c r="H42" i="4"/>
  <c r="G42" i="4"/>
  <c r="F42" i="4"/>
  <c r="E42" i="4"/>
  <c r="D42" i="4"/>
  <c r="C42" i="4"/>
  <c r="J4" i="3"/>
  <c r="J9" i="3" s="1"/>
  <c r="I4" i="3"/>
  <c r="H4" i="3"/>
  <c r="G4" i="3"/>
  <c r="F4" i="3"/>
  <c r="F9" i="3" s="1"/>
  <c r="E4" i="3"/>
  <c r="D4" i="3"/>
  <c r="C4" i="3"/>
  <c r="D42" i="2"/>
  <c r="E42" i="2"/>
  <c r="F42" i="2"/>
  <c r="G42" i="2"/>
  <c r="I42" i="2"/>
  <c r="J42" i="2"/>
  <c r="C42" i="2"/>
  <c r="C45" i="4" l="1"/>
  <c r="C46" i="4" s="1"/>
  <c r="C45" i="2"/>
  <c r="H33" i="13"/>
  <c r="H25" i="13"/>
  <c r="I21" i="13"/>
  <c r="H6" i="13"/>
  <c r="I20" i="13"/>
  <c r="I24" i="13"/>
  <c r="I28" i="13"/>
  <c r="O43" i="8"/>
  <c r="D4" i="13"/>
  <c r="H4" i="13" s="1"/>
  <c r="E13" i="13"/>
  <c r="E31" i="13"/>
  <c r="D36" i="13"/>
  <c r="H36" i="13" s="1"/>
  <c r="I12" i="12"/>
  <c r="E33" i="12"/>
  <c r="I33" i="12" s="1"/>
  <c r="N43" i="8"/>
  <c r="D9" i="13"/>
  <c r="D17" i="13"/>
  <c r="H17" i="13" s="1"/>
  <c r="D24" i="13"/>
  <c r="H24" i="13" s="1"/>
  <c r="E25" i="13"/>
  <c r="I25" i="13" s="1"/>
  <c r="D32" i="13"/>
  <c r="H32" i="13" s="1"/>
  <c r="H35" i="13"/>
  <c r="E39" i="13"/>
  <c r="I39" i="13" s="1"/>
  <c r="I8" i="12"/>
  <c r="I24" i="12"/>
  <c r="E29" i="12"/>
  <c r="I29" i="12" s="1"/>
  <c r="D3" i="13"/>
  <c r="H3" i="13" s="1"/>
  <c r="D6" i="13"/>
  <c r="I6" i="13" s="1"/>
  <c r="D8" i="13"/>
  <c r="H8" i="13" s="1"/>
  <c r="E9" i="13"/>
  <c r="D11" i="13"/>
  <c r="H11" i="13" s="1"/>
  <c r="D14" i="13"/>
  <c r="I14" i="13" s="1"/>
  <c r="D16" i="13"/>
  <c r="H16" i="13" s="1"/>
  <c r="E17" i="13"/>
  <c r="D19" i="13"/>
  <c r="H19" i="13" s="1"/>
  <c r="E27" i="13"/>
  <c r="I27" i="13" s="1"/>
  <c r="D29" i="13"/>
  <c r="H29" i="13" s="1"/>
  <c r="E35" i="13"/>
  <c r="I35" i="13" s="1"/>
  <c r="D38" i="13"/>
  <c r="I38" i="13" s="1"/>
  <c r="C46" i="2"/>
  <c r="G14" i="3"/>
  <c r="N42" i="8"/>
  <c r="H7" i="13"/>
  <c r="D12" i="13"/>
  <c r="H12" i="13" s="1"/>
  <c r="H15" i="13"/>
  <c r="D20" i="13"/>
  <c r="E23" i="13"/>
  <c r="I34" i="13"/>
  <c r="I28" i="12"/>
  <c r="H18" i="13"/>
  <c r="E7" i="13"/>
  <c r="I7" i="13" s="1"/>
  <c r="I10" i="13"/>
  <c r="E15" i="13"/>
  <c r="I15" i="13" s="1"/>
  <c r="I18" i="13"/>
  <c r="H27" i="13"/>
  <c r="I4" i="12"/>
  <c r="I14" i="12"/>
  <c r="I20" i="12"/>
  <c r="I36" i="12"/>
  <c r="F14" i="3"/>
  <c r="E3" i="13"/>
  <c r="D5" i="13"/>
  <c r="E11" i="13"/>
  <c r="I11" i="13" s="1"/>
  <c r="D13" i="13"/>
  <c r="H13" i="13" s="1"/>
  <c r="E19" i="13"/>
  <c r="D21" i="13"/>
  <c r="H21" i="13" s="1"/>
  <c r="D23" i="13"/>
  <c r="H23" i="13" s="1"/>
  <c r="D26" i="13"/>
  <c r="I26" i="13" s="1"/>
  <c r="D28" i="13"/>
  <c r="H28" i="13" s="1"/>
  <c r="D31" i="13"/>
  <c r="H31" i="13" s="1"/>
  <c r="D34" i="13"/>
  <c r="D37" i="13"/>
  <c r="H20" i="13"/>
  <c r="H39" i="13"/>
  <c r="H22" i="13"/>
  <c r="H30" i="13"/>
  <c r="H38" i="13"/>
  <c r="H34" i="13"/>
  <c r="N43" i="4"/>
  <c r="N42" i="4"/>
  <c r="O37" i="4"/>
  <c r="C37" i="13" s="1"/>
  <c r="F42" i="9"/>
  <c r="J42" i="9"/>
  <c r="C42" i="9"/>
  <c r="G42" i="9"/>
  <c r="J13" i="3"/>
  <c r="J14" i="3" s="1"/>
  <c r="E9" i="3"/>
  <c r="H37" i="12"/>
  <c r="H33" i="12"/>
  <c r="H29" i="12"/>
  <c r="H25" i="12"/>
  <c r="H21" i="12"/>
  <c r="H17" i="12"/>
  <c r="H13" i="12"/>
  <c r="H9" i="12"/>
  <c r="H5" i="12"/>
  <c r="H36" i="12"/>
  <c r="H32" i="12"/>
  <c r="H28" i="12"/>
  <c r="H24" i="12"/>
  <c r="H20" i="12"/>
  <c r="H16" i="12"/>
  <c r="H12" i="12"/>
  <c r="H8" i="12"/>
  <c r="H4" i="12"/>
  <c r="H39" i="12"/>
  <c r="H35" i="12"/>
  <c r="H31" i="12"/>
  <c r="H27" i="12"/>
  <c r="H23" i="12"/>
  <c r="H19" i="12"/>
  <c r="H15" i="12"/>
  <c r="H11" i="12"/>
  <c r="H7" i="12"/>
  <c r="H3" i="12"/>
  <c r="D14" i="3"/>
  <c r="H38" i="12"/>
  <c r="H34" i="12"/>
  <c r="H30" i="12"/>
  <c r="H26" i="12"/>
  <c r="H22" i="12"/>
  <c r="H18" i="12"/>
  <c r="H14" i="12"/>
  <c r="H10" i="12"/>
  <c r="I9" i="3"/>
  <c r="E14" i="3"/>
  <c r="I14" i="3"/>
  <c r="C9" i="3"/>
  <c r="G9" i="3"/>
  <c r="H14" i="3"/>
  <c r="H9" i="3"/>
  <c r="D9" i="3"/>
  <c r="C14" i="3"/>
  <c r="L43" i="2"/>
  <c r="K43" i="2"/>
  <c r="I38" i="12"/>
  <c r="I34" i="12"/>
  <c r="I30" i="12"/>
  <c r="I26" i="12"/>
  <c r="H6" i="12"/>
  <c r="K42" i="9"/>
  <c r="K43" i="10"/>
  <c r="K42" i="10"/>
  <c r="L2" i="10"/>
  <c r="E2" i="12"/>
  <c r="K43" i="9"/>
  <c r="L42" i="2"/>
  <c r="C40" i="12" s="1"/>
  <c r="H37" i="13" l="1"/>
  <c r="I13" i="13"/>
  <c r="I16" i="13"/>
  <c r="H26" i="13"/>
  <c r="I9" i="13"/>
  <c r="H9" i="13"/>
  <c r="I12" i="13"/>
  <c r="D2" i="12"/>
  <c r="I2" i="12" s="1"/>
  <c r="D2" i="13"/>
  <c r="H14" i="13"/>
  <c r="I5" i="13"/>
  <c r="H5" i="13"/>
  <c r="I23" i="13"/>
  <c r="I8" i="13"/>
  <c r="I32" i="13"/>
  <c r="I4" i="13"/>
  <c r="I29" i="13"/>
  <c r="I19" i="13"/>
  <c r="I3" i="13"/>
  <c r="I17" i="13"/>
  <c r="I31" i="13"/>
  <c r="I36" i="13"/>
  <c r="I37" i="13"/>
  <c r="O43" i="4"/>
  <c r="O42" i="4"/>
  <c r="C40" i="13" s="1"/>
  <c r="L43" i="10"/>
  <c r="L42" i="10"/>
  <c r="L43" i="9"/>
  <c r="L42" i="9"/>
  <c r="H2" i="13" l="1"/>
  <c r="I2" i="13"/>
  <c r="H2" i="12"/>
  <c r="K42" i="2"/>
</calcChain>
</file>

<file path=xl/sharedStrings.xml><?xml version="1.0" encoding="utf-8"?>
<sst xmlns="http://schemas.openxmlformats.org/spreadsheetml/2006/main" count="492" uniqueCount="66">
  <si>
    <t>洪伟胜</t>
  </si>
  <si>
    <t>刘凯柔</t>
  </si>
  <si>
    <t>黄心柔</t>
  </si>
  <si>
    <t>周咏锜</t>
  </si>
  <si>
    <t>谢文森</t>
  </si>
  <si>
    <t>谢宇豪</t>
  </si>
  <si>
    <t>郑馨龙</t>
  </si>
  <si>
    <t>张文煊</t>
  </si>
  <si>
    <t>曹子勤</t>
  </si>
  <si>
    <t>蔡昱齐</t>
  </si>
  <si>
    <t>蔡耀恩</t>
  </si>
  <si>
    <t>陈可欣</t>
  </si>
  <si>
    <t>何怡宣</t>
  </si>
  <si>
    <t>李振勇</t>
  </si>
  <si>
    <t>洪世凯</t>
  </si>
  <si>
    <t>高炳豪</t>
  </si>
  <si>
    <t>赖宗汉</t>
  </si>
  <si>
    <t>刘伟杏</t>
  </si>
  <si>
    <t>李承育</t>
  </si>
  <si>
    <t>李巧颖</t>
  </si>
  <si>
    <t>李婉馨</t>
  </si>
  <si>
    <t>林恒生</t>
  </si>
  <si>
    <t>林芷筠</t>
  </si>
  <si>
    <t>罗嘉铭</t>
  </si>
  <si>
    <t>聂鈶潾</t>
  </si>
  <si>
    <t>黄洺轩</t>
  </si>
  <si>
    <t>黄胜昕</t>
  </si>
  <si>
    <t>盘蕊慈</t>
  </si>
  <si>
    <t>柯政楠</t>
  </si>
  <si>
    <t>陈翰</t>
  </si>
  <si>
    <t>陈洛蓁</t>
  </si>
  <si>
    <t>陈施妍</t>
  </si>
  <si>
    <t>郑宇喆</t>
  </si>
  <si>
    <t>陆斾廷</t>
  </si>
  <si>
    <t>王佳昇</t>
  </si>
  <si>
    <t>叶凯恒</t>
  </si>
  <si>
    <t>叶伸灏</t>
  </si>
  <si>
    <t>杨沛旭</t>
  </si>
  <si>
    <t>名字</t>
  </si>
  <si>
    <t>华文</t>
  </si>
  <si>
    <t>国文</t>
  </si>
  <si>
    <t>英文</t>
  </si>
  <si>
    <t>总分</t>
  </si>
  <si>
    <t>总平均</t>
  </si>
  <si>
    <t>编号</t>
  </si>
  <si>
    <t>高数</t>
  </si>
  <si>
    <t>生物</t>
  </si>
  <si>
    <t>物理</t>
  </si>
  <si>
    <t>化学</t>
  </si>
  <si>
    <t>电资</t>
  </si>
  <si>
    <t>全班平均</t>
  </si>
  <si>
    <t>上半年期末考</t>
  </si>
  <si>
    <t>最高分</t>
  </si>
  <si>
    <t>下半年期中考</t>
  </si>
  <si>
    <t>下半年期末考</t>
  </si>
  <si>
    <t>进步分数</t>
  </si>
  <si>
    <t>下半年期中考进步分数</t>
  </si>
  <si>
    <t>下半年期末考进步分数</t>
  </si>
  <si>
    <t>体育</t>
  </si>
  <si>
    <t>电脑</t>
  </si>
  <si>
    <t>联科</t>
  </si>
  <si>
    <t>平均</t>
  </si>
  <si>
    <t>及格率</t>
  </si>
  <si>
    <t>及格人数</t>
  </si>
  <si>
    <t>分数</t>
  </si>
  <si>
    <t>排名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</si>
</sst>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2" fillId="0" borderId="1" applyNumberFormat="0" applyFill="0" applyAlignment="0" applyProtection="0"/>
  </cellStyleXfs>
  <cellXfs count="55">
    <xf numFmtId="0" fontId="0" fillId="0" borderId="0" xfId="0"/>
    <xf numFmtId="0" fontId="3" fillId="2" borderId="2" xfId="0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49" fontId="1" fillId="0" borderId="4" xfId="1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49" fontId="1" fillId="0" borderId="10" xfId="1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/>
    <xf numFmtId="0" fontId="0" fillId="4" borderId="0" xfId="0" applyFill="1"/>
    <xf numFmtId="0" fontId="4" fillId="2" borderId="2" xfId="0" applyFont="1" applyFill="1" applyBorder="1" applyAlignment="1">
      <alignment horizontal="center"/>
    </xf>
    <xf numFmtId="0" fontId="3" fillId="2" borderId="10" xfId="0" applyFont="1" applyFill="1" applyBorder="1"/>
    <xf numFmtId="0" fontId="0" fillId="3" borderId="2" xfId="0" applyFill="1" applyBorder="1" applyAlignment="1">
      <alignment horizontal="center"/>
    </xf>
    <xf numFmtId="49" fontId="1" fillId="3" borderId="2" xfId="1" applyNumberFormat="1" applyFill="1" applyBorder="1" applyAlignment="1">
      <alignment horizontal="center"/>
    </xf>
    <xf numFmtId="2" fontId="0" fillId="3" borderId="2" xfId="0" applyNumberFormat="1" applyFill="1" applyBorder="1"/>
    <xf numFmtId="2" fontId="0" fillId="3" borderId="10" xfId="0" applyNumberFormat="1" applyFill="1" applyBorder="1"/>
    <xf numFmtId="0" fontId="0" fillId="0" borderId="2" xfId="0" applyBorder="1" applyAlignment="1">
      <alignment horizontal="center"/>
    </xf>
    <xf numFmtId="49" fontId="1" fillId="0" borderId="2" xfId="1" applyNumberFormat="1" applyBorder="1" applyAlignment="1">
      <alignment horizontal="center"/>
    </xf>
    <xf numFmtId="2" fontId="0" fillId="0" borderId="2" xfId="0" applyNumberFormat="1" applyBorder="1"/>
    <xf numFmtId="2" fontId="0" fillId="0" borderId="10" xfId="0" applyNumberFormat="1" applyBorder="1"/>
    <xf numFmtId="0" fontId="0" fillId="0" borderId="3" xfId="0" applyBorder="1" applyAlignment="1">
      <alignment horizontal="center"/>
    </xf>
    <xf numFmtId="49" fontId="1" fillId="0" borderId="3" xfId="1" applyNumberFormat="1" applyBorder="1" applyAlignment="1">
      <alignment horizontal="center"/>
    </xf>
    <xf numFmtId="2" fontId="0" fillId="0" borderId="3" xfId="0" applyNumberFormat="1" applyBorder="1"/>
    <xf numFmtId="2" fontId="0" fillId="0" borderId="0" xfId="0" applyNumberFormat="1"/>
    <xf numFmtId="49" fontId="1" fillId="0" borderId="11" xfId="1" applyNumberFormat="1" applyBorder="1" applyAlignment="1">
      <alignment horizontal="center"/>
    </xf>
    <xf numFmtId="10" fontId="0" fillId="0" borderId="0" xfId="0" applyNumberFormat="1"/>
    <xf numFmtId="0" fontId="2" fillId="0" borderId="1" xfId="2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49" fontId="1" fillId="0" borderId="4" xfId="1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ont="1" applyFill="1" applyBorder="1" applyAlignment="1">
      <alignment horizontal="center"/>
    </xf>
    <xf numFmtId="49" fontId="1" fillId="3" borderId="2" xfId="1" applyNumberFormat="1" applyFont="1" applyFill="1" applyBorder="1" applyAlignment="1">
      <alignment horizontal="center"/>
    </xf>
    <xf numFmtId="2" fontId="0" fillId="3" borderId="2" xfId="0" applyNumberFormat="1" applyFont="1" applyFill="1" applyBorder="1"/>
    <xf numFmtId="2" fontId="0" fillId="3" borderId="10" xfId="0" applyNumberFormat="1" applyFont="1" applyFill="1" applyBorder="1"/>
    <xf numFmtId="0" fontId="0" fillId="0" borderId="2" xfId="0" applyFont="1" applyBorder="1" applyAlignment="1">
      <alignment horizontal="center"/>
    </xf>
    <xf numFmtId="49" fontId="1" fillId="0" borderId="2" xfId="1" applyNumberFormat="1" applyFont="1" applyBorder="1" applyAlignment="1">
      <alignment horizontal="center"/>
    </xf>
    <xf numFmtId="2" fontId="0" fillId="0" borderId="2" xfId="0" applyNumberFormat="1" applyFont="1" applyBorder="1"/>
    <xf numFmtId="2" fontId="0" fillId="0" borderId="10" xfId="0" applyNumberFormat="1" applyFont="1" applyBorder="1"/>
    <xf numFmtId="0" fontId="0" fillId="3" borderId="14" xfId="0" applyFont="1" applyFill="1" applyBorder="1"/>
    <xf numFmtId="49" fontId="1" fillId="3" borderId="12" xfId="1" applyNumberFormat="1" applyFont="1" applyFill="1" applyBorder="1" applyAlignment="1">
      <alignment horizontal="center"/>
    </xf>
    <xf numFmtId="2" fontId="0" fillId="3" borderId="13" xfId="0" applyNumberFormat="1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2" fontId="0" fillId="0" borderId="0" xfId="0" applyNumberFormat="1" applyBorder="1"/>
  </cellXfs>
  <cellStyles count="3">
    <cellStyle name="Heading 1" xfId="2" builtinId="16"/>
    <cellStyle name="Normal" xfId="0" builtinId="0"/>
    <cellStyle name="Normal 2" xfId="1" xr:uid="{00000000-0005-0000-0000-000002000000}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rgb="FF00B0F0"/>
          </stop>
          <stop position="1">
            <color rgb="FFFF99FF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上半年期末考分数" displayName="上半年期末考分数" ref="A1:L39" headerRowDxfId="197" dataDxfId="195" headerRowBorderDxfId="196" tableBorderDxfId="194" totalsRowBorderDxfId="193">
  <autoFilter ref="A1:L39" xr:uid="{00000000-0009-0000-0100-000001000000}"/>
  <tableColumns count="12">
    <tableColumn id="1" xr3:uid="{00000000-0010-0000-0000-000001000000}" name="编号" totalsRowFunction="average" dataDxfId="192" totalsRowDxfId="191"/>
    <tableColumn id="2" xr3:uid="{00000000-0010-0000-0000-000002000000}" name="名字" dataDxfId="190" totalsRowDxfId="189" dataCellStyle="Normal 2"/>
    <tableColumn id="3" xr3:uid="{00000000-0010-0000-0000-000003000000}" name="华文" dataDxfId="188" totalsRowDxfId="187"/>
    <tableColumn id="4" xr3:uid="{00000000-0010-0000-0000-000004000000}" name="国文" dataDxfId="186" totalsRowDxfId="185"/>
    <tableColumn id="5" xr3:uid="{00000000-0010-0000-0000-000005000000}" name="英文" dataDxfId="184" totalsRowDxfId="183"/>
    <tableColumn id="6" xr3:uid="{00000000-0010-0000-0000-000006000000}" name="高数" dataDxfId="182"/>
    <tableColumn id="7" xr3:uid="{00000000-0010-0000-0000-000007000000}" name="生物" dataDxfId="181" totalsRowDxfId="180"/>
    <tableColumn id="8" xr3:uid="{00000000-0010-0000-0000-000008000000}" name="物理" dataDxfId="179" totalsRowDxfId="178"/>
    <tableColumn id="9" xr3:uid="{00000000-0010-0000-0000-000009000000}" name="化学" dataDxfId="177" totalsRowDxfId="176"/>
    <tableColumn id="10" xr3:uid="{00000000-0010-0000-0000-00000A000000}" name="电资" dataDxfId="175" totalsRowDxfId="174"/>
    <tableColumn id="11" xr3:uid="{00000000-0010-0000-0000-00000B000000}" name="总分" dataDxfId="173" totalsRowDxfId="172">
      <calculatedColumnFormula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calculatedColumnFormula>
    </tableColumn>
    <tableColumn id="12" xr3:uid="{00000000-0010-0000-0000-00000C000000}" name="总平均" totalsRowFunction="count" dataDxfId="171" totalsRowDxfId="170">
      <calculatedColumnFormula>上半年期末考分数[[#This Row],[总分]]/15</calculatedColumnFormula>
    </tableColumn>
  </tableColumns>
  <tableStyleInfo name="TableStyleLight16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上半年总表" displayName="上半年总表" ref="A1:O39" headerRowDxfId="169" dataDxfId="167" headerRowBorderDxfId="168" tableBorderDxfId="166" totalsRowBorderDxfId="165">
  <autoFilter ref="A1:O39" xr:uid="{00000000-0009-0000-0100-000002000000}"/>
  <tableColumns count="15">
    <tableColumn id="1" xr3:uid="{00000000-0010-0000-0100-000001000000}" name="编号" totalsRowFunction="average" dataDxfId="164" totalsRowDxfId="163"/>
    <tableColumn id="2" xr3:uid="{00000000-0010-0000-0100-000002000000}" name="名字" dataDxfId="162" totalsRowDxfId="161" dataCellStyle="Normal 2"/>
    <tableColumn id="3" xr3:uid="{00000000-0010-0000-0100-000003000000}" name="华文" dataDxfId="160" totalsRowDxfId="159"/>
    <tableColumn id="4" xr3:uid="{00000000-0010-0000-0100-000004000000}" name="国文" dataDxfId="158" totalsRowDxfId="157"/>
    <tableColumn id="5" xr3:uid="{00000000-0010-0000-0100-000005000000}" name="英文" dataDxfId="156" totalsRowDxfId="155"/>
    <tableColumn id="6" xr3:uid="{00000000-0010-0000-0100-000006000000}" name="高数" dataDxfId="154" totalsRowDxfId="153"/>
    <tableColumn id="7" xr3:uid="{00000000-0010-0000-0100-000007000000}" name="生物" dataDxfId="152" totalsRowDxfId="151"/>
    <tableColumn id="8" xr3:uid="{00000000-0010-0000-0100-000008000000}" name="物理" dataDxfId="150" totalsRowDxfId="149"/>
    <tableColumn id="9" xr3:uid="{00000000-0010-0000-0100-000009000000}" name="化学" dataDxfId="148" totalsRowDxfId="147"/>
    <tableColumn id="14" xr3:uid="{00000000-0010-0000-0100-00000E000000}" name="体育" dataDxfId="146" totalsRowDxfId="145"/>
    <tableColumn id="13" xr3:uid="{00000000-0010-0000-0100-00000D000000}" name="电脑" dataDxfId="144" totalsRowDxfId="143"/>
    <tableColumn id="10" xr3:uid="{00000000-0010-0000-0100-00000A000000}" name="电资" dataDxfId="142" totalsRowDxfId="141"/>
    <tableColumn id="15" xr3:uid="{00000000-0010-0000-0100-00000F000000}" name="联科" dataDxfId="140" totalsRowDxfId="139"/>
    <tableColumn id="11" xr3:uid="{00000000-0010-0000-0100-00000B000000}" name="总分" dataDxfId="138" totalsRowDxfId="137">
      <calculatedColumnFormula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calculatedColumnFormula>
    </tableColumn>
    <tableColumn id="12" xr3:uid="{00000000-0010-0000-0100-00000C000000}" name="总平均" totalsRowFunction="count" dataDxfId="136" totalsRowDxfId="135">
      <calculatedColumnFormula>上半年总表[[#This Row],[总分]]/18</calculatedColumnFormula>
    </tableColumn>
  </tableColumns>
  <tableStyleInfo name="TableStyleLight16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下半年期中考分数" displayName="下半年期中考分数" ref="A1:L39" headerRowDxfId="134" dataDxfId="132" headerRowBorderDxfId="133" tableBorderDxfId="131" totalsRowBorderDxfId="130">
  <autoFilter ref="A1:L39" xr:uid="{00000000-0009-0000-0100-000005000000}"/>
  <tableColumns count="12">
    <tableColumn id="1" xr3:uid="{00000000-0010-0000-0200-000001000000}" name="编号" totalsRowFunction="average" dataDxfId="129" totalsRowDxfId="128"/>
    <tableColumn id="2" xr3:uid="{00000000-0010-0000-0200-000002000000}" name="名字" dataDxfId="127" totalsRowDxfId="126" dataCellStyle="Normal 2"/>
    <tableColumn id="3" xr3:uid="{00000000-0010-0000-0200-000003000000}" name="华文" dataDxfId="125" totalsRowDxfId="124"/>
    <tableColumn id="4" xr3:uid="{00000000-0010-0000-0200-000004000000}" name="国文" dataDxfId="123" totalsRowDxfId="122"/>
    <tableColumn id="5" xr3:uid="{00000000-0010-0000-0200-000005000000}" name="英文" dataDxfId="121" totalsRowDxfId="120"/>
    <tableColumn id="6" xr3:uid="{00000000-0010-0000-0200-000006000000}" name="高数" dataDxfId="119" totalsRowDxfId="118"/>
    <tableColumn id="7" xr3:uid="{00000000-0010-0000-0200-000007000000}" name="生物" dataDxfId="117" totalsRowDxfId="116"/>
    <tableColumn id="8" xr3:uid="{00000000-0010-0000-0200-000008000000}" name="物理" dataDxfId="115" totalsRowDxfId="114"/>
    <tableColumn id="9" xr3:uid="{00000000-0010-0000-0200-000009000000}" name="化学" dataDxfId="113" totalsRowDxfId="112"/>
    <tableColumn id="10" xr3:uid="{00000000-0010-0000-0200-00000A000000}" name="电资" dataDxfId="111" totalsRowDxfId="110"/>
    <tableColumn id="11" xr3:uid="{00000000-0010-0000-0200-00000B000000}" name="总分" dataDxfId="109" totalsRowDxfId="108">
      <calculatedColumnFormula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calculatedColumnFormula>
    </tableColumn>
    <tableColumn id="12" xr3:uid="{00000000-0010-0000-0200-00000C000000}" name="总平均" totalsRowFunction="count" dataDxfId="107" totalsRowDxfId="106">
      <calculatedColumnFormula>下半年期中考分数[[#This Row],[总分]]/15</calculatedColumnFormula>
    </tableColumn>
  </tableColumns>
  <tableStyleInfo name="TableStyleLight16" showFirstColumn="0" showLastColumn="0" showRowStripes="1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下半年期末考分数" displayName="下半年期末考分数" ref="A1:L39" headerRowDxfId="105" dataDxfId="103" headerRowBorderDxfId="104" tableBorderDxfId="102" totalsRowBorderDxfId="101">
  <autoFilter ref="A1:L39" xr:uid="{00000000-0009-0000-0100-000004000000}"/>
  <tableColumns count="12">
    <tableColumn id="1" xr3:uid="{00000000-0010-0000-0300-000001000000}" name="编号" totalsRowFunction="average" dataDxfId="100"/>
    <tableColumn id="2" xr3:uid="{00000000-0010-0000-0300-000002000000}" name="名字" dataDxfId="99" dataCellStyle="Normal 2"/>
    <tableColumn id="3" xr3:uid="{00000000-0010-0000-0300-000003000000}" name="华文" dataDxfId="98"/>
    <tableColumn id="4" xr3:uid="{00000000-0010-0000-0300-000004000000}" name="国文" dataDxfId="97"/>
    <tableColumn id="5" xr3:uid="{00000000-0010-0000-0300-000005000000}" name="英文" dataDxfId="96"/>
    <tableColumn id="6" xr3:uid="{00000000-0010-0000-0300-000006000000}" name="高数" dataDxfId="95"/>
    <tableColumn id="7" xr3:uid="{00000000-0010-0000-0300-000007000000}" name="生物" dataDxfId="94"/>
    <tableColumn id="8" xr3:uid="{00000000-0010-0000-0300-000008000000}" name="物理" dataDxfId="93"/>
    <tableColumn id="9" xr3:uid="{00000000-0010-0000-0300-000009000000}" name="化学" dataDxfId="92"/>
    <tableColumn id="10" xr3:uid="{00000000-0010-0000-0300-00000A000000}" name="电资" dataDxfId="91"/>
    <tableColumn id="11" xr3:uid="{00000000-0010-0000-0300-00000B000000}" name="总分" dataDxfId="90">
      <calculatedColumnFormula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calculatedColumnFormula>
    </tableColumn>
    <tableColumn id="12" xr3:uid="{00000000-0010-0000-0300-00000C000000}" name="总平均" totalsRowFunction="count" dataDxfId="89">
      <calculatedColumnFormula>下半年期末考分数[[#This Row],[总分]]/15</calculatedColumnFormula>
    </tableColumn>
  </tableColumns>
  <tableStyleInfo name="TableStyleLight16" showFirstColumn="0" showLastColumn="0" showRowStripes="1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下半年总表" displayName="下半年总表" ref="A1:O39" headerRowDxfId="88" dataDxfId="86" headerRowBorderDxfId="87" tableBorderDxfId="85" totalsRowBorderDxfId="84">
  <autoFilter ref="A1:O39" xr:uid="{00000000-0009-0000-0100-000006000000}"/>
  <tableColumns count="15">
    <tableColumn id="1" xr3:uid="{00000000-0010-0000-0400-000001000000}" name="编号" totalsRowFunction="average" dataDxfId="83" totalsRowDxfId="82"/>
    <tableColumn id="2" xr3:uid="{00000000-0010-0000-0400-000002000000}" name="名字" dataDxfId="81" totalsRowDxfId="80" dataCellStyle="Normal 2"/>
    <tableColumn id="3" xr3:uid="{00000000-0010-0000-0400-000003000000}" name="华文" dataDxfId="79" totalsRowDxfId="78"/>
    <tableColumn id="4" xr3:uid="{00000000-0010-0000-0400-000004000000}" name="国文" dataDxfId="77" totalsRowDxfId="76"/>
    <tableColumn id="5" xr3:uid="{00000000-0010-0000-0400-000005000000}" name="英文" dataDxfId="75" totalsRowDxfId="74"/>
    <tableColumn id="6" xr3:uid="{00000000-0010-0000-0400-000006000000}" name="高数" dataDxfId="73" totalsRowDxfId="72"/>
    <tableColumn id="7" xr3:uid="{00000000-0010-0000-0400-000007000000}" name="生物" dataDxfId="71" totalsRowDxfId="70"/>
    <tableColumn id="8" xr3:uid="{00000000-0010-0000-0400-000008000000}" name="物理" dataDxfId="69" totalsRowDxfId="68"/>
    <tableColumn id="9" xr3:uid="{00000000-0010-0000-0400-000009000000}" name="化学" dataDxfId="67" totalsRowDxfId="66"/>
    <tableColumn id="14" xr3:uid="{00000000-0010-0000-0400-00000E000000}" name="体育" dataDxfId="65" totalsRowDxfId="64"/>
    <tableColumn id="13" xr3:uid="{00000000-0010-0000-0400-00000D000000}" name="电脑" dataDxfId="63" totalsRowDxfId="62"/>
    <tableColumn id="10" xr3:uid="{00000000-0010-0000-0400-00000A000000}" name="电资" dataDxfId="61" totalsRowDxfId="60"/>
    <tableColumn id="15" xr3:uid="{00000000-0010-0000-0400-00000F000000}" name="联科" dataDxfId="59" totalsRowDxfId="58"/>
    <tableColumn id="11" xr3:uid="{00000000-0010-0000-0400-00000B000000}" name="总分" dataDxfId="57" totalsRowDxfId="56">
      <calculatedColumnFormula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calculatedColumnFormula>
    </tableColumn>
    <tableColumn id="12" xr3:uid="{00000000-0010-0000-0400-00000C000000}" name="总平均" totalsRowFunction="count" dataDxfId="55" totalsRowDxfId="54">
      <calculatedColumnFormula>下半年总表[[#This Row],[总分]]/18</calculatedColumnFormula>
    </tableColumn>
  </tableColumns>
  <tableStyleInfo name="TableStyleLight1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zoomScale="110" zoomScaleNormal="110"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3" max="5" width="16" customWidth="1"/>
    <col min="8" max="9" width="22.85546875" bestFit="1" customWidth="1"/>
  </cols>
  <sheetData>
    <row r="1" spans="1:9" x14ac:dyDescent="0.25">
      <c r="A1" s="19" t="s">
        <v>44</v>
      </c>
      <c r="B1" s="19" t="s">
        <v>38</v>
      </c>
      <c r="C1" s="1" t="s">
        <v>51</v>
      </c>
      <c r="D1" s="1" t="s">
        <v>53</v>
      </c>
      <c r="E1" s="20" t="s">
        <v>54</v>
      </c>
      <c r="H1" s="13" t="s">
        <v>56</v>
      </c>
      <c r="I1" s="13" t="s">
        <v>57</v>
      </c>
    </row>
    <row r="2" spans="1:9" x14ac:dyDescent="0.25">
      <c r="A2" s="21">
        <v>1</v>
      </c>
      <c r="B2" s="22" t="s">
        <v>0</v>
      </c>
      <c r="C2" s="23">
        <f>上半年期末考分数[[#This Row],[总平均]]</f>
        <v>73.333333333333329</v>
      </c>
      <c r="D2" s="23">
        <f>下半年期中考分数[[#This Row],[总平均]]</f>
        <v>0</v>
      </c>
      <c r="E2" s="24">
        <f>下半年期末考分数[[#This Row],[总平均]]</f>
        <v>0</v>
      </c>
      <c r="H2" s="17">
        <f>D2-C2</f>
        <v>-73.333333333333329</v>
      </c>
      <c r="I2" s="17">
        <f>E2-D2</f>
        <v>0</v>
      </c>
    </row>
    <row r="3" spans="1:9" x14ac:dyDescent="0.25">
      <c r="A3" s="25">
        <v>2</v>
      </c>
      <c r="B3" s="26" t="s">
        <v>1</v>
      </c>
      <c r="C3" s="27">
        <f>上半年期末考分数[[#This Row],[总平均]]</f>
        <v>60</v>
      </c>
      <c r="D3" s="27">
        <f>下半年期中考分数[[#This Row],[总平均]]</f>
        <v>0</v>
      </c>
      <c r="E3" s="28">
        <f>下半年期末考分数[[#This Row],[总平均]]</f>
        <v>0</v>
      </c>
      <c r="H3" s="17">
        <f t="shared" ref="H3:H39" si="0">D3-C3</f>
        <v>-60</v>
      </c>
      <c r="I3" s="17">
        <f t="shared" ref="I3:I39" si="1">E3-D3</f>
        <v>0</v>
      </c>
    </row>
    <row r="4" spans="1:9" x14ac:dyDescent="0.25">
      <c r="A4" s="21">
        <v>3</v>
      </c>
      <c r="B4" s="22" t="s">
        <v>2</v>
      </c>
      <c r="C4" s="23">
        <f>上半年期末考分数[[#This Row],[总平均]]</f>
        <v>63.133333333333333</v>
      </c>
      <c r="D4" s="23">
        <f>下半年期中考分数[[#This Row],[总平均]]</f>
        <v>0</v>
      </c>
      <c r="E4" s="24">
        <f>下半年期末考分数[[#This Row],[总平均]]</f>
        <v>0</v>
      </c>
      <c r="H4" s="17">
        <f t="shared" si="0"/>
        <v>-63.133333333333333</v>
      </c>
      <c r="I4" s="17">
        <f t="shared" si="1"/>
        <v>0</v>
      </c>
    </row>
    <row r="5" spans="1:9" x14ac:dyDescent="0.25">
      <c r="A5" s="25">
        <v>4</v>
      </c>
      <c r="B5" s="26" t="s">
        <v>3</v>
      </c>
      <c r="C5" s="27">
        <f>上半年期末考分数[[#This Row],[总平均]]</f>
        <v>63.866666666666667</v>
      </c>
      <c r="D5" s="27">
        <f>下半年期中考分数[[#This Row],[总平均]]</f>
        <v>0</v>
      </c>
      <c r="E5" s="28">
        <f>下半年期末考分数[[#This Row],[总平均]]</f>
        <v>0</v>
      </c>
      <c r="H5" s="17">
        <f t="shared" si="0"/>
        <v>-63.866666666666667</v>
      </c>
      <c r="I5" s="17">
        <f t="shared" si="1"/>
        <v>0</v>
      </c>
    </row>
    <row r="6" spans="1:9" x14ac:dyDescent="0.25">
      <c r="A6" s="21">
        <v>5</v>
      </c>
      <c r="B6" s="22" t="s">
        <v>4</v>
      </c>
      <c r="C6" s="23">
        <f>上半年期末考分数[[#This Row],[总平均]]</f>
        <v>56.266666666666666</v>
      </c>
      <c r="D6" s="23">
        <f>下半年期中考分数[[#This Row],[总平均]]</f>
        <v>0</v>
      </c>
      <c r="E6" s="24">
        <f>下半年期末考分数[[#This Row],[总平均]]</f>
        <v>0</v>
      </c>
      <c r="H6" s="17">
        <f t="shared" si="0"/>
        <v>-56.266666666666666</v>
      </c>
      <c r="I6" s="17">
        <f t="shared" si="1"/>
        <v>0</v>
      </c>
    </row>
    <row r="7" spans="1:9" x14ac:dyDescent="0.25">
      <c r="A7" s="25">
        <v>6</v>
      </c>
      <c r="B7" s="26" t="s">
        <v>5</v>
      </c>
      <c r="C7" s="27">
        <f>上半年期末考分数[[#This Row],[总平均]]</f>
        <v>71.533333333333331</v>
      </c>
      <c r="D7" s="27">
        <f>下半年期中考分数[[#This Row],[总平均]]</f>
        <v>0</v>
      </c>
      <c r="E7" s="28">
        <f>下半年期末考分数[[#This Row],[总平均]]</f>
        <v>0</v>
      </c>
      <c r="H7" s="17">
        <f t="shared" si="0"/>
        <v>-71.533333333333331</v>
      </c>
      <c r="I7" s="17">
        <f t="shared" si="1"/>
        <v>0</v>
      </c>
    </row>
    <row r="8" spans="1:9" x14ac:dyDescent="0.25">
      <c r="A8" s="21">
        <v>7</v>
      </c>
      <c r="B8" s="22" t="s">
        <v>6</v>
      </c>
      <c r="C8" s="23">
        <f>上半年期末考分数[[#This Row],[总平均]]</f>
        <v>58.666666666666664</v>
      </c>
      <c r="D8" s="23">
        <f>下半年期中考分数[[#This Row],[总平均]]</f>
        <v>0</v>
      </c>
      <c r="E8" s="24">
        <f>下半年期末考分数[[#This Row],[总平均]]</f>
        <v>0</v>
      </c>
      <c r="H8" s="17">
        <f t="shared" si="0"/>
        <v>-58.666666666666664</v>
      </c>
      <c r="I8" s="17">
        <f t="shared" si="1"/>
        <v>0</v>
      </c>
    </row>
    <row r="9" spans="1:9" x14ac:dyDescent="0.25">
      <c r="A9" s="25">
        <v>8</v>
      </c>
      <c r="B9" s="26" t="s">
        <v>7</v>
      </c>
      <c r="C9" s="27">
        <f>上半年期末考分数[[#This Row],[总平均]]</f>
        <v>66.13333333333334</v>
      </c>
      <c r="D9" s="27">
        <f>下半年期中考分数[[#This Row],[总平均]]</f>
        <v>0</v>
      </c>
      <c r="E9" s="28">
        <f>下半年期末考分数[[#This Row],[总平均]]</f>
        <v>0</v>
      </c>
      <c r="H9" s="17">
        <f t="shared" si="0"/>
        <v>-66.13333333333334</v>
      </c>
      <c r="I9" s="17">
        <f t="shared" si="1"/>
        <v>0</v>
      </c>
    </row>
    <row r="10" spans="1:9" x14ac:dyDescent="0.25">
      <c r="A10" s="21">
        <v>9</v>
      </c>
      <c r="B10" s="22" t="s">
        <v>8</v>
      </c>
      <c r="C10" s="23">
        <f>上半年期末考分数[[#This Row],[总平均]]</f>
        <v>60.4</v>
      </c>
      <c r="D10" s="23">
        <f>下半年期中考分数[[#This Row],[总平均]]</f>
        <v>0</v>
      </c>
      <c r="E10" s="24">
        <f>下半年期末考分数[[#This Row],[总平均]]</f>
        <v>0</v>
      </c>
      <c r="H10" s="17">
        <f t="shared" si="0"/>
        <v>-60.4</v>
      </c>
      <c r="I10" s="17">
        <f t="shared" si="1"/>
        <v>0</v>
      </c>
    </row>
    <row r="11" spans="1:9" x14ac:dyDescent="0.25">
      <c r="A11" s="25">
        <v>10</v>
      </c>
      <c r="B11" s="26" t="s">
        <v>9</v>
      </c>
      <c r="C11" s="27">
        <f>上半年期末考分数[[#This Row],[总平均]]</f>
        <v>49.533333333333331</v>
      </c>
      <c r="D11" s="27">
        <f>下半年期中考分数[[#This Row],[总平均]]</f>
        <v>0</v>
      </c>
      <c r="E11" s="28">
        <f>下半年期末考分数[[#This Row],[总平均]]</f>
        <v>0</v>
      </c>
      <c r="H11" s="17">
        <f t="shared" si="0"/>
        <v>-49.533333333333331</v>
      </c>
      <c r="I11" s="17">
        <f t="shared" si="1"/>
        <v>0</v>
      </c>
    </row>
    <row r="12" spans="1:9" x14ac:dyDescent="0.25">
      <c r="A12" s="21">
        <v>11</v>
      </c>
      <c r="B12" s="22" t="s">
        <v>10</v>
      </c>
      <c r="C12" s="23">
        <f>上半年期末考分数[[#This Row],[总平均]]</f>
        <v>68.266666666666666</v>
      </c>
      <c r="D12" s="23">
        <f>下半年期中考分数[[#This Row],[总平均]]</f>
        <v>0</v>
      </c>
      <c r="E12" s="24">
        <f>下半年期末考分数[[#This Row],[总平均]]</f>
        <v>0</v>
      </c>
      <c r="H12" s="17">
        <f t="shared" si="0"/>
        <v>-68.266666666666666</v>
      </c>
      <c r="I12" s="17">
        <f t="shared" si="1"/>
        <v>0</v>
      </c>
    </row>
    <row r="13" spans="1:9" x14ac:dyDescent="0.25">
      <c r="A13" s="25">
        <v>12</v>
      </c>
      <c r="B13" s="26" t="s">
        <v>11</v>
      </c>
      <c r="C13" s="27">
        <f>上半年期末考分数[[#This Row],[总平均]]</f>
        <v>65.066666666666663</v>
      </c>
      <c r="D13" s="27">
        <f>下半年期中考分数[[#This Row],[总平均]]</f>
        <v>0</v>
      </c>
      <c r="E13" s="28">
        <f>下半年期末考分数[[#This Row],[总平均]]</f>
        <v>0</v>
      </c>
      <c r="H13" s="17">
        <f t="shared" si="0"/>
        <v>-65.066666666666663</v>
      </c>
      <c r="I13" s="17">
        <f t="shared" si="1"/>
        <v>0</v>
      </c>
    </row>
    <row r="14" spans="1:9" x14ac:dyDescent="0.25">
      <c r="A14" s="21">
        <v>13</v>
      </c>
      <c r="B14" s="22" t="s">
        <v>12</v>
      </c>
      <c r="C14" s="23">
        <f>上半年期末考分数[[#This Row],[总平均]]</f>
        <v>71.86666666666666</v>
      </c>
      <c r="D14" s="23">
        <f>下半年期中考分数[[#This Row],[总平均]]</f>
        <v>0</v>
      </c>
      <c r="E14" s="24">
        <f>下半年期末考分数[[#This Row],[总平均]]</f>
        <v>0</v>
      </c>
      <c r="H14" s="17">
        <f t="shared" si="0"/>
        <v>-71.86666666666666</v>
      </c>
      <c r="I14" s="17">
        <f t="shared" si="1"/>
        <v>0</v>
      </c>
    </row>
    <row r="15" spans="1:9" x14ac:dyDescent="0.25">
      <c r="A15" s="25">
        <v>14</v>
      </c>
      <c r="B15" s="26" t="s">
        <v>13</v>
      </c>
      <c r="C15" s="27">
        <f>上半年期末考分数[[#This Row],[总平均]]</f>
        <v>62.93333333333333</v>
      </c>
      <c r="D15" s="27">
        <f>下半年期中考分数[[#This Row],[总平均]]</f>
        <v>0</v>
      </c>
      <c r="E15" s="28">
        <f>下半年期末考分数[[#This Row],[总平均]]</f>
        <v>0</v>
      </c>
      <c r="H15" s="17">
        <f t="shared" si="0"/>
        <v>-62.93333333333333</v>
      </c>
      <c r="I15" s="17">
        <f t="shared" si="1"/>
        <v>0</v>
      </c>
    </row>
    <row r="16" spans="1:9" x14ac:dyDescent="0.25">
      <c r="A16" s="21">
        <v>15</v>
      </c>
      <c r="B16" s="22" t="s">
        <v>14</v>
      </c>
      <c r="C16" s="23">
        <f>上半年期末考分数[[#This Row],[总平均]]</f>
        <v>60.733333333333334</v>
      </c>
      <c r="D16" s="23">
        <f>下半年期中考分数[[#This Row],[总平均]]</f>
        <v>0</v>
      </c>
      <c r="E16" s="24">
        <f>下半年期末考分数[[#This Row],[总平均]]</f>
        <v>0</v>
      </c>
      <c r="H16" s="17">
        <f t="shared" si="0"/>
        <v>-60.733333333333334</v>
      </c>
      <c r="I16" s="17">
        <f t="shared" si="1"/>
        <v>0</v>
      </c>
    </row>
    <row r="17" spans="1:9" x14ac:dyDescent="0.25">
      <c r="A17" s="25">
        <v>16</v>
      </c>
      <c r="B17" s="26" t="s">
        <v>15</v>
      </c>
      <c r="C17" s="27">
        <f>上半年期末考分数[[#This Row],[总平均]]</f>
        <v>59.866666666666667</v>
      </c>
      <c r="D17" s="27">
        <f>下半年期中考分数[[#This Row],[总平均]]</f>
        <v>0</v>
      </c>
      <c r="E17" s="28">
        <f>下半年期末考分数[[#This Row],[总平均]]</f>
        <v>0</v>
      </c>
      <c r="H17" s="17">
        <f t="shared" si="0"/>
        <v>-59.866666666666667</v>
      </c>
      <c r="I17" s="17">
        <f t="shared" si="1"/>
        <v>0</v>
      </c>
    </row>
    <row r="18" spans="1:9" x14ac:dyDescent="0.25">
      <c r="A18" s="21">
        <v>17</v>
      </c>
      <c r="B18" s="22" t="s">
        <v>16</v>
      </c>
      <c r="C18" s="23">
        <f>上半年期末考分数[[#This Row],[总平均]]</f>
        <v>56.533333333333331</v>
      </c>
      <c r="D18" s="23">
        <f>下半年期中考分数[[#This Row],[总平均]]</f>
        <v>0</v>
      </c>
      <c r="E18" s="24">
        <f>下半年期末考分数[[#This Row],[总平均]]</f>
        <v>0</v>
      </c>
      <c r="H18" s="17">
        <f t="shared" si="0"/>
        <v>-56.533333333333331</v>
      </c>
      <c r="I18" s="17">
        <f t="shared" si="1"/>
        <v>0</v>
      </c>
    </row>
    <row r="19" spans="1:9" x14ac:dyDescent="0.25">
      <c r="A19" s="25">
        <v>18</v>
      </c>
      <c r="B19" s="26" t="s">
        <v>17</v>
      </c>
      <c r="C19" s="27">
        <f>上半年期末考分数[[#This Row],[总平均]]</f>
        <v>58.6</v>
      </c>
      <c r="D19" s="27">
        <f>下半年期中考分数[[#This Row],[总平均]]</f>
        <v>0</v>
      </c>
      <c r="E19" s="28">
        <f>下半年期末考分数[[#This Row],[总平均]]</f>
        <v>0</v>
      </c>
      <c r="H19" s="17">
        <f t="shared" si="0"/>
        <v>-58.6</v>
      </c>
      <c r="I19" s="17">
        <f t="shared" si="1"/>
        <v>0</v>
      </c>
    </row>
    <row r="20" spans="1:9" x14ac:dyDescent="0.25">
      <c r="A20" s="21">
        <v>19</v>
      </c>
      <c r="B20" s="22" t="s">
        <v>18</v>
      </c>
      <c r="C20" s="23">
        <f>上半年期末考分数[[#This Row],[总平均]]</f>
        <v>56.866666666666667</v>
      </c>
      <c r="D20" s="23">
        <f>下半年期中考分数[[#This Row],[总平均]]</f>
        <v>0</v>
      </c>
      <c r="E20" s="24">
        <f>下半年期末考分数[[#This Row],[总平均]]</f>
        <v>0</v>
      </c>
      <c r="H20" s="17">
        <f t="shared" si="0"/>
        <v>-56.866666666666667</v>
      </c>
      <c r="I20" s="17">
        <f t="shared" si="1"/>
        <v>0</v>
      </c>
    </row>
    <row r="21" spans="1:9" x14ac:dyDescent="0.25">
      <c r="A21" s="25">
        <v>20</v>
      </c>
      <c r="B21" s="26" t="s">
        <v>19</v>
      </c>
      <c r="C21" s="27">
        <f>上半年期末考分数[[#This Row],[总平均]]</f>
        <v>52.8</v>
      </c>
      <c r="D21" s="27">
        <f>下半年期中考分数[[#This Row],[总平均]]</f>
        <v>0</v>
      </c>
      <c r="E21" s="28">
        <f>下半年期末考分数[[#This Row],[总平均]]</f>
        <v>0</v>
      </c>
      <c r="H21" s="17">
        <f t="shared" si="0"/>
        <v>-52.8</v>
      </c>
      <c r="I21" s="17">
        <f t="shared" si="1"/>
        <v>0</v>
      </c>
    </row>
    <row r="22" spans="1:9" x14ac:dyDescent="0.25">
      <c r="A22" s="21">
        <v>21</v>
      </c>
      <c r="B22" s="22" t="s">
        <v>20</v>
      </c>
      <c r="C22" s="23">
        <f>上半年期末考分数[[#This Row],[总平均]]</f>
        <v>58.8</v>
      </c>
      <c r="D22" s="23">
        <f>下半年期中考分数[[#This Row],[总平均]]</f>
        <v>0</v>
      </c>
      <c r="E22" s="24">
        <f>下半年期末考分数[[#This Row],[总平均]]</f>
        <v>0</v>
      </c>
      <c r="H22" s="17">
        <f t="shared" si="0"/>
        <v>-58.8</v>
      </c>
      <c r="I22" s="17">
        <f t="shared" si="1"/>
        <v>0</v>
      </c>
    </row>
    <row r="23" spans="1:9" x14ac:dyDescent="0.25">
      <c r="A23" s="25">
        <v>22</v>
      </c>
      <c r="B23" s="26" t="s">
        <v>21</v>
      </c>
      <c r="C23" s="27">
        <f>上半年期末考分数[[#This Row],[总平均]]</f>
        <v>50.2</v>
      </c>
      <c r="D23" s="27">
        <f>下半年期中考分数[[#This Row],[总平均]]</f>
        <v>0</v>
      </c>
      <c r="E23" s="28">
        <f>下半年期末考分数[[#This Row],[总平均]]</f>
        <v>0</v>
      </c>
      <c r="H23" s="17">
        <f t="shared" si="0"/>
        <v>-50.2</v>
      </c>
      <c r="I23" s="17">
        <f t="shared" si="1"/>
        <v>0</v>
      </c>
    </row>
    <row r="24" spans="1:9" x14ac:dyDescent="0.25">
      <c r="A24" s="21">
        <v>23</v>
      </c>
      <c r="B24" s="22" t="s">
        <v>22</v>
      </c>
      <c r="C24" s="23">
        <f>上半年期末考分数[[#This Row],[总平均]]</f>
        <v>58.4</v>
      </c>
      <c r="D24" s="23">
        <f>下半年期中考分数[[#This Row],[总平均]]</f>
        <v>0</v>
      </c>
      <c r="E24" s="24">
        <f>下半年期末考分数[[#This Row],[总平均]]</f>
        <v>0</v>
      </c>
      <c r="H24" s="17">
        <f t="shared" si="0"/>
        <v>-58.4</v>
      </c>
      <c r="I24" s="17">
        <f>E24-D24</f>
        <v>0</v>
      </c>
    </row>
    <row r="25" spans="1:9" x14ac:dyDescent="0.25">
      <c r="A25" s="25">
        <v>24</v>
      </c>
      <c r="B25" s="26" t="s">
        <v>23</v>
      </c>
      <c r="C25" s="27">
        <f>上半年期末考分数[[#This Row],[总平均]]</f>
        <v>54.733333333333334</v>
      </c>
      <c r="D25" s="27">
        <f>下半年期中考分数[[#This Row],[总平均]]</f>
        <v>0</v>
      </c>
      <c r="E25" s="28">
        <f>下半年期末考分数[[#This Row],[总平均]]</f>
        <v>0</v>
      </c>
      <c r="H25" s="17">
        <f t="shared" si="0"/>
        <v>-54.733333333333334</v>
      </c>
      <c r="I25" s="17">
        <f t="shared" si="1"/>
        <v>0</v>
      </c>
    </row>
    <row r="26" spans="1:9" x14ac:dyDescent="0.25">
      <c r="A26" s="21">
        <v>25</v>
      </c>
      <c r="B26" s="22" t="s">
        <v>24</v>
      </c>
      <c r="C26" s="23">
        <f>上半年期末考分数[[#This Row],[总平均]]</f>
        <v>53.8</v>
      </c>
      <c r="D26" s="23">
        <f>下半年期中考分数[[#This Row],[总平均]]</f>
        <v>0</v>
      </c>
      <c r="E26" s="24">
        <f>下半年期末考分数[[#This Row],[总平均]]</f>
        <v>0</v>
      </c>
      <c r="H26" s="17">
        <f t="shared" si="0"/>
        <v>-53.8</v>
      </c>
      <c r="I26" s="17">
        <f t="shared" si="1"/>
        <v>0</v>
      </c>
    </row>
    <row r="27" spans="1:9" x14ac:dyDescent="0.25">
      <c r="A27" s="25">
        <v>26</v>
      </c>
      <c r="B27" s="26" t="s">
        <v>25</v>
      </c>
      <c r="C27" s="27">
        <f>上半年期末考分数[[#This Row],[总平均]]</f>
        <v>55.733333333333334</v>
      </c>
      <c r="D27" s="27">
        <f>下半年期中考分数[[#This Row],[总平均]]</f>
        <v>0</v>
      </c>
      <c r="E27" s="28">
        <f>下半年期末考分数[[#This Row],[总平均]]</f>
        <v>0</v>
      </c>
      <c r="H27" s="17">
        <f t="shared" si="0"/>
        <v>-55.733333333333334</v>
      </c>
      <c r="I27" s="17">
        <f t="shared" si="1"/>
        <v>0</v>
      </c>
    </row>
    <row r="28" spans="1:9" x14ac:dyDescent="0.25">
      <c r="A28" s="21">
        <v>27</v>
      </c>
      <c r="B28" s="22" t="s">
        <v>26</v>
      </c>
      <c r="C28" s="23">
        <f>上半年期末考分数[[#This Row],[总平均]]</f>
        <v>71.400000000000006</v>
      </c>
      <c r="D28" s="23">
        <f>下半年期中考分数[[#This Row],[总平均]]</f>
        <v>0</v>
      </c>
      <c r="E28" s="24">
        <f>下半年期末考分数[[#This Row],[总平均]]</f>
        <v>0</v>
      </c>
      <c r="H28" s="17">
        <f t="shared" si="0"/>
        <v>-71.400000000000006</v>
      </c>
      <c r="I28" s="17">
        <f t="shared" si="1"/>
        <v>0</v>
      </c>
    </row>
    <row r="29" spans="1:9" x14ac:dyDescent="0.25">
      <c r="A29" s="25">
        <v>28</v>
      </c>
      <c r="B29" s="26" t="s">
        <v>27</v>
      </c>
      <c r="C29" s="27">
        <f>上半年期末考分数[[#This Row],[总平均]]</f>
        <v>57.733333333333334</v>
      </c>
      <c r="D29" s="27">
        <f>下半年期中考分数[[#This Row],[总平均]]</f>
        <v>0</v>
      </c>
      <c r="E29" s="28">
        <f>下半年期末考分数[[#This Row],[总平均]]</f>
        <v>0</v>
      </c>
      <c r="H29" s="17">
        <f t="shared" si="0"/>
        <v>-57.733333333333334</v>
      </c>
      <c r="I29" s="17">
        <f t="shared" si="1"/>
        <v>0</v>
      </c>
    </row>
    <row r="30" spans="1:9" x14ac:dyDescent="0.25">
      <c r="A30" s="21">
        <v>29</v>
      </c>
      <c r="B30" s="22" t="s">
        <v>28</v>
      </c>
      <c r="C30" s="23">
        <f>上半年期末考分数[[#This Row],[总平均]]</f>
        <v>49.733333333333334</v>
      </c>
      <c r="D30" s="23">
        <f>下半年期中考分数[[#This Row],[总平均]]</f>
        <v>0</v>
      </c>
      <c r="E30" s="24">
        <f>下半年期末考分数[[#This Row],[总平均]]</f>
        <v>0</v>
      </c>
      <c r="H30" s="17">
        <f t="shared" si="0"/>
        <v>-49.733333333333334</v>
      </c>
      <c r="I30" s="17">
        <f t="shared" si="1"/>
        <v>0</v>
      </c>
    </row>
    <row r="31" spans="1:9" x14ac:dyDescent="0.25">
      <c r="A31" s="25">
        <v>30</v>
      </c>
      <c r="B31" s="26" t="s">
        <v>29</v>
      </c>
      <c r="C31" s="27">
        <f>上半年期末考分数[[#This Row],[总平均]]</f>
        <v>62.6</v>
      </c>
      <c r="D31" s="27">
        <f>下半年期中考分数[[#This Row],[总平均]]</f>
        <v>0</v>
      </c>
      <c r="E31" s="28">
        <f>下半年期末考分数[[#This Row],[总平均]]</f>
        <v>0</v>
      </c>
      <c r="H31" s="17">
        <f t="shared" si="0"/>
        <v>-62.6</v>
      </c>
      <c r="I31" s="17">
        <f t="shared" si="1"/>
        <v>0</v>
      </c>
    </row>
    <row r="32" spans="1:9" x14ac:dyDescent="0.25">
      <c r="A32" s="21">
        <v>31</v>
      </c>
      <c r="B32" s="22" t="s">
        <v>30</v>
      </c>
      <c r="C32" s="23">
        <f>上半年期末考分数[[#This Row],[总平均]]</f>
        <v>51.533333333333331</v>
      </c>
      <c r="D32" s="23">
        <f>下半年期中考分数[[#This Row],[总平均]]</f>
        <v>0</v>
      </c>
      <c r="E32" s="24">
        <f>下半年期末考分数[[#This Row],[总平均]]</f>
        <v>0</v>
      </c>
      <c r="H32" s="17">
        <f t="shared" si="0"/>
        <v>-51.533333333333331</v>
      </c>
      <c r="I32" s="17">
        <f t="shared" si="1"/>
        <v>0</v>
      </c>
    </row>
    <row r="33" spans="1:9" x14ac:dyDescent="0.25">
      <c r="A33" s="25">
        <v>32</v>
      </c>
      <c r="B33" s="26" t="s">
        <v>31</v>
      </c>
      <c r="C33" s="27">
        <f>上半年期末考分数[[#This Row],[总平均]]</f>
        <v>58.733333333333334</v>
      </c>
      <c r="D33" s="27">
        <f>下半年期中考分数[[#This Row],[总平均]]</f>
        <v>0</v>
      </c>
      <c r="E33" s="28">
        <f>下半年期末考分数[[#This Row],[总平均]]</f>
        <v>0</v>
      </c>
      <c r="H33" s="17">
        <f t="shared" si="0"/>
        <v>-58.733333333333334</v>
      </c>
      <c r="I33" s="17">
        <f t="shared" si="1"/>
        <v>0</v>
      </c>
    </row>
    <row r="34" spans="1:9" x14ac:dyDescent="0.25">
      <c r="A34" s="21">
        <v>33</v>
      </c>
      <c r="B34" s="22" t="s">
        <v>32</v>
      </c>
      <c r="C34" s="23">
        <f>上半年期末考分数[[#This Row],[总平均]]</f>
        <v>53.8</v>
      </c>
      <c r="D34" s="23">
        <f>下半年期中考分数[[#This Row],[总平均]]</f>
        <v>0</v>
      </c>
      <c r="E34" s="24">
        <f>下半年期末考分数[[#This Row],[总平均]]</f>
        <v>0</v>
      </c>
      <c r="H34" s="17">
        <f t="shared" si="0"/>
        <v>-53.8</v>
      </c>
      <c r="I34" s="17">
        <f t="shared" si="1"/>
        <v>0</v>
      </c>
    </row>
    <row r="35" spans="1:9" x14ac:dyDescent="0.25">
      <c r="A35" s="25">
        <v>34</v>
      </c>
      <c r="B35" s="26" t="s">
        <v>33</v>
      </c>
      <c r="C35" s="27">
        <f>上半年期末考分数[[#This Row],[总平均]]</f>
        <v>65</v>
      </c>
      <c r="D35" s="27">
        <f>下半年期中考分数[[#This Row],[总平均]]</f>
        <v>0</v>
      </c>
      <c r="E35" s="28">
        <f>下半年期末考分数[[#This Row],[总平均]]</f>
        <v>0</v>
      </c>
      <c r="H35" s="17">
        <f t="shared" si="0"/>
        <v>-65</v>
      </c>
      <c r="I35" s="17">
        <f t="shared" si="1"/>
        <v>0</v>
      </c>
    </row>
    <row r="36" spans="1:9" x14ac:dyDescent="0.25">
      <c r="A36" s="21">
        <v>35</v>
      </c>
      <c r="B36" s="22" t="s">
        <v>34</v>
      </c>
      <c r="C36" s="23">
        <f>上半年期末考分数[[#This Row],[总平均]]</f>
        <v>60</v>
      </c>
      <c r="D36" s="23">
        <f>下半年期中考分数[[#This Row],[总平均]]</f>
        <v>0</v>
      </c>
      <c r="E36" s="24">
        <f>下半年期末考分数[[#This Row],[总平均]]</f>
        <v>0</v>
      </c>
      <c r="H36" s="17">
        <f t="shared" si="0"/>
        <v>-60</v>
      </c>
      <c r="I36" s="17">
        <f t="shared" si="1"/>
        <v>0</v>
      </c>
    </row>
    <row r="37" spans="1:9" x14ac:dyDescent="0.25">
      <c r="A37" s="25">
        <v>36</v>
      </c>
      <c r="B37" s="26" t="s">
        <v>35</v>
      </c>
      <c r="C37" s="27">
        <f>上半年期末考分数[[#This Row],[总平均]]</f>
        <v>45</v>
      </c>
      <c r="D37" s="27">
        <f>下半年期中考分数[[#This Row],[总平均]]</f>
        <v>0</v>
      </c>
      <c r="E37" s="28">
        <f>下半年期末考分数[[#This Row],[总平均]]</f>
        <v>0</v>
      </c>
      <c r="H37" s="17">
        <f t="shared" si="0"/>
        <v>-45</v>
      </c>
      <c r="I37" s="17">
        <f t="shared" si="1"/>
        <v>0</v>
      </c>
    </row>
    <row r="38" spans="1:9" x14ac:dyDescent="0.25">
      <c r="A38" s="21">
        <v>37</v>
      </c>
      <c r="B38" s="22" t="s">
        <v>36</v>
      </c>
      <c r="C38" s="23">
        <f>上半年期末考分数[[#This Row],[总平均]]</f>
        <v>49.93333333333333</v>
      </c>
      <c r="D38" s="23">
        <f>下半年期中考分数[[#This Row],[总平均]]</f>
        <v>0</v>
      </c>
      <c r="E38" s="24">
        <f>下半年期末考分数[[#This Row],[总平均]]</f>
        <v>0</v>
      </c>
      <c r="H38" s="17">
        <f t="shared" si="0"/>
        <v>-49.93333333333333</v>
      </c>
      <c r="I38" s="17">
        <f t="shared" si="1"/>
        <v>0</v>
      </c>
    </row>
    <row r="39" spans="1:9" x14ac:dyDescent="0.25">
      <c r="A39" s="29">
        <v>38</v>
      </c>
      <c r="B39" s="30" t="s">
        <v>37</v>
      </c>
      <c r="C39" s="31">
        <f>上半年期末考分数[[#This Row],[总平均]]</f>
        <v>58.733333333333334</v>
      </c>
      <c r="D39" s="31">
        <f>下半年期中考分数[[#This Row],[总平均]]</f>
        <v>0</v>
      </c>
      <c r="E39" s="17">
        <f>下半年期末考分数[[#This Row],[总平均]]</f>
        <v>0</v>
      </c>
      <c r="H39" s="17">
        <f t="shared" si="0"/>
        <v>-58.733333333333334</v>
      </c>
      <c r="I39" s="17">
        <f t="shared" si="1"/>
        <v>0</v>
      </c>
    </row>
    <row r="40" spans="1:9" x14ac:dyDescent="0.25">
      <c r="B40" s="33" t="s">
        <v>61</v>
      </c>
      <c r="C40" s="32">
        <f>上半年期末考考试!L42</f>
        <v>59.270175438596482</v>
      </c>
    </row>
  </sheetData>
  <conditionalFormatting sqref="H2:I39">
    <cfRule type="cellIs" dxfId="53" priority="1" operator="equal">
      <formula>0</formula>
    </cfRule>
    <cfRule type="cellIs" dxfId="52" priority="2" operator="greaterThan">
      <formula>0</formula>
    </cfRule>
    <cfRule type="cellIs" dxfId="51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zoomScale="110" zoomScaleNormal="110" workbookViewId="0">
      <pane ySplit="1" topLeftCell="A11" activePane="bottomLeft" state="frozen"/>
      <selection pane="bottomLeft" activeCell="G10" sqref="G10"/>
    </sheetView>
  </sheetViews>
  <sheetFormatPr defaultRowHeight="15" x14ac:dyDescent="0.25"/>
  <cols>
    <col min="3" max="5" width="16" customWidth="1"/>
    <col min="8" max="9" width="22.85546875" bestFit="1" customWidth="1"/>
  </cols>
  <sheetData>
    <row r="1" spans="1:9" x14ac:dyDescent="0.25">
      <c r="A1" s="19" t="s">
        <v>44</v>
      </c>
      <c r="B1" s="19" t="s">
        <v>38</v>
      </c>
      <c r="C1" s="1" t="s">
        <v>51</v>
      </c>
      <c r="D1" s="1" t="s">
        <v>53</v>
      </c>
      <c r="E1" s="20" t="s">
        <v>54</v>
      </c>
      <c r="H1" s="13" t="s">
        <v>56</v>
      </c>
      <c r="I1" s="13" t="s">
        <v>57</v>
      </c>
    </row>
    <row r="2" spans="1:9" x14ac:dyDescent="0.25">
      <c r="A2" s="41">
        <v>1</v>
      </c>
      <c r="B2" s="42" t="s">
        <v>0</v>
      </c>
      <c r="C2" s="43">
        <f>上半年总表[[#This Row],[总平均]]</f>
        <v>77.477777777777774</v>
      </c>
      <c r="D2" s="43">
        <f>下半年期中考分数[[#This Row],[总平均]]</f>
        <v>0</v>
      </c>
      <c r="E2" s="44">
        <f>下半年期末考分数[[#This Row],[总平均]]</f>
        <v>0</v>
      </c>
      <c r="H2" s="17">
        <f>D2-C2</f>
        <v>-77.477777777777774</v>
      </c>
      <c r="I2" s="17">
        <f>E2-D2</f>
        <v>0</v>
      </c>
    </row>
    <row r="3" spans="1:9" x14ac:dyDescent="0.25">
      <c r="A3" s="45">
        <v>2</v>
      </c>
      <c r="B3" s="46" t="s">
        <v>1</v>
      </c>
      <c r="C3" s="47">
        <f>上半年总表[[#This Row],[总平均]]</f>
        <v>73.822222222222223</v>
      </c>
      <c r="D3" s="47">
        <f>下半年期中考分数[[#This Row],[总平均]]</f>
        <v>0</v>
      </c>
      <c r="E3" s="48">
        <f>下半年期末考分数[[#This Row],[总平均]]</f>
        <v>0</v>
      </c>
      <c r="H3" s="17">
        <f t="shared" ref="H3:I39" si="0">D3-C3</f>
        <v>-73.822222222222223</v>
      </c>
      <c r="I3" s="17">
        <f t="shared" si="0"/>
        <v>0</v>
      </c>
    </row>
    <row r="4" spans="1:9" x14ac:dyDescent="0.25">
      <c r="A4" s="41">
        <v>3</v>
      </c>
      <c r="B4" s="42" t="s">
        <v>2</v>
      </c>
      <c r="C4" s="43">
        <f>上半年总表[[#This Row],[总平均]]</f>
        <v>69.744444444444454</v>
      </c>
      <c r="D4" s="43">
        <f>下半年期中考分数[[#This Row],[总平均]]</f>
        <v>0</v>
      </c>
      <c r="E4" s="44">
        <f>下半年期末考分数[[#This Row],[总平均]]</f>
        <v>0</v>
      </c>
      <c r="H4" s="17">
        <f t="shared" si="0"/>
        <v>-69.744444444444454</v>
      </c>
      <c r="I4" s="17">
        <f t="shared" si="0"/>
        <v>0</v>
      </c>
    </row>
    <row r="5" spans="1:9" x14ac:dyDescent="0.25">
      <c r="A5" s="45">
        <v>4</v>
      </c>
      <c r="B5" s="46" t="s">
        <v>3</v>
      </c>
      <c r="C5" s="47">
        <f>上半年总表[[#This Row],[总平均]]</f>
        <v>73.48888888888888</v>
      </c>
      <c r="D5" s="47">
        <f>下半年期中考分数[[#This Row],[总平均]]</f>
        <v>0</v>
      </c>
      <c r="E5" s="48">
        <f>下半年期末考分数[[#This Row],[总平均]]</f>
        <v>0</v>
      </c>
      <c r="H5" s="17">
        <f t="shared" si="0"/>
        <v>-73.48888888888888</v>
      </c>
      <c r="I5" s="17">
        <f t="shared" si="0"/>
        <v>0</v>
      </c>
    </row>
    <row r="6" spans="1:9" x14ac:dyDescent="0.25">
      <c r="A6" s="41">
        <v>5</v>
      </c>
      <c r="B6" s="42" t="s">
        <v>4</v>
      </c>
      <c r="C6" s="43">
        <f>上半年总表[[#This Row],[总平均]]</f>
        <v>68.5</v>
      </c>
      <c r="D6" s="43">
        <f>下半年期中考分数[[#This Row],[总平均]]</f>
        <v>0</v>
      </c>
      <c r="E6" s="44">
        <f>下半年期末考分数[[#This Row],[总平均]]</f>
        <v>0</v>
      </c>
      <c r="H6" s="17">
        <f t="shared" si="0"/>
        <v>-68.5</v>
      </c>
      <c r="I6" s="17">
        <f t="shared" si="0"/>
        <v>0</v>
      </c>
    </row>
    <row r="7" spans="1:9" x14ac:dyDescent="0.25">
      <c r="A7" s="45">
        <v>6</v>
      </c>
      <c r="B7" s="46" t="s">
        <v>5</v>
      </c>
      <c r="C7" s="47">
        <f>上半年总表[[#This Row],[总平均]]</f>
        <v>77.62222222222222</v>
      </c>
      <c r="D7" s="47">
        <f>下半年期中考分数[[#This Row],[总平均]]</f>
        <v>0</v>
      </c>
      <c r="E7" s="48">
        <f>下半年期末考分数[[#This Row],[总平均]]</f>
        <v>0</v>
      </c>
      <c r="H7" s="17">
        <f t="shared" si="0"/>
        <v>-77.62222222222222</v>
      </c>
      <c r="I7" s="17">
        <f t="shared" si="0"/>
        <v>0</v>
      </c>
    </row>
    <row r="8" spans="1:9" x14ac:dyDescent="0.25">
      <c r="A8" s="41">
        <v>7</v>
      </c>
      <c r="B8" s="42" t="s">
        <v>6</v>
      </c>
      <c r="C8" s="43">
        <f>上半年总表[[#This Row],[总平均]]</f>
        <v>69.966666666666669</v>
      </c>
      <c r="D8" s="43">
        <f>下半年期中考分数[[#This Row],[总平均]]</f>
        <v>0</v>
      </c>
      <c r="E8" s="44">
        <f>下半年期末考分数[[#This Row],[总平均]]</f>
        <v>0</v>
      </c>
      <c r="H8" s="17">
        <f t="shared" si="0"/>
        <v>-69.966666666666669</v>
      </c>
      <c r="I8" s="17">
        <f t="shared" si="0"/>
        <v>0</v>
      </c>
    </row>
    <row r="9" spans="1:9" x14ac:dyDescent="0.25">
      <c r="A9" s="45">
        <v>8</v>
      </c>
      <c r="B9" s="46" t="s">
        <v>7</v>
      </c>
      <c r="C9" s="47">
        <f>上半年总表[[#This Row],[总平均]]</f>
        <v>75.588888888888889</v>
      </c>
      <c r="D9" s="47">
        <f>下半年期中考分数[[#This Row],[总平均]]</f>
        <v>0</v>
      </c>
      <c r="E9" s="48">
        <f>下半年期末考分数[[#This Row],[总平均]]</f>
        <v>0</v>
      </c>
      <c r="H9" s="17">
        <f t="shared" si="0"/>
        <v>-75.588888888888889</v>
      </c>
      <c r="I9" s="17">
        <f t="shared" si="0"/>
        <v>0</v>
      </c>
    </row>
    <row r="10" spans="1:9" x14ac:dyDescent="0.25">
      <c r="A10" s="41">
        <v>9</v>
      </c>
      <c r="B10" s="42" t="s">
        <v>8</v>
      </c>
      <c r="C10" s="43">
        <f>上半年总表[[#This Row],[总平均]]</f>
        <v>71.355555555555554</v>
      </c>
      <c r="D10" s="43">
        <f>下半年期中考分数[[#This Row],[总平均]]</f>
        <v>0</v>
      </c>
      <c r="E10" s="44">
        <f>下半年期末考分数[[#This Row],[总平均]]</f>
        <v>0</v>
      </c>
      <c r="H10" s="17">
        <f t="shared" si="0"/>
        <v>-71.355555555555554</v>
      </c>
      <c r="I10" s="17">
        <f t="shared" si="0"/>
        <v>0</v>
      </c>
    </row>
    <row r="11" spans="1:9" x14ac:dyDescent="0.25">
      <c r="A11" s="45">
        <v>10</v>
      </c>
      <c r="B11" s="46" t="s">
        <v>9</v>
      </c>
      <c r="C11" s="47">
        <f>上半年总表[[#This Row],[总平均]]</f>
        <v>65.022222222222226</v>
      </c>
      <c r="D11" s="47">
        <f>下半年期中考分数[[#This Row],[总平均]]</f>
        <v>0</v>
      </c>
      <c r="E11" s="48">
        <f>下半年期末考分数[[#This Row],[总平均]]</f>
        <v>0</v>
      </c>
      <c r="H11" s="17">
        <f t="shared" si="0"/>
        <v>-65.022222222222226</v>
      </c>
      <c r="I11" s="17">
        <f t="shared" si="0"/>
        <v>0</v>
      </c>
    </row>
    <row r="12" spans="1:9" x14ac:dyDescent="0.25">
      <c r="A12" s="41">
        <v>11</v>
      </c>
      <c r="B12" s="42" t="s">
        <v>10</v>
      </c>
      <c r="C12" s="43">
        <f>上半年总表[[#This Row],[总平均]]</f>
        <v>72.788888888888891</v>
      </c>
      <c r="D12" s="43">
        <f>下半年期中考分数[[#This Row],[总平均]]</f>
        <v>0</v>
      </c>
      <c r="E12" s="44">
        <f>下半年期末考分数[[#This Row],[总平均]]</f>
        <v>0</v>
      </c>
      <c r="H12" s="17">
        <f t="shared" si="0"/>
        <v>-72.788888888888891</v>
      </c>
      <c r="I12" s="17">
        <f t="shared" si="0"/>
        <v>0</v>
      </c>
    </row>
    <row r="13" spans="1:9" x14ac:dyDescent="0.25">
      <c r="A13" s="45">
        <v>12</v>
      </c>
      <c r="B13" s="46" t="s">
        <v>11</v>
      </c>
      <c r="C13" s="47">
        <f>上半年总表[[#This Row],[总平均]]</f>
        <v>74.01111111111112</v>
      </c>
      <c r="D13" s="47">
        <f>下半年期中考分数[[#This Row],[总平均]]</f>
        <v>0</v>
      </c>
      <c r="E13" s="48">
        <f>下半年期末考分数[[#This Row],[总平均]]</f>
        <v>0</v>
      </c>
      <c r="H13" s="17">
        <f t="shared" si="0"/>
        <v>-74.01111111111112</v>
      </c>
      <c r="I13" s="17">
        <f t="shared" si="0"/>
        <v>0</v>
      </c>
    </row>
    <row r="14" spans="1:9" x14ac:dyDescent="0.25">
      <c r="A14" s="41">
        <v>13</v>
      </c>
      <c r="B14" s="42" t="s">
        <v>12</v>
      </c>
      <c r="C14" s="43">
        <f>上半年总表[[#This Row],[总平均]]</f>
        <v>80.455555555555563</v>
      </c>
      <c r="D14" s="43">
        <f>下半年期中考分数[[#This Row],[总平均]]</f>
        <v>0</v>
      </c>
      <c r="E14" s="44">
        <f>下半年期末考分数[[#This Row],[总平均]]</f>
        <v>0</v>
      </c>
      <c r="H14" s="17">
        <f t="shared" si="0"/>
        <v>-80.455555555555563</v>
      </c>
      <c r="I14" s="17">
        <f t="shared" si="0"/>
        <v>0</v>
      </c>
    </row>
    <row r="15" spans="1:9" x14ac:dyDescent="0.25">
      <c r="A15" s="45">
        <v>14</v>
      </c>
      <c r="B15" s="46" t="s">
        <v>13</v>
      </c>
      <c r="C15" s="47">
        <f>上半年总表[[#This Row],[总平均]]</f>
        <v>74.388888888888886</v>
      </c>
      <c r="D15" s="47">
        <f>下半年期中考分数[[#This Row],[总平均]]</f>
        <v>0</v>
      </c>
      <c r="E15" s="48">
        <f>下半年期末考分数[[#This Row],[总平均]]</f>
        <v>0</v>
      </c>
      <c r="H15" s="17">
        <f t="shared" si="0"/>
        <v>-74.388888888888886</v>
      </c>
      <c r="I15" s="17">
        <f t="shared" si="0"/>
        <v>0</v>
      </c>
    </row>
    <row r="16" spans="1:9" x14ac:dyDescent="0.25">
      <c r="A16" s="41">
        <v>15</v>
      </c>
      <c r="B16" s="42" t="s">
        <v>14</v>
      </c>
      <c r="C16" s="43">
        <f>上半年总表[[#This Row],[总平均]]</f>
        <v>73.833333333333329</v>
      </c>
      <c r="D16" s="43">
        <f>下半年期中考分数[[#This Row],[总平均]]</f>
        <v>0</v>
      </c>
      <c r="E16" s="44">
        <f>下半年期末考分数[[#This Row],[总平均]]</f>
        <v>0</v>
      </c>
      <c r="H16" s="17">
        <f t="shared" si="0"/>
        <v>-73.833333333333329</v>
      </c>
      <c r="I16" s="17">
        <f t="shared" si="0"/>
        <v>0</v>
      </c>
    </row>
    <row r="17" spans="1:9" x14ac:dyDescent="0.25">
      <c r="A17" s="45">
        <v>16</v>
      </c>
      <c r="B17" s="46" t="s">
        <v>15</v>
      </c>
      <c r="C17" s="47">
        <f>上半年总表[[#This Row],[总平均]]</f>
        <v>70.733333333333334</v>
      </c>
      <c r="D17" s="47">
        <f>下半年期中考分数[[#This Row],[总平均]]</f>
        <v>0</v>
      </c>
      <c r="E17" s="48">
        <f>下半年期末考分数[[#This Row],[总平均]]</f>
        <v>0</v>
      </c>
      <c r="H17" s="17">
        <f t="shared" si="0"/>
        <v>-70.733333333333334</v>
      </c>
      <c r="I17" s="17">
        <f t="shared" si="0"/>
        <v>0</v>
      </c>
    </row>
    <row r="18" spans="1:9" x14ac:dyDescent="0.25">
      <c r="A18" s="41">
        <v>17</v>
      </c>
      <c r="B18" s="42" t="s">
        <v>16</v>
      </c>
      <c r="C18" s="43">
        <f>上半年总表[[#This Row],[总平均]]</f>
        <v>67.48888888888888</v>
      </c>
      <c r="D18" s="43">
        <f>下半年期中考分数[[#This Row],[总平均]]</f>
        <v>0</v>
      </c>
      <c r="E18" s="44">
        <f>下半年期末考分数[[#This Row],[总平均]]</f>
        <v>0</v>
      </c>
      <c r="H18" s="17">
        <f t="shared" si="0"/>
        <v>-67.48888888888888</v>
      </c>
      <c r="I18" s="17">
        <f t="shared" si="0"/>
        <v>0</v>
      </c>
    </row>
    <row r="19" spans="1:9" x14ac:dyDescent="0.25">
      <c r="A19" s="45">
        <v>18</v>
      </c>
      <c r="B19" s="46" t="s">
        <v>17</v>
      </c>
      <c r="C19" s="47">
        <f>上半年总表[[#This Row],[总平均]]</f>
        <v>70.62222222222222</v>
      </c>
      <c r="D19" s="47">
        <f>下半年期中考分数[[#This Row],[总平均]]</f>
        <v>0</v>
      </c>
      <c r="E19" s="48">
        <f>下半年期末考分数[[#This Row],[总平均]]</f>
        <v>0</v>
      </c>
      <c r="H19" s="17">
        <f t="shared" si="0"/>
        <v>-70.62222222222222</v>
      </c>
      <c r="I19" s="17">
        <f t="shared" si="0"/>
        <v>0</v>
      </c>
    </row>
    <row r="20" spans="1:9" x14ac:dyDescent="0.25">
      <c r="A20" s="41">
        <v>19</v>
      </c>
      <c r="B20" s="42" t="s">
        <v>18</v>
      </c>
      <c r="C20" s="43">
        <f>上半年总表[[#This Row],[总平均]]</f>
        <v>68.744444444444454</v>
      </c>
      <c r="D20" s="43">
        <f>下半年期中考分数[[#This Row],[总平均]]</f>
        <v>0</v>
      </c>
      <c r="E20" s="44">
        <f>下半年期末考分数[[#This Row],[总平均]]</f>
        <v>0</v>
      </c>
      <c r="H20" s="17">
        <f t="shared" si="0"/>
        <v>-68.744444444444454</v>
      </c>
      <c r="I20" s="17">
        <f t="shared" si="0"/>
        <v>0</v>
      </c>
    </row>
    <row r="21" spans="1:9" x14ac:dyDescent="0.25">
      <c r="A21" s="45">
        <v>20</v>
      </c>
      <c r="B21" s="46" t="s">
        <v>19</v>
      </c>
      <c r="C21" s="47">
        <f>上半年总表[[#This Row],[总平均]]</f>
        <v>67.566666666666663</v>
      </c>
      <c r="D21" s="47">
        <f>下半年期中考分数[[#This Row],[总平均]]</f>
        <v>0</v>
      </c>
      <c r="E21" s="48">
        <f>下半年期末考分数[[#This Row],[总平均]]</f>
        <v>0</v>
      </c>
      <c r="H21" s="17">
        <f t="shared" si="0"/>
        <v>-67.566666666666663</v>
      </c>
      <c r="I21" s="17">
        <f t="shared" si="0"/>
        <v>0</v>
      </c>
    </row>
    <row r="22" spans="1:9" x14ac:dyDescent="0.25">
      <c r="A22" s="41">
        <v>21</v>
      </c>
      <c r="B22" s="42" t="s">
        <v>20</v>
      </c>
      <c r="C22" s="43">
        <f>上半年总表[[#This Row],[总平均]]</f>
        <v>69.933333333333337</v>
      </c>
      <c r="D22" s="43">
        <f>下半年期中考分数[[#This Row],[总平均]]</f>
        <v>0</v>
      </c>
      <c r="E22" s="44">
        <f>下半年期末考分数[[#This Row],[总平均]]</f>
        <v>0</v>
      </c>
      <c r="H22" s="17">
        <f t="shared" si="0"/>
        <v>-69.933333333333337</v>
      </c>
      <c r="I22" s="17">
        <f t="shared" si="0"/>
        <v>0</v>
      </c>
    </row>
    <row r="23" spans="1:9" x14ac:dyDescent="0.25">
      <c r="A23" s="45">
        <v>22</v>
      </c>
      <c r="B23" s="46" t="s">
        <v>21</v>
      </c>
      <c r="C23" s="47">
        <f>上半年总表[[#This Row],[总平均]]</f>
        <v>65.244444444444454</v>
      </c>
      <c r="D23" s="47">
        <f>下半年期中考分数[[#This Row],[总平均]]</f>
        <v>0</v>
      </c>
      <c r="E23" s="48">
        <f>下半年期末考分数[[#This Row],[总平均]]</f>
        <v>0</v>
      </c>
      <c r="H23" s="17">
        <f t="shared" si="0"/>
        <v>-65.244444444444454</v>
      </c>
      <c r="I23" s="17">
        <f t="shared" si="0"/>
        <v>0</v>
      </c>
    </row>
    <row r="24" spans="1:9" x14ac:dyDescent="0.25">
      <c r="A24" s="41">
        <v>23</v>
      </c>
      <c r="B24" s="42" t="s">
        <v>22</v>
      </c>
      <c r="C24" s="43">
        <f>上半年总表[[#This Row],[总平均]]</f>
        <v>67.433333333333337</v>
      </c>
      <c r="D24" s="43">
        <f>下半年期中考分数[[#This Row],[总平均]]</f>
        <v>0</v>
      </c>
      <c r="E24" s="44">
        <f>下半年期末考分数[[#This Row],[总平均]]</f>
        <v>0</v>
      </c>
      <c r="H24" s="17">
        <f t="shared" si="0"/>
        <v>-67.433333333333337</v>
      </c>
      <c r="I24" s="17">
        <f>E24-D24</f>
        <v>0</v>
      </c>
    </row>
    <row r="25" spans="1:9" x14ac:dyDescent="0.25">
      <c r="A25" s="45">
        <v>24</v>
      </c>
      <c r="B25" s="46" t="s">
        <v>23</v>
      </c>
      <c r="C25" s="47">
        <f>上半年总表[[#This Row],[总平均]]</f>
        <v>64.466666666666669</v>
      </c>
      <c r="D25" s="47">
        <f>下半年期中考分数[[#This Row],[总平均]]</f>
        <v>0</v>
      </c>
      <c r="E25" s="48">
        <f>下半年期末考分数[[#This Row],[总平均]]</f>
        <v>0</v>
      </c>
      <c r="H25" s="17">
        <f t="shared" si="0"/>
        <v>-64.466666666666669</v>
      </c>
      <c r="I25" s="17">
        <f t="shared" si="0"/>
        <v>0</v>
      </c>
    </row>
    <row r="26" spans="1:9" x14ac:dyDescent="0.25">
      <c r="A26" s="41">
        <v>25</v>
      </c>
      <c r="B26" s="42" t="s">
        <v>24</v>
      </c>
      <c r="C26" s="43">
        <f>上半年总表[[#This Row],[总平均]]</f>
        <v>69.955555555555563</v>
      </c>
      <c r="D26" s="43">
        <f>下半年期中考分数[[#This Row],[总平均]]</f>
        <v>0</v>
      </c>
      <c r="E26" s="44">
        <f>下半年期末考分数[[#This Row],[总平均]]</f>
        <v>0</v>
      </c>
      <c r="H26" s="17">
        <f t="shared" si="0"/>
        <v>-69.955555555555563</v>
      </c>
      <c r="I26" s="17">
        <f t="shared" si="0"/>
        <v>0</v>
      </c>
    </row>
    <row r="27" spans="1:9" x14ac:dyDescent="0.25">
      <c r="A27" s="45">
        <v>26</v>
      </c>
      <c r="B27" s="46" t="s">
        <v>25</v>
      </c>
      <c r="C27" s="47">
        <f>上半年总表[[#This Row],[总平均]]</f>
        <v>69.911111111111111</v>
      </c>
      <c r="D27" s="47">
        <f>下半年期中考分数[[#This Row],[总平均]]</f>
        <v>0</v>
      </c>
      <c r="E27" s="48">
        <f>下半年期末考分数[[#This Row],[总平均]]</f>
        <v>0</v>
      </c>
      <c r="H27" s="17">
        <f t="shared" si="0"/>
        <v>-69.911111111111111</v>
      </c>
      <c r="I27" s="17">
        <f t="shared" si="0"/>
        <v>0</v>
      </c>
    </row>
    <row r="28" spans="1:9" x14ac:dyDescent="0.25">
      <c r="A28" s="41">
        <v>27</v>
      </c>
      <c r="B28" s="42" t="s">
        <v>26</v>
      </c>
      <c r="C28" s="43">
        <f>上半年总表[[#This Row],[总平均]]</f>
        <v>79.544444444444437</v>
      </c>
      <c r="D28" s="43">
        <f>下半年期中考分数[[#This Row],[总平均]]</f>
        <v>0</v>
      </c>
      <c r="E28" s="44">
        <f>下半年期末考分数[[#This Row],[总平均]]</f>
        <v>0</v>
      </c>
      <c r="H28" s="17">
        <f t="shared" si="0"/>
        <v>-79.544444444444437</v>
      </c>
      <c r="I28" s="17">
        <f t="shared" si="0"/>
        <v>0</v>
      </c>
    </row>
    <row r="29" spans="1:9" x14ac:dyDescent="0.25">
      <c r="A29" s="45">
        <v>28</v>
      </c>
      <c r="B29" s="46" t="s">
        <v>27</v>
      </c>
      <c r="C29" s="47">
        <f>上半年总表[[#This Row],[总平均]]</f>
        <v>68.955555555555563</v>
      </c>
      <c r="D29" s="47">
        <f>下半年期中考分数[[#This Row],[总平均]]</f>
        <v>0</v>
      </c>
      <c r="E29" s="48">
        <f>下半年期末考分数[[#This Row],[总平均]]</f>
        <v>0</v>
      </c>
      <c r="H29" s="17">
        <f t="shared" si="0"/>
        <v>-68.955555555555563</v>
      </c>
      <c r="I29" s="17">
        <f t="shared" si="0"/>
        <v>0</v>
      </c>
    </row>
    <row r="30" spans="1:9" x14ac:dyDescent="0.25">
      <c r="A30" s="41">
        <v>29</v>
      </c>
      <c r="B30" s="42" t="s">
        <v>28</v>
      </c>
      <c r="C30" s="43">
        <f>上半年总表[[#This Row],[总平均]]</f>
        <v>63.43333333333333</v>
      </c>
      <c r="D30" s="43">
        <f>下半年期中考分数[[#This Row],[总平均]]</f>
        <v>0</v>
      </c>
      <c r="E30" s="44">
        <f>下半年期末考分数[[#This Row],[总平均]]</f>
        <v>0</v>
      </c>
      <c r="H30" s="17">
        <f t="shared" si="0"/>
        <v>-63.43333333333333</v>
      </c>
      <c r="I30" s="17">
        <f t="shared" si="0"/>
        <v>0</v>
      </c>
    </row>
    <row r="31" spans="1:9" x14ac:dyDescent="0.25">
      <c r="A31" s="45">
        <v>30</v>
      </c>
      <c r="B31" s="46" t="s">
        <v>29</v>
      </c>
      <c r="C31" s="47">
        <f>上半年总表[[#This Row],[总平均]]</f>
        <v>74.48888888888888</v>
      </c>
      <c r="D31" s="47">
        <f>下半年期中考分数[[#This Row],[总平均]]</f>
        <v>0</v>
      </c>
      <c r="E31" s="48">
        <f>下半年期末考分数[[#This Row],[总平均]]</f>
        <v>0</v>
      </c>
      <c r="H31" s="17">
        <f t="shared" si="0"/>
        <v>-74.48888888888888</v>
      </c>
      <c r="I31" s="17">
        <f t="shared" si="0"/>
        <v>0</v>
      </c>
    </row>
    <row r="32" spans="1:9" x14ac:dyDescent="0.25">
      <c r="A32" s="41">
        <v>31</v>
      </c>
      <c r="B32" s="42" t="s">
        <v>30</v>
      </c>
      <c r="C32" s="43">
        <f>上半年总表[[#This Row],[总平均]]</f>
        <v>68</v>
      </c>
      <c r="D32" s="43">
        <f>下半年期中考分数[[#This Row],[总平均]]</f>
        <v>0</v>
      </c>
      <c r="E32" s="44">
        <f>下半年期末考分数[[#This Row],[总平均]]</f>
        <v>0</v>
      </c>
      <c r="H32" s="17">
        <f t="shared" si="0"/>
        <v>-68</v>
      </c>
      <c r="I32" s="17">
        <f t="shared" si="0"/>
        <v>0</v>
      </c>
    </row>
    <row r="33" spans="1:9" x14ac:dyDescent="0.25">
      <c r="A33" s="45">
        <v>32</v>
      </c>
      <c r="B33" s="46" t="s">
        <v>31</v>
      </c>
      <c r="C33" s="47">
        <f>上半年总表[[#This Row],[总平均]]</f>
        <v>69.48888888888888</v>
      </c>
      <c r="D33" s="47">
        <f>下半年期中考分数[[#This Row],[总平均]]</f>
        <v>0</v>
      </c>
      <c r="E33" s="48">
        <f>下半年期末考分数[[#This Row],[总平均]]</f>
        <v>0</v>
      </c>
      <c r="H33" s="17">
        <f t="shared" si="0"/>
        <v>-69.48888888888888</v>
      </c>
      <c r="I33" s="17">
        <f t="shared" si="0"/>
        <v>0</v>
      </c>
    </row>
    <row r="34" spans="1:9" x14ac:dyDescent="0.25">
      <c r="A34" s="41">
        <v>33</v>
      </c>
      <c r="B34" s="42" t="s">
        <v>32</v>
      </c>
      <c r="C34" s="43">
        <f>上半年总表[[#This Row],[总平均]]</f>
        <v>62.022222222222226</v>
      </c>
      <c r="D34" s="43">
        <f>下半年期中考分数[[#This Row],[总平均]]</f>
        <v>0</v>
      </c>
      <c r="E34" s="44">
        <f>下半年期末考分数[[#This Row],[总平均]]</f>
        <v>0</v>
      </c>
      <c r="H34" s="17">
        <f t="shared" si="0"/>
        <v>-62.022222222222226</v>
      </c>
      <c r="I34" s="17">
        <f t="shared" si="0"/>
        <v>0</v>
      </c>
    </row>
    <row r="35" spans="1:9" x14ac:dyDescent="0.25">
      <c r="A35" s="45">
        <v>34</v>
      </c>
      <c r="B35" s="46" t="s">
        <v>33</v>
      </c>
      <c r="C35" s="47">
        <f>上半年总表[[#This Row],[总平均]]</f>
        <v>74.911111111111111</v>
      </c>
      <c r="D35" s="47">
        <f>下半年期中考分数[[#This Row],[总平均]]</f>
        <v>0</v>
      </c>
      <c r="E35" s="48">
        <f>下半年期末考分数[[#This Row],[总平均]]</f>
        <v>0</v>
      </c>
      <c r="H35" s="17">
        <f t="shared" si="0"/>
        <v>-74.911111111111111</v>
      </c>
      <c r="I35" s="17">
        <f t="shared" si="0"/>
        <v>0</v>
      </c>
    </row>
    <row r="36" spans="1:9" x14ac:dyDescent="0.25">
      <c r="A36" s="41">
        <v>35</v>
      </c>
      <c r="B36" s="42" t="s">
        <v>34</v>
      </c>
      <c r="C36" s="43">
        <f>上半年总表[[#This Row],[总平均]]</f>
        <v>69.444444444444443</v>
      </c>
      <c r="D36" s="43">
        <f>下半年期中考分数[[#This Row],[总平均]]</f>
        <v>0</v>
      </c>
      <c r="E36" s="44">
        <f>下半年期末考分数[[#This Row],[总平均]]</f>
        <v>0</v>
      </c>
      <c r="H36" s="17">
        <f t="shared" si="0"/>
        <v>-69.444444444444443</v>
      </c>
      <c r="I36" s="17">
        <f t="shared" si="0"/>
        <v>0</v>
      </c>
    </row>
    <row r="37" spans="1:9" x14ac:dyDescent="0.25">
      <c r="A37" s="45">
        <v>36</v>
      </c>
      <c r="B37" s="46" t="s">
        <v>35</v>
      </c>
      <c r="C37" s="47">
        <f>上半年总表[[#This Row],[总平均]]</f>
        <v>60.222222222222221</v>
      </c>
      <c r="D37" s="47">
        <f>下半年期中考分数[[#This Row],[总平均]]</f>
        <v>0</v>
      </c>
      <c r="E37" s="48">
        <f>下半年期末考分数[[#This Row],[总平均]]</f>
        <v>0</v>
      </c>
      <c r="H37" s="17">
        <f t="shared" si="0"/>
        <v>-60.222222222222221</v>
      </c>
      <c r="I37" s="17">
        <f t="shared" si="0"/>
        <v>0</v>
      </c>
    </row>
    <row r="38" spans="1:9" x14ac:dyDescent="0.25">
      <c r="A38" s="41">
        <v>37</v>
      </c>
      <c r="B38" s="42" t="s">
        <v>36</v>
      </c>
      <c r="C38" s="43">
        <f>上半年总表[[#This Row],[总平均]]</f>
        <v>64.199999999999989</v>
      </c>
      <c r="D38" s="43">
        <f>下半年期中考分数[[#This Row],[总平均]]</f>
        <v>0</v>
      </c>
      <c r="E38" s="44">
        <f>下半年期末考分数[[#This Row],[总平均]]</f>
        <v>0</v>
      </c>
      <c r="H38" s="17">
        <f t="shared" si="0"/>
        <v>-64.199999999999989</v>
      </c>
      <c r="I38" s="17">
        <f t="shared" si="0"/>
        <v>0</v>
      </c>
    </row>
    <row r="39" spans="1:9" x14ac:dyDescent="0.25">
      <c r="A39" s="45">
        <v>38</v>
      </c>
      <c r="B39" s="46" t="s">
        <v>37</v>
      </c>
      <c r="C39" s="47">
        <f>上半年总表[[#This Row],[总平均]]</f>
        <v>68.688888888888897</v>
      </c>
      <c r="D39" s="47">
        <f>下半年期中考分数[[#This Row],[总平均]]</f>
        <v>0</v>
      </c>
      <c r="E39" s="48">
        <f>下半年期末考分数[[#This Row],[总平均]]</f>
        <v>0</v>
      </c>
      <c r="H39" s="17">
        <f t="shared" si="0"/>
        <v>-68.688888888888897</v>
      </c>
      <c r="I39" s="17">
        <f t="shared" si="0"/>
        <v>0</v>
      </c>
    </row>
    <row r="40" spans="1:9" x14ac:dyDescent="0.25">
      <c r="A40" s="49"/>
      <c r="B40" s="50" t="s">
        <v>61</v>
      </c>
      <c r="C40" s="51">
        <f>上半年总表!O42</f>
        <v>70.357017543859641</v>
      </c>
      <c r="D40" s="52"/>
      <c r="E40" s="53"/>
    </row>
  </sheetData>
  <conditionalFormatting sqref="H2:I39">
    <cfRule type="cellIs" dxfId="50" priority="1" operator="equal">
      <formula>0</formula>
    </cfRule>
    <cfRule type="cellIs" dxfId="49" priority="2" operator="greaterThan">
      <formula>0</formula>
    </cfRule>
    <cfRule type="cellIs" dxfId="48" priority="3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tabSelected="1" workbookViewId="0">
      <selection activeCell="M9" sqref="M9"/>
    </sheetView>
  </sheetViews>
  <sheetFormatPr defaultRowHeight="15" x14ac:dyDescent="0.25"/>
  <sheetData>
    <row r="1" spans="1:1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20.25" thickBot="1" x14ac:dyDescent="0.35">
      <c r="A2" s="18"/>
      <c r="B2" s="35" t="s">
        <v>51</v>
      </c>
      <c r="C2" s="35"/>
      <c r="D2" s="35"/>
      <c r="E2" s="35"/>
      <c r="F2" s="35"/>
      <c r="G2" s="35"/>
      <c r="H2" s="35"/>
      <c r="I2" s="35"/>
      <c r="J2" s="35"/>
      <c r="K2" s="18"/>
    </row>
    <row r="3" spans="1:11" ht="15.75" thickTop="1" x14ac:dyDescent="0.25">
      <c r="A3" s="18"/>
      <c r="B3" s="13"/>
      <c r="C3" s="14" t="s">
        <v>39</v>
      </c>
      <c r="D3" s="14" t="s">
        <v>40</v>
      </c>
      <c r="E3" s="14" t="s">
        <v>41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8"/>
    </row>
    <row r="4" spans="1:11" x14ac:dyDescent="0.25">
      <c r="A4" s="18"/>
      <c r="B4" s="13" t="s">
        <v>50</v>
      </c>
      <c r="C4" s="17">
        <f>AVERAGE(上半年期末考分数[华文])</f>
        <v>69.55263157894737</v>
      </c>
      <c r="D4" s="17">
        <f>AVERAGE(上半年期末考分数[国文])</f>
        <v>49.263157894736842</v>
      </c>
      <c r="E4" s="17">
        <f>AVERAGE(上半年期末考分数[英文])</f>
        <v>58.815789473684212</v>
      </c>
      <c r="F4" s="17">
        <f>AVERAGE(上半年期末考分数[高数])</f>
        <v>47.473684210526315</v>
      </c>
      <c r="G4" s="17">
        <f>AVERAGE(上半年期末考分数[生物])</f>
        <v>56.328947368421055</v>
      </c>
      <c r="H4" s="17">
        <f>AVERAGE(上半年期末考分数[物理])</f>
        <v>74.94736842105263</v>
      </c>
      <c r="I4" s="17">
        <f>AVERAGE(上半年期末考分数[化学])</f>
        <v>59.973684210526315</v>
      </c>
      <c r="J4" s="17">
        <f>AVERAGE(上半年期末考分数[电资])</f>
        <v>56.342105263157897</v>
      </c>
      <c r="K4" s="18"/>
    </row>
    <row r="5" spans="1:1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20.25" thickBot="1" x14ac:dyDescent="0.35">
      <c r="A6" s="18"/>
      <c r="B6" s="35" t="s">
        <v>53</v>
      </c>
      <c r="C6" s="35"/>
      <c r="D6" s="35"/>
      <c r="E6" s="35"/>
      <c r="F6" s="35"/>
      <c r="G6" s="35"/>
      <c r="H6" s="35"/>
      <c r="I6" s="35"/>
      <c r="J6" s="35"/>
      <c r="K6" s="18"/>
    </row>
    <row r="7" spans="1:11" ht="15.75" thickTop="1" x14ac:dyDescent="0.25">
      <c r="A7" s="18"/>
      <c r="B7" s="13"/>
      <c r="C7" s="14" t="s">
        <v>39</v>
      </c>
      <c r="D7" s="14" t="s">
        <v>40</v>
      </c>
      <c r="E7" s="14" t="s">
        <v>41</v>
      </c>
      <c r="F7" s="14" t="s">
        <v>45</v>
      </c>
      <c r="G7" s="14" t="s">
        <v>46</v>
      </c>
      <c r="H7" s="14" t="s">
        <v>47</v>
      </c>
      <c r="I7" s="14" t="s">
        <v>48</v>
      </c>
      <c r="J7" s="14" t="s">
        <v>49</v>
      </c>
      <c r="K7" s="18"/>
    </row>
    <row r="8" spans="1:11" x14ac:dyDescent="0.25">
      <c r="A8" s="18"/>
      <c r="B8" s="13" t="s">
        <v>50</v>
      </c>
      <c r="C8" s="17" t="e">
        <f>AVERAGE(下半年期中考分数[华文])</f>
        <v>#DIV/0!</v>
      </c>
      <c r="D8" s="17" t="e">
        <f>AVERAGE(下半年期中考分数[国文])</f>
        <v>#DIV/0!</v>
      </c>
      <c r="E8" s="17" t="e">
        <f>AVERAGE(下半年期中考分数[英文])</f>
        <v>#DIV/0!</v>
      </c>
      <c r="F8" s="17" t="e">
        <f>AVERAGE(下半年期中考分数[高数])</f>
        <v>#DIV/0!</v>
      </c>
      <c r="G8" s="17" t="e">
        <f>AVERAGE(下半年期中考分数[生物])</f>
        <v>#DIV/0!</v>
      </c>
      <c r="H8" s="17" t="e">
        <f>AVERAGE(下半年期中考分数[物理])</f>
        <v>#DIV/0!</v>
      </c>
      <c r="I8" s="17" t="e">
        <f>AVERAGE(下半年期中考分数[化学])</f>
        <v>#DIV/0!</v>
      </c>
      <c r="J8" s="17" t="e">
        <f>AVERAGE(下半年期中考分数[电资])</f>
        <v>#DIV/0!</v>
      </c>
      <c r="K8" s="18"/>
    </row>
    <row r="9" spans="1:11" x14ac:dyDescent="0.25">
      <c r="A9" s="18"/>
      <c r="B9" s="13" t="s">
        <v>55</v>
      </c>
      <c r="C9" s="17" t="e">
        <f>C8-C4</f>
        <v>#DIV/0!</v>
      </c>
      <c r="D9" s="17" t="e">
        <f t="shared" ref="D9:J9" si="0">D8-D4</f>
        <v>#DIV/0!</v>
      </c>
      <c r="E9" s="17" t="e">
        <f t="shared" si="0"/>
        <v>#DIV/0!</v>
      </c>
      <c r="F9" s="17" t="e">
        <f t="shared" si="0"/>
        <v>#DIV/0!</v>
      </c>
      <c r="G9" s="17" t="e">
        <f t="shared" si="0"/>
        <v>#DIV/0!</v>
      </c>
      <c r="H9" s="17" t="e">
        <f t="shared" si="0"/>
        <v>#DIV/0!</v>
      </c>
      <c r="I9" s="17" t="e">
        <f t="shared" si="0"/>
        <v>#DIV/0!</v>
      </c>
      <c r="J9" s="17" t="e">
        <f t="shared" si="0"/>
        <v>#DIV/0!</v>
      </c>
      <c r="K9" s="18"/>
    </row>
    <row r="10" spans="1:1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1:11" ht="20.25" thickBot="1" x14ac:dyDescent="0.35">
      <c r="A11" s="18"/>
      <c r="B11" s="35" t="s">
        <v>54</v>
      </c>
      <c r="C11" s="35"/>
      <c r="D11" s="35"/>
      <c r="E11" s="35"/>
      <c r="F11" s="35"/>
      <c r="G11" s="35"/>
      <c r="H11" s="35"/>
      <c r="I11" s="35"/>
      <c r="J11" s="35"/>
      <c r="K11" s="18"/>
    </row>
    <row r="12" spans="1:11" ht="15.75" thickTop="1" x14ac:dyDescent="0.25">
      <c r="A12" s="18"/>
      <c r="B12" s="13"/>
      <c r="C12" s="14" t="s">
        <v>39</v>
      </c>
      <c r="D12" s="14" t="s">
        <v>40</v>
      </c>
      <c r="E12" s="14" t="s">
        <v>41</v>
      </c>
      <c r="F12" s="14" t="s">
        <v>45</v>
      </c>
      <c r="G12" s="14" t="s">
        <v>46</v>
      </c>
      <c r="H12" s="14" t="s">
        <v>47</v>
      </c>
      <c r="I12" s="14" t="s">
        <v>48</v>
      </c>
      <c r="J12" s="14" t="s">
        <v>49</v>
      </c>
      <c r="K12" s="18"/>
    </row>
    <row r="13" spans="1:11" x14ac:dyDescent="0.25">
      <c r="A13" s="18"/>
      <c r="B13" s="13" t="s">
        <v>50</v>
      </c>
      <c r="C13" s="17" t="e">
        <f>AVERAGE(下半年期末考分数[华文])</f>
        <v>#DIV/0!</v>
      </c>
      <c r="D13" s="17" t="e">
        <f>AVERAGE(下半年期末考分数[国文])</f>
        <v>#DIV/0!</v>
      </c>
      <c r="E13" s="17" t="e">
        <f>AVERAGE(下半年期末考分数[英文])</f>
        <v>#DIV/0!</v>
      </c>
      <c r="F13" s="17" t="e">
        <f>AVERAGE(下半年期末考分数[高数])</f>
        <v>#DIV/0!</v>
      </c>
      <c r="G13" s="17" t="e">
        <f>AVERAGE(下半年期末考分数[生物])</f>
        <v>#DIV/0!</v>
      </c>
      <c r="H13" s="17" t="e">
        <f>AVERAGE(下半年期末考分数[物理])</f>
        <v>#DIV/0!</v>
      </c>
      <c r="I13" s="17" t="e">
        <f>AVERAGE(下半年期末考分数[化学])</f>
        <v>#DIV/0!</v>
      </c>
      <c r="J13" s="17" t="e">
        <f>AVERAGE(下半年期末考分数[电资])</f>
        <v>#DIV/0!</v>
      </c>
      <c r="K13" s="18"/>
    </row>
    <row r="14" spans="1:11" x14ac:dyDescent="0.25">
      <c r="A14" s="18"/>
      <c r="B14" s="13" t="s">
        <v>55</v>
      </c>
      <c r="C14" s="17" t="e">
        <f>C13-C8</f>
        <v>#DIV/0!</v>
      </c>
      <c r="D14" s="17" t="e">
        <f t="shared" ref="D14:J14" si="1">D13-D8</f>
        <v>#DIV/0!</v>
      </c>
      <c r="E14" s="17" t="e">
        <f t="shared" si="1"/>
        <v>#DIV/0!</v>
      </c>
      <c r="F14" s="17" t="e">
        <f t="shared" si="1"/>
        <v>#DIV/0!</v>
      </c>
      <c r="G14" s="17" t="e">
        <f t="shared" si="1"/>
        <v>#DIV/0!</v>
      </c>
      <c r="H14" s="17" t="e">
        <f t="shared" si="1"/>
        <v>#DIV/0!</v>
      </c>
      <c r="I14" s="17" t="e">
        <f t="shared" si="1"/>
        <v>#DIV/0!</v>
      </c>
      <c r="J14" s="17" t="e">
        <f t="shared" si="1"/>
        <v>#DIV/0!</v>
      </c>
      <c r="K14" s="18"/>
    </row>
    <row r="15" spans="1:11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</sheetData>
  <mergeCells count="3">
    <mergeCell ref="B2:J2"/>
    <mergeCell ref="B6:J6"/>
    <mergeCell ref="B11:J11"/>
  </mergeCells>
  <conditionalFormatting sqref="C9:J9">
    <cfRule type="cellIs" dxfId="47" priority="4" operator="equal">
      <formula>0</formula>
    </cfRule>
    <cfRule type="cellIs" dxfId="46" priority="5" operator="lessThan">
      <formula>0</formula>
    </cfRule>
    <cfRule type="cellIs" dxfId="45" priority="6" operator="greaterThan">
      <formula>0</formula>
    </cfRule>
  </conditionalFormatting>
  <conditionalFormatting sqref="C14:J14">
    <cfRule type="cellIs" dxfId="44" priority="1" operator="equal">
      <formula>0</formula>
    </cfRule>
    <cfRule type="cellIs" dxfId="43" priority="2" operator="lessThan">
      <formula>0</formula>
    </cfRule>
    <cfRule type="cellIs" dxfId="42" priority="3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4"/>
  <sheetViews>
    <sheetView zoomScaleNormal="100" workbookViewId="0">
      <pane ySplit="1" topLeftCell="A2" activePane="bottomLeft" state="frozen"/>
      <selection pane="bottomLeft" activeCell="I55" sqref="I55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>
        <v>65</v>
      </c>
      <c r="D2" s="7">
        <v>49</v>
      </c>
      <c r="E2" s="7">
        <v>51</v>
      </c>
      <c r="F2" s="7">
        <v>96</v>
      </c>
      <c r="G2" s="7">
        <v>75</v>
      </c>
      <c r="H2" s="7">
        <v>100</v>
      </c>
      <c r="I2" s="7">
        <v>84</v>
      </c>
      <c r="J2" s="7">
        <v>60</v>
      </c>
      <c r="K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1100</v>
      </c>
      <c r="L2" s="15">
        <f>上半年期末考分数[[#This Row],[总分]]/15</f>
        <v>73.333333333333329</v>
      </c>
    </row>
    <row r="3" spans="1:12" x14ac:dyDescent="0.25">
      <c r="A3" s="5">
        <v>2</v>
      </c>
      <c r="B3" s="6" t="s">
        <v>1</v>
      </c>
      <c r="C3" s="7">
        <v>77</v>
      </c>
      <c r="D3" s="7">
        <v>37</v>
      </c>
      <c r="E3" s="7">
        <v>38</v>
      </c>
      <c r="F3" s="7">
        <v>55</v>
      </c>
      <c r="G3" s="7">
        <v>61</v>
      </c>
      <c r="H3" s="7">
        <v>94</v>
      </c>
      <c r="I3" s="7">
        <v>49</v>
      </c>
      <c r="J3" s="7">
        <v>78</v>
      </c>
      <c r="K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900</v>
      </c>
      <c r="L3" s="15">
        <f>上半年期末考分数[[#This Row],[总分]]/15</f>
        <v>60</v>
      </c>
    </row>
    <row r="4" spans="1:12" x14ac:dyDescent="0.25">
      <c r="A4" s="5">
        <v>3</v>
      </c>
      <c r="B4" s="6" t="s">
        <v>2</v>
      </c>
      <c r="C4" s="7">
        <v>68</v>
      </c>
      <c r="D4" s="7">
        <v>50</v>
      </c>
      <c r="E4" s="7">
        <v>63</v>
      </c>
      <c r="F4" s="7">
        <v>58</v>
      </c>
      <c r="G4" s="7">
        <v>49</v>
      </c>
      <c r="H4" s="7">
        <v>94</v>
      </c>
      <c r="I4" s="7">
        <v>68</v>
      </c>
      <c r="J4" s="7">
        <v>47</v>
      </c>
      <c r="K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947</v>
      </c>
      <c r="L4" s="15">
        <f>上半年期末考分数[[#This Row],[总分]]/15</f>
        <v>63.133333333333333</v>
      </c>
    </row>
    <row r="5" spans="1:12" x14ac:dyDescent="0.25">
      <c r="A5" s="5">
        <v>4</v>
      </c>
      <c r="B5" s="6" t="s">
        <v>3</v>
      </c>
      <c r="C5" s="7">
        <v>76</v>
      </c>
      <c r="D5" s="7">
        <v>57</v>
      </c>
      <c r="E5" s="7">
        <v>34</v>
      </c>
      <c r="F5" s="7">
        <v>50</v>
      </c>
      <c r="G5" s="7">
        <v>72</v>
      </c>
      <c r="H5" s="7">
        <v>98</v>
      </c>
      <c r="I5" s="7">
        <v>60</v>
      </c>
      <c r="J5" s="7">
        <v>64</v>
      </c>
      <c r="K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958</v>
      </c>
      <c r="L5" s="15">
        <f>上半年期末考分数[[#This Row],[总分]]/15</f>
        <v>63.866666666666667</v>
      </c>
    </row>
    <row r="6" spans="1:12" x14ac:dyDescent="0.25">
      <c r="A6" s="5">
        <v>5</v>
      </c>
      <c r="B6" s="6" t="s">
        <v>4</v>
      </c>
      <c r="C6" s="7">
        <v>53</v>
      </c>
      <c r="D6" s="7">
        <v>31</v>
      </c>
      <c r="E6" s="7">
        <v>57</v>
      </c>
      <c r="F6" s="7">
        <v>69</v>
      </c>
      <c r="G6" s="7">
        <v>35</v>
      </c>
      <c r="H6" s="7">
        <v>97</v>
      </c>
      <c r="I6" s="7">
        <v>61</v>
      </c>
      <c r="J6" s="7">
        <v>38</v>
      </c>
      <c r="K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844</v>
      </c>
      <c r="L6" s="15">
        <f>上半年期末考分数[[#This Row],[总分]]/15</f>
        <v>56.266666666666666</v>
      </c>
    </row>
    <row r="7" spans="1:12" x14ac:dyDescent="0.25">
      <c r="A7" s="5">
        <v>6</v>
      </c>
      <c r="B7" s="6" t="s">
        <v>5</v>
      </c>
      <c r="C7" s="7">
        <v>81</v>
      </c>
      <c r="D7" s="7">
        <v>53</v>
      </c>
      <c r="E7" s="7">
        <v>68</v>
      </c>
      <c r="F7" s="7">
        <v>74</v>
      </c>
      <c r="G7" s="7">
        <v>70</v>
      </c>
      <c r="H7" s="7">
        <v>86</v>
      </c>
      <c r="I7" s="7">
        <v>76</v>
      </c>
      <c r="J7" s="7">
        <v>57</v>
      </c>
      <c r="K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1073</v>
      </c>
      <c r="L7" s="15">
        <f>上半年期末考分数[[#This Row],[总分]]/15</f>
        <v>71.533333333333331</v>
      </c>
    </row>
    <row r="8" spans="1:12" x14ac:dyDescent="0.25">
      <c r="A8" s="5">
        <v>7</v>
      </c>
      <c r="B8" s="6" t="s">
        <v>6</v>
      </c>
      <c r="C8" s="7">
        <v>73</v>
      </c>
      <c r="D8" s="7">
        <v>42</v>
      </c>
      <c r="E8" s="7">
        <v>58</v>
      </c>
      <c r="F8" s="7">
        <v>34</v>
      </c>
      <c r="G8" s="7">
        <v>67</v>
      </c>
      <c r="H8" s="7">
        <v>87</v>
      </c>
      <c r="I8" s="7">
        <v>51</v>
      </c>
      <c r="J8" s="7">
        <v>56</v>
      </c>
      <c r="K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880</v>
      </c>
      <c r="L8" s="15">
        <f>上半年期末考分数[[#This Row],[总分]]/15</f>
        <v>58.666666666666664</v>
      </c>
    </row>
    <row r="9" spans="1:12" x14ac:dyDescent="0.25">
      <c r="A9" s="5">
        <v>8</v>
      </c>
      <c r="B9" s="6" t="s">
        <v>7</v>
      </c>
      <c r="C9" s="7">
        <v>67</v>
      </c>
      <c r="D9" s="7">
        <v>60</v>
      </c>
      <c r="E9" s="7">
        <v>78</v>
      </c>
      <c r="F9" s="7">
        <v>48</v>
      </c>
      <c r="G9" s="7">
        <v>57</v>
      </c>
      <c r="H9" s="7">
        <v>90</v>
      </c>
      <c r="I9" s="7">
        <v>68</v>
      </c>
      <c r="J9" s="7">
        <v>56</v>
      </c>
      <c r="K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992</v>
      </c>
      <c r="L9" s="15">
        <f>上半年期末考分数[[#This Row],[总分]]/15</f>
        <v>66.13333333333334</v>
      </c>
    </row>
    <row r="10" spans="1:12" x14ac:dyDescent="0.25">
      <c r="A10" s="5">
        <v>9</v>
      </c>
      <c r="B10" s="6" t="s">
        <v>8</v>
      </c>
      <c r="C10" s="7">
        <v>59</v>
      </c>
      <c r="D10" s="7">
        <v>42</v>
      </c>
      <c r="E10" s="7">
        <v>66</v>
      </c>
      <c r="F10" s="7">
        <v>61</v>
      </c>
      <c r="G10" s="7">
        <v>63</v>
      </c>
      <c r="H10" s="7">
        <v>63</v>
      </c>
      <c r="I10" s="7">
        <v>69</v>
      </c>
      <c r="J10" s="7">
        <v>60</v>
      </c>
      <c r="K1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906</v>
      </c>
      <c r="L10" s="15">
        <f>上半年期末考分数[[#This Row],[总分]]/15</f>
        <v>60.4</v>
      </c>
    </row>
    <row r="11" spans="1:12" x14ac:dyDescent="0.25">
      <c r="A11" s="5">
        <v>10</v>
      </c>
      <c r="B11" s="6" t="s">
        <v>9</v>
      </c>
      <c r="C11" s="7">
        <v>71</v>
      </c>
      <c r="D11" s="7">
        <v>52</v>
      </c>
      <c r="E11" s="7">
        <v>48</v>
      </c>
      <c r="F11" s="7">
        <v>22</v>
      </c>
      <c r="G11" s="7">
        <v>53</v>
      </c>
      <c r="H11" s="7">
        <v>40</v>
      </c>
      <c r="I11" s="7">
        <v>57</v>
      </c>
      <c r="J11" s="7">
        <v>57</v>
      </c>
      <c r="K1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743</v>
      </c>
      <c r="L11" s="15">
        <f>上半年期末考分数[[#This Row],[总分]]/15</f>
        <v>49.533333333333331</v>
      </c>
    </row>
    <row r="12" spans="1:12" x14ac:dyDescent="0.25">
      <c r="A12" s="5">
        <v>11</v>
      </c>
      <c r="B12" s="6" t="s">
        <v>10</v>
      </c>
      <c r="C12" s="7">
        <v>74</v>
      </c>
      <c r="D12" s="7">
        <v>58</v>
      </c>
      <c r="E12" s="7">
        <v>78</v>
      </c>
      <c r="F12" s="7">
        <v>48</v>
      </c>
      <c r="G12" s="7">
        <v>71</v>
      </c>
      <c r="H12" s="7">
        <v>94</v>
      </c>
      <c r="I12" s="7">
        <v>58</v>
      </c>
      <c r="J12" s="7">
        <v>62</v>
      </c>
      <c r="K1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1024</v>
      </c>
      <c r="L12" s="15">
        <f>上半年期末考分数[[#This Row],[总分]]/15</f>
        <v>68.266666666666666</v>
      </c>
    </row>
    <row r="13" spans="1:12" x14ac:dyDescent="0.25">
      <c r="A13" s="5">
        <v>12</v>
      </c>
      <c r="B13" s="6" t="s">
        <v>11</v>
      </c>
      <c r="C13" s="7">
        <v>76</v>
      </c>
      <c r="D13" s="7">
        <v>64</v>
      </c>
      <c r="E13" s="7">
        <v>66</v>
      </c>
      <c r="F13" s="7">
        <v>51</v>
      </c>
      <c r="G13" s="7">
        <v>61</v>
      </c>
      <c r="H13" s="7">
        <v>77</v>
      </c>
      <c r="I13" s="7">
        <v>61</v>
      </c>
      <c r="J13" s="7">
        <v>64</v>
      </c>
      <c r="K1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976</v>
      </c>
      <c r="L13" s="15">
        <f>上半年期末考分数[[#This Row],[总分]]/15</f>
        <v>65.066666666666663</v>
      </c>
    </row>
    <row r="14" spans="1:12" x14ac:dyDescent="0.25">
      <c r="A14" s="5">
        <v>13</v>
      </c>
      <c r="B14" s="6" t="s">
        <v>12</v>
      </c>
      <c r="C14" s="7">
        <v>78</v>
      </c>
      <c r="D14" s="7">
        <v>63</v>
      </c>
      <c r="E14" s="7">
        <v>48</v>
      </c>
      <c r="F14" s="7">
        <v>71</v>
      </c>
      <c r="G14" s="7">
        <v>87</v>
      </c>
      <c r="H14" s="7">
        <v>91</v>
      </c>
      <c r="I14" s="7">
        <v>71</v>
      </c>
      <c r="J14" s="7">
        <v>60</v>
      </c>
      <c r="K1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1078</v>
      </c>
      <c r="L14" s="15">
        <f>上半年期末考分数[[#This Row],[总分]]/15</f>
        <v>71.86666666666666</v>
      </c>
    </row>
    <row r="15" spans="1:12" x14ac:dyDescent="0.25">
      <c r="A15" s="5">
        <v>14</v>
      </c>
      <c r="B15" s="6" t="s">
        <v>13</v>
      </c>
      <c r="C15" s="7">
        <v>71</v>
      </c>
      <c r="D15" s="7">
        <v>81</v>
      </c>
      <c r="E15" s="7">
        <v>83</v>
      </c>
      <c r="F15" s="7">
        <v>31</v>
      </c>
      <c r="G15" s="7">
        <v>39</v>
      </c>
      <c r="H15" s="7">
        <v>57</v>
      </c>
      <c r="I15" s="7">
        <v>70</v>
      </c>
      <c r="J15" s="7">
        <v>80</v>
      </c>
      <c r="K1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944</v>
      </c>
      <c r="L15" s="15">
        <f>上半年期末考分数[[#This Row],[总分]]/15</f>
        <v>62.93333333333333</v>
      </c>
    </row>
    <row r="16" spans="1:12" x14ac:dyDescent="0.25">
      <c r="A16" s="5">
        <v>15</v>
      </c>
      <c r="B16" s="6" t="s">
        <v>14</v>
      </c>
      <c r="C16" s="7">
        <v>73</v>
      </c>
      <c r="D16" s="7">
        <v>63</v>
      </c>
      <c r="E16" s="7">
        <v>49</v>
      </c>
      <c r="F16" s="7">
        <v>69</v>
      </c>
      <c r="G16" s="7">
        <v>56</v>
      </c>
      <c r="H16" s="7">
        <v>54</v>
      </c>
      <c r="I16" s="7">
        <v>61</v>
      </c>
      <c r="J16" s="7">
        <v>61</v>
      </c>
      <c r="K1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911</v>
      </c>
      <c r="L16" s="15">
        <f>上半年期末考分数[[#This Row],[总分]]/15</f>
        <v>60.733333333333334</v>
      </c>
    </row>
    <row r="17" spans="1:12" x14ac:dyDescent="0.25">
      <c r="A17" s="5">
        <v>16</v>
      </c>
      <c r="B17" s="6" t="s">
        <v>15</v>
      </c>
      <c r="C17" s="7">
        <v>58</v>
      </c>
      <c r="D17" s="7">
        <v>58</v>
      </c>
      <c r="E17" s="7">
        <v>56</v>
      </c>
      <c r="F17" s="7">
        <v>44</v>
      </c>
      <c r="G17" s="7">
        <v>56</v>
      </c>
      <c r="H17" s="7">
        <v>78</v>
      </c>
      <c r="I17" s="7">
        <v>67</v>
      </c>
      <c r="J17" s="7">
        <v>64</v>
      </c>
      <c r="K1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898</v>
      </c>
      <c r="L17" s="15">
        <f>上半年期末考分数[[#This Row],[总分]]/15</f>
        <v>59.866666666666667</v>
      </c>
    </row>
    <row r="18" spans="1:12" x14ac:dyDescent="0.25">
      <c r="A18" s="5">
        <v>17</v>
      </c>
      <c r="B18" s="6" t="s">
        <v>16</v>
      </c>
      <c r="C18" s="7">
        <v>70</v>
      </c>
      <c r="D18" s="7">
        <v>34</v>
      </c>
      <c r="E18" s="7">
        <v>60</v>
      </c>
      <c r="F18" s="7">
        <v>51</v>
      </c>
      <c r="G18" s="7">
        <v>52.5</v>
      </c>
      <c r="H18" s="7">
        <v>75</v>
      </c>
      <c r="I18" s="7">
        <v>53</v>
      </c>
      <c r="J18" s="7">
        <v>57</v>
      </c>
      <c r="K1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848</v>
      </c>
      <c r="L18" s="15">
        <f>上半年期末考分数[[#This Row],[总分]]/15</f>
        <v>56.533333333333331</v>
      </c>
    </row>
    <row r="19" spans="1:12" x14ac:dyDescent="0.25">
      <c r="A19" s="5">
        <v>18</v>
      </c>
      <c r="B19" s="6" t="s">
        <v>17</v>
      </c>
      <c r="C19" s="7">
        <v>67</v>
      </c>
      <c r="D19" s="7">
        <v>37</v>
      </c>
      <c r="E19" s="7">
        <v>53</v>
      </c>
      <c r="F19" s="7">
        <v>68</v>
      </c>
      <c r="G19" s="7">
        <v>62</v>
      </c>
      <c r="H19" s="7">
        <v>66</v>
      </c>
      <c r="I19" s="7">
        <v>58</v>
      </c>
      <c r="J19" s="7">
        <v>57</v>
      </c>
      <c r="K1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879</v>
      </c>
      <c r="L19" s="15">
        <f>上半年期末考分数[[#This Row],[总分]]/15</f>
        <v>58.6</v>
      </c>
    </row>
    <row r="20" spans="1:12" x14ac:dyDescent="0.25">
      <c r="A20" s="5">
        <v>19</v>
      </c>
      <c r="B20" s="6" t="s">
        <v>18</v>
      </c>
      <c r="C20" s="7">
        <v>70</v>
      </c>
      <c r="D20" s="7">
        <v>41</v>
      </c>
      <c r="E20" s="7">
        <v>61</v>
      </c>
      <c r="F20" s="7">
        <v>46</v>
      </c>
      <c r="G20" s="7">
        <v>40</v>
      </c>
      <c r="H20" s="7">
        <v>86</v>
      </c>
      <c r="I20" s="7">
        <v>58</v>
      </c>
      <c r="J20" s="7">
        <v>49</v>
      </c>
      <c r="K2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853</v>
      </c>
      <c r="L20" s="15">
        <f>上半年期末考分数[[#This Row],[总分]]/15</f>
        <v>56.866666666666667</v>
      </c>
    </row>
    <row r="21" spans="1:12" x14ac:dyDescent="0.25">
      <c r="A21" s="5">
        <v>20</v>
      </c>
      <c r="B21" s="6" t="s">
        <v>19</v>
      </c>
      <c r="C21" s="7">
        <v>72</v>
      </c>
      <c r="D21" s="7">
        <v>50</v>
      </c>
      <c r="E21" s="7">
        <v>53</v>
      </c>
      <c r="F21" s="7">
        <v>29</v>
      </c>
      <c r="G21" s="7">
        <v>46</v>
      </c>
      <c r="H21" s="7">
        <v>50</v>
      </c>
      <c r="I21" s="7">
        <v>63</v>
      </c>
      <c r="J21" s="7">
        <v>66</v>
      </c>
      <c r="K2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792</v>
      </c>
      <c r="L21" s="15">
        <f>上半年期末考分数[[#This Row],[总分]]/15</f>
        <v>52.8</v>
      </c>
    </row>
    <row r="22" spans="1:12" x14ac:dyDescent="0.25">
      <c r="A22" s="5">
        <v>21</v>
      </c>
      <c r="B22" s="6" t="s">
        <v>20</v>
      </c>
      <c r="C22" s="7">
        <v>70</v>
      </c>
      <c r="D22" s="7">
        <v>34</v>
      </c>
      <c r="E22" s="7">
        <v>67</v>
      </c>
      <c r="F22" s="7">
        <v>51</v>
      </c>
      <c r="G22" s="7">
        <v>56</v>
      </c>
      <c r="H22" s="7">
        <v>74</v>
      </c>
      <c r="I22" s="7">
        <v>68</v>
      </c>
      <c r="J22" s="7">
        <v>42</v>
      </c>
      <c r="K2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882</v>
      </c>
      <c r="L22" s="15">
        <f>上半年期末考分数[[#This Row],[总分]]/15</f>
        <v>58.8</v>
      </c>
    </row>
    <row r="23" spans="1:12" x14ac:dyDescent="0.25">
      <c r="A23" s="5">
        <v>22</v>
      </c>
      <c r="B23" s="6" t="s">
        <v>21</v>
      </c>
      <c r="C23" s="7">
        <v>66</v>
      </c>
      <c r="D23" s="7">
        <v>45</v>
      </c>
      <c r="E23" s="7">
        <v>55</v>
      </c>
      <c r="F23" s="7">
        <v>38</v>
      </c>
      <c r="G23" s="7">
        <v>48</v>
      </c>
      <c r="H23" s="7">
        <v>60</v>
      </c>
      <c r="I23" s="7">
        <v>48</v>
      </c>
      <c r="J23" s="7">
        <v>33</v>
      </c>
      <c r="K2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753</v>
      </c>
      <c r="L23" s="15">
        <f>上半年期末考分数[[#This Row],[总分]]/15</f>
        <v>50.2</v>
      </c>
    </row>
    <row r="24" spans="1:12" x14ac:dyDescent="0.25">
      <c r="A24" s="5">
        <v>23</v>
      </c>
      <c r="B24" s="6" t="s">
        <v>22</v>
      </c>
      <c r="C24" s="7">
        <v>76</v>
      </c>
      <c r="D24" s="7">
        <v>42</v>
      </c>
      <c r="E24" s="7">
        <v>71</v>
      </c>
      <c r="F24" s="7">
        <v>34</v>
      </c>
      <c r="G24" s="7">
        <v>62</v>
      </c>
      <c r="H24" s="7">
        <v>68</v>
      </c>
      <c r="I24" s="7">
        <v>60</v>
      </c>
      <c r="J24" s="7">
        <v>50</v>
      </c>
      <c r="K2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876</v>
      </c>
      <c r="L24" s="15">
        <f>上半年期末考分数[[#This Row],[总分]]/15</f>
        <v>58.4</v>
      </c>
    </row>
    <row r="25" spans="1:12" x14ac:dyDescent="0.25">
      <c r="A25" s="5">
        <v>24</v>
      </c>
      <c r="B25" s="6" t="s">
        <v>23</v>
      </c>
      <c r="C25" s="7">
        <v>55</v>
      </c>
      <c r="D25" s="7">
        <v>40</v>
      </c>
      <c r="E25" s="7">
        <v>66</v>
      </c>
      <c r="F25" s="7">
        <v>48</v>
      </c>
      <c r="G25" s="7">
        <v>47</v>
      </c>
      <c r="H25" s="7">
        <v>75</v>
      </c>
      <c r="I25" s="7">
        <v>42</v>
      </c>
      <c r="J25" s="7">
        <v>75</v>
      </c>
      <c r="K2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821</v>
      </c>
      <c r="L25" s="15">
        <f>上半年期末考分数[[#This Row],[总分]]/15</f>
        <v>54.733333333333334</v>
      </c>
    </row>
    <row r="26" spans="1:12" x14ac:dyDescent="0.25">
      <c r="A26" s="5">
        <v>25</v>
      </c>
      <c r="B26" s="6" t="s">
        <v>24</v>
      </c>
      <c r="C26" s="7">
        <v>70</v>
      </c>
      <c r="D26" s="7">
        <v>52</v>
      </c>
      <c r="E26" s="7">
        <v>50</v>
      </c>
      <c r="F26" s="7">
        <v>50</v>
      </c>
      <c r="G26" s="7">
        <v>42</v>
      </c>
      <c r="H26" s="7">
        <v>49</v>
      </c>
      <c r="I26" s="7">
        <v>63</v>
      </c>
      <c r="J26" s="7">
        <v>55</v>
      </c>
      <c r="K2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807</v>
      </c>
      <c r="L26" s="15">
        <f>上半年期末考分数[[#This Row],[总分]]/15</f>
        <v>53.8</v>
      </c>
    </row>
    <row r="27" spans="1:12" x14ac:dyDescent="0.25">
      <c r="A27" s="5">
        <v>26</v>
      </c>
      <c r="B27" s="6" t="s">
        <v>25</v>
      </c>
      <c r="C27" s="7">
        <v>62</v>
      </c>
      <c r="D27" s="7">
        <v>40</v>
      </c>
      <c r="E27" s="7">
        <v>76</v>
      </c>
      <c r="F27" s="7">
        <v>38</v>
      </c>
      <c r="G27" s="7">
        <v>42</v>
      </c>
      <c r="H27" s="7">
        <v>75</v>
      </c>
      <c r="I27" s="7">
        <v>59</v>
      </c>
      <c r="J27" s="7">
        <v>52</v>
      </c>
      <c r="K2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836</v>
      </c>
      <c r="L27" s="15">
        <f>上半年期末考分数[[#This Row],[总分]]/15</f>
        <v>55.733333333333334</v>
      </c>
    </row>
    <row r="28" spans="1:12" x14ac:dyDescent="0.25">
      <c r="A28" s="5">
        <v>27</v>
      </c>
      <c r="B28" s="6" t="s">
        <v>26</v>
      </c>
      <c r="C28" s="7">
        <v>69</v>
      </c>
      <c r="D28" s="7">
        <v>57</v>
      </c>
      <c r="E28" s="7">
        <v>58</v>
      </c>
      <c r="F28" s="7">
        <v>70</v>
      </c>
      <c r="G28" s="7">
        <v>81</v>
      </c>
      <c r="H28" s="7">
        <v>92</v>
      </c>
      <c r="I28" s="7">
        <v>75</v>
      </c>
      <c r="J28" s="7">
        <v>67</v>
      </c>
      <c r="K2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1071</v>
      </c>
      <c r="L28" s="15">
        <f>上半年期末考分数[[#This Row],[总分]]/15</f>
        <v>71.400000000000006</v>
      </c>
    </row>
    <row r="29" spans="1:12" x14ac:dyDescent="0.25">
      <c r="A29" s="5">
        <v>28</v>
      </c>
      <c r="B29" s="6" t="s">
        <v>27</v>
      </c>
      <c r="C29" s="7">
        <v>75</v>
      </c>
      <c r="D29" s="7">
        <v>59</v>
      </c>
      <c r="E29" s="7">
        <v>58</v>
      </c>
      <c r="F29" s="7">
        <v>40</v>
      </c>
      <c r="G29" s="7">
        <v>55</v>
      </c>
      <c r="H29" s="7">
        <v>58</v>
      </c>
      <c r="I29" s="7">
        <v>58</v>
      </c>
      <c r="J29" s="7">
        <v>60</v>
      </c>
      <c r="K29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866</v>
      </c>
      <c r="L29" s="15">
        <f>上半年期末考分数[[#This Row],[总分]]/15</f>
        <v>57.733333333333334</v>
      </c>
    </row>
    <row r="30" spans="1:12" x14ac:dyDescent="0.25">
      <c r="A30" s="5">
        <v>29</v>
      </c>
      <c r="B30" s="6" t="s">
        <v>28</v>
      </c>
      <c r="C30" s="7">
        <v>60</v>
      </c>
      <c r="D30" s="7">
        <v>39</v>
      </c>
      <c r="E30" s="7">
        <v>60</v>
      </c>
      <c r="F30" s="7">
        <v>36</v>
      </c>
      <c r="G30" s="7">
        <v>57</v>
      </c>
      <c r="H30" s="7">
        <v>53</v>
      </c>
      <c r="I30" s="7">
        <v>43</v>
      </c>
      <c r="J30" s="7">
        <v>50</v>
      </c>
      <c r="K30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746</v>
      </c>
      <c r="L30" s="15">
        <f>上半年期末考分数[[#This Row],[总分]]/15</f>
        <v>49.733333333333334</v>
      </c>
    </row>
    <row r="31" spans="1:12" x14ac:dyDescent="0.25">
      <c r="A31" s="5">
        <v>30</v>
      </c>
      <c r="B31" s="6" t="s">
        <v>29</v>
      </c>
      <c r="C31" s="7">
        <v>75</v>
      </c>
      <c r="D31" s="7">
        <v>57</v>
      </c>
      <c r="E31" s="7">
        <v>48</v>
      </c>
      <c r="F31" s="7">
        <v>52</v>
      </c>
      <c r="G31" s="7">
        <v>65</v>
      </c>
      <c r="H31" s="7">
        <v>72</v>
      </c>
      <c r="I31" s="7">
        <v>69</v>
      </c>
      <c r="J31" s="7">
        <v>63</v>
      </c>
      <c r="K31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939</v>
      </c>
      <c r="L31" s="15">
        <f>上半年期末考分数[[#This Row],[总分]]/15</f>
        <v>62.6</v>
      </c>
    </row>
    <row r="32" spans="1:12" x14ac:dyDescent="0.25">
      <c r="A32" s="5">
        <v>31</v>
      </c>
      <c r="B32" s="6" t="s">
        <v>30</v>
      </c>
      <c r="C32" s="7">
        <v>74</v>
      </c>
      <c r="D32" s="7">
        <v>42</v>
      </c>
      <c r="E32" s="7">
        <v>41</v>
      </c>
      <c r="F32" s="7">
        <v>23</v>
      </c>
      <c r="G32" s="7">
        <v>43</v>
      </c>
      <c r="H32" s="7">
        <v>89</v>
      </c>
      <c r="I32" s="7">
        <v>52</v>
      </c>
      <c r="J32" s="7">
        <v>45</v>
      </c>
      <c r="K32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773</v>
      </c>
      <c r="L32" s="15">
        <f>上半年期末考分数[[#This Row],[总分]]/15</f>
        <v>51.533333333333331</v>
      </c>
    </row>
    <row r="33" spans="1:16" x14ac:dyDescent="0.25">
      <c r="A33" s="5">
        <v>32</v>
      </c>
      <c r="B33" s="6" t="s">
        <v>31</v>
      </c>
      <c r="C33" s="7">
        <v>69</v>
      </c>
      <c r="D33" s="7">
        <v>54</v>
      </c>
      <c r="E33" s="7">
        <v>69</v>
      </c>
      <c r="F33" s="7">
        <v>44</v>
      </c>
      <c r="G33" s="7">
        <v>55</v>
      </c>
      <c r="H33" s="7">
        <v>74</v>
      </c>
      <c r="I33" s="7">
        <v>51</v>
      </c>
      <c r="J33" s="7">
        <v>49</v>
      </c>
      <c r="K33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881</v>
      </c>
      <c r="L33" s="15">
        <f>上半年期末考分数[[#This Row],[总分]]/15</f>
        <v>58.733333333333334</v>
      </c>
    </row>
    <row r="34" spans="1:16" x14ac:dyDescent="0.25">
      <c r="A34" s="5">
        <v>33</v>
      </c>
      <c r="B34" s="6" t="s">
        <v>32</v>
      </c>
      <c r="C34" s="7">
        <v>77</v>
      </c>
      <c r="D34" s="7">
        <v>42</v>
      </c>
      <c r="E34" s="7">
        <v>52</v>
      </c>
      <c r="F34" s="7">
        <v>42</v>
      </c>
      <c r="G34" s="7">
        <v>50</v>
      </c>
      <c r="H34" s="7">
        <v>60</v>
      </c>
      <c r="I34" s="7">
        <v>52</v>
      </c>
      <c r="J34" s="7">
        <v>57</v>
      </c>
      <c r="K34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807</v>
      </c>
      <c r="L34" s="15">
        <f>上半年期末考分数[[#This Row],[总分]]/15</f>
        <v>53.8</v>
      </c>
    </row>
    <row r="35" spans="1:16" x14ac:dyDescent="0.25">
      <c r="A35" s="5">
        <v>34</v>
      </c>
      <c r="B35" s="6" t="s">
        <v>33</v>
      </c>
      <c r="C35" s="7">
        <v>80</v>
      </c>
      <c r="D35" s="7">
        <v>65</v>
      </c>
      <c r="E35" s="7">
        <v>80</v>
      </c>
      <c r="F35" s="7">
        <v>31</v>
      </c>
      <c r="G35" s="7">
        <v>72</v>
      </c>
      <c r="H35" s="7">
        <v>83</v>
      </c>
      <c r="I35" s="7">
        <v>50</v>
      </c>
      <c r="J35" s="7">
        <v>53</v>
      </c>
      <c r="K35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975</v>
      </c>
      <c r="L35" s="15">
        <f>上半年期末考分数[[#This Row],[总分]]/15</f>
        <v>65</v>
      </c>
    </row>
    <row r="36" spans="1:16" x14ac:dyDescent="0.25">
      <c r="A36" s="5">
        <v>35</v>
      </c>
      <c r="B36" s="6" t="s">
        <v>34</v>
      </c>
      <c r="C36" s="7">
        <v>65</v>
      </c>
      <c r="D36" s="7">
        <v>38</v>
      </c>
      <c r="E36" s="7">
        <v>68</v>
      </c>
      <c r="F36" s="7">
        <v>51</v>
      </c>
      <c r="G36" s="7">
        <v>41</v>
      </c>
      <c r="H36" s="7">
        <v>98</v>
      </c>
      <c r="I36" s="7">
        <v>67</v>
      </c>
      <c r="J36" s="7">
        <v>44</v>
      </c>
      <c r="K36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900</v>
      </c>
      <c r="L36" s="15">
        <f>上半年期末考分数[[#This Row],[总分]]/15</f>
        <v>60</v>
      </c>
    </row>
    <row r="37" spans="1:16" x14ac:dyDescent="0.25">
      <c r="A37" s="5">
        <v>36</v>
      </c>
      <c r="B37" s="6" t="s">
        <v>35</v>
      </c>
      <c r="C37" s="7">
        <v>63</v>
      </c>
      <c r="D37" s="7">
        <v>33</v>
      </c>
      <c r="E37" s="7">
        <v>45</v>
      </c>
      <c r="F37" s="7">
        <v>22</v>
      </c>
      <c r="G37" s="7">
        <v>45</v>
      </c>
      <c r="H37" s="7">
        <v>62</v>
      </c>
      <c r="I37" s="7">
        <v>45</v>
      </c>
      <c r="J37" s="7">
        <v>45</v>
      </c>
      <c r="K37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675</v>
      </c>
      <c r="L37" s="15">
        <f>上半年期末考分数[[#This Row],[总分]]/15</f>
        <v>45</v>
      </c>
    </row>
    <row r="38" spans="1:16" x14ac:dyDescent="0.25">
      <c r="A38" s="5">
        <v>37</v>
      </c>
      <c r="B38" s="6" t="s">
        <v>36</v>
      </c>
      <c r="C38" s="7">
        <v>65</v>
      </c>
      <c r="D38" s="7">
        <v>49</v>
      </c>
      <c r="E38" s="7">
        <v>48</v>
      </c>
      <c r="F38" s="7">
        <v>34</v>
      </c>
      <c r="G38" s="7">
        <v>49</v>
      </c>
      <c r="H38" s="7">
        <v>45</v>
      </c>
      <c r="I38" s="7">
        <v>54</v>
      </c>
      <c r="J38" s="7">
        <v>61</v>
      </c>
      <c r="K38" s="8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749</v>
      </c>
      <c r="L38" s="15">
        <f>上半年期末考分数[[#This Row],[总分]]/15</f>
        <v>49.93333333333333</v>
      </c>
    </row>
    <row r="39" spans="1:16" x14ac:dyDescent="0.25">
      <c r="A39" s="9">
        <v>38</v>
      </c>
      <c r="B39" s="10" t="s">
        <v>37</v>
      </c>
      <c r="C39" s="11">
        <v>73</v>
      </c>
      <c r="D39" s="7">
        <v>62</v>
      </c>
      <c r="E39" s="11">
        <v>55</v>
      </c>
      <c r="F39" s="11">
        <v>25</v>
      </c>
      <c r="G39" s="11">
        <v>58</v>
      </c>
      <c r="H39" s="11">
        <v>84</v>
      </c>
      <c r="I39" s="11">
        <v>60</v>
      </c>
      <c r="J39" s="11">
        <v>47</v>
      </c>
      <c r="K39" s="12">
        <f>(上半年期末考分数[[#This Row],[华文]]+上半年期末考分数[[#This Row],[国文]]+上半年期末考分数[[#This Row],[英文]]+上半年期末考分数[[#This Row],[高数]]+上半年期末考分数[[#This Row],[生物]]+上半年期末考分数[[#This Row],[物理]]+上半年期末考分数[[#This Row],[化学]])*2+上半年期末考分数[[#This Row],[电资]]</f>
        <v>881</v>
      </c>
      <c r="L39" s="16">
        <f>上半年期末考分数[[#This Row],[总分]]/15</f>
        <v>58.733333333333334</v>
      </c>
      <c r="P39" s="54"/>
    </row>
    <row r="40" spans="1:16" x14ac:dyDescent="0.25">
      <c r="P40" s="54"/>
    </row>
    <row r="41" spans="1:16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  <c r="P41" s="54"/>
    </row>
    <row r="42" spans="1:16" x14ac:dyDescent="0.25">
      <c r="B42" s="13" t="s">
        <v>50</v>
      </c>
      <c r="C42" s="17">
        <f>AVERAGE(上半年期末考分数[华文])</f>
        <v>69.55263157894737</v>
      </c>
      <c r="D42" s="17">
        <f>AVERAGE(上半年期末考分数[国文])</f>
        <v>49.263157894736842</v>
      </c>
      <c r="E42" s="17">
        <f>AVERAGE(上半年期末考分数[英文])</f>
        <v>58.815789473684212</v>
      </c>
      <c r="F42" s="17">
        <f>AVERAGE(上半年期末考分数[高数])</f>
        <v>47.473684210526315</v>
      </c>
      <c r="G42" s="17">
        <f>AVERAGE(上半年期末考分数[生物])</f>
        <v>56.328947368421055</v>
      </c>
      <c r="H42" s="17">
        <f>AVERAGE(上半年期末考分数[物理])</f>
        <v>74.94736842105263</v>
      </c>
      <c r="I42" s="17">
        <f>AVERAGE(上半年期末考分数[化学])</f>
        <v>59.973684210526315</v>
      </c>
      <c r="J42" s="17">
        <f>AVERAGE(上半年期末考分数[电资])</f>
        <v>56.342105263157897</v>
      </c>
      <c r="K42" s="17">
        <f>AVERAGE(上半年期末考分数[总分])</f>
        <v>889.0526315789474</v>
      </c>
      <c r="L42" s="17">
        <f>AVERAGE(上半年期末考分数[总平均])</f>
        <v>59.270175438596482</v>
      </c>
      <c r="P42" s="54"/>
    </row>
    <row r="43" spans="1:16" x14ac:dyDescent="0.25">
      <c r="B43" s="13" t="s">
        <v>52</v>
      </c>
      <c r="C43" s="13">
        <f>MAX(上半年期末考分数[华文])</f>
        <v>81</v>
      </c>
      <c r="D43" s="13">
        <f>MAX(上半年期末考分数[国文])</f>
        <v>81</v>
      </c>
      <c r="E43" s="13">
        <f>MAX(上半年期末考分数[英文])</f>
        <v>83</v>
      </c>
      <c r="F43" s="13">
        <f>MAX(上半年期末考分数[高数])</f>
        <v>96</v>
      </c>
      <c r="G43" s="13">
        <f>MAX(上半年期末考分数[生物])</f>
        <v>87</v>
      </c>
      <c r="H43" s="13">
        <f>MAX(上半年期末考分数[物理])</f>
        <v>100</v>
      </c>
      <c r="I43" s="13">
        <f>MAX(上半年期末考分数[化学])</f>
        <v>84</v>
      </c>
      <c r="J43" s="13">
        <f>MAX(上半年期末考分数[电资])</f>
        <v>80</v>
      </c>
      <c r="K43" s="13">
        <f>MAX(上半年期末考分数[总分])</f>
        <v>1100</v>
      </c>
      <c r="L43" s="17">
        <f>MAX(上半年期末考分数[总平均])</f>
        <v>73.333333333333329</v>
      </c>
      <c r="P43" s="54"/>
    </row>
    <row r="44" spans="1:16" x14ac:dyDescent="0.25">
      <c r="P44" s="54"/>
    </row>
    <row r="45" spans="1:16" x14ac:dyDescent="0.25">
      <c r="B45" t="s">
        <v>63</v>
      </c>
      <c r="C45">
        <f>COUNTIF(上半年期末考分数[总平均],"&gt;=60")</f>
        <v>16</v>
      </c>
      <c r="P45" s="54"/>
    </row>
    <row r="46" spans="1:16" x14ac:dyDescent="0.25">
      <c r="B46" t="s">
        <v>62</v>
      </c>
      <c r="C46" s="34">
        <f>C45/38*100%</f>
        <v>0.42105263157894735</v>
      </c>
      <c r="P46" s="54"/>
    </row>
    <row r="54" spans="9:9" x14ac:dyDescent="0.25">
      <c r="I54">
        <f>100-42.11</f>
        <v>57.89</v>
      </c>
    </row>
  </sheetData>
  <conditionalFormatting sqref="C2:J39 L2:L39 C40:L40">
    <cfRule type="cellIs" dxfId="41" priority="9" operator="between">
      <formula>60</formula>
      <formula>79</formula>
    </cfRule>
  </conditionalFormatting>
  <conditionalFormatting sqref="C2:J39 L2:L39">
    <cfRule type="cellIs" dxfId="40" priority="11" operator="greaterThan">
      <formula>79.99</formula>
    </cfRule>
    <cfRule type="cellIs" dxfId="39" priority="13" operator="lessThan">
      <formula>59.99</formula>
    </cfRule>
  </conditionalFormatting>
  <conditionalFormatting sqref="C2:J39">
    <cfRule type="cellIs" dxfId="38" priority="4" operator="equal">
      <formula>100</formula>
    </cfRule>
  </conditionalFormatting>
  <conditionalFormatting sqref="K2:K39">
    <cfRule type="cellIs" dxfId="37" priority="1" operator="greaterThan">
      <formula>1199.5</formula>
    </cfRule>
    <cfRule type="cellIs" dxfId="36" priority="2" operator="between">
      <formula>899.5</formula>
      <formula>1199.4</formula>
    </cfRule>
    <cfRule type="cellIs" dxfId="35" priority="3" operator="lessThan">
      <formula>899.4</formula>
    </cfRule>
    <cfRule type="cellIs" dxfId="34" priority="7" operator="lessThan">
      <formula>899.5</formula>
    </cfRule>
    <cfRule type="cellIs" dxfId="33" priority="8" operator="greaterThan">
      <formula>1119.5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"/>
  <sheetViews>
    <sheetView zoomScaleNormal="100" workbookViewId="0">
      <pane ySplit="1" topLeftCell="A26" activePane="bottomLeft" state="frozen"/>
      <selection pane="bottomLeft" activeCell="I23" sqref="I23"/>
    </sheetView>
  </sheetViews>
  <sheetFormatPr defaultRowHeight="15" x14ac:dyDescent="0.25"/>
  <cols>
    <col min="12" max="12" width="9.85546875" bestFit="1" customWidth="1"/>
    <col min="13" max="13" width="9.85546875" customWidth="1"/>
    <col min="15" max="15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>
        <v>75</v>
      </c>
      <c r="D2" s="7">
        <v>59</v>
      </c>
      <c r="E2" s="7">
        <v>63</v>
      </c>
      <c r="F2" s="7">
        <v>92</v>
      </c>
      <c r="G2" s="7">
        <v>69.8</v>
      </c>
      <c r="H2" s="7">
        <v>97</v>
      </c>
      <c r="I2" s="7">
        <v>81</v>
      </c>
      <c r="J2" s="7">
        <v>81</v>
      </c>
      <c r="K2" s="7">
        <v>83</v>
      </c>
      <c r="L2" s="7">
        <v>74</v>
      </c>
      <c r="M2" s="7">
        <v>83</v>
      </c>
      <c r="N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1394.6</v>
      </c>
      <c r="O2" s="15">
        <f>上半年总表[[#This Row],[总分]]/18</f>
        <v>77.477777777777774</v>
      </c>
    </row>
    <row r="3" spans="1:15" x14ac:dyDescent="0.25">
      <c r="A3" s="5">
        <v>2</v>
      </c>
      <c r="B3" s="6" t="s">
        <v>1</v>
      </c>
      <c r="C3" s="7">
        <v>82</v>
      </c>
      <c r="D3" s="7">
        <v>56</v>
      </c>
      <c r="E3" s="7">
        <v>67</v>
      </c>
      <c r="F3" s="7">
        <v>75</v>
      </c>
      <c r="G3" s="7">
        <v>64.900000000000006</v>
      </c>
      <c r="H3" s="7">
        <v>93</v>
      </c>
      <c r="I3" s="7">
        <v>58</v>
      </c>
      <c r="J3" s="7">
        <v>66</v>
      </c>
      <c r="K3" s="7">
        <v>97</v>
      </c>
      <c r="L3" s="7">
        <v>82</v>
      </c>
      <c r="M3" s="7">
        <v>92</v>
      </c>
      <c r="N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1328.8</v>
      </c>
      <c r="O3" s="15">
        <f>上半年总表[[#This Row],[总分]]/18</f>
        <v>73.822222222222223</v>
      </c>
    </row>
    <row r="4" spans="1:15" x14ac:dyDescent="0.25">
      <c r="A4" s="5">
        <v>3</v>
      </c>
      <c r="B4" s="6" t="s">
        <v>2</v>
      </c>
      <c r="C4" s="7">
        <v>76</v>
      </c>
      <c r="D4" s="7">
        <v>32</v>
      </c>
      <c r="E4" s="7">
        <v>73</v>
      </c>
      <c r="F4" s="7">
        <v>72</v>
      </c>
      <c r="G4" s="7">
        <v>53.2</v>
      </c>
      <c r="H4" s="7">
        <v>82</v>
      </c>
      <c r="I4" s="7">
        <v>65</v>
      </c>
      <c r="J4" s="7">
        <v>89</v>
      </c>
      <c r="K4" s="7">
        <v>96</v>
      </c>
      <c r="L4" s="7">
        <v>66</v>
      </c>
      <c r="M4" s="7">
        <v>98</v>
      </c>
      <c r="N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1255.4000000000001</v>
      </c>
      <c r="O4" s="15">
        <f>上半年总表[[#This Row],[总分]]/18</f>
        <v>69.744444444444454</v>
      </c>
    </row>
    <row r="5" spans="1:15" x14ac:dyDescent="0.25">
      <c r="A5" s="5">
        <v>4</v>
      </c>
      <c r="B5" s="6" t="s">
        <v>3</v>
      </c>
      <c r="C5" s="7">
        <v>81</v>
      </c>
      <c r="D5" s="7">
        <v>71</v>
      </c>
      <c r="E5" s="7">
        <v>68</v>
      </c>
      <c r="F5" s="7">
        <v>71</v>
      </c>
      <c r="G5" s="7">
        <v>69.400000000000006</v>
      </c>
      <c r="H5" s="7">
        <v>84</v>
      </c>
      <c r="I5" s="7">
        <v>64</v>
      </c>
      <c r="J5" s="7">
        <v>62</v>
      </c>
      <c r="K5" s="7">
        <v>85</v>
      </c>
      <c r="L5" s="7">
        <v>76</v>
      </c>
      <c r="M5" s="7">
        <v>83</v>
      </c>
      <c r="N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1322.8</v>
      </c>
      <c r="O5" s="15">
        <f>上半年总表[[#This Row],[总分]]/18</f>
        <v>73.48888888888888</v>
      </c>
    </row>
    <row r="6" spans="1:15" x14ac:dyDescent="0.25">
      <c r="A6" s="5">
        <v>5</v>
      </c>
      <c r="B6" s="6" t="s">
        <v>4</v>
      </c>
      <c r="C6" s="7">
        <v>67</v>
      </c>
      <c r="D6" s="7">
        <v>53</v>
      </c>
      <c r="E6" s="7">
        <v>57</v>
      </c>
      <c r="F6" s="7">
        <v>79</v>
      </c>
      <c r="G6" s="7">
        <v>49.5</v>
      </c>
      <c r="H6" s="7">
        <v>80</v>
      </c>
      <c r="I6" s="7">
        <v>69</v>
      </c>
      <c r="J6" s="7">
        <v>80</v>
      </c>
      <c r="K6" s="7">
        <v>97</v>
      </c>
      <c r="L6" s="7">
        <v>63</v>
      </c>
      <c r="M6" s="7">
        <v>84</v>
      </c>
      <c r="N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1233</v>
      </c>
      <c r="O6" s="15">
        <f>上半年总表[[#This Row],[总分]]/18</f>
        <v>68.5</v>
      </c>
    </row>
    <row r="7" spans="1:15" x14ac:dyDescent="0.25">
      <c r="A7" s="5">
        <v>6</v>
      </c>
      <c r="B7" s="6" t="s">
        <v>5</v>
      </c>
      <c r="C7" s="7">
        <v>83</v>
      </c>
      <c r="D7" s="7">
        <v>65</v>
      </c>
      <c r="E7" s="7">
        <v>65</v>
      </c>
      <c r="F7" s="7">
        <v>84</v>
      </c>
      <c r="G7" s="7">
        <v>72.099999999999994</v>
      </c>
      <c r="H7" s="7">
        <v>83</v>
      </c>
      <c r="I7" s="7">
        <v>79</v>
      </c>
      <c r="J7" s="7">
        <v>89</v>
      </c>
      <c r="K7" s="7">
        <v>94</v>
      </c>
      <c r="L7" s="7">
        <v>71</v>
      </c>
      <c r="M7" s="7">
        <v>81</v>
      </c>
      <c r="N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1397.2</v>
      </c>
      <c r="O7" s="15">
        <f>上半年总表[[#This Row],[总分]]/18</f>
        <v>77.62222222222222</v>
      </c>
    </row>
    <row r="8" spans="1:15" x14ac:dyDescent="0.25">
      <c r="A8" s="5">
        <v>7</v>
      </c>
      <c r="B8" s="6" t="s">
        <v>6</v>
      </c>
      <c r="C8" s="7">
        <v>79</v>
      </c>
      <c r="D8" s="7">
        <v>56</v>
      </c>
      <c r="E8" s="7">
        <v>75</v>
      </c>
      <c r="F8" s="7">
        <v>60</v>
      </c>
      <c r="G8" s="7">
        <v>54.2</v>
      </c>
      <c r="H8" s="7">
        <v>84</v>
      </c>
      <c r="I8" s="7">
        <v>63</v>
      </c>
      <c r="J8" s="7">
        <v>67</v>
      </c>
      <c r="K8" s="7">
        <v>99</v>
      </c>
      <c r="L8" s="7">
        <v>74</v>
      </c>
      <c r="M8" s="7">
        <v>77</v>
      </c>
      <c r="N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1259.4000000000001</v>
      </c>
      <c r="O8" s="15">
        <f>上半年总表[[#This Row],[总分]]/18</f>
        <v>69.966666666666669</v>
      </c>
    </row>
    <row r="9" spans="1:15" x14ac:dyDescent="0.25">
      <c r="A9" s="5">
        <v>8</v>
      </c>
      <c r="B9" s="6" t="s">
        <v>7</v>
      </c>
      <c r="C9" s="7">
        <v>77</v>
      </c>
      <c r="D9" s="7">
        <v>72</v>
      </c>
      <c r="E9" s="7">
        <v>73</v>
      </c>
      <c r="F9" s="7">
        <v>68</v>
      </c>
      <c r="G9" s="7">
        <v>63.3</v>
      </c>
      <c r="H9" s="7">
        <v>79</v>
      </c>
      <c r="I9" s="7">
        <v>74</v>
      </c>
      <c r="J9" s="7">
        <v>91</v>
      </c>
      <c r="K9" s="7">
        <v>96</v>
      </c>
      <c r="L9" s="7">
        <v>70</v>
      </c>
      <c r="M9" s="7">
        <v>91</v>
      </c>
      <c r="N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1360.6</v>
      </c>
      <c r="O9" s="15">
        <f>上半年总表[[#This Row],[总分]]/18</f>
        <v>75.588888888888889</v>
      </c>
    </row>
    <row r="10" spans="1:15" x14ac:dyDescent="0.25">
      <c r="A10" s="5">
        <v>9</v>
      </c>
      <c r="B10" s="6" t="s">
        <v>8</v>
      </c>
      <c r="C10" s="7">
        <v>70</v>
      </c>
      <c r="D10" s="7">
        <v>57</v>
      </c>
      <c r="E10" s="7">
        <v>97</v>
      </c>
      <c r="F10" s="7">
        <v>75</v>
      </c>
      <c r="G10" s="7">
        <v>62.7</v>
      </c>
      <c r="H10" s="7">
        <v>69</v>
      </c>
      <c r="I10" s="7">
        <v>66</v>
      </c>
      <c r="J10" s="7">
        <v>62</v>
      </c>
      <c r="K10" s="7">
        <v>91</v>
      </c>
      <c r="L10" s="7">
        <v>75</v>
      </c>
      <c r="M10" s="7">
        <v>63</v>
      </c>
      <c r="N1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1284.4000000000001</v>
      </c>
      <c r="O10" s="15">
        <f>上半年总表[[#This Row],[总分]]/18</f>
        <v>71.355555555555554</v>
      </c>
    </row>
    <row r="11" spans="1:15" x14ac:dyDescent="0.25">
      <c r="A11" s="5">
        <v>10</v>
      </c>
      <c r="B11" s="6" t="s">
        <v>9</v>
      </c>
      <c r="C11" s="7">
        <v>78</v>
      </c>
      <c r="D11" s="7">
        <v>63</v>
      </c>
      <c r="E11" s="7">
        <v>81</v>
      </c>
      <c r="F11" s="7">
        <v>50</v>
      </c>
      <c r="G11" s="7">
        <v>54.7</v>
      </c>
      <c r="H11" s="7">
        <v>44</v>
      </c>
      <c r="I11" s="7">
        <v>61</v>
      </c>
      <c r="J11" s="7">
        <v>68</v>
      </c>
      <c r="K11" s="7">
        <v>84</v>
      </c>
      <c r="L11" s="7">
        <v>74</v>
      </c>
      <c r="M11" s="7">
        <v>81</v>
      </c>
      <c r="N1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1170.4000000000001</v>
      </c>
      <c r="O11" s="15">
        <f>上半年总表[[#This Row],[总分]]/18</f>
        <v>65.022222222222226</v>
      </c>
    </row>
    <row r="12" spans="1:15" x14ac:dyDescent="0.25">
      <c r="A12" s="5">
        <v>11</v>
      </c>
      <c r="B12" s="6" t="s">
        <v>10</v>
      </c>
      <c r="C12" s="7">
        <v>81</v>
      </c>
      <c r="D12" s="7">
        <v>69</v>
      </c>
      <c r="E12" s="7">
        <v>76</v>
      </c>
      <c r="F12" s="7">
        <v>67</v>
      </c>
      <c r="G12" s="7">
        <v>67.099999999999994</v>
      </c>
      <c r="H12" s="7">
        <v>90</v>
      </c>
      <c r="I12" s="7">
        <v>46</v>
      </c>
      <c r="J12" s="7">
        <v>75</v>
      </c>
      <c r="K12" s="7">
        <v>87</v>
      </c>
      <c r="L12" s="7">
        <v>76</v>
      </c>
      <c r="M12" s="7">
        <v>80</v>
      </c>
      <c r="N1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1310.2</v>
      </c>
      <c r="O12" s="15">
        <f>上半年总表[[#This Row],[总分]]/18</f>
        <v>72.788888888888891</v>
      </c>
    </row>
    <row r="13" spans="1:15" x14ac:dyDescent="0.25">
      <c r="A13" s="5">
        <v>12</v>
      </c>
      <c r="B13" s="6" t="s">
        <v>11</v>
      </c>
      <c r="C13" s="7">
        <v>83</v>
      </c>
      <c r="D13" s="7">
        <v>73</v>
      </c>
      <c r="E13" s="7">
        <v>77</v>
      </c>
      <c r="F13" s="7">
        <v>69</v>
      </c>
      <c r="G13" s="7">
        <v>61.1</v>
      </c>
      <c r="H13" s="7">
        <v>71</v>
      </c>
      <c r="I13" s="7">
        <v>64</v>
      </c>
      <c r="J13" s="7">
        <v>80</v>
      </c>
      <c r="K13" s="7">
        <v>95</v>
      </c>
      <c r="L13" s="7">
        <v>73</v>
      </c>
      <c r="M13" s="7">
        <v>88</v>
      </c>
      <c r="N1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1332.2</v>
      </c>
      <c r="O13" s="15">
        <f>上半年总表[[#This Row],[总分]]/18</f>
        <v>74.01111111111112</v>
      </c>
    </row>
    <row r="14" spans="1:15" x14ac:dyDescent="0.25">
      <c r="A14" s="5">
        <v>13</v>
      </c>
      <c r="B14" s="6" t="s">
        <v>12</v>
      </c>
      <c r="C14" s="7">
        <v>84</v>
      </c>
      <c r="D14" s="7">
        <v>71</v>
      </c>
      <c r="E14" s="7">
        <v>76</v>
      </c>
      <c r="F14" s="7">
        <v>83</v>
      </c>
      <c r="G14" s="7">
        <v>82.6</v>
      </c>
      <c r="H14" s="7">
        <v>94</v>
      </c>
      <c r="I14" s="7">
        <v>71</v>
      </c>
      <c r="J14" s="7">
        <v>83</v>
      </c>
      <c r="K14" s="7">
        <v>84</v>
      </c>
      <c r="L14" s="7">
        <v>75</v>
      </c>
      <c r="M14" s="7">
        <v>83</v>
      </c>
      <c r="N1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1448.2</v>
      </c>
      <c r="O14" s="15">
        <f>上半年总表[[#This Row],[总分]]/18</f>
        <v>80.455555555555563</v>
      </c>
    </row>
    <row r="15" spans="1:15" x14ac:dyDescent="0.25">
      <c r="A15" s="5">
        <v>14</v>
      </c>
      <c r="B15" s="6" t="s">
        <v>13</v>
      </c>
      <c r="C15" s="7">
        <v>77</v>
      </c>
      <c r="D15" s="7">
        <v>82</v>
      </c>
      <c r="E15" s="7">
        <v>108</v>
      </c>
      <c r="F15" s="7">
        <v>62</v>
      </c>
      <c r="G15" s="7">
        <v>52.5</v>
      </c>
      <c r="H15" s="7">
        <v>57</v>
      </c>
      <c r="I15" s="7">
        <v>67</v>
      </c>
      <c r="J15" s="7">
        <v>75</v>
      </c>
      <c r="K15" s="7">
        <v>86</v>
      </c>
      <c r="L15" s="7">
        <v>87</v>
      </c>
      <c r="M15" s="7">
        <v>80</v>
      </c>
      <c r="N1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1339</v>
      </c>
      <c r="O15" s="15">
        <f>上半年总表[[#This Row],[总分]]/18</f>
        <v>74.388888888888886</v>
      </c>
    </row>
    <row r="16" spans="1:15" x14ac:dyDescent="0.25">
      <c r="A16" s="5">
        <v>15</v>
      </c>
      <c r="B16" s="6" t="s">
        <v>14</v>
      </c>
      <c r="C16" s="7">
        <v>76</v>
      </c>
      <c r="D16" s="7">
        <v>75</v>
      </c>
      <c r="E16" s="7">
        <v>77</v>
      </c>
      <c r="F16" s="7">
        <v>81</v>
      </c>
      <c r="G16" s="7">
        <v>63</v>
      </c>
      <c r="H16" s="7">
        <v>65</v>
      </c>
      <c r="I16" s="7">
        <v>68</v>
      </c>
      <c r="J16" s="7">
        <v>80</v>
      </c>
      <c r="K16" s="7">
        <v>83</v>
      </c>
      <c r="L16" s="7">
        <v>70</v>
      </c>
      <c r="M16" s="7">
        <v>86</v>
      </c>
      <c r="N1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1329</v>
      </c>
      <c r="O16" s="15">
        <f>上半年总表[[#This Row],[总分]]/18</f>
        <v>73.833333333333329</v>
      </c>
    </row>
    <row r="17" spans="1:15" x14ac:dyDescent="0.25">
      <c r="A17" s="5">
        <v>16</v>
      </c>
      <c r="B17" s="6" t="s">
        <v>15</v>
      </c>
      <c r="C17" s="7">
        <v>70</v>
      </c>
      <c r="D17" s="7">
        <v>66</v>
      </c>
      <c r="E17" s="7">
        <v>67</v>
      </c>
      <c r="F17" s="7">
        <v>65</v>
      </c>
      <c r="G17" s="7">
        <v>61.1</v>
      </c>
      <c r="H17" s="7">
        <v>71</v>
      </c>
      <c r="I17" s="7">
        <v>67</v>
      </c>
      <c r="J17" s="7">
        <v>92</v>
      </c>
      <c r="K17" s="7">
        <v>82</v>
      </c>
      <c r="L17" s="7">
        <v>69</v>
      </c>
      <c r="M17" s="7">
        <v>96</v>
      </c>
      <c r="N1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1273.2</v>
      </c>
      <c r="O17" s="15">
        <f>上半年总表[[#This Row],[总分]]/18</f>
        <v>70.733333333333334</v>
      </c>
    </row>
    <row r="18" spans="1:15" x14ac:dyDescent="0.25">
      <c r="A18" s="5">
        <v>17</v>
      </c>
      <c r="B18" s="6" t="s">
        <v>16</v>
      </c>
      <c r="C18" s="7">
        <v>72</v>
      </c>
      <c r="D18" s="7">
        <v>51</v>
      </c>
      <c r="E18" s="7">
        <v>68</v>
      </c>
      <c r="F18" s="7">
        <v>67</v>
      </c>
      <c r="G18" s="7">
        <v>57.9</v>
      </c>
      <c r="H18" s="7">
        <v>68</v>
      </c>
      <c r="I18" s="7">
        <v>57</v>
      </c>
      <c r="J18" s="7">
        <v>89</v>
      </c>
      <c r="K18" s="7">
        <v>97</v>
      </c>
      <c r="L18" s="7">
        <v>67</v>
      </c>
      <c r="M18" s="7">
        <v>80</v>
      </c>
      <c r="N1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1214.8</v>
      </c>
      <c r="O18" s="15">
        <f>上半年总表[[#This Row],[总分]]/18</f>
        <v>67.48888888888888</v>
      </c>
    </row>
    <row r="19" spans="1:15" x14ac:dyDescent="0.25">
      <c r="A19" s="5">
        <v>18</v>
      </c>
      <c r="B19" s="6" t="s">
        <v>17</v>
      </c>
      <c r="C19" s="7">
        <v>76</v>
      </c>
      <c r="D19" s="7">
        <v>52</v>
      </c>
      <c r="E19" s="7">
        <v>78</v>
      </c>
      <c r="F19" s="7">
        <v>77</v>
      </c>
      <c r="G19" s="7">
        <v>63.1</v>
      </c>
      <c r="H19" s="7">
        <v>71</v>
      </c>
      <c r="I19" s="7">
        <v>67</v>
      </c>
      <c r="J19" s="7">
        <v>68</v>
      </c>
      <c r="K19" s="7">
        <v>91</v>
      </c>
      <c r="L19" s="7">
        <v>69</v>
      </c>
      <c r="M19" s="7">
        <v>75</v>
      </c>
      <c r="N1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1271.2</v>
      </c>
      <c r="O19" s="15">
        <f>上半年总表[[#This Row],[总分]]/18</f>
        <v>70.62222222222222</v>
      </c>
    </row>
    <row r="20" spans="1:15" x14ac:dyDescent="0.25">
      <c r="A20" s="5">
        <v>19</v>
      </c>
      <c r="B20" s="6" t="s">
        <v>18</v>
      </c>
      <c r="C20" s="7">
        <v>76</v>
      </c>
      <c r="D20" s="7">
        <v>58</v>
      </c>
      <c r="E20" s="7">
        <v>61</v>
      </c>
      <c r="F20" s="7">
        <v>65</v>
      </c>
      <c r="G20" s="7">
        <v>49.2</v>
      </c>
      <c r="H20" s="7">
        <v>92</v>
      </c>
      <c r="I20" s="7">
        <v>65</v>
      </c>
      <c r="J20" s="7">
        <v>86</v>
      </c>
      <c r="K20" s="7">
        <v>76</v>
      </c>
      <c r="L20" s="7">
        <v>65</v>
      </c>
      <c r="M20" s="7">
        <v>78</v>
      </c>
      <c r="N2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1237.4000000000001</v>
      </c>
      <c r="O20" s="15">
        <f>上半年总表[[#This Row],[总分]]/18</f>
        <v>68.744444444444454</v>
      </c>
    </row>
    <row r="21" spans="1:15" x14ac:dyDescent="0.25">
      <c r="A21" s="5">
        <v>20</v>
      </c>
      <c r="B21" s="6" t="s">
        <v>19</v>
      </c>
      <c r="C21" s="7">
        <v>78</v>
      </c>
      <c r="D21" s="7">
        <v>65</v>
      </c>
      <c r="E21" s="7">
        <v>66</v>
      </c>
      <c r="F21" s="7">
        <v>56</v>
      </c>
      <c r="G21" s="7">
        <v>55.1</v>
      </c>
      <c r="H21" s="7">
        <v>53</v>
      </c>
      <c r="I21" s="7">
        <v>71</v>
      </c>
      <c r="J21" s="7">
        <v>91</v>
      </c>
      <c r="K21" s="7">
        <v>86</v>
      </c>
      <c r="L21" s="7">
        <v>74</v>
      </c>
      <c r="M21" s="7">
        <v>77</v>
      </c>
      <c r="N2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1216.2</v>
      </c>
      <c r="O21" s="15">
        <f>上半年总表[[#This Row],[总分]]/18</f>
        <v>67.566666666666663</v>
      </c>
    </row>
    <row r="22" spans="1:15" x14ac:dyDescent="0.25">
      <c r="A22" s="5">
        <v>21</v>
      </c>
      <c r="B22" s="6" t="s">
        <v>20</v>
      </c>
      <c r="C22" s="7">
        <v>79</v>
      </c>
      <c r="D22" s="7">
        <v>76</v>
      </c>
      <c r="E22" s="7">
        <v>67</v>
      </c>
      <c r="F22" s="7">
        <v>67</v>
      </c>
      <c r="G22" s="7">
        <v>55.9</v>
      </c>
      <c r="H22" s="7">
        <v>67</v>
      </c>
      <c r="I22" s="7">
        <v>69</v>
      </c>
      <c r="J22" s="7">
        <v>68</v>
      </c>
      <c r="K22" s="7">
        <v>93</v>
      </c>
      <c r="L22" s="7">
        <v>60</v>
      </c>
      <c r="M22" s="7">
        <v>76</v>
      </c>
      <c r="N2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1258.8</v>
      </c>
      <c r="O22" s="15">
        <f>上半年总表[[#This Row],[总分]]/18</f>
        <v>69.933333333333337</v>
      </c>
    </row>
    <row r="23" spans="1:15" x14ac:dyDescent="0.25">
      <c r="A23" s="5">
        <v>22</v>
      </c>
      <c r="B23" s="6" t="s">
        <v>21</v>
      </c>
      <c r="C23" s="7">
        <v>76</v>
      </c>
      <c r="D23" s="7">
        <v>59</v>
      </c>
      <c r="E23" s="7">
        <v>67</v>
      </c>
      <c r="F23" s="7">
        <v>66</v>
      </c>
      <c r="G23" s="7">
        <v>50.7</v>
      </c>
      <c r="H23" s="7">
        <v>63</v>
      </c>
      <c r="I23" s="7">
        <v>51</v>
      </c>
      <c r="J23" s="7">
        <v>85</v>
      </c>
      <c r="K23" s="7">
        <v>95</v>
      </c>
      <c r="L23" s="7">
        <v>57</v>
      </c>
      <c r="M23" s="7">
        <v>72</v>
      </c>
      <c r="N2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1174.4000000000001</v>
      </c>
      <c r="O23" s="15">
        <f>上半年总表[[#This Row],[总分]]/18</f>
        <v>65.244444444444454</v>
      </c>
    </row>
    <row r="24" spans="1:15" x14ac:dyDescent="0.25">
      <c r="A24" s="5">
        <v>23</v>
      </c>
      <c r="B24" s="6" t="s">
        <v>22</v>
      </c>
      <c r="C24" s="7">
        <v>82</v>
      </c>
      <c r="D24" s="7">
        <v>58</v>
      </c>
      <c r="E24" s="7">
        <v>71</v>
      </c>
      <c r="F24" s="7">
        <v>62</v>
      </c>
      <c r="G24" s="7">
        <v>59.9</v>
      </c>
      <c r="H24" s="7">
        <v>64</v>
      </c>
      <c r="I24" s="7">
        <v>59</v>
      </c>
      <c r="J24" s="7">
        <v>70</v>
      </c>
      <c r="K24" s="7">
        <v>93</v>
      </c>
      <c r="L24" s="7">
        <v>68</v>
      </c>
      <c r="M24" s="7">
        <v>71</v>
      </c>
      <c r="N2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1213.8</v>
      </c>
      <c r="O24" s="15">
        <f>上半年总表[[#This Row],[总分]]/18</f>
        <v>67.433333333333337</v>
      </c>
    </row>
    <row r="25" spans="1:15" x14ac:dyDescent="0.25">
      <c r="A25" s="5">
        <v>24</v>
      </c>
      <c r="B25" s="6" t="s">
        <v>23</v>
      </c>
      <c r="C25" s="7">
        <v>63</v>
      </c>
      <c r="D25" s="7">
        <v>56</v>
      </c>
      <c r="E25" s="7">
        <v>72</v>
      </c>
      <c r="F25" s="7">
        <v>67</v>
      </c>
      <c r="G25" s="7">
        <v>50.7</v>
      </c>
      <c r="H25" s="7">
        <v>69</v>
      </c>
      <c r="I25" s="7">
        <v>50</v>
      </c>
      <c r="J25" s="7">
        <v>55</v>
      </c>
      <c r="K25" s="7">
        <v>96</v>
      </c>
      <c r="L25" s="7">
        <v>78</v>
      </c>
      <c r="M25" s="7">
        <v>76</v>
      </c>
      <c r="N2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1160.4000000000001</v>
      </c>
      <c r="O25" s="15">
        <f>上半年总表[[#This Row],[总分]]/18</f>
        <v>64.466666666666669</v>
      </c>
    </row>
    <row r="26" spans="1:15" x14ac:dyDescent="0.25">
      <c r="A26" s="5">
        <v>25</v>
      </c>
      <c r="B26" s="6" t="s">
        <v>24</v>
      </c>
      <c r="C26" s="7">
        <v>79</v>
      </c>
      <c r="D26" s="7">
        <v>67</v>
      </c>
      <c r="E26" s="7">
        <v>68</v>
      </c>
      <c r="F26" s="7">
        <v>70</v>
      </c>
      <c r="G26" s="7">
        <v>54.1</v>
      </c>
      <c r="H26" s="7">
        <v>54</v>
      </c>
      <c r="I26" s="7">
        <v>66</v>
      </c>
      <c r="J26" s="7">
        <v>88</v>
      </c>
      <c r="K26" s="7">
        <v>97</v>
      </c>
      <c r="L26" s="7">
        <v>70</v>
      </c>
      <c r="M26" s="7">
        <v>88</v>
      </c>
      <c r="N2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1259.2</v>
      </c>
      <c r="O26" s="15">
        <f>上半年总表[[#This Row],[总分]]/18</f>
        <v>69.955555555555563</v>
      </c>
    </row>
    <row r="27" spans="1:15" x14ac:dyDescent="0.25">
      <c r="A27" s="5">
        <v>26</v>
      </c>
      <c r="B27" s="6" t="s">
        <v>25</v>
      </c>
      <c r="C27" s="7">
        <v>72</v>
      </c>
      <c r="D27" s="7">
        <v>59</v>
      </c>
      <c r="E27" s="7">
        <v>88</v>
      </c>
      <c r="F27" s="7">
        <v>61</v>
      </c>
      <c r="G27" s="7">
        <v>55.2</v>
      </c>
      <c r="H27" s="7">
        <v>75</v>
      </c>
      <c r="I27" s="7">
        <v>61</v>
      </c>
      <c r="J27" s="7">
        <v>64</v>
      </c>
      <c r="K27" s="7">
        <v>98</v>
      </c>
      <c r="L27" s="7">
        <v>76</v>
      </c>
      <c r="M27" s="7">
        <v>78</v>
      </c>
      <c r="N2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1258.4000000000001</v>
      </c>
      <c r="O27" s="15">
        <f>上半年总表[[#This Row],[总分]]/18</f>
        <v>69.911111111111111</v>
      </c>
    </row>
    <row r="28" spans="1:15" x14ac:dyDescent="0.25">
      <c r="A28" s="5">
        <v>27</v>
      </c>
      <c r="B28" s="6" t="s">
        <v>26</v>
      </c>
      <c r="C28" s="7">
        <v>76</v>
      </c>
      <c r="D28" s="7">
        <v>66</v>
      </c>
      <c r="E28" s="7">
        <v>81</v>
      </c>
      <c r="F28" s="7">
        <v>82</v>
      </c>
      <c r="G28" s="7">
        <v>76.400000000000006</v>
      </c>
      <c r="H28" s="7">
        <v>85</v>
      </c>
      <c r="I28" s="7">
        <v>78</v>
      </c>
      <c r="J28" s="7">
        <v>86</v>
      </c>
      <c r="K28" s="7">
        <v>99</v>
      </c>
      <c r="L28" s="7">
        <v>77</v>
      </c>
      <c r="M28" s="7">
        <v>81</v>
      </c>
      <c r="N2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1431.8</v>
      </c>
      <c r="O28" s="15">
        <f>上半年总表[[#This Row],[总分]]/18</f>
        <v>79.544444444444437</v>
      </c>
    </row>
    <row r="29" spans="1:15" x14ac:dyDescent="0.25">
      <c r="A29" s="5">
        <v>28</v>
      </c>
      <c r="B29" s="6" t="s">
        <v>27</v>
      </c>
      <c r="C29" s="7">
        <v>80</v>
      </c>
      <c r="D29" s="7">
        <v>71</v>
      </c>
      <c r="E29" s="7">
        <v>62</v>
      </c>
      <c r="F29" s="7">
        <v>64</v>
      </c>
      <c r="G29" s="7">
        <v>62.6</v>
      </c>
      <c r="H29" s="7">
        <v>61</v>
      </c>
      <c r="I29" s="7">
        <v>59</v>
      </c>
      <c r="J29" s="7">
        <v>71</v>
      </c>
      <c r="K29" s="7">
        <v>98</v>
      </c>
      <c r="L29" s="7">
        <v>78</v>
      </c>
      <c r="M29" s="7">
        <v>75</v>
      </c>
      <c r="N29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1241.2</v>
      </c>
      <c r="O29" s="15">
        <f>上半年总表[[#This Row],[总分]]/18</f>
        <v>68.955555555555563</v>
      </c>
    </row>
    <row r="30" spans="1:15" x14ac:dyDescent="0.25">
      <c r="A30" s="5">
        <v>29</v>
      </c>
      <c r="B30" s="6" t="s">
        <v>28</v>
      </c>
      <c r="C30" s="7">
        <v>73</v>
      </c>
      <c r="D30" s="7">
        <v>56</v>
      </c>
      <c r="E30" s="7">
        <v>77</v>
      </c>
      <c r="F30" s="7">
        <v>66</v>
      </c>
      <c r="G30" s="7">
        <v>57.9</v>
      </c>
      <c r="H30" s="7">
        <v>52</v>
      </c>
      <c r="I30" s="7">
        <v>49</v>
      </c>
      <c r="J30" s="7">
        <v>48</v>
      </c>
      <c r="K30" s="7">
        <v>82</v>
      </c>
      <c r="L30" s="7">
        <v>73</v>
      </c>
      <c r="M30" s="7">
        <v>77</v>
      </c>
      <c r="N30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1141.8</v>
      </c>
      <c r="O30" s="15">
        <f>上半年总表[[#This Row],[总分]]/18</f>
        <v>63.43333333333333</v>
      </c>
    </row>
    <row r="31" spans="1:15" x14ac:dyDescent="0.25">
      <c r="A31" s="5">
        <v>30</v>
      </c>
      <c r="B31" s="6" t="s">
        <v>29</v>
      </c>
      <c r="C31" s="7">
        <v>78</v>
      </c>
      <c r="D31" s="7">
        <v>69</v>
      </c>
      <c r="E31" s="7">
        <v>76</v>
      </c>
      <c r="F31" s="7">
        <v>68</v>
      </c>
      <c r="G31" s="7">
        <v>66.900000000000006</v>
      </c>
      <c r="H31" s="7">
        <v>69</v>
      </c>
      <c r="I31" s="7">
        <v>71</v>
      </c>
      <c r="J31" s="7">
        <v>88</v>
      </c>
      <c r="K31" s="7">
        <v>91</v>
      </c>
      <c r="L31" s="7">
        <v>74</v>
      </c>
      <c r="M31" s="7">
        <v>92</v>
      </c>
      <c r="N31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1340.8</v>
      </c>
      <c r="O31" s="15">
        <f>上半年总表[[#This Row],[总分]]/18</f>
        <v>74.48888888888888</v>
      </c>
    </row>
    <row r="32" spans="1:15" x14ac:dyDescent="0.25">
      <c r="A32" s="5">
        <v>31</v>
      </c>
      <c r="B32" s="6" t="s">
        <v>30</v>
      </c>
      <c r="C32" s="7">
        <v>80</v>
      </c>
      <c r="D32" s="7">
        <v>61</v>
      </c>
      <c r="E32" s="7">
        <v>68</v>
      </c>
      <c r="F32" s="7">
        <v>55</v>
      </c>
      <c r="G32" s="7">
        <v>52</v>
      </c>
      <c r="H32" s="7">
        <v>83</v>
      </c>
      <c r="I32" s="7">
        <v>58</v>
      </c>
      <c r="J32" s="7">
        <v>83</v>
      </c>
      <c r="K32" s="7">
        <v>92</v>
      </c>
      <c r="L32" s="7">
        <v>67</v>
      </c>
      <c r="M32" s="7">
        <v>68</v>
      </c>
      <c r="N32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1224</v>
      </c>
      <c r="O32" s="15">
        <f>上半年总表[[#This Row],[总分]]/18</f>
        <v>68</v>
      </c>
    </row>
    <row r="33" spans="1:18" x14ac:dyDescent="0.25">
      <c r="A33" s="5">
        <v>32</v>
      </c>
      <c r="B33" s="6" t="s">
        <v>31</v>
      </c>
      <c r="C33" s="7">
        <v>77</v>
      </c>
      <c r="D33" s="7">
        <v>66</v>
      </c>
      <c r="E33" s="7">
        <v>76</v>
      </c>
      <c r="F33" s="7">
        <v>66</v>
      </c>
      <c r="G33" s="7">
        <v>61.9</v>
      </c>
      <c r="H33" s="7">
        <v>73</v>
      </c>
      <c r="I33" s="7">
        <v>54</v>
      </c>
      <c r="J33" s="7">
        <v>61</v>
      </c>
      <c r="K33" s="7">
        <v>94</v>
      </c>
      <c r="L33" s="7">
        <v>62</v>
      </c>
      <c r="M33" s="7">
        <v>86</v>
      </c>
      <c r="N33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1250.8</v>
      </c>
      <c r="O33" s="15">
        <f>上半年总表[[#This Row],[总分]]/18</f>
        <v>69.48888888888888</v>
      </c>
    </row>
    <row r="34" spans="1:18" x14ac:dyDescent="0.25">
      <c r="A34" s="5">
        <v>33</v>
      </c>
      <c r="B34" s="6" t="s">
        <v>32</v>
      </c>
      <c r="C34" s="7">
        <v>78</v>
      </c>
      <c r="D34" s="7">
        <v>54</v>
      </c>
      <c r="E34" s="7">
        <v>61</v>
      </c>
      <c r="F34" s="7">
        <v>63</v>
      </c>
      <c r="G34" s="7">
        <v>51.7</v>
      </c>
      <c r="H34" s="7">
        <v>55</v>
      </c>
      <c r="I34" s="7">
        <v>48</v>
      </c>
      <c r="J34" s="7">
        <v>83</v>
      </c>
      <c r="K34" s="7">
        <v>89</v>
      </c>
      <c r="L34" s="7">
        <v>62</v>
      </c>
      <c r="M34" s="7">
        <v>61</v>
      </c>
      <c r="N34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1116.4000000000001</v>
      </c>
      <c r="O34" s="15">
        <f>上半年总表[[#This Row],[总分]]/18</f>
        <v>62.022222222222226</v>
      </c>
    </row>
    <row r="35" spans="1:18" x14ac:dyDescent="0.25">
      <c r="A35" s="5">
        <v>34</v>
      </c>
      <c r="B35" s="6" t="s">
        <v>33</v>
      </c>
      <c r="C35" s="7">
        <v>84</v>
      </c>
      <c r="D35" s="7">
        <v>74</v>
      </c>
      <c r="E35" s="7">
        <v>80</v>
      </c>
      <c r="F35" s="7">
        <v>60</v>
      </c>
      <c r="G35" s="7">
        <v>68.7</v>
      </c>
      <c r="H35" s="7">
        <v>84</v>
      </c>
      <c r="I35" s="7">
        <v>56</v>
      </c>
      <c r="J35" s="7">
        <v>88</v>
      </c>
      <c r="K35" s="7">
        <v>94</v>
      </c>
      <c r="L35" s="7">
        <v>73</v>
      </c>
      <c r="M35" s="7">
        <v>80</v>
      </c>
      <c r="N35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1348.4</v>
      </c>
      <c r="O35" s="15">
        <f>上半年总表[[#This Row],[总分]]/18</f>
        <v>74.911111111111111</v>
      </c>
    </row>
    <row r="36" spans="1:18" x14ac:dyDescent="0.25">
      <c r="A36" s="5">
        <v>35</v>
      </c>
      <c r="B36" s="6" t="s">
        <v>34</v>
      </c>
      <c r="C36" s="7">
        <v>74</v>
      </c>
      <c r="D36" s="7">
        <v>55</v>
      </c>
      <c r="E36" s="7">
        <v>68</v>
      </c>
      <c r="F36" s="7">
        <v>70</v>
      </c>
      <c r="G36" s="7">
        <v>50.5</v>
      </c>
      <c r="H36" s="7">
        <v>82</v>
      </c>
      <c r="I36" s="7">
        <v>71</v>
      </c>
      <c r="J36" s="7">
        <v>87</v>
      </c>
      <c r="K36" s="7">
        <v>92</v>
      </c>
      <c r="L36" s="7">
        <v>62</v>
      </c>
      <c r="M36" s="7">
        <v>68</v>
      </c>
      <c r="N36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1250</v>
      </c>
      <c r="O36" s="15">
        <f>上半年总表[[#This Row],[总分]]/18</f>
        <v>69.444444444444443</v>
      </c>
      <c r="Q36" s="17"/>
      <c r="R36" s="32"/>
    </row>
    <row r="37" spans="1:18" x14ac:dyDescent="0.25">
      <c r="A37" s="5">
        <v>36</v>
      </c>
      <c r="B37" s="6" t="s">
        <v>35</v>
      </c>
      <c r="C37" s="7">
        <v>72</v>
      </c>
      <c r="D37" s="7">
        <v>50</v>
      </c>
      <c r="E37" s="7">
        <v>63</v>
      </c>
      <c r="F37" s="7">
        <v>53</v>
      </c>
      <c r="G37" s="7">
        <v>49.5</v>
      </c>
      <c r="H37" s="7">
        <v>64</v>
      </c>
      <c r="I37" s="7">
        <v>58</v>
      </c>
      <c r="J37" s="7">
        <v>65</v>
      </c>
      <c r="K37" s="7">
        <v>80</v>
      </c>
      <c r="L37" s="7">
        <v>58</v>
      </c>
      <c r="M37" s="7">
        <v>62</v>
      </c>
      <c r="N37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1084</v>
      </c>
      <c r="O37" s="15">
        <f>上半年总表[[#This Row],[总分]]/18</f>
        <v>60.222222222222221</v>
      </c>
      <c r="Q37" s="17"/>
      <c r="R37" s="32"/>
    </row>
    <row r="38" spans="1:18" x14ac:dyDescent="0.25">
      <c r="A38" s="5">
        <v>37</v>
      </c>
      <c r="B38" s="6" t="s">
        <v>36</v>
      </c>
      <c r="C38" s="7">
        <v>76</v>
      </c>
      <c r="D38" s="7">
        <v>63</v>
      </c>
      <c r="E38" s="7">
        <v>66</v>
      </c>
      <c r="F38" s="7">
        <v>61</v>
      </c>
      <c r="G38" s="7">
        <v>53.8</v>
      </c>
      <c r="H38" s="7">
        <v>48</v>
      </c>
      <c r="I38" s="7">
        <v>54</v>
      </c>
      <c r="J38" s="7">
        <v>89</v>
      </c>
      <c r="K38" s="7">
        <v>80</v>
      </c>
      <c r="L38" s="7">
        <v>65</v>
      </c>
      <c r="M38" s="7">
        <v>78</v>
      </c>
      <c r="N38" s="8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1155.5999999999999</v>
      </c>
      <c r="O38" s="15">
        <f>上半年总表[[#This Row],[总分]]/18</f>
        <v>64.199999999999989</v>
      </c>
      <c r="Q38" s="17"/>
      <c r="R38" s="32"/>
    </row>
    <row r="39" spans="1:18" x14ac:dyDescent="0.25">
      <c r="A39" s="9">
        <v>38</v>
      </c>
      <c r="B39" s="10" t="s">
        <v>37</v>
      </c>
      <c r="C39" s="11">
        <v>76</v>
      </c>
      <c r="D39" s="11">
        <v>64</v>
      </c>
      <c r="E39" s="11">
        <v>70</v>
      </c>
      <c r="F39" s="11">
        <v>58</v>
      </c>
      <c r="G39" s="11">
        <v>58.2</v>
      </c>
      <c r="H39" s="11">
        <v>82</v>
      </c>
      <c r="I39" s="11">
        <v>62</v>
      </c>
      <c r="J39" s="11">
        <v>91</v>
      </c>
      <c r="K39" s="11">
        <v>67</v>
      </c>
      <c r="L39" s="11">
        <v>68</v>
      </c>
      <c r="M39" s="11">
        <v>70</v>
      </c>
      <c r="N39" s="12">
        <f>(上半年总表[[#This Row],[华文]]+上半年总表[[#This Row],[国文]]+上半年总表[[#This Row],[英文]]+上半年总表[[#This Row],[高数]]+上半年总表[[#This Row],[生物]]+上半年总表[[#This Row],[物理]]+上半年总表[[#This Row],[化学]])*2+上半年总表[[#This Row],[电资]]+上半年总表[[#This Row],[体育]]+上半年总表[[#This Row],[电脑]]+上半年总表[[#This Row],[联科]]</f>
        <v>1236.4000000000001</v>
      </c>
      <c r="O39" s="16">
        <f>上半年总表[[#This Row],[总分]]/18</f>
        <v>68.688888888888897</v>
      </c>
      <c r="Q39" s="17"/>
      <c r="R39" s="32"/>
    </row>
    <row r="40" spans="1:18" x14ac:dyDescent="0.25">
      <c r="Q40" s="17"/>
      <c r="R40" s="32"/>
    </row>
    <row r="41" spans="1:18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  <c r="Q41" s="17"/>
      <c r="R41" s="32"/>
    </row>
    <row r="42" spans="1:18" x14ac:dyDescent="0.25">
      <c r="B42" s="13" t="s">
        <v>50</v>
      </c>
      <c r="C42" s="17">
        <f>AVERAGE(上半年总表[华文])</f>
        <v>76.736842105263165</v>
      </c>
      <c r="D42" s="17">
        <f>AVERAGE(上半年总表[国文])</f>
        <v>62.368421052631582</v>
      </c>
      <c r="E42" s="17">
        <f>AVERAGE(上半年总表[英文])</f>
        <v>72.473684210526315</v>
      </c>
      <c r="F42" s="17">
        <f>AVERAGE(上半年总表[高数])</f>
        <v>67.815789473684205</v>
      </c>
      <c r="G42" s="17">
        <f>AVERAGE(上半年总表[生物])</f>
        <v>59.55526315789475</v>
      </c>
      <c r="H42" s="17">
        <f>AVERAGE(上半年总表[物理])</f>
        <v>72.55263157894737</v>
      </c>
      <c r="I42" s="17">
        <f>AVERAGE(上半年总表[化学])</f>
        <v>63.078947368421055</v>
      </c>
      <c r="J42" s="17">
        <f>AVERAGE(上半年总表[体育])</f>
        <v>77.473684210526315</v>
      </c>
      <c r="K42" s="17">
        <f>AVERAGE(上半年总表[电脑])</f>
        <v>89.973684210526315</v>
      </c>
      <c r="L42" s="17">
        <f>AVERAGE(上半年总表[电资])</f>
        <v>70.473684210526315</v>
      </c>
      <c r="M42" s="17">
        <f>AVERAGE(上半年总表[联科])</f>
        <v>79.34210526315789</v>
      </c>
      <c r="N42" s="17">
        <f>AVERAGE(上半年总表[总分])</f>
        <v>1266.4263157894741</v>
      </c>
      <c r="O42" s="17">
        <f>AVERAGE(上半年总表[总平均])</f>
        <v>70.357017543859641</v>
      </c>
      <c r="Q42" s="17"/>
      <c r="R42" s="32"/>
    </row>
    <row r="43" spans="1:18" x14ac:dyDescent="0.25">
      <c r="B43" s="13" t="s">
        <v>52</v>
      </c>
      <c r="C43" s="13">
        <f>MAX(上半年总表[华文])</f>
        <v>84</v>
      </c>
      <c r="D43" s="13">
        <f>MAX(上半年总表[国文])</f>
        <v>82</v>
      </c>
      <c r="E43" s="13">
        <f>MAX(上半年总表[英文])</f>
        <v>108</v>
      </c>
      <c r="F43" s="13">
        <f>MAX(上半年总表[高数])</f>
        <v>92</v>
      </c>
      <c r="G43" s="13">
        <f>MAX(上半年总表[生物])</f>
        <v>82.6</v>
      </c>
      <c r="H43" s="13">
        <f>MAX(上半年总表[物理])</f>
        <v>97</v>
      </c>
      <c r="I43" s="13">
        <f>MAX(上半年总表[化学])</f>
        <v>81</v>
      </c>
      <c r="J43" s="13">
        <f>MAX(上半年总表[体育])</f>
        <v>92</v>
      </c>
      <c r="K43" s="13">
        <f>MAX(上半年总表[电脑])</f>
        <v>99</v>
      </c>
      <c r="L43" s="13">
        <f>MAX(上半年总表[电资])</f>
        <v>87</v>
      </c>
      <c r="M43" s="13">
        <f>MAX(上半年总表[联科])</f>
        <v>98</v>
      </c>
      <c r="N43" s="13">
        <f>MAX(上半年总表[总分])</f>
        <v>1448.2</v>
      </c>
      <c r="O43" s="17">
        <f>MAX(上半年总表[总平均])</f>
        <v>80.455555555555563</v>
      </c>
    </row>
    <row r="45" spans="1:18" x14ac:dyDescent="0.25">
      <c r="B45" t="s">
        <v>63</v>
      </c>
      <c r="C45">
        <f>COUNTIF(上半年总表[总平均],"&gt;=60")</f>
        <v>38</v>
      </c>
    </row>
    <row r="46" spans="1:18" x14ac:dyDescent="0.25">
      <c r="B46" t="s">
        <v>62</v>
      </c>
      <c r="C46" s="34">
        <f>C45/38</f>
        <v>1</v>
      </c>
    </row>
  </sheetData>
  <conditionalFormatting sqref="C2:M39 O2:O39 C40:O40">
    <cfRule type="cellIs" dxfId="32" priority="6" operator="between">
      <formula>59.9</formula>
      <formula>79.98</formula>
    </cfRule>
  </conditionalFormatting>
  <conditionalFormatting sqref="C2:M39 O2:O39">
    <cfRule type="cellIs" dxfId="31" priority="7" operator="greaterThan">
      <formula>79.99</formula>
    </cfRule>
    <cfRule type="cellIs" dxfId="30" priority="8" operator="lessThan">
      <formula>59.4</formula>
    </cfRule>
  </conditionalFormatting>
  <conditionalFormatting sqref="C2:M39">
    <cfRule type="cellIs" dxfId="29" priority="1" operator="greaterThan">
      <formula>100</formula>
    </cfRule>
  </conditionalFormatting>
  <conditionalFormatting sqref="N2:N39">
    <cfRule type="cellIs" dxfId="28" priority="2" operator="between">
      <formula>1080</formula>
      <formula>1439</formula>
    </cfRule>
    <cfRule type="cellIs" dxfId="27" priority="3" operator="lessThan">
      <formula>1079.99</formula>
    </cfRule>
    <cfRule type="cellIs" dxfId="26" priority="4" operator="greaterThan">
      <formula>1439.99</formula>
    </cfRule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3E7E-785F-4075-B3EB-7FC7D342FE82}">
  <dimension ref="B2:E40"/>
  <sheetViews>
    <sheetView workbookViewId="0">
      <selection activeCell="G12" sqref="G12"/>
    </sheetView>
  </sheetViews>
  <sheetFormatPr defaultRowHeight="15" x14ac:dyDescent="0.25"/>
  <cols>
    <col min="5" max="5" width="9.140625" style="40"/>
  </cols>
  <sheetData>
    <row r="2" spans="2:5" x14ac:dyDescent="0.25">
      <c r="B2" s="36" t="s">
        <v>44</v>
      </c>
      <c r="C2" s="36" t="s">
        <v>38</v>
      </c>
      <c r="D2" s="8" t="s">
        <v>64</v>
      </c>
      <c r="E2" s="8" t="s">
        <v>65</v>
      </c>
    </row>
    <row r="3" spans="2:5" x14ac:dyDescent="0.25">
      <c r="B3" s="37">
        <v>13</v>
      </c>
      <c r="C3" s="38" t="s">
        <v>12</v>
      </c>
      <c r="D3" s="39">
        <v>80.455555555555563</v>
      </c>
      <c r="E3" s="8">
        <v>1</v>
      </c>
    </row>
    <row r="4" spans="2:5" x14ac:dyDescent="0.25">
      <c r="B4" s="37">
        <v>27</v>
      </c>
      <c r="C4" s="38" t="s">
        <v>26</v>
      </c>
      <c r="D4" s="39">
        <v>79.544444444444437</v>
      </c>
      <c r="E4" s="8">
        <v>2</v>
      </c>
    </row>
    <row r="5" spans="2:5" x14ac:dyDescent="0.25">
      <c r="B5" s="37">
        <v>6</v>
      </c>
      <c r="C5" s="38" t="s">
        <v>5</v>
      </c>
      <c r="D5" s="39">
        <v>77.62222222222222</v>
      </c>
      <c r="E5" s="8">
        <v>3</v>
      </c>
    </row>
    <row r="6" spans="2:5" x14ac:dyDescent="0.25">
      <c r="B6" s="37">
        <v>1</v>
      </c>
      <c r="C6" s="38" t="s">
        <v>0</v>
      </c>
      <c r="D6" s="39">
        <v>77.477777777777774</v>
      </c>
      <c r="E6" s="8">
        <v>4</v>
      </c>
    </row>
    <row r="7" spans="2:5" x14ac:dyDescent="0.25">
      <c r="B7" s="37">
        <v>8</v>
      </c>
      <c r="C7" s="38" t="s">
        <v>7</v>
      </c>
      <c r="D7" s="39">
        <v>75.588888888888889</v>
      </c>
      <c r="E7" s="8">
        <v>5</v>
      </c>
    </row>
    <row r="8" spans="2:5" x14ac:dyDescent="0.25">
      <c r="B8" s="37">
        <v>34</v>
      </c>
      <c r="C8" s="38" t="s">
        <v>33</v>
      </c>
      <c r="D8" s="39">
        <v>74.911111111111111</v>
      </c>
      <c r="E8" s="8">
        <v>6</v>
      </c>
    </row>
    <row r="9" spans="2:5" x14ac:dyDescent="0.25">
      <c r="B9" s="37">
        <v>30</v>
      </c>
      <c r="C9" s="38" t="s">
        <v>29</v>
      </c>
      <c r="D9" s="39">
        <v>74.48888888888888</v>
      </c>
      <c r="E9" s="8">
        <v>7</v>
      </c>
    </row>
    <row r="10" spans="2:5" x14ac:dyDescent="0.25">
      <c r="B10" s="37">
        <v>14</v>
      </c>
      <c r="C10" s="38" t="s">
        <v>13</v>
      </c>
      <c r="D10" s="39">
        <v>74.388888888888886</v>
      </c>
      <c r="E10" s="8">
        <v>8</v>
      </c>
    </row>
    <row r="11" spans="2:5" x14ac:dyDescent="0.25">
      <c r="B11" s="37">
        <v>12</v>
      </c>
      <c r="C11" s="38" t="s">
        <v>11</v>
      </c>
      <c r="D11" s="39">
        <v>74.01111111111112</v>
      </c>
      <c r="E11" s="8">
        <v>9</v>
      </c>
    </row>
    <row r="12" spans="2:5" x14ac:dyDescent="0.25">
      <c r="B12" s="37">
        <v>15</v>
      </c>
      <c r="C12" s="38" t="s">
        <v>14</v>
      </c>
      <c r="D12" s="39">
        <v>73.833333333333329</v>
      </c>
      <c r="E12" s="8">
        <v>10</v>
      </c>
    </row>
    <row r="13" spans="2:5" x14ac:dyDescent="0.25">
      <c r="B13" s="37">
        <v>2</v>
      </c>
      <c r="C13" s="38" t="s">
        <v>1</v>
      </c>
      <c r="D13" s="39">
        <v>73.822222222222223</v>
      </c>
      <c r="E13" s="8">
        <v>11</v>
      </c>
    </row>
    <row r="14" spans="2:5" x14ac:dyDescent="0.25">
      <c r="B14" s="37">
        <v>4</v>
      </c>
      <c r="C14" s="38" t="s">
        <v>3</v>
      </c>
      <c r="D14" s="39">
        <v>73.48888888888888</v>
      </c>
      <c r="E14" s="8">
        <v>12</v>
      </c>
    </row>
    <row r="15" spans="2:5" x14ac:dyDescent="0.25">
      <c r="B15" s="37">
        <v>11</v>
      </c>
      <c r="C15" s="38" t="s">
        <v>10</v>
      </c>
      <c r="D15" s="39">
        <v>72.788888888888891</v>
      </c>
      <c r="E15" s="8">
        <v>13</v>
      </c>
    </row>
    <row r="16" spans="2:5" x14ac:dyDescent="0.25">
      <c r="B16" s="37">
        <v>9</v>
      </c>
      <c r="C16" s="38" t="s">
        <v>8</v>
      </c>
      <c r="D16" s="39">
        <v>71.355555555555554</v>
      </c>
      <c r="E16" s="8">
        <v>14</v>
      </c>
    </row>
    <row r="17" spans="2:5" x14ac:dyDescent="0.25">
      <c r="B17" s="37">
        <v>16</v>
      </c>
      <c r="C17" s="38" t="s">
        <v>15</v>
      </c>
      <c r="D17" s="39">
        <v>70.733333333333334</v>
      </c>
      <c r="E17" s="8">
        <v>15</v>
      </c>
    </row>
    <row r="18" spans="2:5" x14ac:dyDescent="0.25">
      <c r="B18" s="37">
        <v>18</v>
      </c>
      <c r="C18" s="38" t="s">
        <v>17</v>
      </c>
      <c r="D18" s="39">
        <v>70.62222222222222</v>
      </c>
      <c r="E18" s="8">
        <v>16</v>
      </c>
    </row>
    <row r="19" spans="2:5" x14ac:dyDescent="0.25">
      <c r="B19" s="37">
        <v>7</v>
      </c>
      <c r="C19" s="38" t="s">
        <v>6</v>
      </c>
      <c r="D19" s="39">
        <v>69.966666666666669</v>
      </c>
      <c r="E19" s="8">
        <v>17</v>
      </c>
    </row>
    <row r="20" spans="2:5" x14ac:dyDescent="0.25">
      <c r="B20" s="37">
        <v>25</v>
      </c>
      <c r="C20" s="38" t="s">
        <v>24</v>
      </c>
      <c r="D20" s="39">
        <v>69.955555555555563</v>
      </c>
      <c r="E20" s="8">
        <v>18</v>
      </c>
    </row>
    <row r="21" spans="2:5" x14ac:dyDescent="0.25">
      <c r="B21" s="37">
        <v>21</v>
      </c>
      <c r="C21" s="38" t="s">
        <v>20</v>
      </c>
      <c r="D21" s="39">
        <v>69.933333333333337</v>
      </c>
      <c r="E21" s="8">
        <v>19</v>
      </c>
    </row>
    <row r="22" spans="2:5" x14ac:dyDescent="0.25">
      <c r="B22" s="37">
        <v>26</v>
      </c>
      <c r="C22" s="38" t="s">
        <v>25</v>
      </c>
      <c r="D22" s="39">
        <v>69.911111111111111</v>
      </c>
      <c r="E22" s="8">
        <v>20</v>
      </c>
    </row>
    <row r="23" spans="2:5" x14ac:dyDescent="0.25">
      <c r="B23" s="37">
        <v>3</v>
      </c>
      <c r="C23" s="38" t="s">
        <v>2</v>
      </c>
      <c r="D23" s="39">
        <v>69.744444444444454</v>
      </c>
      <c r="E23" s="8">
        <v>21</v>
      </c>
    </row>
    <row r="24" spans="2:5" x14ac:dyDescent="0.25">
      <c r="B24" s="37">
        <v>32</v>
      </c>
      <c r="C24" s="38" t="s">
        <v>31</v>
      </c>
      <c r="D24" s="39">
        <v>69.48888888888888</v>
      </c>
      <c r="E24" s="8">
        <v>22</v>
      </c>
    </row>
    <row r="25" spans="2:5" x14ac:dyDescent="0.25">
      <c r="B25" s="37">
        <v>35</v>
      </c>
      <c r="C25" s="38" t="s">
        <v>34</v>
      </c>
      <c r="D25" s="39">
        <v>69.444444444444443</v>
      </c>
      <c r="E25" s="8">
        <v>23</v>
      </c>
    </row>
    <row r="26" spans="2:5" x14ac:dyDescent="0.25">
      <c r="B26" s="37">
        <v>28</v>
      </c>
      <c r="C26" s="38" t="s">
        <v>27</v>
      </c>
      <c r="D26" s="39">
        <v>68.955555555555563</v>
      </c>
      <c r="E26" s="8">
        <v>24</v>
      </c>
    </row>
    <row r="27" spans="2:5" x14ac:dyDescent="0.25">
      <c r="B27" s="37">
        <v>19</v>
      </c>
      <c r="C27" s="38" t="s">
        <v>18</v>
      </c>
      <c r="D27" s="39">
        <v>68.744444444444454</v>
      </c>
      <c r="E27" s="8">
        <v>25</v>
      </c>
    </row>
    <row r="28" spans="2:5" x14ac:dyDescent="0.25">
      <c r="B28" s="37">
        <v>38</v>
      </c>
      <c r="C28" s="38" t="s">
        <v>37</v>
      </c>
      <c r="D28" s="39">
        <v>68.688888888888897</v>
      </c>
      <c r="E28" s="8">
        <v>26</v>
      </c>
    </row>
    <row r="29" spans="2:5" x14ac:dyDescent="0.25">
      <c r="B29" s="37">
        <v>5</v>
      </c>
      <c r="C29" s="38" t="s">
        <v>4</v>
      </c>
      <c r="D29" s="39">
        <v>68.5</v>
      </c>
      <c r="E29" s="8">
        <v>27</v>
      </c>
    </row>
    <row r="30" spans="2:5" x14ac:dyDescent="0.25">
      <c r="B30" s="37">
        <v>31</v>
      </c>
      <c r="C30" s="38" t="s">
        <v>30</v>
      </c>
      <c r="D30" s="39">
        <v>68</v>
      </c>
      <c r="E30" s="8">
        <v>28</v>
      </c>
    </row>
    <row r="31" spans="2:5" x14ac:dyDescent="0.25">
      <c r="B31" s="37">
        <v>20</v>
      </c>
      <c r="C31" s="38" t="s">
        <v>19</v>
      </c>
      <c r="D31" s="39">
        <v>67.566666666666663</v>
      </c>
      <c r="E31" s="8">
        <v>29</v>
      </c>
    </row>
    <row r="32" spans="2:5" x14ac:dyDescent="0.25">
      <c r="B32" s="37">
        <v>17</v>
      </c>
      <c r="C32" s="38" t="s">
        <v>16</v>
      </c>
      <c r="D32" s="39">
        <v>67.48888888888888</v>
      </c>
      <c r="E32" s="8">
        <v>30</v>
      </c>
    </row>
    <row r="33" spans="2:5" x14ac:dyDescent="0.25">
      <c r="B33" s="37">
        <v>23</v>
      </c>
      <c r="C33" s="38" t="s">
        <v>22</v>
      </c>
      <c r="D33" s="39">
        <v>67.433333333333337</v>
      </c>
      <c r="E33" s="8">
        <v>31</v>
      </c>
    </row>
    <row r="34" spans="2:5" x14ac:dyDescent="0.25">
      <c r="B34" s="37">
        <v>22</v>
      </c>
      <c r="C34" s="38" t="s">
        <v>21</v>
      </c>
      <c r="D34" s="39">
        <v>65.244444444444454</v>
      </c>
      <c r="E34" s="8">
        <v>32</v>
      </c>
    </row>
    <row r="35" spans="2:5" x14ac:dyDescent="0.25">
      <c r="B35" s="37">
        <v>10</v>
      </c>
      <c r="C35" s="38" t="s">
        <v>9</v>
      </c>
      <c r="D35" s="39">
        <v>65.022222222222226</v>
      </c>
      <c r="E35" s="8">
        <v>33</v>
      </c>
    </row>
    <row r="36" spans="2:5" x14ac:dyDescent="0.25">
      <c r="B36" s="37">
        <v>24</v>
      </c>
      <c r="C36" s="38" t="s">
        <v>23</v>
      </c>
      <c r="D36" s="39">
        <v>64.466666666666669</v>
      </c>
      <c r="E36" s="8">
        <v>34</v>
      </c>
    </row>
    <row r="37" spans="2:5" x14ac:dyDescent="0.25">
      <c r="B37" s="37">
        <v>37</v>
      </c>
      <c r="C37" s="38" t="s">
        <v>36</v>
      </c>
      <c r="D37" s="39">
        <v>64.199999999999989</v>
      </c>
      <c r="E37" s="8">
        <v>35</v>
      </c>
    </row>
    <row r="38" spans="2:5" x14ac:dyDescent="0.25">
      <c r="B38" s="37">
        <v>29</v>
      </c>
      <c r="C38" s="38" t="s">
        <v>28</v>
      </c>
      <c r="D38" s="39">
        <v>63.43333333333333</v>
      </c>
      <c r="E38" s="8">
        <v>36</v>
      </c>
    </row>
    <row r="39" spans="2:5" x14ac:dyDescent="0.25">
      <c r="B39" s="37">
        <v>33</v>
      </c>
      <c r="C39" s="38" t="s">
        <v>32</v>
      </c>
      <c r="D39" s="39">
        <v>62.022222222222226</v>
      </c>
      <c r="E39" s="8">
        <v>37</v>
      </c>
    </row>
    <row r="40" spans="2:5" x14ac:dyDescent="0.25">
      <c r="B40" s="37">
        <v>36</v>
      </c>
      <c r="C40" s="38" t="s">
        <v>35</v>
      </c>
      <c r="D40" s="39">
        <v>60.222222222222221</v>
      </c>
      <c r="E40" s="8">
        <v>38</v>
      </c>
    </row>
  </sheetData>
  <sortState xmlns:xlrd2="http://schemas.microsoft.com/office/spreadsheetml/2017/richdata2" ref="B3:D40">
    <sortCondition descending="1" ref="D3:D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3"/>
  <sheetViews>
    <sheetView zoomScaleNormal="100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" s="15">
        <f>下半年期中考分数[[#This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" s="15">
        <f>下半年期中考分数[[#This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4" s="15">
        <f>下半年期中考分数[[#This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5" s="15">
        <f>下半年期中考分数[[#This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6" s="15">
        <f>下半年期中考分数[[#This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7" s="15">
        <f>下半年期中考分数[[#This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8" s="15">
        <f>下半年期中考分数[[#This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9" s="15">
        <f>下半年期中考分数[[#This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0" s="15">
        <f>下半年期中考分数[[#This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1" s="15">
        <f>下半年期中考分数[[#This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2" s="15">
        <f>下半年期中考分数[[#This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3" s="15">
        <f>下半年期中考分数[[#This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4" s="15">
        <f>下半年期中考分数[[#This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5" s="15">
        <f>下半年期中考分数[[#This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6" s="15">
        <f>下半年期中考分数[[#This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7" s="15">
        <f>下半年期中考分数[[#This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8" s="15">
        <f>下半年期中考分数[[#This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19" s="15">
        <f>下半年期中考分数[[#This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0" s="15">
        <f>下半年期中考分数[[#This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1" s="15">
        <f>下半年期中考分数[[#This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2" s="15">
        <f>下半年期中考分数[[#This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3" s="15">
        <f>下半年期中考分数[[#This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4" s="15">
        <f>下半年期中考分数[[#This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5" s="15">
        <f>下半年期中考分数[[#This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6" s="15">
        <f>下半年期中考分数[[#This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7" s="15">
        <f>下半年期中考分数[[#This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8" s="15">
        <f>下半年期中考分数[[#This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29" s="15">
        <f>下半年期中考分数[[#This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0" s="15">
        <f>下半年期中考分数[[#This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1" s="15">
        <f>下半年期中考分数[[#This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2" s="15">
        <f>下半年期中考分数[[#This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3" s="15">
        <f>下半年期中考分数[[#This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4" s="15">
        <f>下半年期中考分数[[#This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5" s="15">
        <f>下半年期中考分数[[#This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6" s="15">
        <f>下半年期中考分数[[#This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7" s="15">
        <f>下半年期中考分数[[#This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8" s="15">
        <f>下半年期中考分数[[#This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(下半年期中考分数[[#This Row],[华文]]+下半年期中考分数[[#This Row],[国文]]+下半年期中考分数[[#This Row],[英文]]+下半年期中考分数[[#This Row],[高数]]+下半年期中考分数[[#This Row],[生物]]+下半年期中考分数[[#This Row],[物理]]+下半年期中考分数[[#This Row],[化学]])*2+下半年期中考分数[[#This Row],[电资]]</f>
        <v>0</v>
      </c>
      <c r="L39" s="16">
        <f>下半年期中考分数[[#This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AVERAGE(下半年期中考分数[华文])</f>
        <v>#DIV/0!</v>
      </c>
      <c r="D42" s="17" t="e">
        <f>AVERAGE(下半年期中考分数[国文])</f>
        <v>#DIV/0!</v>
      </c>
      <c r="E42" s="17" t="e">
        <f>AVERAGE(下半年期中考分数[英文])</f>
        <v>#DIV/0!</v>
      </c>
      <c r="F42" s="17" t="e">
        <f>AVERAGE(下半年期中考分数[高数])</f>
        <v>#DIV/0!</v>
      </c>
      <c r="G42" s="17" t="e">
        <f>AVERAGE(下半年期中考分数[生物])</f>
        <v>#DIV/0!</v>
      </c>
      <c r="H42" s="17" t="e">
        <f>AVERAGE(下半年期中考分数[物理])</f>
        <v>#DIV/0!</v>
      </c>
      <c r="I42" s="17" t="e">
        <f>AVERAGE(下半年期中考分数[化学])</f>
        <v>#DIV/0!</v>
      </c>
      <c r="J42" s="17" t="e">
        <f>AVERAGE(下半年期中考分数[电资])</f>
        <v>#DIV/0!</v>
      </c>
      <c r="K42" s="17">
        <f>AVERAGE(下半年期中考分数[总分])</f>
        <v>0</v>
      </c>
      <c r="L42" s="17">
        <f>AVERAGE(下半年期中考分数[总平均])</f>
        <v>0</v>
      </c>
    </row>
    <row r="43" spans="1:12" x14ac:dyDescent="0.25">
      <c r="B43" s="13" t="s">
        <v>52</v>
      </c>
      <c r="C43" s="13">
        <f>MAX(下半年期中考分数[华文])</f>
        <v>0</v>
      </c>
      <c r="D43" s="13">
        <f>MAX(下半年期中考分数[国文])</f>
        <v>0</v>
      </c>
      <c r="E43" s="13">
        <f>MAX(下半年期中考分数[英文])</f>
        <v>0</v>
      </c>
      <c r="F43" s="13">
        <f>MAX(下半年期中考分数[高数])</f>
        <v>0</v>
      </c>
      <c r="G43" s="13">
        <f>MAX(下半年期中考分数[生物])</f>
        <v>0</v>
      </c>
      <c r="H43" s="13">
        <f>MAX(下半年期中考分数[物理])</f>
        <v>0</v>
      </c>
      <c r="I43" s="13">
        <f>MAX(下半年期中考分数[化学])</f>
        <v>0</v>
      </c>
      <c r="J43" s="13">
        <f>MAX(下半年期中考分数[电资])</f>
        <v>0</v>
      </c>
      <c r="K43" s="13">
        <f>MAX(下半年期中考分数[总分])</f>
        <v>0</v>
      </c>
      <c r="L43" s="17">
        <f>MAX(下半年期中考分数[总平均])</f>
        <v>0</v>
      </c>
    </row>
  </sheetData>
  <conditionalFormatting sqref="C2:J39 L2:L39 C40:L40">
    <cfRule type="cellIs" dxfId="21" priority="5" operator="between">
      <formula>60</formula>
      <formula>79</formula>
    </cfRule>
  </conditionalFormatting>
  <conditionalFormatting sqref="C2:J39 L2:L39">
    <cfRule type="cellIs" dxfId="20" priority="6" operator="greaterThan">
      <formula>79.99</formula>
    </cfRule>
    <cfRule type="cellIs" dxfId="19" priority="7" operator="lessThan">
      <formula>59.4</formula>
    </cfRule>
  </conditionalFormatting>
  <conditionalFormatting sqref="C2:J39">
    <cfRule type="cellIs" dxfId="18" priority="1" operator="equal">
      <formula>100</formula>
    </cfRule>
  </conditionalFormatting>
  <conditionalFormatting sqref="K2:K39">
    <cfRule type="cellIs" dxfId="17" priority="2" operator="between">
      <formula>900</formula>
      <formula>1199</formula>
    </cfRule>
    <cfRule type="cellIs" dxfId="16" priority="3" operator="lessThan">
      <formula>899.5</formula>
    </cfRule>
    <cfRule type="cellIs" dxfId="15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3"/>
  <sheetViews>
    <sheetView zoomScaleNormal="100" workbookViewId="0">
      <pane ySplit="1" topLeftCell="A2" activePane="bottomLeft" state="frozen"/>
      <selection pane="bottomLeft" activeCell="N32" sqref="N32"/>
    </sheetView>
  </sheetViews>
  <sheetFormatPr defaultRowHeight="15" x14ac:dyDescent="0.25"/>
  <cols>
    <col min="12" max="12" width="9.5703125" customWidth="1"/>
  </cols>
  <sheetData>
    <row r="1" spans="1:12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42</v>
      </c>
      <c r="L1" s="4" t="s">
        <v>43</v>
      </c>
    </row>
    <row r="2" spans="1:12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" s="15">
        <f>下半年期末考分数[[#This Row],[总分]]/15</f>
        <v>0</v>
      </c>
    </row>
    <row r="3" spans="1:12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" s="15">
        <f>下半年期末考分数[[#This Row],[总分]]/15</f>
        <v>0</v>
      </c>
    </row>
    <row r="4" spans="1:12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4" s="15">
        <f>下半年期末考分数[[#This Row],[总分]]/15</f>
        <v>0</v>
      </c>
    </row>
    <row r="5" spans="1:12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5" s="15">
        <f>下半年期末考分数[[#This Row],[总分]]/15</f>
        <v>0</v>
      </c>
    </row>
    <row r="6" spans="1:12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6" s="15">
        <f>下半年期末考分数[[#This Row],[总分]]/15</f>
        <v>0</v>
      </c>
    </row>
    <row r="7" spans="1:12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7" s="15">
        <f>下半年期末考分数[[#This Row],[总分]]/15</f>
        <v>0</v>
      </c>
    </row>
    <row r="8" spans="1:12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8" s="15">
        <f>下半年期末考分数[[#This Row],[总分]]/15</f>
        <v>0</v>
      </c>
    </row>
    <row r="9" spans="1:12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9" s="15">
        <f>下半年期末考分数[[#This Row],[总分]]/15</f>
        <v>0</v>
      </c>
    </row>
    <row r="10" spans="1:12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0" s="15">
        <f>下半年期末考分数[[#This Row],[总分]]/15</f>
        <v>0</v>
      </c>
    </row>
    <row r="11" spans="1:12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1" s="15">
        <f>下半年期末考分数[[#This Row],[总分]]/15</f>
        <v>0</v>
      </c>
    </row>
    <row r="12" spans="1:12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2" s="15">
        <f>下半年期末考分数[[#This Row],[总分]]/15</f>
        <v>0</v>
      </c>
    </row>
    <row r="13" spans="1:12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3" s="15">
        <f>下半年期末考分数[[#This Row],[总分]]/15</f>
        <v>0</v>
      </c>
    </row>
    <row r="14" spans="1:12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4" s="15">
        <f>下半年期末考分数[[#This Row],[总分]]/15</f>
        <v>0</v>
      </c>
    </row>
    <row r="15" spans="1:12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5" s="15">
        <f>下半年期末考分数[[#This Row],[总分]]/15</f>
        <v>0</v>
      </c>
    </row>
    <row r="16" spans="1:12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6" s="15">
        <f>下半年期末考分数[[#This Row],[总分]]/15</f>
        <v>0</v>
      </c>
    </row>
    <row r="17" spans="1:12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7" s="15">
        <f>下半年期末考分数[[#This Row],[总分]]/15</f>
        <v>0</v>
      </c>
    </row>
    <row r="18" spans="1:12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8" s="15">
        <f>下半年期末考分数[[#This Row],[总分]]/15</f>
        <v>0</v>
      </c>
    </row>
    <row r="19" spans="1:12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19" s="15">
        <f>下半年期末考分数[[#This Row],[总分]]/15</f>
        <v>0</v>
      </c>
    </row>
    <row r="20" spans="1:12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0" s="15">
        <f>下半年期末考分数[[#This Row],[总分]]/15</f>
        <v>0</v>
      </c>
    </row>
    <row r="21" spans="1:12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1" s="15">
        <f>下半年期末考分数[[#This Row],[总分]]/15</f>
        <v>0</v>
      </c>
    </row>
    <row r="22" spans="1:12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2" s="15">
        <f>下半年期末考分数[[#This Row],[总分]]/15</f>
        <v>0</v>
      </c>
    </row>
    <row r="23" spans="1:12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3" s="15">
        <f>下半年期末考分数[[#This Row],[总分]]/15</f>
        <v>0</v>
      </c>
    </row>
    <row r="24" spans="1:12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4" s="15">
        <f>下半年期末考分数[[#This Row],[总分]]/15</f>
        <v>0</v>
      </c>
    </row>
    <row r="25" spans="1:12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5" s="15">
        <f>下半年期末考分数[[#This Row],[总分]]/15</f>
        <v>0</v>
      </c>
    </row>
    <row r="26" spans="1:12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6" s="15">
        <f>下半年期末考分数[[#This Row],[总分]]/15</f>
        <v>0</v>
      </c>
    </row>
    <row r="27" spans="1:12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7" s="15">
        <f>下半年期末考分数[[#This Row],[总分]]/15</f>
        <v>0</v>
      </c>
    </row>
    <row r="28" spans="1:12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8" s="15">
        <f>下半年期末考分数[[#This Row],[总分]]/15</f>
        <v>0</v>
      </c>
    </row>
    <row r="29" spans="1:12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29" s="15">
        <f>下半年期末考分数[[#This Row],[总分]]/15</f>
        <v>0</v>
      </c>
    </row>
    <row r="30" spans="1:12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0" s="15">
        <f>下半年期末考分数[[#This Row],[总分]]/15</f>
        <v>0</v>
      </c>
    </row>
    <row r="31" spans="1:12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1" s="15">
        <f>下半年期末考分数[[#This Row],[总分]]/15</f>
        <v>0</v>
      </c>
    </row>
    <row r="32" spans="1:12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2" s="15">
        <f>下半年期末考分数[[#This Row],[总分]]/15</f>
        <v>0</v>
      </c>
    </row>
    <row r="33" spans="1:12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3" s="15">
        <f>下半年期末考分数[[#This Row],[总分]]/15</f>
        <v>0</v>
      </c>
    </row>
    <row r="34" spans="1:12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4" s="15">
        <f>下半年期末考分数[[#This Row],[总分]]/15</f>
        <v>0</v>
      </c>
    </row>
    <row r="35" spans="1:12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5" s="15">
        <f>下半年期末考分数[[#This Row],[总分]]/15</f>
        <v>0</v>
      </c>
    </row>
    <row r="36" spans="1:12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6" s="15">
        <f>下半年期末考分数[[#This Row],[总分]]/15</f>
        <v>0</v>
      </c>
    </row>
    <row r="37" spans="1:12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7" s="15">
        <f>下半年期末考分数[[#This Row],[总分]]/15</f>
        <v>0</v>
      </c>
    </row>
    <row r="38" spans="1:12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8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8" s="15">
        <f>下半年期末考分数[[#This Row],[总分]]/15</f>
        <v>0</v>
      </c>
    </row>
    <row r="39" spans="1:12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2">
        <f>(下半年期末考分数[[#This Row],[华文]]+下半年期末考分数[[#This Row],[国文]]+下半年期末考分数[[#This Row],[英文]]+下半年期末考分数[[#This Row],[高数]]+下半年期末考分数[[#This Row],[生物]]+下半年期末考分数[[#This Row],[物理]]+下半年期末考分数[[#This Row],[化学]])*2+下半年期末考分数[[#This Row],[电资]]</f>
        <v>0</v>
      </c>
      <c r="L39" s="16">
        <f>下半年期末考分数[[#This Row],[总分]]/15</f>
        <v>0</v>
      </c>
    </row>
    <row r="41" spans="1:12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49</v>
      </c>
      <c r="K41" s="14" t="s">
        <v>42</v>
      </c>
      <c r="L41" s="14" t="s">
        <v>43</v>
      </c>
    </row>
    <row r="42" spans="1:12" x14ac:dyDescent="0.25">
      <c r="B42" s="13" t="s">
        <v>50</v>
      </c>
      <c r="C42" s="17" t="e">
        <f>AVERAGE(下半年期末考分数[华文])</f>
        <v>#DIV/0!</v>
      </c>
      <c r="D42" s="17" t="e">
        <f>AVERAGE(下半年期末考分数[国文])</f>
        <v>#DIV/0!</v>
      </c>
      <c r="E42" s="17" t="e">
        <f>AVERAGE(下半年期末考分数[英文])</f>
        <v>#DIV/0!</v>
      </c>
      <c r="F42" s="17" t="e">
        <f>AVERAGE(下半年期末考分数[高数])</f>
        <v>#DIV/0!</v>
      </c>
      <c r="G42" s="17" t="e">
        <f>AVERAGE(下半年期末考分数[生物])</f>
        <v>#DIV/0!</v>
      </c>
      <c r="H42" s="17" t="e">
        <f>AVERAGE(下半年期末考分数[物理])</f>
        <v>#DIV/0!</v>
      </c>
      <c r="I42" s="17" t="e">
        <f>AVERAGE(下半年期末考分数[化学])</f>
        <v>#DIV/0!</v>
      </c>
      <c r="J42" s="17" t="e">
        <f>AVERAGE(下半年期末考分数[电资])</f>
        <v>#DIV/0!</v>
      </c>
      <c r="K42" s="17">
        <f>AVERAGE(下半年期末考分数[总分])</f>
        <v>0</v>
      </c>
      <c r="L42" s="17">
        <f>AVERAGE(下半年期末考分数[总平均])</f>
        <v>0</v>
      </c>
    </row>
    <row r="43" spans="1:12" x14ac:dyDescent="0.25">
      <c r="B43" s="13" t="s">
        <v>52</v>
      </c>
      <c r="C43" s="13">
        <f>MAX(下半年期末考分数[华文])</f>
        <v>0</v>
      </c>
      <c r="D43" s="13">
        <f>MAX(下半年期末考分数[国文])</f>
        <v>0</v>
      </c>
      <c r="E43" s="13">
        <f>MAX(下半年期末考分数[英文])</f>
        <v>0</v>
      </c>
      <c r="F43" s="13">
        <f>MAX(下半年期末考分数[高数])</f>
        <v>0</v>
      </c>
      <c r="G43" s="13">
        <f>MAX(下半年期末考分数[生物])</f>
        <v>0</v>
      </c>
      <c r="H43" s="13">
        <f>MAX(下半年期末考分数[物理])</f>
        <v>0</v>
      </c>
      <c r="I43" s="13">
        <f>MAX(下半年期末考分数[化学])</f>
        <v>0</v>
      </c>
      <c r="J43" s="13">
        <f>MAX(下半年期末考分数[电资])</f>
        <v>0</v>
      </c>
      <c r="K43" s="13">
        <f>MAX(下半年期末考分数[总分])</f>
        <v>0</v>
      </c>
      <c r="L43" s="17">
        <f>MAX(下半年期末考分数[总平均])</f>
        <v>0</v>
      </c>
    </row>
  </sheetData>
  <phoneticPr fontId="5" type="noConversion"/>
  <conditionalFormatting sqref="C2:J39 L2:L39 C40:L40">
    <cfRule type="cellIs" dxfId="14" priority="5" operator="between">
      <formula>60</formula>
      <formula>79</formula>
    </cfRule>
  </conditionalFormatting>
  <conditionalFormatting sqref="C2:J39 L2:L39">
    <cfRule type="cellIs" dxfId="13" priority="6" operator="greaterThan">
      <formula>79.99</formula>
    </cfRule>
    <cfRule type="cellIs" dxfId="12" priority="7" operator="lessThan">
      <formula>59.4</formula>
    </cfRule>
  </conditionalFormatting>
  <conditionalFormatting sqref="C2:J39">
    <cfRule type="cellIs" dxfId="11" priority="1" operator="equal">
      <formula>100</formula>
    </cfRule>
  </conditionalFormatting>
  <conditionalFormatting sqref="K2:K39">
    <cfRule type="cellIs" dxfId="10" priority="2" operator="between">
      <formula>900</formula>
      <formula>1199</formula>
    </cfRule>
    <cfRule type="cellIs" dxfId="9" priority="3" operator="lessThan">
      <formula>899.5</formula>
    </cfRule>
    <cfRule type="cellIs" dxfId="8" priority="4" operator="greaterThan">
      <formula>1199.5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"/>
  <sheetViews>
    <sheetView zoomScaleNormal="100" workbookViewId="0">
      <pane ySplit="1" topLeftCell="A2" activePane="bottomLeft" state="frozen"/>
      <selection pane="bottomLeft" activeCell="R28" sqref="R28"/>
    </sheetView>
  </sheetViews>
  <sheetFormatPr defaultRowHeight="15" x14ac:dyDescent="0.25"/>
  <cols>
    <col min="12" max="12" width="9.5703125" customWidth="1"/>
  </cols>
  <sheetData>
    <row r="1" spans="1:15" x14ac:dyDescent="0.25">
      <c r="A1" s="2" t="s">
        <v>44</v>
      </c>
      <c r="B1" s="3" t="s">
        <v>38</v>
      </c>
      <c r="C1" s="3" t="s">
        <v>39</v>
      </c>
      <c r="D1" s="3" t="s">
        <v>40</v>
      </c>
      <c r="E1" s="3" t="s">
        <v>41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58</v>
      </c>
      <c r="K1" s="3" t="s">
        <v>59</v>
      </c>
      <c r="L1" s="3" t="s">
        <v>49</v>
      </c>
      <c r="M1" s="3" t="s">
        <v>60</v>
      </c>
      <c r="N1" s="3" t="s">
        <v>42</v>
      </c>
      <c r="O1" s="4" t="s">
        <v>43</v>
      </c>
    </row>
    <row r="2" spans="1:15" x14ac:dyDescent="0.25">
      <c r="A2" s="5">
        <v>1</v>
      </c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" s="15">
        <f>下半年总表[[#This Row],[总分]]/18</f>
        <v>0</v>
      </c>
    </row>
    <row r="3" spans="1:15" x14ac:dyDescent="0.25">
      <c r="A3" s="5">
        <v>2</v>
      </c>
      <c r="B3" s="6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" s="15">
        <f>下半年总表[[#This Row],[总分]]/18</f>
        <v>0</v>
      </c>
    </row>
    <row r="4" spans="1:15" x14ac:dyDescent="0.25">
      <c r="A4" s="5">
        <v>3</v>
      </c>
      <c r="B4" s="6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4" s="15">
        <f>下半年总表[[#This Row],[总分]]/18</f>
        <v>0</v>
      </c>
    </row>
    <row r="5" spans="1:15" x14ac:dyDescent="0.25">
      <c r="A5" s="5">
        <v>4</v>
      </c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5" s="15">
        <f>下半年总表[[#This Row],[总分]]/18</f>
        <v>0</v>
      </c>
    </row>
    <row r="6" spans="1:15" x14ac:dyDescent="0.25">
      <c r="A6" s="5">
        <v>5</v>
      </c>
      <c r="B6" s="6" t="s">
        <v>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6" s="15">
        <f>下半年总表[[#This Row],[总分]]/18</f>
        <v>0</v>
      </c>
    </row>
    <row r="7" spans="1:15" x14ac:dyDescent="0.25">
      <c r="A7" s="5">
        <v>6</v>
      </c>
      <c r="B7" s="6" t="s">
        <v>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7" s="15">
        <f>下半年总表[[#This Row],[总分]]/18</f>
        <v>0</v>
      </c>
    </row>
    <row r="8" spans="1:15" x14ac:dyDescent="0.25">
      <c r="A8" s="5">
        <v>7</v>
      </c>
      <c r="B8" s="6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8" s="15">
        <f>下半年总表[[#This Row],[总分]]/18</f>
        <v>0</v>
      </c>
    </row>
    <row r="9" spans="1:15" x14ac:dyDescent="0.25">
      <c r="A9" s="5">
        <v>8</v>
      </c>
      <c r="B9" s="6" t="s">
        <v>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9" s="15">
        <f>下半年总表[[#This Row],[总分]]/18</f>
        <v>0</v>
      </c>
    </row>
    <row r="10" spans="1:15" x14ac:dyDescent="0.25">
      <c r="A10" s="5">
        <v>9</v>
      </c>
      <c r="B10" s="6" t="s">
        <v>8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0" s="15">
        <f>下半年总表[[#This Row],[总分]]/18</f>
        <v>0</v>
      </c>
    </row>
    <row r="11" spans="1:15" x14ac:dyDescent="0.25">
      <c r="A11" s="5">
        <v>10</v>
      </c>
      <c r="B11" s="6" t="s">
        <v>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1" s="15">
        <f>下半年总表[[#This Row],[总分]]/18</f>
        <v>0</v>
      </c>
    </row>
    <row r="12" spans="1:15" x14ac:dyDescent="0.25">
      <c r="A12" s="5">
        <v>11</v>
      </c>
      <c r="B12" s="6" t="s">
        <v>10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2" s="15">
        <f>下半年总表[[#This Row],[总分]]/18</f>
        <v>0</v>
      </c>
    </row>
    <row r="13" spans="1:15" x14ac:dyDescent="0.25">
      <c r="A13" s="5">
        <v>12</v>
      </c>
      <c r="B13" s="6" t="s">
        <v>11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3" s="15">
        <f>下半年总表[[#This Row],[总分]]/18</f>
        <v>0</v>
      </c>
    </row>
    <row r="14" spans="1:15" x14ac:dyDescent="0.25">
      <c r="A14" s="5">
        <v>13</v>
      </c>
      <c r="B14" s="6" t="s">
        <v>12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4" s="15">
        <f>下半年总表[[#This Row],[总分]]/18</f>
        <v>0</v>
      </c>
    </row>
    <row r="15" spans="1:15" x14ac:dyDescent="0.25">
      <c r="A15" s="5">
        <v>14</v>
      </c>
      <c r="B15" s="6" t="s">
        <v>13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5" s="15">
        <f>下半年总表[[#This Row],[总分]]/18</f>
        <v>0</v>
      </c>
    </row>
    <row r="16" spans="1:15" x14ac:dyDescent="0.25">
      <c r="A16" s="5">
        <v>15</v>
      </c>
      <c r="B16" s="6" t="s">
        <v>14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6" s="15">
        <f>下半年总表[[#This Row],[总分]]/18</f>
        <v>0</v>
      </c>
    </row>
    <row r="17" spans="1:15" x14ac:dyDescent="0.25">
      <c r="A17" s="5">
        <v>16</v>
      </c>
      <c r="B17" s="6" t="s">
        <v>15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7" s="15">
        <f>下半年总表[[#This Row],[总分]]/18</f>
        <v>0</v>
      </c>
    </row>
    <row r="18" spans="1:15" x14ac:dyDescent="0.25">
      <c r="A18" s="5">
        <v>17</v>
      </c>
      <c r="B18" s="6" t="s">
        <v>16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8" s="15">
        <f>下半年总表[[#This Row],[总分]]/18</f>
        <v>0</v>
      </c>
    </row>
    <row r="19" spans="1:15" x14ac:dyDescent="0.25">
      <c r="A19" s="5">
        <v>18</v>
      </c>
      <c r="B19" s="6" t="s">
        <v>17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19" s="15">
        <f>下半年总表[[#This Row],[总分]]/18</f>
        <v>0</v>
      </c>
    </row>
    <row r="20" spans="1:15" x14ac:dyDescent="0.25">
      <c r="A20" s="5">
        <v>19</v>
      </c>
      <c r="B20" s="6" t="s">
        <v>18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0" s="15">
        <f>下半年总表[[#This Row],[总分]]/18</f>
        <v>0</v>
      </c>
    </row>
    <row r="21" spans="1:15" x14ac:dyDescent="0.25">
      <c r="A21" s="5">
        <v>20</v>
      </c>
      <c r="B21" s="6" t="s">
        <v>19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1" s="15">
        <f>下半年总表[[#This Row],[总分]]/18</f>
        <v>0</v>
      </c>
    </row>
    <row r="22" spans="1:15" x14ac:dyDescent="0.25">
      <c r="A22" s="5">
        <v>21</v>
      </c>
      <c r="B22" s="6" t="s">
        <v>20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2" s="15">
        <f>下半年总表[[#This Row],[总分]]/18</f>
        <v>0</v>
      </c>
    </row>
    <row r="23" spans="1:15" x14ac:dyDescent="0.25">
      <c r="A23" s="5">
        <v>22</v>
      </c>
      <c r="B23" s="6" t="s">
        <v>21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3" s="15">
        <f>下半年总表[[#This Row],[总分]]/18</f>
        <v>0</v>
      </c>
    </row>
    <row r="24" spans="1:15" x14ac:dyDescent="0.25">
      <c r="A24" s="5">
        <v>23</v>
      </c>
      <c r="B24" s="6" t="s">
        <v>22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4" s="15">
        <f>下半年总表[[#This Row],[总分]]/18</f>
        <v>0</v>
      </c>
    </row>
    <row r="25" spans="1:15" x14ac:dyDescent="0.25">
      <c r="A25" s="5">
        <v>24</v>
      </c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5" s="15">
        <f>下半年总表[[#This Row],[总分]]/18</f>
        <v>0</v>
      </c>
    </row>
    <row r="26" spans="1:15" x14ac:dyDescent="0.25">
      <c r="A26" s="5">
        <v>25</v>
      </c>
      <c r="B26" s="6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6" s="15">
        <f>下半年总表[[#This Row],[总分]]/18</f>
        <v>0</v>
      </c>
    </row>
    <row r="27" spans="1:15" x14ac:dyDescent="0.25">
      <c r="A27" s="5">
        <v>26</v>
      </c>
      <c r="B27" s="6" t="s">
        <v>25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7" s="15">
        <f>下半年总表[[#This Row],[总分]]/18</f>
        <v>0</v>
      </c>
    </row>
    <row r="28" spans="1:15" x14ac:dyDescent="0.25">
      <c r="A28" s="5">
        <v>27</v>
      </c>
      <c r="B28" s="6" t="s">
        <v>26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8" s="15">
        <f>下半年总表[[#This Row],[总分]]/18</f>
        <v>0</v>
      </c>
    </row>
    <row r="29" spans="1:15" x14ac:dyDescent="0.25">
      <c r="A29" s="5">
        <v>28</v>
      </c>
      <c r="B29" s="6" t="s">
        <v>27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29" s="15">
        <f>下半年总表[[#This Row],[总分]]/18</f>
        <v>0</v>
      </c>
    </row>
    <row r="30" spans="1:15" x14ac:dyDescent="0.25">
      <c r="A30" s="5">
        <v>29</v>
      </c>
      <c r="B30" s="6" t="s">
        <v>28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0" s="15">
        <f>下半年总表[[#This Row],[总分]]/18</f>
        <v>0</v>
      </c>
    </row>
    <row r="31" spans="1:15" x14ac:dyDescent="0.25">
      <c r="A31" s="5">
        <v>30</v>
      </c>
      <c r="B31" s="6" t="s">
        <v>29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1" s="15">
        <f>下半年总表[[#This Row],[总分]]/18</f>
        <v>0</v>
      </c>
    </row>
    <row r="32" spans="1:15" x14ac:dyDescent="0.25">
      <c r="A32" s="5">
        <v>31</v>
      </c>
      <c r="B32" s="6" t="s">
        <v>30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2" s="15">
        <f>下半年总表[[#This Row],[总分]]/18</f>
        <v>0</v>
      </c>
    </row>
    <row r="33" spans="1:15" x14ac:dyDescent="0.25">
      <c r="A33" s="5">
        <v>32</v>
      </c>
      <c r="B33" s="6" t="s">
        <v>31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3" s="15">
        <f>下半年总表[[#This Row],[总分]]/18</f>
        <v>0</v>
      </c>
    </row>
    <row r="34" spans="1:15" x14ac:dyDescent="0.25">
      <c r="A34" s="5">
        <v>33</v>
      </c>
      <c r="B34" s="6" t="s">
        <v>32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4" s="15">
        <f>下半年总表[[#This Row],[总分]]/18</f>
        <v>0</v>
      </c>
    </row>
    <row r="35" spans="1:15" x14ac:dyDescent="0.25">
      <c r="A35" s="5">
        <v>34</v>
      </c>
      <c r="B35" s="6" t="s">
        <v>33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5" s="15">
        <f>下半年总表[[#This Row],[总分]]/18</f>
        <v>0</v>
      </c>
    </row>
    <row r="36" spans="1:15" x14ac:dyDescent="0.25">
      <c r="A36" s="5">
        <v>35</v>
      </c>
      <c r="B36" s="6" t="s">
        <v>34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6" s="15">
        <f>下半年总表[[#This Row],[总分]]/18</f>
        <v>0</v>
      </c>
    </row>
    <row r="37" spans="1:15" x14ac:dyDescent="0.25">
      <c r="A37" s="5">
        <v>36</v>
      </c>
      <c r="B37" s="6" t="s">
        <v>35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7" s="15">
        <f>下半年总表[[#This Row],[总分]]/18</f>
        <v>0</v>
      </c>
    </row>
    <row r="38" spans="1:15" x14ac:dyDescent="0.25">
      <c r="A38" s="5">
        <v>37</v>
      </c>
      <c r="B38" s="6" t="s">
        <v>36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8" s="15">
        <f>下半年总表[[#This Row],[总分]]/18</f>
        <v>0</v>
      </c>
    </row>
    <row r="39" spans="1:15" x14ac:dyDescent="0.25">
      <c r="A39" s="9">
        <v>38</v>
      </c>
      <c r="B39" s="10" t="s">
        <v>37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>
        <f>(下半年总表[[#This Row],[华文]]+下半年总表[[#This Row],[国文]]+下半年总表[[#This Row],[英文]]+下半年总表[[#This Row],[高数]]+下半年总表[[#This Row],[生物]]+下半年总表[[#This Row],[物理]]+下半年总表[[#This Row],[化学]])*2+下半年总表[[#This Row],[电资]]+下半年总表[[#This Row],[体育]]+下半年总表[[#This Row],[电脑]]+下半年总表[[#This Row],[联科]]</f>
        <v>0</v>
      </c>
      <c r="O39" s="16">
        <f>下半年总表[[#This Row],[总分]]/18</f>
        <v>0</v>
      </c>
    </row>
    <row r="41" spans="1:15" x14ac:dyDescent="0.25">
      <c r="B41" s="13"/>
      <c r="C41" s="14" t="s">
        <v>39</v>
      </c>
      <c r="D41" s="14" t="s">
        <v>40</v>
      </c>
      <c r="E41" s="14" t="s">
        <v>41</v>
      </c>
      <c r="F41" s="14" t="s">
        <v>45</v>
      </c>
      <c r="G41" s="14" t="s">
        <v>46</v>
      </c>
      <c r="H41" s="14" t="s">
        <v>47</v>
      </c>
      <c r="I41" s="14" t="s">
        <v>48</v>
      </c>
      <c r="J41" s="14" t="s">
        <v>58</v>
      </c>
      <c r="K41" s="14" t="s">
        <v>59</v>
      </c>
      <c r="L41" s="14" t="s">
        <v>49</v>
      </c>
      <c r="M41" s="14" t="s">
        <v>60</v>
      </c>
      <c r="N41" s="14" t="s">
        <v>42</v>
      </c>
      <c r="O41" s="14" t="s">
        <v>43</v>
      </c>
    </row>
    <row r="42" spans="1:15" x14ac:dyDescent="0.25">
      <c r="B42" s="13" t="s">
        <v>50</v>
      </c>
      <c r="C42" s="17" t="e">
        <f>AVERAGE(下半年总表[华文])</f>
        <v>#DIV/0!</v>
      </c>
      <c r="D42" s="17" t="e">
        <f>AVERAGE(下半年总表[国文])</f>
        <v>#DIV/0!</v>
      </c>
      <c r="E42" s="17" t="e">
        <f>AVERAGE(下半年总表[英文])</f>
        <v>#DIV/0!</v>
      </c>
      <c r="F42" s="17" t="e">
        <f>AVERAGE(下半年总表[高数])</f>
        <v>#DIV/0!</v>
      </c>
      <c r="G42" s="17" t="e">
        <f>AVERAGE(下半年总表[生物])</f>
        <v>#DIV/0!</v>
      </c>
      <c r="H42" s="17" t="e">
        <f>AVERAGE(下半年总表[物理])</f>
        <v>#DIV/0!</v>
      </c>
      <c r="I42" s="17" t="e">
        <f>AVERAGE(下半年总表[化学])</f>
        <v>#DIV/0!</v>
      </c>
      <c r="J42" s="17" t="e">
        <f>AVERAGE(下半年总表[体育])</f>
        <v>#DIV/0!</v>
      </c>
      <c r="K42" s="17" t="e">
        <f>AVERAGE(下半年总表[电脑])</f>
        <v>#DIV/0!</v>
      </c>
      <c r="L42" s="17" t="e">
        <f>AVERAGE(下半年总表[电资])</f>
        <v>#DIV/0!</v>
      </c>
      <c r="M42" s="17" t="e">
        <f>AVERAGE(下半年总表[联科])</f>
        <v>#DIV/0!</v>
      </c>
      <c r="N42" s="17">
        <f>AVERAGE(下半年总表[总分])</f>
        <v>0</v>
      </c>
      <c r="O42" s="17">
        <f>AVERAGE(下半年总表[总平均])</f>
        <v>0</v>
      </c>
    </row>
    <row r="43" spans="1:15" x14ac:dyDescent="0.25">
      <c r="B43" s="13" t="s">
        <v>52</v>
      </c>
      <c r="C43" s="13">
        <f>MAX(下半年总表[华文])</f>
        <v>0</v>
      </c>
      <c r="D43" s="13">
        <f>MAX(下半年总表[国文])</f>
        <v>0</v>
      </c>
      <c r="E43" s="13">
        <f>MAX(下半年总表[英文])</f>
        <v>0</v>
      </c>
      <c r="F43" s="13">
        <f>MAX(下半年总表[高数])</f>
        <v>0</v>
      </c>
      <c r="G43" s="13">
        <f>MAX(下半年总表[生物])</f>
        <v>0</v>
      </c>
      <c r="H43" s="13">
        <f>MAX(下半年总表[物理])</f>
        <v>0</v>
      </c>
      <c r="I43" s="13">
        <f>MAX(下半年总表[化学])</f>
        <v>0</v>
      </c>
      <c r="J43" s="13">
        <f>MAX(下半年总表[体育])</f>
        <v>0</v>
      </c>
      <c r="K43" s="13">
        <f>MAX(下半年总表[电脑])</f>
        <v>0</v>
      </c>
      <c r="L43" s="13">
        <f>MAX(下半年总表[电资])</f>
        <v>0</v>
      </c>
      <c r="M43" s="13">
        <f>MAX(下半年总表[联科])</f>
        <v>0</v>
      </c>
      <c r="N43" s="13">
        <f>MAX(下半年总表[总分])</f>
        <v>0</v>
      </c>
      <c r="O43" s="13">
        <f>MAX(下半年总表[总平均])</f>
        <v>0</v>
      </c>
    </row>
  </sheetData>
  <phoneticPr fontId="5" type="noConversion"/>
  <conditionalFormatting sqref="C40:L40">
    <cfRule type="cellIs" dxfId="7" priority="12" operator="between">
      <formula>60</formula>
      <formula>79</formula>
    </cfRule>
  </conditionalFormatting>
  <conditionalFormatting sqref="C2:M39 O2:O39">
    <cfRule type="cellIs" dxfId="6" priority="5" operator="between">
      <formula>60</formula>
      <formula>79.98</formula>
    </cfRule>
    <cfRule type="cellIs" dxfId="5" priority="6" operator="greaterThan">
      <formula>79.99</formula>
    </cfRule>
    <cfRule type="cellIs" dxfId="4" priority="7" operator="lessThan">
      <formula>59.4</formula>
    </cfRule>
  </conditionalFormatting>
  <conditionalFormatting sqref="C2:M39">
    <cfRule type="cellIs" dxfId="3" priority="1" operator="equal">
      <formula>100</formula>
    </cfRule>
  </conditionalFormatting>
  <conditionalFormatting sqref="N2:N39">
    <cfRule type="cellIs" dxfId="2" priority="2" operator="between">
      <formula>1080</formula>
      <formula>1399</formula>
    </cfRule>
    <cfRule type="cellIs" dxfId="1" priority="3" operator="lessThan">
      <formula>1079.99</formula>
    </cfRule>
    <cfRule type="cellIs" dxfId="0" priority="4" operator="greaterThan">
      <formula>1439.99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整体分析(期中考）</vt:lpstr>
      <vt:lpstr>整体分析(上半年总表）</vt:lpstr>
      <vt:lpstr>考试分析</vt:lpstr>
      <vt:lpstr>上半年期末考考试</vt:lpstr>
      <vt:lpstr>上半年总表</vt:lpstr>
      <vt:lpstr>上半年排名</vt:lpstr>
      <vt:lpstr>下半年期中考考试</vt:lpstr>
      <vt:lpstr>下半年期末考考试</vt:lpstr>
      <vt:lpstr>下半年总表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S1S3 总平均</dc:title>
  <dc:creator/>
  <cp:lastModifiedBy/>
  <dcterms:created xsi:type="dcterms:W3CDTF">2015-06-05T18:17:20Z</dcterms:created>
  <dcterms:modified xsi:type="dcterms:W3CDTF">2023-06-16T11:35:56Z</dcterms:modified>
</cp:coreProperties>
</file>