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LINE\KTQT\Final\"/>
    </mc:Choice>
  </mc:AlternateContent>
  <xr:revisionPtr revIDLastSave="0" documentId="13_ncr:1_{953FA473-DC74-49F0-A57F-BA92B0C07183}" xr6:coauthVersionLast="47" xr6:coauthVersionMax="47" xr10:uidLastSave="{00000000-0000-0000-0000-000000000000}"/>
  <bookViews>
    <workbookView xWindow="-108" yWindow="-108" windowWidth="23256" windowHeight="14016" activeTab="2" xr2:uid="{082150CF-147B-480F-9136-0FC3A80458FD}"/>
  </bookViews>
  <sheets>
    <sheet name="GV" sheetId="6" r:id="rId1"/>
    <sheet name="DT" sheetId="5" r:id="rId2"/>
    <sheet name="Report" sheetId="1" r:id="rId3"/>
    <sheet name="Sheet2" sheetId="2" r:id="rId4"/>
    <sheet name="Sheet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" l="1"/>
  <c r="Y11" i="1"/>
  <c r="Y16" i="1"/>
  <c r="Y14" i="1"/>
  <c r="K19" i="7"/>
  <c r="K20" i="7"/>
  <c r="K21" i="7"/>
  <c r="K22" i="7"/>
  <c r="K18" i="7"/>
  <c r="K14" i="7"/>
  <c r="J14" i="7"/>
  <c r="J15" i="7" s="1"/>
  <c r="J20" i="7"/>
  <c r="J21" i="7"/>
  <c r="J19" i="7"/>
  <c r="H26" i="2"/>
  <c r="L10" i="7"/>
  <c r="L9" i="7"/>
  <c r="H9" i="7"/>
  <c r="H6" i="7"/>
  <c r="K6" i="7"/>
  <c r="O9" i="7"/>
  <c r="O6" i="7"/>
  <c r="G6" i="7"/>
  <c r="P9" i="7" s="1"/>
  <c r="G10" i="7"/>
  <c r="P10" i="7" s="1"/>
  <c r="F10" i="7"/>
  <c r="F14" i="7" s="1"/>
  <c r="B7" i="7"/>
  <c r="B15" i="7" s="1"/>
  <c r="J18" i="7" l="1"/>
  <c r="J22" i="7" s="1"/>
  <c r="K15" i="7"/>
  <c r="F15" i="7"/>
  <c r="O14" i="7"/>
  <c r="O10" i="7"/>
  <c r="P6" i="7"/>
  <c r="G14" i="7"/>
  <c r="P14" i="7" s="1"/>
  <c r="G9" i="6"/>
  <c r="F9" i="6"/>
  <c r="C9" i="6"/>
  <c r="G10" i="6"/>
  <c r="F10" i="6"/>
  <c r="E10" i="6"/>
  <c r="E9" i="6" s="1"/>
  <c r="D10" i="6"/>
  <c r="D9" i="6" s="1"/>
  <c r="C10" i="6"/>
  <c r="C4" i="6"/>
  <c r="F5" i="6"/>
  <c r="F4" i="6" s="1"/>
  <c r="F15" i="6" s="1"/>
  <c r="E5" i="6"/>
  <c r="E4" i="6" s="1"/>
  <c r="E14" i="6" s="1"/>
  <c r="C5" i="6"/>
  <c r="H8" i="6"/>
  <c r="H3" i="6"/>
  <c r="G18" i="6" s="1"/>
  <c r="C15" i="5"/>
  <c r="H15" i="5" s="1"/>
  <c r="D15" i="5"/>
  <c r="E15" i="5"/>
  <c r="F15" i="5"/>
  <c r="G15" i="5"/>
  <c r="D14" i="5"/>
  <c r="H14" i="5" s="1"/>
  <c r="I15" i="1" s="1"/>
  <c r="E14" i="5"/>
  <c r="F14" i="5"/>
  <c r="G14" i="5"/>
  <c r="C14" i="5"/>
  <c r="H10" i="5"/>
  <c r="H8" i="5"/>
  <c r="H9" i="5" s="1"/>
  <c r="G5" i="5"/>
  <c r="F5" i="5"/>
  <c r="E5" i="5"/>
  <c r="D5" i="5"/>
  <c r="C5" i="5"/>
  <c r="H3" i="5"/>
  <c r="G18" i="5" s="1"/>
  <c r="H25" i="2"/>
  <c r="H23" i="2"/>
  <c r="H10" i="6" s="1"/>
  <c r="H9" i="6" s="1"/>
  <c r="H22" i="2"/>
  <c r="H21" i="2"/>
  <c r="H20" i="2"/>
  <c r="H18" i="2"/>
  <c r="H17" i="2"/>
  <c r="H16" i="2"/>
  <c r="H9" i="2"/>
  <c r="H7" i="2"/>
  <c r="H4" i="2"/>
  <c r="H3" i="2"/>
  <c r="G8" i="2"/>
  <c r="G10" i="2" s="1"/>
  <c r="G5" i="6" s="1"/>
  <c r="G4" i="6" s="1"/>
  <c r="F8" i="2"/>
  <c r="F10" i="2" s="1"/>
  <c r="E8" i="2"/>
  <c r="E10" i="2" s="1"/>
  <c r="D8" i="2"/>
  <c r="D10" i="2" s="1"/>
  <c r="D5" i="6" s="1"/>
  <c r="D4" i="6" s="1"/>
  <c r="D14" i="6" s="1"/>
  <c r="C8" i="2"/>
  <c r="C10" i="2" s="1"/>
  <c r="G5" i="2"/>
  <c r="F5" i="2"/>
  <c r="E5" i="2"/>
  <c r="D5" i="2"/>
  <c r="C5" i="2"/>
  <c r="K16" i="7" l="1"/>
  <c r="L8" i="7"/>
  <c r="M8" i="7" s="1"/>
  <c r="N14" i="7"/>
  <c r="G15" i="7"/>
  <c r="G19" i="5"/>
  <c r="G21" i="5" s="1"/>
  <c r="G22" i="5" s="1"/>
  <c r="G24" i="5"/>
  <c r="F13" i="1"/>
  <c r="C18" i="5"/>
  <c r="D18" i="5"/>
  <c r="E18" i="5"/>
  <c r="H5" i="5"/>
  <c r="F18" i="5"/>
  <c r="G14" i="6"/>
  <c r="C14" i="6"/>
  <c r="D15" i="6"/>
  <c r="E15" i="6"/>
  <c r="G15" i="6"/>
  <c r="F14" i="6"/>
  <c r="C15" i="6"/>
  <c r="G24" i="6"/>
  <c r="G19" i="6"/>
  <c r="G21" i="6" s="1"/>
  <c r="C18" i="6"/>
  <c r="C24" i="6" s="1"/>
  <c r="D18" i="6"/>
  <c r="I10" i="6"/>
  <c r="E18" i="6"/>
  <c r="F18" i="6"/>
  <c r="I14" i="5"/>
  <c r="D12" i="2"/>
  <c r="E12" i="2"/>
  <c r="F12" i="2"/>
  <c r="G12" i="2"/>
  <c r="C12" i="2"/>
  <c r="H10" i="2"/>
  <c r="H5" i="6" s="1"/>
  <c r="H5" i="2"/>
  <c r="I5" i="2" s="1"/>
  <c r="H8" i="2"/>
  <c r="U15" i="1"/>
  <c r="I10" i="5" l="1"/>
  <c r="L8" i="1"/>
  <c r="H4" i="5"/>
  <c r="I8" i="1"/>
  <c r="F24" i="5"/>
  <c r="F19" i="5"/>
  <c r="F21" i="5" s="1"/>
  <c r="F22" i="5" s="1"/>
  <c r="E19" i="5"/>
  <c r="E21" i="5" s="1"/>
  <c r="E22" i="5" s="1"/>
  <c r="E24" i="5"/>
  <c r="D24" i="5"/>
  <c r="D19" i="5"/>
  <c r="D21" i="5" s="1"/>
  <c r="D22" i="5" s="1"/>
  <c r="C24" i="5"/>
  <c r="C19" i="5"/>
  <c r="C21" i="5" s="1"/>
  <c r="O8" i="1"/>
  <c r="H4" i="6"/>
  <c r="H15" i="6"/>
  <c r="H14" i="6"/>
  <c r="G22" i="6"/>
  <c r="E24" i="6"/>
  <c r="E19" i="6"/>
  <c r="E21" i="6" s="1"/>
  <c r="E22" i="6" s="1"/>
  <c r="F24" i="6"/>
  <c r="F19" i="6"/>
  <c r="F21" i="6" s="1"/>
  <c r="F22" i="6" s="1"/>
  <c r="D24" i="6"/>
  <c r="D19" i="6"/>
  <c r="D21" i="6" s="1"/>
  <c r="D22" i="6" s="1"/>
  <c r="C19" i="6"/>
  <c r="C21" i="6" s="1"/>
  <c r="H12" i="2"/>
  <c r="I14" i="6" l="1"/>
  <c r="O16" i="1"/>
  <c r="H21" i="5"/>
  <c r="I14" i="1" s="1"/>
  <c r="C22" i="5"/>
  <c r="H22" i="5" s="1"/>
  <c r="I13" i="1" s="1"/>
  <c r="H24" i="5"/>
  <c r="H27" i="5" s="1"/>
  <c r="L14" i="1" s="1"/>
  <c r="R8" i="1"/>
  <c r="H26" i="6"/>
  <c r="F16" i="1"/>
  <c r="U8" i="1"/>
  <c r="Y8" i="1" s="1"/>
  <c r="J15" i="1"/>
  <c r="H26" i="5"/>
  <c r="H28" i="5" s="1"/>
  <c r="L15" i="1" s="1"/>
  <c r="F15" i="1"/>
  <c r="W8" i="1"/>
  <c r="H21" i="6"/>
  <c r="O14" i="1" s="1"/>
  <c r="P14" i="1" s="1"/>
  <c r="C22" i="6"/>
  <c r="H22" i="6" s="1"/>
  <c r="O13" i="1" s="1"/>
  <c r="H24" i="6"/>
  <c r="H27" i="6" s="1"/>
  <c r="P13" i="1" l="1"/>
  <c r="O11" i="1"/>
  <c r="M14" i="1"/>
  <c r="L11" i="1"/>
  <c r="P16" i="1"/>
  <c r="U16" i="1"/>
  <c r="H28" i="6"/>
  <c r="R16" i="1" s="1"/>
  <c r="R14" i="1"/>
  <c r="S14" i="1" s="1"/>
  <c r="M15" i="1"/>
  <c r="W15" i="1"/>
  <c r="R18" i="1"/>
  <c r="I12" i="2"/>
  <c r="J13" i="1"/>
  <c r="U13" i="1"/>
  <c r="U11" i="1" s="1"/>
  <c r="U18" i="1" s="1"/>
  <c r="I11" i="1"/>
  <c r="J14" i="1"/>
  <c r="U14" i="1"/>
  <c r="U19" i="1" l="1"/>
  <c r="J11" i="1"/>
  <c r="I18" i="1"/>
  <c r="J19" i="1" s="1"/>
  <c r="S16" i="1"/>
  <c r="R11" i="1"/>
  <c r="S11" i="1" s="1"/>
  <c r="W16" i="1"/>
  <c r="M11" i="1"/>
  <c r="W11" i="1"/>
  <c r="W18" i="1" s="1"/>
  <c r="L18" i="1"/>
  <c r="W14" i="1"/>
  <c r="P11" i="1"/>
  <c r="O18" i="1"/>
  <c r="P19" i="1" s="1"/>
  <c r="I25" i="2" l="1"/>
  <c r="Y18" i="1"/>
  <c r="W19" i="1" s="1"/>
  <c r="C7" i="7"/>
  <c r="C15" i="7" s="1"/>
</calcChain>
</file>

<file path=xl/sharedStrings.xml><?xml version="1.0" encoding="utf-8"?>
<sst xmlns="http://schemas.openxmlformats.org/spreadsheetml/2006/main" count="168" uniqueCount="59">
  <si>
    <t>= [Net Sales] - [COS]</t>
  </si>
  <si>
    <t>→</t>
  </si>
  <si>
    <t>Số lượng bán</t>
  </si>
  <si>
    <t>Giá bán</t>
  </si>
  <si>
    <t>Nhóm mít</t>
  </si>
  <si>
    <t>Nhóm chuối</t>
  </si>
  <si>
    <t>Nhóm lang</t>
  </si>
  <si>
    <t>Nhóm môn</t>
  </si>
  <si>
    <t>Nhóm thập cẩm</t>
  </si>
  <si>
    <t>Doanh thu thuần</t>
  </si>
  <si>
    <t>Lợi nhuận gộp</t>
  </si>
  <si>
    <t>Định phí sản xuất</t>
  </si>
  <si>
    <t>Biến phí sản xuất đơn vị</t>
  </si>
  <si>
    <t>Tổng biến phí sản xuất</t>
  </si>
  <si>
    <t>Giá vốn hàng bán</t>
  </si>
  <si>
    <t>SỐ LIỆU KẾ HOẠCH</t>
  </si>
  <si>
    <t>THỰC TẾ PHÁT SINH</t>
  </si>
  <si>
    <t>Tổng cộng</t>
  </si>
  <si>
    <t xml:space="preserve">wbn </t>
  </si>
  <si>
    <t>Kế hoạch</t>
  </si>
  <si>
    <t>Tác động</t>
  </si>
  <si>
    <t>Thực tế</t>
  </si>
  <si>
    <t>Biến động giá</t>
  </si>
  <si>
    <t>Biến động lượng</t>
  </si>
  <si>
    <t>Cấu trúc sản phẩm KH</t>
  </si>
  <si>
    <t>Volume - Mix</t>
  </si>
  <si>
    <t>Mix - cấu trúc sản phẩm</t>
  </si>
  <si>
    <t>Tác động của lượng bán</t>
  </si>
  <si>
    <t>Doanh thu</t>
  </si>
  <si>
    <t>Giá bán BQ</t>
  </si>
  <si>
    <t>Price Mix</t>
  </si>
  <si>
    <t>Biến động giá Mix</t>
  </si>
  <si>
    <t xml:space="preserve">Biến động giá đơn vị </t>
  </si>
  <si>
    <t>Biến động giá bq</t>
  </si>
  <si>
    <t>Nguyên nhân</t>
  </si>
  <si>
    <t>Giá trị</t>
  </si>
  <si>
    <t>%</t>
  </si>
  <si>
    <t>= [Số lượng bán] x [Giá bán bình quân]</t>
  </si>
  <si>
    <t>DOANH THU THUẦN</t>
  </si>
  <si>
    <t>GIÁ VỐN HÀNG BÁN</t>
  </si>
  <si>
    <t>LỢI NHUẬN GỘP</t>
  </si>
  <si>
    <t>YẾU TỐ</t>
  </si>
  <si>
    <t>Khối lượng</t>
  </si>
  <si>
    <t>Cơ cấu</t>
  </si>
  <si>
    <t>Chi phí đơn vị</t>
  </si>
  <si>
    <t>Chi phí BQ</t>
  </si>
  <si>
    <t>Tỷ lệ</t>
  </si>
  <si>
    <t>=[Số lượng bán] x [Chi phí bình quân]</t>
  </si>
  <si>
    <t>MÔ HÌNH PHÂN TÍCH BIẾN ĐỘNG LỢI NHUẬN GỘP - 4 YẾU TỐ</t>
  </si>
  <si>
    <t>(4 yếu tố: Sản lượng, Cơ cấu sản phẩm bán, Giá bán và chi phí bình quân)</t>
  </si>
  <si>
    <t>Giá vốn</t>
  </si>
  <si>
    <t>LNG</t>
  </si>
  <si>
    <t>LNG/Đv</t>
  </si>
  <si>
    <t>% LNG</t>
  </si>
  <si>
    <t>Định phí đơn vị</t>
  </si>
  <si>
    <t>Lợi nhuận biên</t>
  </si>
  <si>
    <t>Tác động giá</t>
  </si>
  <si>
    <t>Lợi nhuận biên dk</t>
  </si>
  <si>
    <t>Lợi nhuận biên 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</si>
</sst>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\+0.0%;\-0.0%;0.0%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color theme="4"/>
      <name val="Calibri"/>
      <family val="2"/>
    </font>
    <font>
      <b/>
      <sz val="14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ashed">
        <color theme="2"/>
      </bottom>
      <diagonal/>
    </border>
    <border>
      <left style="dashed">
        <color theme="2"/>
      </left>
      <right/>
      <top style="dashed">
        <color theme="2"/>
      </top>
      <bottom style="dashed">
        <color theme="2"/>
      </bottom>
      <diagonal/>
    </border>
    <border>
      <left/>
      <right style="dashed">
        <color theme="2"/>
      </right>
      <top style="dashed">
        <color theme="2"/>
      </top>
      <bottom style="dashed">
        <color theme="2"/>
      </bottom>
      <diagonal/>
    </border>
    <border>
      <left style="dashed">
        <color theme="2"/>
      </left>
      <right style="dashed">
        <color theme="2"/>
      </right>
      <top style="dashed">
        <color theme="2"/>
      </top>
      <bottom style="dashed">
        <color theme="2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3" borderId="0" xfId="1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65" fontId="2" fillId="5" borderId="0" xfId="1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3" fillId="6" borderId="0" xfId="1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165" fontId="0" fillId="9" borderId="4" xfId="1" applyNumberFormat="1" applyFont="1" applyFill="1" applyBorder="1" applyAlignment="1">
      <alignment horizontal="center"/>
    </xf>
    <xf numFmtId="165" fontId="0" fillId="10" borderId="4" xfId="1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165" fontId="0" fillId="2" borderId="0" xfId="1" applyNumberFormat="1" applyFont="1" applyFill="1"/>
    <xf numFmtId="165" fontId="12" fillId="2" borderId="0" xfId="0" applyNumberFormat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0" applyFont="1"/>
    <xf numFmtId="43" fontId="0" fillId="0" borderId="0" xfId="2" applyFont="1"/>
    <xf numFmtId="0" fontId="0" fillId="0" borderId="5" xfId="0" applyBorder="1"/>
    <xf numFmtId="43" fontId="0" fillId="0" borderId="5" xfId="2" applyFont="1" applyBorder="1"/>
    <xf numFmtId="43" fontId="3" fillId="0" borderId="0" xfId="2" applyFont="1"/>
    <xf numFmtId="0" fontId="3" fillId="12" borderId="0" xfId="0" applyFont="1" applyFill="1"/>
    <xf numFmtId="43" fontId="0" fillId="0" borderId="0" xfId="2" applyFont="1" applyAlignment="1">
      <alignment horizontal="center"/>
    </xf>
    <xf numFmtId="43" fontId="0" fillId="0" borderId="5" xfId="2" applyFont="1" applyBorder="1" applyAlignment="1">
      <alignment horizontal="center"/>
    </xf>
    <xf numFmtId="43" fontId="3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3" fillId="13" borderId="0" xfId="0" applyFont="1" applyFill="1"/>
    <xf numFmtId="0" fontId="3" fillId="13" borderId="0" xfId="0" applyFont="1" applyFill="1" applyAlignment="1">
      <alignment horizontal="center"/>
    </xf>
    <xf numFmtId="9" fontId="0" fillId="0" borderId="0" xfId="1" applyFont="1"/>
    <xf numFmtId="43" fontId="0" fillId="0" borderId="0" xfId="0" applyNumberFormat="1"/>
    <xf numFmtId="0" fontId="14" fillId="2" borderId="0" xfId="0" applyFont="1" applyFill="1" applyAlignment="1">
      <alignment horizontal="center"/>
    </xf>
    <xf numFmtId="166" fontId="2" fillId="3" borderId="0" xfId="2" applyNumberFormat="1" applyFont="1" applyFill="1" applyAlignment="1">
      <alignment horizontal="center" vertical="center"/>
    </xf>
    <xf numFmtId="166" fontId="15" fillId="9" borderId="4" xfId="2" applyNumberFormat="1" applyFont="1" applyFill="1" applyBorder="1" applyAlignment="1">
      <alignment horizontal="center"/>
    </xf>
    <xf numFmtId="166" fontId="2" fillId="5" borderId="0" xfId="2" applyNumberFormat="1" applyFont="1" applyFill="1" applyAlignment="1">
      <alignment horizontal="center"/>
    </xf>
    <xf numFmtId="43" fontId="0" fillId="0" borderId="0" xfId="0" applyNumberFormat="1" applyAlignment="1">
      <alignment horizontal="center"/>
    </xf>
    <xf numFmtId="43" fontId="0" fillId="9" borderId="4" xfId="2" applyFont="1" applyFill="1" applyBorder="1" applyAlignment="1">
      <alignment horizontal="center"/>
    </xf>
    <xf numFmtId="43" fontId="2" fillId="5" borderId="0" xfId="2" applyFont="1" applyFill="1" applyAlignment="1">
      <alignment horizontal="center"/>
    </xf>
    <xf numFmtId="43" fontId="2" fillId="3" borderId="0" xfId="2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/>
    <xf numFmtId="0" fontId="12" fillId="2" borderId="6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0" fillId="2" borderId="6" xfId="0" applyFill="1" applyBorder="1"/>
    <xf numFmtId="43" fontId="3" fillId="6" borderId="0" xfId="2" applyFont="1" applyFill="1" applyAlignment="1">
      <alignment horizontal="center"/>
    </xf>
    <xf numFmtId="43" fontId="0" fillId="10" borderId="4" xfId="2" applyFont="1" applyFill="1" applyBorder="1" applyAlignment="1">
      <alignment horizontal="center"/>
    </xf>
    <xf numFmtId="43" fontId="0" fillId="2" borderId="0" xfId="2" applyFont="1" applyFill="1" applyAlignment="1">
      <alignment horizontal="center"/>
    </xf>
    <xf numFmtId="43" fontId="2" fillId="7" borderId="0" xfId="2" applyFont="1" applyFill="1" applyAlignment="1">
      <alignment horizontal="center"/>
    </xf>
    <xf numFmtId="43" fontId="2" fillId="2" borderId="0" xfId="2" applyFont="1" applyFill="1" applyAlignment="1">
      <alignment horizontal="center"/>
    </xf>
    <xf numFmtId="43" fontId="0" fillId="11" borderId="4" xfId="2" applyFont="1" applyFill="1" applyBorder="1" applyAlignment="1">
      <alignment horizontal="center"/>
    </xf>
    <xf numFmtId="43" fontId="3" fillId="2" borderId="0" xfId="2" applyFont="1" applyFill="1" applyAlignment="1">
      <alignment horizontal="center"/>
    </xf>
    <xf numFmtId="43" fontId="12" fillId="2" borderId="0" xfId="2" applyFont="1" applyFill="1" applyAlignment="1">
      <alignment horizontal="center"/>
    </xf>
    <xf numFmtId="166" fontId="2" fillId="7" borderId="0" xfId="2" applyNumberFormat="1" applyFont="1" applyFill="1" applyAlignment="1">
      <alignment horizontal="center"/>
    </xf>
    <xf numFmtId="166" fontId="0" fillId="11" borderId="4" xfId="2" applyNumberFormat="1" applyFont="1" applyFill="1" applyBorder="1" applyAlignment="1">
      <alignment horizontal="center"/>
    </xf>
    <xf numFmtId="164" fontId="0" fillId="0" borderId="0" xfId="0" applyNumberFormat="1"/>
    <xf numFmtId="166" fontId="3" fillId="6" borderId="0" xfId="2" applyNumberFormat="1" applyFont="1" applyFill="1" applyAlignment="1">
      <alignment horizontal="center"/>
    </xf>
    <xf numFmtId="166" fontId="0" fillId="10" borderId="4" xfId="2" applyNumberFormat="1" applyFont="1" applyFill="1" applyBorder="1" applyAlignment="1">
      <alignment horizontal="center"/>
    </xf>
    <xf numFmtId="166" fontId="0" fillId="2" borderId="0" xfId="2" applyNumberFormat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/>
    <xf numFmtId="43" fontId="0" fillId="14" borderId="0" xfId="2" applyFont="1" applyFill="1"/>
    <xf numFmtId="10" fontId="0" fillId="11" borderId="4" xfId="1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0" xfId="0" quotePrefix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 wrapText="1"/>
    </xf>
    <xf numFmtId="0" fontId="8" fillId="6" borderId="0" xfId="0" quotePrefix="1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66" fontId="2" fillId="3" borderId="0" xfId="2" applyNumberFormat="1" applyFont="1" applyFill="1" applyAlignment="1">
      <alignment vertical="center"/>
    </xf>
    <xf numFmtId="43" fontId="2" fillId="3" borderId="0" xfId="2" applyFont="1" applyFill="1" applyAlignment="1">
      <alignment horizontal="center" vertical="center"/>
    </xf>
    <xf numFmtId="166" fontId="2" fillId="3" borderId="0" xfId="2" applyNumberFormat="1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43" fontId="12" fillId="2" borderId="1" xfId="2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65" fontId="0" fillId="8" borderId="2" xfId="1" applyNumberFormat="1" applyFont="1" applyFill="1" applyBorder="1" applyAlignment="1">
      <alignment horizontal="center"/>
    </xf>
    <xf numFmtId="165" fontId="0" fillId="8" borderId="3" xfId="1" applyNumberFormat="1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E0807-4DD4-4F36-AC2B-23A4B56E8CA5}">
  <dimension ref="B2:I28"/>
  <sheetViews>
    <sheetView showGridLines="0" workbookViewId="0">
      <selection activeCell="H2" sqref="H2:H10"/>
    </sheetView>
  </sheetViews>
  <sheetFormatPr defaultRowHeight="14.4" x14ac:dyDescent="0.3"/>
  <cols>
    <col min="1" max="1" width="3.6640625" customWidth="1"/>
    <col min="2" max="2" width="20.33203125" bestFit="1" customWidth="1"/>
    <col min="3" max="6" width="14.21875" bestFit="1" customWidth="1"/>
    <col min="7" max="7" width="14.77734375" bestFit="1" customWidth="1"/>
    <col min="8" max="8" width="15.21875" style="37" bestFit="1" customWidth="1"/>
    <col min="9" max="9" width="14.6640625" bestFit="1" customWidth="1"/>
  </cols>
  <sheetData>
    <row r="2" spans="2:9" x14ac:dyDescent="0.3">
      <c r="B2" s="33" t="s">
        <v>15</v>
      </c>
      <c r="C2" s="38" t="s">
        <v>4</v>
      </c>
      <c r="D2" s="38" t="s">
        <v>5</v>
      </c>
      <c r="E2" s="38" t="s">
        <v>6</v>
      </c>
      <c r="F2" s="38" t="s">
        <v>7</v>
      </c>
      <c r="G2" s="38" t="s">
        <v>8</v>
      </c>
      <c r="H2" s="39" t="s">
        <v>17</v>
      </c>
    </row>
    <row r="3" spans="2:9" x14ac:dyDescent="0.3">
      <c r="B3" t="s">
        <v>2</v>
      </c>
      <c r="C3" s="29">
        <v>510</v>
      </c>
      <c r="D3" s="29">
        <v>558</v>
      </c>
      <c r="E3" s="29">
        <v>642</v>
      </c>
      <c r="F3" s="29">
        <v>335</v>
      </c>
      <c r="G3" s="29">
        <v>316</v>
      </c>
      <c r="H3" s="34">
        <f>SUM(C3:G3)</f>
        <v>2361</v>
      </c>
    </row>
    <row r="4" spans="2:9" ht="15" thickBot="1" x14ac:dyDescent="0.35">
      <c r="B4" s="30" t="s">
        <v>44</v>
      </c>
      <c r="C4" s="31">
        <f>C5/C3</f>
        <v>28653.89</v>
      </c>
      <c r="D4" s="31">
        <f t="shared" ref="D4:H4" si="0">D5/D3</f>
        <v>25864.680000000004</v>
      </c>
      <c r="E4" s="31">
        <f t="shared" si="0"/>
        <v>15167.68</v>
      </c>
      <c r="F4" s="31">
        <f t="shared" si="0"/>
        <v>25554.730000000003</v>
      </c>
      <c r="G4" s="31">
        <f t="shared" si="0"/>
        <v>21863.059999999998</v>
      </c>
      <c r="H4" s="31">
        <f t="shared" si="0"/>
        <v>22978.90191020754</v>
      </c>
    </row>
    <row r="5" spans="2:9" x14ac:dyDescent="0.3">
      <c r="B5" s="28" t="s">
        <v>14</v>
      </c>
      <c r="C5" s="32">
        <f>Sheet2!C10</f>
        <v>14613483.9</v>
      </c>
      <c r="D5" s="32">
        <f>Sheet2!D10</f>
        <v>14432491.440000001</v>
      </c>
      <c r="E5" s="32">
        <f>Sheet2!E10</f>
        <v>9737650.5600000005</v>
      </c>
      <c r="F5" s="32">
        <f>Sheet2!F10</f>
        <v>8560834.5500000007</v>
      </c>
      <c r="G5" s="32">
        <f>Sheet2!G10</f>
        <v>6908726.959999999</v>
      </c>
      <c r="H5" s="32">
        <f>Sheet2!H10</f>
        <v>54253187.410000004</v>
      </c>
    </row>
    <row r="7" spans="2:9" x14ac:dyDescent="0.3">
      <c r="B7" s="33" t="s">
        <v>16</v>
      </c>
      <c r="C7" s="38" t="s">
        <v>4</v>
      </c>
      <c r="D7" s="38" t="s">
        <v>5</v>
      </c>
      <c r="E7" s="38" t="s">
        <v>6</v>
      </c>
      <c r="F7" s="38" t="s">
        <v>7</v>
      </c>
      <c r="G7" s="38" t="s">
        <v>8</v>
      </c>
      <c r="H7" s="39" t="s">
        <v>17</v>
      </c>
    </row>
    <row r="8" spans="2:9" x14ac:dyDescent="0.3">
      <c r="B8" t="s">
        <v>2</v>
      </c>
      <c r="C8" s="29">
        <v>691</v>
      </c>
      <c r="D8" s="29">
        <v>666</v>
      </c>
      <c r="E8" s="29">
        <v>468</v>
      </c>
      <c r="F8" s="29">
        <v>833</v>
      </c>
      <c r="G8" s="29">
        <v>246</v>
      </c>
      <c r="H8" s="34">
        <f>SUM(C8:G8)</f>
        <v>2904</v>
      </c>
    </row>
    <row r="9" spans="2:9" ht="15" thickBot="1" x14ac:dyDescent="0.35">
      <c r="B9" s="30" t="s">
        <v>44</v>
      </c>
      <c r="C9" s="31">
        <f>C10/C8</f>
        <v>17585.7</v>
      </c>
      <c r="D9" s="31">
        <f t="shared" ref="D9:H9" si="1">D10/D8</f>
        <v>22629.039999999997</v>
      </c>
      <c r="E9" s="31">
        <f t="shared" si="1"/>
        <v>14877.449999999999</v>
      </c>
      <c r="F9" s="31">
        <f t="shared" si="1"/>
        <v>7693.7</v>
      </c>
      <c r="G9" s="31">
        <f t="shared" si="1"/>
        <v>7684.74</v>
      </c>
      <c r="H9" s="31">
        <f t="shared" si="1"/>
        <v>14629.684600550963</v>
      </c>
    </row>
    <row r="10" spans="2:9" x14ac:dyDescent="0.3">
      <c r="B10" s="28" t="s">
        <v>14</v>
      </c>
      <c r="C10" s="32">
        <f>Sheet2!C23</f>
        <v>12151718.700000001</v>
      </c>
      <c r="D10" s="32">
        <f>Sheet2!D23</f>
        <v>15070940.639999999</v>
      </c>
      <c r="E10" s="32">
        <f>Sheet2!E23</f>
        <v>6962646.5999999996</v>
      </c>
      <c r="F10" s="32">
        <f>Sheet2!F23</f>
        <v>6408852.0999999996</v>
      </c>
      <c r="G10" s="32">
        <f>Sheet2!G23</f>
        <v>1890446.04</v>
      </c>
      <c r="H10" s="32">
        <f>Sheet2!H23</f>
        <v>42484604.079999998</v>
      </c>
      <c r="I10" s="41">
        <f>H5-H10</f>
        <v>11768583.330000006</v>
      </c>
    </row>
    <row r="11" spans="2:9" x14ac:dyDescent="0.3">
      <c r="C11" s="29"/>
      <c r="D11" s="29"/>
      <c r="E11" s="29"/>
      <c r="F11" s="29"/>
      <c r="G11" s="29"/>
      <c r="H11" s="34"/>
    </row>
    <row r="14" spans="2:9" x14ac:dyDescent="0.3">
      <c r="B14" s="28" t="s">
        <v>22</v>
      </c>
      <c r="C14" s="29">
        <f>(C9-C4)*C8</f>
        <v>-7648119.2899999991</v>
      </c>
      <c r="D14" s="29">
        <f t="shared" ref="D14:G14" si="2">(D9-D4)*D8</f>
        <v>-2154936.2400000044</v>
      </c>
      <c r="E14" s="29">
        <f t="shared" si="2"/>
        <v>-135827.64000000065</v>
      </c>
      <c r="F14" s="29">
        <f t="shared" si="2"/>
        <v>-14878237.990000002</v>
      </c>
      <c r="G14" s="29">
        <f t="shared" si="2"/>
        <v>-3487866.7199999993</v>
      </c>
      <c r="H14" s="29">
        <f>SUM(C14:G14)</f>
        <v>-28304987.880000003</v>
      </c>
      <c r="I14" s="41">
        <f>H14+H15</f>
        <v>-11768583.330000002</v>
      </c>
    </row>
    <row r="15" spans="2:9" x14ac:dyDescent="0.3">
      <c r="B15" s="28" t="s">
        <v>23</v>
      </c>
      <c r="C15" s="29">
        <f>(C8-C3)*C4</f>
        <v>5186354.09</v>
      </c>
      <c r="D15" s="29">
        <f t="shared" ref="D15:G15" si="3">(D8-D3)*D4</f>
        <v>2793385.4400000004</v>
      </c>
      <c r="E15" s="29">
        <f t="shared" si="3"/>
        <v>-2639176.3199999998</v>
      </c>
      <c r="F15" s="29">
        <f t="shared" si="3"/>
        <v>12726255.540000001</v>
      </c>
      <c r="G15" s="29">
        <f t="shared" si="3"/>
        <v>-1530414.1999999997</v>
      </c>
      <c r="H15" s="29">
        <f>SUM(C15:G15)</f>
        <v>16536404.550000001</v>
      </c>
    </row>
    <row r="17" spans="2:8" x14ac:dyDescent="0.3">
      <c r="B17" t="s">
        <v>24</v>
      </c>
      <c r="C17" s="38" t="s">
        <v>4</v>
      </c>
      <c r="D17" s="38" t="s">
        <v>5</v>
      </c>
      <c r="E17" s="38" t="s">
        <v>6</v>
      </c>
      <c r="F17" s="38" t="s">
        <v>7</v>
      </c>
      <c r="G17" s="38" t="s">
        <v>8</v>
      </c>
    </row>
    <row r="18" spans="2:8" x14ac:dyDescent="0.3">
      <c r="C18" s="40">
        <f>C3/$H$3</f>
        <v>0.21601016518424396</v>
      </c>
      <c r="D18" s="40">
        <f t="shared" ref="D18:G18" si="4">D3/$H$3</f>
        <v>0.23634053367217281</v>
      </c>
      <c r="E18" s="40">
        <f t="shared" si="4"/>
        <v>0.27191867852604829</v>
      </c>
      <c r="F18" s="40">
        <f t="shared" si="4"/>
        <v>0.14188903007200337</v>
      </c>
      <c r="G18" s="40">
        <f t="shared" si="4"/>
        <v>0.13384159254553155</v>
      </c>
    </row>
    <row r="19" spans="2:8" x14ac:dyDescent="0.3">
      <c r="B19" t="s">
        <v>25</v>
      </c>
      <c r="C19" s="41">
        <f>C18*$H$8</f>
        <v>627.29351969504444</v>
      </c>
      <c r="D19" s="41">
        <f t="shared" ref="D19:G19" si="5">D18*$H$8</f>
        <v>686.33290978398986</v>
      </c>
      <c r="E19" s="41">
        <f t="shared" si="5"/>
        <v>789.65184243964427</v>
      </c>
      <c r="F19" s="41">
        <f t="shared" si="5"/>
        <v>412.04574332909777</v>
      </c>
      <c r="G19" s="41">
        <f t="shared" si="5"/>
        <v>388.6759847522236</v>
      </c>
    </row>
    <row r="21" spans="2:8" x14ac:dyDescent="0.3">
      <c r="B21" t="s">
        <v>26</v>
      </c>
      <c r="C21" s="29">
        <f>(C8-C19)*C4</f>
        <v>1825438.4789453631</v>
      </c>
      <c r="D21" s="29">
        <f t="shared" ref="D21:G21" si="6">(D8-D19)*D4</f>
        <v>-525904.20503176702</v>
      </c>
      <c r="E21" s="29">
        <f t="shared" si="6"/>
        <v>-4878712.2175349435</v>
      </c>
      <c r="F21" s="29">
        <f t="shared" si="6"/>
        <v>10757372.371575607</v>
      </c>
      <c r="G21" s="29">
        <f t="shared" si="6"/>
        <v>-3119333.6151969493</v>
      </c>
      <c r="H21" s="29">
        <f>SUM(C21:G21)</f>
        <v>4058860.81275731</v>
      </c>
    </row>
    <row r="22" spans="2:8" x14ac:dyDescent="0.3">
      <c r="B22" t="s">
        <v>27</v>
      </c>
      <c r="C22" s="41">
        <f>C15-C21</f>
        <v>3360915.6110546365</v>
      </c>
      <c r="D22" s="41">
        <f t="shared" ref="D22:G22" si="7">D15-D21</f>
        <v>3319289.6450317674</v>
      </c>
      <c r="E22" s="41">
        <f t="shared" si="7"/>
        <v>2239535.8975349437</v>
      </c>
      <c r="F22" s="41">
        <f t="shared" si="7"/>
        <v>1968883.168424394</v>
      </c>
      <c r="G22" s="41">
        <f t="shared" si="7"/>
        <v>1588919.4151969496</v>
      </c>
      <c r="H22" s="29">
        <f>SUM(C22:G22)</f>
        <v>12477543.737242691</v>
      </c>
    </row>
    <row r="24" spans="2:8" x14ac:dyDescent="0.3">
      <c r="B24" t="s">
        <v>30</v>
      </c>
      <c r="C24" s="41">
        <f>C18*C9</f>
        <v>3798.6899618805592</v>
      </c>
      <c r="D24" s="41">
        <f t="shared" ref="D24:F24" si="8">D18*D9</f>
        <v>5348.1593900889447</v>
      </c>
      <c r="E24" s="41">
        <f t="shared" si="8"/>
        <v>4045.4565438373565</v>
      </c>
      <c r="F24" s="41">
        <f t="shared" si="8"/>
        <v>1091.6516306649723</v>
      </c>
      <c r="G24" s="41">
        <f>G18*G9</f>
        <v>1028.537839898348</v>
      </c>
      <c r="H24" s="46">
        <f>SUM(C24:G24)</f>
        <v>15312.495366370182</v>
      </c>
    </row>
    <row r="26" spans="2:8" x14ac:dyDescent="0.3">
      <c r="B26" t="s">
        <v>32</v>
      </c>
      <c r="H26" s="46">
        <f>H9-H4</f>
        <v>-8349.2173096565766</v>
      </c>
    </row>
    <row r="27" spans="2:8" x14ac:dyDescent="0.3">
      <c r="B27" t="s">
        <v>31</v>
      </c>
      <c r="H27" s="46">
        <f>H9-H24</f>
        <v>-682.81076581921843</v>
      </c>
    </row>
    <row r="28" spans="2:8" x14ac:dyDescent="0.3">
      <c r="B28" t="s">
        <v>33</v>
      </c>
      <c r="H28" s="46">
        <f>H26-H27</f>
        <v>-7666.4065438373582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9403-9C74-4556-910F-51761688795E}">
  <dimension ref="B2:I28"/>
  <sheetViews>
    <sheetView showGridLines="0" workbookViewId="0">
      <selection activeCell="H9" sqref="H9"/>
    </sheetView>
  </sheetViews>
  <sheetFormatPr defaultRowHeight="14.4" x14ac:dyDescent="0.3"/>
  <cols>
    <col min="1" max="1" width="3.6640625" customWidth="1"/>
    <col min="2" max="2" width="20.33203125" bestFit="1" customWidth="1"/>
    <col min="3" max="6" width="14.21875" bestFit="1" customWidth="1"/>
    <col min="7" max="7" width="14.77734375" bestFit="1" customWidth="1"/>
    <col min="8" max="8" width="15.21875" style="37" bestFit="1" customWidth="1"/>
    <col min="9" max="9" width="14.6640625" bestFit="1" customWidth="1"/>
  </cols>
  <sheetData>
    <row r="2" spans="2:9" x14ac:dyDescent="0.3">
      <c r="B2" s="33" t="s">
        <v>15</v>
      </c>
      <c r="C2" s="38" t="s">
        <v>4</v>
      </c>
      <c r="D2" s="38" t="s">
        <v>5</v>
      </c>
      <c r="E2" s="38" t="s">
        <v>6</v>
      </c>
      <c r="F2" s="38" t="s">
        <v>7</v>
      </c>
      <c r="G2" s="38" t="s">
        <v>8</v>
      </c>
      <c r="H2" s="39" t="s">
        <v>17</v>
      </c>
    </row>
    <row r="3" spans="2:9" x14ac:dyDescent="0.3">
      <c r="B3" t="s">
        <v>2</v>
      </c>
      <c r="C3" s="29">
        <v>510</v>
      </c>
      <c r="D3" s="29">
        <v>558</v>
      </c>
      <c r="E3" s="29">
        <v>642</v>
      </c>
      <c r="F3" s="29">
        <v>335</v>
      </c>
      <c r="G3" s="29">
        <v>316</v>
      </c>
      <c r="H3" s="34">
        <f>SUM(C3:G3)</f>
        <v>2361</v>
      </c>
    </row>
    <row r="4" spans="2:9" ht="15" thickBot="1" x14ac:dyDescent="0.35">
      <c r="B4" s="30" t="s">
        <v>3</v>
      </c>
      <c r="C4" s="31">
        <v>42767</v>
      </c>
      <c r="D4" s="31">
        <v>38604</v>
      </c>
      <c r="E4" s="31">
        <v>24464</v>
      </c>
      <c r="F4" s="31">
        <v>41893</v>
      </c>
      <c r="G4" s="31">
        <v>35263</v>
      </c>
      <c r="H4" s="35">
        <f>H5/H3</f>
        <v>35677.828462515885</v>
      </c>
    </row>
    <row r="5" spans="2:9" x14ac:dyDescent="0.3">
      <c r="B5" s="28" t="s">
        <v>9</v>
      </c>
      <c r="C5" s="32">
        <f>C3*C4</f>
        <v>21811170</v>
      </c>
      <c r="D5" s="32">
        <f t="shared" ref="D5:G5" si="0">D3*D4</f>
        <v>21541032</v>
      </c>
      <c r="E5" s="32">
        <f t="shared" si="0"/>
        <v>15705888</v>
      </c>
      <c r="F5" s="32">
        <f t="shared" si="0"/>
        <v>14034155</v>
      </c>
      <c r="G5" s="32">
        <f t="shared" si="0"/>
        <v>11143108</v>
      </c>
      <c r="H5" s="36">
        <f>SUM(C5:G5)</f>
        <v>84235353</v>
      </c>
    </row>
    <row r="7" spans="2:9" x14ac:dyDescent="0.3">
      <c r="B7" s="33" t="s">
        <v>16</v>
      </c>
      <c r="C7" s="38" t="s">
        <v>4</v>
      </c>
      <c r="D7" s="38" t="s">
        <v>5</v>
      </c>
      <c r="E7" s="38" t="s">
        <v>6</v>
      </c>
      <c r="F7" s="38" t="s">
        <v>7</v>
      </c>
      <c r="G7" s="38" t="s">
        <v>8</v>
      </c>
      <c r="H7" s="39" t="s">
        <v>17</v>
      </c>
    </row>
    <row r="8" spans="2:9" x14ac:dyDescent="0.3">
      <c r="B8" t="s">
        <v>2</v>
      </c>
      <c r="C8" s="29">
        <v>691</v>
      </c>
      <c r="D8" s="29">
        <v>666</v>
      </c>
      <c r="E8" s="29">
        <v>468</v>
      </c>
      <c r="F8" s="29">
        <v>833</v>
      </c>
      <c r="G8" s="29">
        <v>246</v>
      </c>
      <c r="H8" s="34">
        <f>SUM(C8:G8)</f>
        <v>2904</v>
      </c>
    </row>
    <row r="9" spans="2:9" ht="15" thickBot="1" x14ac:dyDescent="0.35">
      <c r="B9" s="30" t="s">
        <v>3</v>
      </c>
      <c r="C9" s="31">
        <v>31974</v>
      </c>
      <c r="D9" s="31">
        <v>33278</v>
      </c>
      <c r="E9" s="31">
        <v>23615</v>
      </c>
      <c r="F9" s="31">
        <v>13265</v>
      </c>
      <c r="G9" s="31">
        <v>14231</v>
      </c>
      <c r="H9" s="35">
        <f>H10/H8</f>
        <v>24056.326790633608</v>
      </c>
    </row>
    <row r="10" spans="2:9" x14ac:dyDescent="0.3">
      <c r="B10" s="28" t="s">
        <v>9</v>
      </c>
      <c r="C10" s="32">
        <v>22094034</v>
      </c>
      <c r="D10" s="32">
        <v>22163148</v>
      </c>
      <c r="E10" s="32">
        <v>11051820</v>
      </c>
      <c r="F10" s="32">
        <v>11049745</v>
      </c>
      <c r="G10" s="32">
        <v>3500826</v>
      </c>
      <c r="H10" s="36">
        <f>SUM(C10:G10)</f>
        <v>69859573</v>
      </c>
      <c r="I10" s="41">
        <f>H5-H10</f>
        <v>14375780</v>
      </c>
    </row>
    <row r="11" spans="2:9" x14ac:dyDescent="0.3">
      <c r="C11" s="29"/>
      <c r="D11" s="29"/>
      <c r="E11" s="29"/>
      <c r="F11" s="29"/>
      <c r="G11" s="29"/>
      <c r="H11" s="34"/>
    </row>
    <row r="14" spans="2:9" x14ac:dyDescent="0.3">
      <c r="B14" s="28" t="s">
        <v>22</v>
      </c>
      <c r="C14" s="29">
        <f>(C9-C4)*C8</f>
        <v>-7457963</v>
      </c>
      <c r="D14" s="29">
        <f t="shared" ref="D14:G14" si="1">(D9-D4)*D8</f>
        <v>-3547116</v>
      </c>
      <c r="E14" s="29">
        <f t="shared" si="1"/>
        <v>-397332</v>
      </c>
      <c r="F14" s="29">
        <f t="shared" si="1"/>
        <v>-23847124</v>
      </c>
      <c r="G14" s="29">
        <f t="shared" si="1"/>
        <v>-5173872</v>
      </c>
      <c r="H14" s="29">
        <f>SUM(C14:G14)</f>
        <v>-40423407</v>
      </c>
      <c r="I14" s="41">
        <f>H14+H15</f>
        <v>-14375780</v>
      </c>
    </row>
    <row r="15" spans="2:9" x14ac:dyDescent="0.3">
      <c r="B15" s="28" t="s">
        <v>23</v>
      </c>
      <c r="C15" s="29">
        <f>(C8-C3)*C4</f>
        <v>7740827</v>
      </c>
      <c r="D15" s="29">
        <f t="shared" ref="D15:G15" si="2">(D8-D3)*D4</f>
        <v>4169232</v>
      </c>
      <c r="E15" s="29">
        <f t="shared" si="2"/>
        <v>-4256736</v>
      </c>
      <c r="F15" s="29">
        <f t="shared" si="2"/>
        <v>20862714</v>
      </c>
      <c r="G15" s="29">
        <f t="shared" si="2"/>
        <v>-2468410</v>
      </c>
      <c r="H15" s="29">
        <f>SUM(C15:G15)</f>
        <v>26047627</v>
      </c>
    </row>
    <row r="17" spans="2:8" x14ac:dyDescent="0.3">
      <c r="B17" t="s">
        <v>24</v>
      </c>
      <c r="C17" s="38" t="s">
        <v>4</v>
      </c>
      <c r="D17" s="38" t="s">
        <v>5</v>
      </c>
      <c r="E17" s="38" t="s">
        <v>6</v>
      </c>
      <c r="F17" s="38" t="s">
        <v>7</v>
      </c>
      <c r="G17" s="38" t="s">
        <v>8</v>
      </c>
    </row>
    <row r="18" spans="2:8" x14ac:dyDescent="0.3">
      <c r="C18" s="40">
        <f>C3/$H$3</f>
        <v>0.21601016518424396</v>
      </c>
      <c r="D18" s="40">
        <f t="shared" ref="D18:G18" si="3">D3/$H$3</f>
        <v>0.23634053367217281</v>
      </c>
      <c r="E18" s="40">
        <f t="shared" si="3"/>
        <v>0.27191867852604829</v>
      </c>
      <c r="F18" s="40">
        <f t="shared" si="3"/>
        <v>0.14188903007200337</v>
      </c>
      <c r="G18" s="40">
        <f t="shared" si="3"/>
        <v>0.13384159254553155</v>
      </c>
    </row>
    <row r="19" spans="2:8" x14ac:dyDescent="0.3">
      <c r="B19" t="s">
        <v>25</v>
      </c>
      <c r="C19" s="41">
        <f>C18*$H$8</f>
        <v>627.29351969504444</v>
      </c>
      <c r="D19" s="41">
        <f t="shared" ref="D19:G19" si="4">D18*$H$8</f>
        <v>686.33290978398986</v>
      </c>
      <c r="E19" s="41">
        <f t="shared" si="4"/>
        <v>789.65184243964427</v>
      </c>
      <c r="F19" s="41">
        <f t="shared" si="4"/>
        <v>412.04574332909777</v>
      </c>
      <c r="G19" s="41">
        <f t="shared" si="4"/>
        <v>388.6759847522236</v>
      </c>
    </row>
    <row r="21" spans="2:8" x14ac:dyDescent="0.3">
      <c r="B21" t="s">
        <v>26</v>
      </c>
      <c r="C21" s="29">
        <f>(C8-C19)*C4</f>
        <v>2724535.0432020347</v>
      </c>
      <c r="D21" s="29">
        <f t="shared" ref="D21:G21" si="5">(D8-D19)*D4</f>
        <v>-784931.64930114464</v>
      </c>
      <c r="E21" s="29">
        <f t="shared" si="5"/>
        <v>-7868890.6734434571</v>
      </c>
      <c r="F21" s="29">
        <f t="shared" si="5"/>
        <v>17635036.674714107</v>
      </c>
      <c r="G21" s="29">
        <f t="shared" si="5"/>
        <v>-5031183.2503176611</v>
      </c>
      <c r="H21" s="29">
        <f>SUM(C21:G21)</f>
        <v>6674566.1448538788</v>
      </c>
    </row>
    <row r="22" spans="2:8" x14ac:dyDescent="0.3">
      <c r="B22" t="s">
        <v>27</v>
      </c>
      <c r="C22" s="41">
        <f>C15-C21</f>
        <v>5016291.9567979649</v>
      </c>
      <c r="D22" s="41">
        <f t="shared" ref="D22:G22" si="6">D15-D21</f>
        <v>4954163.6493011443</v>
      </c>
      <c r="E22" s="41">
        <f t="shared" si="6"/>
        <v>3612154.6734434571</v>
      </c>
      <c r="F22" s="41">
        <f t="shared" si="6"/>
        <v>3227677.3252858929</v>
      </c>
      <c r="G22" s="41">
        <f t="shared" si="6"/>
        <v>2562773.2503176611</v>
      </c>
      <c r="H22" s="29">
        <f>SUM(C22:G22)</f>
        <v>19373060.855146125</v>
      </c>
    </row>
    <row r="24" spans="2:8" x14ac:dyDescent="0.3">
      <c r="B24" t="s">
        <v>30</v>
      </c>
      <c r="C24" s="41">
        <f>C18*C9</f>
        <v>6906.7090216010165</v>
      </c>
      <c r="D24" s="41">
        <f t="shared" ref="D24:F24" si="7">D18*D9</f>
        <v>7864.9402795425667</v>
      </c>
      <c r="E24" s="41">
        <f t="shared" si="7"/>
        <v>6421.3595933926299</v>
      </c>
      <c r="F24" s="41">
        <f t="shared" si="7"/>
        <v>1882.1579839051249</v>
      </c>
      <c r="G24" s="41">
        <f>G18*G9</f>
        <v>1904.6997035154595</v>
      </c>
      <c r="H24" s="46">
        <f>SUM(C24:G24)</f>
        <v>24979.866581956801</v>
      </c>
    </row>
    <row r="26" spans="2:8" x14ac:dyDescent="0.3">
      <c r="B26" t="s">
        <v>32</v>
      </c>
      <c r="H26" s="46">
        <f>H9-H4</f>
        <v>-11621.501671882277</v>
      </c>
    </row>
    <row r="27" spans="2:8" x14ac:dyDescent="0.3">
      <c r="B27" t="s">
        <v>31</v>
      </c>
      <c r="H27" s="46">
        <f>H9-H24</f>
        <v>-923.53979132319364</v>
      </c>
    </row>
    <row r="28" spans="2:8" x14ac:dyDescent="0.3">
      <c r="B28" t="s">
        <v>33</v>
      </c>
      <c r="H28" s="46">
        <f>H26-H27</f>
        <v>-10697.961880559084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6E06-51A3-4EF5-8B98-FB4D2FB34AEE}">
  <dimension ref="A2:Y19"/>
  <sheetViews>
    <sheetView showGridLines="0" tabSelected="1" topLeftCell="A3" workbookViewId="0">
      <selection activeCell="U20" sqref="U20:Y25"/>
    </sheetView>
  </sheetViews>
  <sheetFormatPr defaultRowHeight="14.4" x14ac:dyDescent="0.3"/>
  <cols>
    <col min="1" max="1" width="8.6640625" customWidth="1"/>
    <col min="2" max="2" width="2.77734375" bestFit="1" customWidth="1"/>
    <col min="4" max="4" width="5.44140625" customWidth="1"/>
    <col min="5" max="5" width="1.21875" customWidth="1"/>
    <col min="6" max="6" width="4.109375" customWidth="1"/>
    <col min="7" max="7" width="3.21875" customWidth="1"/>
    <col min="8" max="8" width="2.33203125" customWidth="1"/>
    <col min="9" max="9" width="14.77734375" bestFit="1" customWidth="1"/>
    <col min="10" max="10" width="9.77734375" customWidth="1"/>
    <col min="11" max="11" width="1.77734375" customWidth="1"/>
    <col min="12" max="12" width="11" customWidth="1"/>
    <col min="13" max="13" width="9.77734375" customWidth="1"/>
    <col min="14" max="14" width="1.44140625" customWidth="1"/>
    <col min="15" max="15" width="14.77734375" customWidth="1"/>
    <col min="16" max="16" width="9.77734375" customWidth="1"/>
    <col min="17" max="17" width="1.77734375" customWidth="1"/>
    <col min="18" max="18" width="10.109375" bestFit="1" customWidth="1"/>
    <col min="19" max="19" width="9.77734375" customWidth="1"/>
    <col min="20" max="20" width="1.33203125" customWidth="1"/>
    <col min="21" max="21" width="14.77734375" customWidth="1"/>
    <col min="22" max="22" width="1.5546875" customWidth="1"/>
    <col min="23" max="23" width="11.109375" bestFit="1" customWidth="1"/>
    <col min="24" max="24" width="1.77734375" customWidth="1"/>
    <col min="25" max="25" width="9.77734375" customWidth="1"/>
  </cols>
  <sheetData>
    <row r="2" spans="1:25" ht="18" x14ac:dyDescent="0.35">
      <c r="A2" s="1"/>
      <c r="B2" s="2"/>
      <c r="C2" s="79" t="s">
        <v>48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1:25" ht="18" x14ac:dyDescent="0.35">
      <c r="A3" s="1"/>
      <c r="B3" s="2"/>
      <c r="C3" s="79" t="s">
        <v>49</v>
      </c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1:25" ht="18" x14ac:dyDescent="0.35">
      <c r="A4" s="1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2"/>
    </row>
    <row r="5" spans="1:25" s="50" customFormat="1" ht="21.6" customHeight="1" x14ac:dyDescent="0.3">
      <c r="A5" s="4"/>
      <c r="B5" s="5"/>
      <c r="C5" s="80" t="s">
        <v>41</v>
      </c>
      <c r="D5" s="81"/>
      <c r="E5" s="6"/>
      <c r="F5" s="82" t="s">
        <v>46</v>
      </c>
      <c r="G5" s="82"/>
      <c r="H5" s="6"/>
      <c r="I5" s="83" t="s">
        <v>38</v>
      </c>
      <c r="J5" s="83"/>
      <c r="K5" s="83"/>
      <c r="L5" s="83"/>
      <c r="M5" s="83"/>
      <c r="N5" s="6"/>
      <c r="O5" s="84" t="s">
        <v>39</v>
      </c>
      <c r="P5" s="84"/>
      <c r="Q5" s="84"/>
      <c r="R5" s="84"/>
      <c r="S5" s="84"/>
      <c r="T5" s="8"/>
      <c r="U5" s="85" t="s">
        <v>40</v>
      </c>
      <c r="V5" s="85"/>
      <c r="W5" s="85"/>
      <c r="X5" s="85"/>
      <c r="Y5" s="85"/>
    </row>
    <row r="6" spans="1:25" x14ac:dyDescent="0.3">
      <c r="A6" s="4"/>
      <c r="B6" s="5"/>
      <c r="C6" s="51"/>
      <c r="D6" s="52"/>
      <c r="E6" s="6"/>
      <c r="F6" s="7"/>
      <c r="G6" s="7"/>
      <c r="H6" s="6"/>
      <c r="I6" s="88" t="s">
        <v>37</v>
      </c>
      <c r="J6" s="83"/>
      <c r="K6" s="83"/>
      <c r="L6" s="83"/>
      <c r="M6" s="83"/>
      <c r="N6" s="6"/>
      <c r="O6" s="89" t="s">
        <v>47</v>
      </c>
      <c r="P6" s="90"/>
      <c r="Q6" s="90"/>
      <c r="R6" s="90"/>
      <c r="S6" s="90"/>
      <c r="T6" s="8"/>
      <c r="U6" s="86" t="s">
        <v>0</v>
      </c>
      <c r="V6" s="85"/>
      <c r="W6" s="85"/>
      <c r="X6" s="85"/>
      <c r="Y6" s="85"/>
    </row>
    <row r="7" spans="1:25" x14ac:dyDescent="0.3">
      <c r="A7" s="4"/>
      <c r="B7" s="5"/>
      <c r="C7" s="53"/>
      <c r="D7" s="8"/>
      <c r="E7" s="8"/>
      <c r="F7" s="8"/>
      <c r="G7" s="8"/>
      <c r="H7" s="8"/>
      <c r="I7" s="87" t="s">
        <v>28</v>
      </c>
      <c r="J7" s="87"/>
      <c r="K7" s="8"/>
      <c r="L7" s="87" t="s">
        <v>29</v>
      </c>
      <c r="M7" s="87"/>
      <c r="N7" s="8"/>
      <c r="O7" s="87" t="s">
        <v>50</v>
      </c>
      <c r="P7" s="87"/>
      <c r="Q7" s="8"/>
      <c r="R7" s="87" t="s">
        <v>45</v>
      </c>
      <c r="S7" s="87"/>
      <c r="T7" s="8"/>
      <c r="U7" s="8" t="s">
        <v>51</v>
      </c>
      <c r="V7" s="8"/>
      <c r="W7" s="8" t="s">
        <v>52</v>
      </c>
      <c r="X7" s="8"/>
      <c r="Y7" s="8" t="s">
        <v>53</v>
      </c>
    </row>
    <row r="8" spans="1:25" x14ac:dyDescent="0.3">
      <c r="A8" s="4" t="s">
        <v>19</v>
      </c>
      <c r="B8" s="2" t="s">
        <v>1</v>
      </c>
      <c r="C8" s="54"/>
      <c r="D8" s="9"/>
      <c r="E8" s="9"/>
      <c r="F8" s="9"/>
      <c r="G8" s="9"/>
      <c r="H8" s="9"/>
      <c r="I8" s="91">
        <f>DT!H5</f>
        <v>84235353</v>
      </c>
      <c r="J8" s="91"/>
      <c r="K8" s="9"/>
      <c r="L8" s="92">
        <f>DT!H5/DT!H3</f>
        <v>35677.828462515885</v>
      </c>
      <c r="M8" s="92"/>
      <c r="N8" s="9"/>
      <c r="O8" s="91">
        <f>GV!H5</f>
        <v>54253187.410000004</v>
      </c>
      <c r="P8" s="91"/>
      <c r="Q8" s="9"/>
      <c r="R8" s="92">
        <f>GV!H4</f>
        <v>22978.90191020754</v>
      </c>
      <c r="S8" s="92"/>
      <c r="T8" s="9"/>
      <c r="U8" s="43">
        <f>I8-O8</f>
        <v>29982165.589999996</v>
      </c>
      <c r="V8" s="9"/>
      <c r="W8" s="49">
        <f>L8-R8</f>
        <v>12698.926552308345</v>
      </c>
      <c r="X8" s="9"/>
      <c r="Y8" s="10">
        <f>U8/I8</f>
        <v>0.35593328124356521</v>
      </c>
    </row>
    <row r="9" spans="1:25" ht="5.4" customHeight="1" x14ac:dyDescent="0.3">
      <c r="A9" s="4"/>
      <c r="B9" s="5"/>
      <c r="C9" s="5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x14ac:dyDescent="0.3">
      <c r="A10" s="11"/>
      <c r="B10" s="5"/>
      <c r="C10" s="53"/>
      <c r="D10" s="8"/>
      <c r="E10" s="8"/>
      <c r="F10" s="87" t="s">
        <v>36</v>
      </c>
      <c r="G10" s="87"/>
      <c r="H10" s="8"/>
      <c r="I10" s="8" t="s">
        <v>35</v>
      </c>
      <c r="J10" s="8" t="s">
        <v>36</v>
      </c>
      <c r="K10" s="8"/>
      <c r="L10" s="8" t="s">
        <v>35</v>
      </c>
      <c r="M10" s="8" t="s">
        <v>36</v>
      </c>
      <c r="N10" s="8"/>
      <c r="O10" s="8" t="s">
        <v>35</v>
      </c>
      <c r="P10" s="8" t="s">
        <v>36</v>
      </c>
      <c r="Q10" s="8"/>
      <c r="R10" s="8" t="s">
        <v>35</v>
      </c>
      <c r="S10" s="8" t="s">
        <v>36</v>
      </c>
      <c r="T10" s="8"/>
      <c r="U10" s="8" t="s">
        <v>35</v>
      </c>
      <c r="V10" s="8"/>
      <c r="W10" s="8" t="s">
        <v>35</v>
      </c>
      <c r="X10" s="8"/>
      <c r="Y10" s="73"/>
    </row>
    <row r="11" spans="1:25" x14ac:dyDescent="0.3">
      <c r="A11" s="11"/>
      <c r="B11" s="12"/>
      <c r="C11" s="55"/>
      <c r="D11" s="13"/>
      <c r="E11" s="13"/>
      <c r="F11" s="13"/>
      <c r="G11" s="13"/>
      <c r="H11" s="13"/>
      <c r="I11" s="45">
        <f>SUM(I13:I15)</f>
        <v>-14375779.999999996</v>
      </c>
      <c r="J11" s="14">
        <f>I11/I8</f>
        <v>-0.17066207344082712</v>
      </c>
      <c r="K11" s="15"/>
      <c r="L11" s="48">
        <f>L14+L15</f>
        <v>-11621.501671882277</v>
      </c>
      <c r="M11" s="14">
        <f>L11/L8</f>
        <v>-0.32573455764249076</v>
      </c>
      <c r="N11" s="13"/>
      <c r="O11" s="70">
        <f>SUM(O13:O16)</f>
        <v>-11768583.330000002</v>
      </c>
      <c r="P11" s="16">
        <f>O11/O8</f>
        <v>-0.21691966669281451</v>
      </c>
      <c r="Q11" s="13"/>
      <c r="R11" s="59">
        <f>R16+R14</f>
        <v>-8349.2173096565766</v>
      </c>
      <c r="S11" s="16">
        <f>R11/R8</f>
        <v>-0.36334274554467466</v>
      </c>
      <c r="T11" s="13"/>
      <c r="U11" s="67">
        <f>SUM(U13:U16)</f>
        <v>-2607196.6699999943</v>
      </c>
      <c r="V11" s="63"/>
      <c r="W11" s="62">
        <f>L11-R11</f>
        <v>-3272.2843622257005</v>
      </c>
      <c r="X11" s="63"/>
      <c r="Y11" s="74">
        <f>Y18-Y8</f>
        <v>3.5923807834262411E-2</v>
      </c>
    </row>
    <row r="12" spans="1:25" x14ac:dyDescent="0.3">
      <c r="A12" s="17"/>
      <c r="B12" s="18"/>
      <c r="C12" s="56"/>
      <c r="D12" s="57"/>
      <c r="E12" s="13"/>
      <c r="F12" s="19"/>
      <c r="G12" s="19"/>
      <c r="H12" s="13"/>
      <c r="I12" s="94" t="s">
        <v>34</v>
      </c>
      <c r="J12" s="94"/>
      <c r="K12" s="13"/>
      <c r="L12" s="94" t="s">
        <v>34</v>
      </c>
      <c r="M12" s="94"/>
      <c r="N12" s="13"/>
      <c r="O12" s="94" t="s">
        <v>34</v>
      </c>
      <c r="P12" s="94"/>
      <c r="Q12" s="13"/>
      <c r="R12" s="94" t="s">
        <v>34</v>
      </c>
      <c r="S12" s="94"/>
      <c r="T12" s="13"/>
      <c r="U12" s="95"/>
      <c r="V12" s="95"/>
      <c r="W12" s="95"/>
      <c r="X12" s="95"/>
      <c r="Y12" s="57"/>
    </row>
    <row r="13" spans="1:25" x14ac:dyDescent="0.3">
      <c r="A13" s="11" t="s">
        <v>20</v>
      </c>
      <c r="B13" s="2" t="s">
        <v>1</v>
      </c>
      <c r="C13" s="96" t="s">
        <v>42</v>
      </c>
      <c r="D13" s="97"/>
      <c r="E13" s="13"/>
      <c r="F13" s="98">
        <f>DT!H8/DT!H3-1</f>
        <v>0.22998729351969494</v>
      </c>
      <c r="G13" s="99"/>
      <c r="H13" s="13"/>
      <c r="I13" s="44">
        <f>DT!H22</f>
        <v>19373060.855146125</v>
      </c>
      <c r="J13" s="20">
        <f>I13/$I$8</f>
        <v>0.22998729351969505</v>
      </c>
      <c r="K13" s="13"/>
      <c r="L13" s="19"/>
      <c r="M13" s="19"/>
      <c r="N13" s="13"/>
      <c r="O13" s="71">
        <f>GV!H22</f>
        <v>12477543.737242691</v>
      </c>
      <c r="P13" s="21">
        <f>O13/$O$8</f>
        <v>0.22998729351969499</v>
      </c>
      <c r="Q13" s="13"/>
      <c r="R13" s="19"/>
      <c r="S13" s="19"/>
      <c r="T13" s="13"/>
      <c r="U13" s="68">
        <f>I13-O13</f>
        <v>6895517.1179034337</v>
      </c>
      <c r="V13" s="65"/>
      <c r="W13" s="66"/>
      <c r="X13" s="65"/>
      <c r="Y13" s="57"/>
    </row>
    <row r="14" spans="1:25" x14ac:dyDescent="0.3">
      <c r="A14" s="11"/>
      <c r="B14" s="22"/>
      <c r="C14" s="96" t="s">
        <v>43</v>
      </c>
      <c r="D14" s="97"/>
      <c r="E14" s="13"/>
      <c r="F14" s="23"/>
      <c r="G14" s="24"/>
      <c r="H14" s="13"/>
      <c r="I14" s="44">
        <f>DT!H21</f>
        <v>6674566.1448538788</v>
      </c>
      <c r="J14" s="20">
        <f>I14/$I$8</f>
        <v>7.9237112532239029E-2</v>
      </c>
      <c r="K14" s="13"/>
      <c r="L14" s="47">
        <f>DT!H27</f>
        <v>-923.53979132319364</v>
      </c>
      <c r="M14" s="20">
        <f>L14/$L$8</f>
        <v>-2.5885538193376599E-2</v>
      </c>
      <c r="N14" s="13"/>
      <c r="O14" s="71">
        <f>GV!H21</f>
        <v>4058860.81275731</v>
      </c>
      <c r="P14" s="21">
        <f>O14/$O$8</f>
        <v>7.4813315245127451E-2</v>
      </c>
      <c r="Q14" s="13"/>
      <c r="R14" s="60">
        <f>GV!H27</f>
        <v>-682.81076581921843</v>
      </c>
      <c r="S14" s="21">
        <f>R14/R8</f>
        <v>-2.9714682123948864E-2</v>
      </c>
      <c r="T14" s="13"/>
      <c r="U14" s="68">
        <f>I14-O14</f>
        <v>2615705.3320965688</v>
      </c>
      <c r="V14" s="65"/>
      <c r="W14" s="64">
        <f>L14-R14</f>
        <v>-240.72902550397521</v>
      </c>
      <c r="X14" s="65"/>
      <c r="Y14" s="78">
        <f>W14/L8</f>
        <v>-6.7473003789143664E-3</v>
      </c>
    </row>
    <row r="15" spans="1:25" x14ac:dyDescent="0.3">
      <c r="A15" s="11"/>
      <c r="B15" s="22"/>
      <c r="C15" s="96" t="s">
        <v>29</v>
      </c>
      <c r="D15" s="97"/>
      <c r="E15" s="13"/>
      <c r="F15" s="98">
        <f>DT!H9/DT!H4-1</f>
        <v>-0.32573455764249071</v>
      </c>
      <c r="G15" s="99"/>
      <c r="H15" s="13"/>
      <c r="I15" s="44">
        <f>DT!H14</f>
        <v>-40423407</v>
      </c>
      <c r="J15" s="20">
        <f>I15/$I$8</f>
        <v>-0.4798864794927612</v>
      </c>
      <c r="K15" s="13"/>
      <c r="L15" s="47">
        <f>DT!H28</f>
        <v>-10697.961880559084</v>
      </c>
      <c r="M15" s="20">
        <f>L15/$L$8</f>
        <v>-0.29984901944911413</v>
      </c>
      <c r="N15" s="13"/>
      <c r="O15" s="72"/>
      <c r="P15" s="25"/>
      <c r="Q15" s="13"/>
      <c r="R15" s="61"/>
      <c r="S15" s="25"/>
      <c r="T15" s="13"/>
      <c r="U15" s="68">
        <f>I15-O15</f>
        <v>-40423407</v>
      </c>
      <c r="V15" s="65"/>
      <c r="W15" s="64">
        <f>L15-R15</f>
        <v>-10697.961880559084</v>
      </c>
      <c r="X15" s="65"/>
      <c r="Y15" s="78">
        <f>Y11-Y14-Y16</f>
        <v>-0.1722076238792738</v>
      </c>
    </row>
    <row r="16" spans="1:25" x14ac:dyDescent="0.3">
      <c r="A16" s="11"/>
      <c r="B16" s="22"/>
      <c r="C16" s="96" t="s">
        <v>45</v>
      </c>
      <c r="D16" s="97"/>
      <c r="E16" s="13"/>
      <c r="F16" s="98">
        <f>GV!H9/GV!H4-1</f>
        <v>-0.36334274554467461</v>
      </c>
      <c r="G16" s="99"/>
      <c r="H16" s="13"/>
      <c r="I16" s="26"/>
      <c r="J16" s="26"/>
      <c r="K16" s="13"/>
      <c r="L16" s="26"/>
      <c r="M16" s="26"/>
      <c r="N16" s="13"/>
      <c r="O16" s="71">
        <f>GV!H14</f>
        <v>-28304987.880000003</v>
      </c>
      <c r="P16" s="21">
        <f>O16/$O$8</f>
        <v>-0.52172027545763699</v>
      </c>
      <c r="Q16" s="13"/>
      <c r="R16" s="60">
        <f>GV!H28</f>
        <v>-7666.4065438373582</v>
      </c>
      <c r="S16" s="21">
        <f>R16/R8</f>
        <v>-0.33362806342072582</v>
      </c>
      <c r="T16" s="13"/>
      <c r="U16" s="68">
        <f>I16-O16</f>
        <v>28304987.880000003</v>
      </c>
      <c r="V16" s="65"/>
      <c r="W16" s="64">
        <f>L16-R16</f>
        <v>7666.4065438373582</v>
      </c>
      <c r="X16" s="65"/>
      <c r="Y16" s="78">
        <f>W16/L8</f>
        <v>0.21487873209245056</v>
      </c>
    </row>
    <row r="17" spans="1:25" x14ac:dyDescent="0.3">
      <c r="A17" s="11"/>
      <c r="B17" s="22"/>
      <c r="C17" s="58"/>
      <c r="D17" s="26"/>
      <c r="E17" s="27"/>
      <c r="F17" s="27"/>
      <c r="G17" s="19"/>
      <c r="H17" s="27"/>
      <c r="I17" s="26"/>
      <c r="J17" s="26"/>
      <c r="K17" s="13"/>
      <c r="L17" s="27"/>
      <c r="M17" s="27"/>
      <c r="N17" s="27"/>
      <c r="O17" s="27"/>
      <c r="P17" s="27"/>
      <c r="Q17" s="13"/>
      <c r="R17" s="27"/>
      <c r="S17" s="27"/>
      <c r="T17" s="13"/>
      <c r="U17" s="27"/>
      <c r="V17" s="13"/>
      <c r="W17" s="27"/>
      <c r="X17" s="13"/>
      <c r="Y17" s="27"/>
    </row>
    <row r="18" spans="1:25" x14ac:dyDescent="0.3">
      <c r="A18" s="4" t="s">
        <v>21</v>
      </c>
      <c r="B18" s="2" t="s">
        <v>1</v>
      </c>
      <c r="C18" s="53"/>
      <c r="D18" s="8"/>
      <c r="E18" s="8"/>
      <c r="F18" s="8"/>
      <c r="G18" s="19"/>
      <c r="H18" s="8"/>
      <c r="I18" s="93">
        <f>I8+I11</f>
        <v>69859573</v>
      </c>
      <c r="J18" s="93"/>
      <c r="K18" s="9"/>
      <c r="L18" s="92">
        <f>L8+L11</f>
        <v>24056.326790633608</v>
      </c>
      <c r="M18" s="92"/>
      <c r="N18" s="9"/>
      <c r="O18" s="93">
        <f>O8+O11</f>
        <v>42484604.079999998</v>
      </c>
      <c r="P18" s="93"/>
      <c r="Q18" s="9"/>
      <c r="R18" s="92">
        <f>R8+R14+R16</f>
        <v>14629.684600550965</v>
      </c>
      <c r="S18" s="92"/>
      <c r="T18" s="9"/>
      <c r="U18" s="43">
        <f>U8+U11</f>
        <v>27374968.920000002</v>
      </c>
      <c r="V18" s="9"/>
      <c r="W18" s="49">
        <f>W8+W11</f>
        <v>9426.6421900826444</v>
      </c>
      <c r="X18" s="9"/>
      <c r="Y18" s="10">
        <f>U18/I18</f>
        <v>0.39185708907782763</v>
      </c>
    </row>
    <row r="19" spans="1:25" x14ac:dyDescent="0.3">
      <c r="J19" s="41">
        <f>I18-DT!H10</f>
        <v>0</v>
      </c>
      <c r="P19" s="41">
        <f>O18-Sheet2!H23</f>
        <v>0</v>
      </c>
      <c r="U19" s="41">
        <f>U18-Sheet2!H25</f>
        <v>0</v>
      </c>
      <c r="W19" s="41">
        <f>W18/L18-Y18</f>
        <v>0</v>
      </c>
      <c r="Y19" s="69"/>
    </row>
  </sheetData>
  <mergeCells count="36">
    <mergeCell ref="U12:V12"/>
    <mergeCell ref="W12:X12"/>
    <mergeCell ref="C16:D16"/>
    <mergeCell ref="F16:G16"/>
    <mergeCell ref="C13:D13"/>
    <mergeCell ref="F13:G13"/>
    <mergeCell ref="C14:D14"/>
    <mergeCell ref="C15:D15"/>
    <mergeCell ref="F15:G15"/>
    <mergeCell ref="I18:J18"/>
    <mergeCell ref="L18:M18"/>
    <mergeCell ref="O18:P18"/>
    <mergeCell ref="R18:S18"/>
    <mergeCell ref="I12:J12"/>
    <mergeCell ref="L12:M12"/>
    <mergeCell ref="O12:P12"/>
    <mergeCell ref="R12:S12"/>
    <mergeCell ref="I8:J8"/>
    <mergeCell ref="L8:M8"/>
    <mergeCell ref="O8:P8"/>
    <mergeCell ref="R8:S8"/>
    <mergeCell ref="F10:G10"/>
    <mergeCell ref="U6:Y6"/>
    <mergeCell ref="I7:J7"/>
    <mergeCell ref="L7:M7"/>
    <mergeCell ref="O7:P7"/>
    <mergeCell ref="R7:S7"/>
    <mergeCell ref="I6:M6"/>
    <mergeCell ref="O6:S6"/>
    <mergeCell ref="C2:Y2"/>
    <mergeCell ref="C3:Y3"/>
    <mergeCell ref="C5:D5"/>
    <mergeCell ref="F5:G5"/>
    <mergeCell ref="I5:M5"/>
    <mergeCell ref="O5:S5"/>
    <mergeCell ref="U5:Y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2203-04C5-45AD-ACB4-592917B57C71}">
  <dimension ref="B2:I26"/>
  <sheetViews>
    <sheetView showGridLines="0" workbookViewId="0">
      <selection activeCell="B39" sqref="B39"/>
    </sheetView>
  </sheetViews>
  <sheetFormatPr defaultRowHeight="14.4" x14ac:dyDescent="0.3"/>
  <cols>
    <col min="1" max="1" width="3.6640625" customWidth="1"/>
    <col min="2" max="2" width="20.33203125" bestFit="1" customWidth="1"/>
    <col min="3" max="6" width="14.109375" bestFit="1" customWidth="1"/>
    <col min="7" max="7" width="14.6640625" bestFit="1" customWidth="1"/>
    <col min="8" max="8" width="14.6640625" style="37" bestFit="1" customWidth="1"/>
    <col min="9" max="9" width="10.44140625" bestFit="1" customWidth="1"/>
  </cols>
  <sheetData>
    <row r="2" spans="2:9" x14ac:dyDescent="0.3">
      <c r="B2" s="33" t="s">
        <v>15</v>
      </c>
      <c r="C2" s="38" t="s">
        <v>4</v>
      </c>
      <c r="D2" s="38" t="s">
        <v>5</v>
      </c>
      <c r="E2" s="38" t="s">
        <v>6</v>
      </c>
      <c r="F2" s="38" t="s">
        <v>7</v>
      </c>
      <c r="G2" s="38" t="s">
        <v>8</v>
      </c>
      <c r="H2" s="39" t="s">
        <v>17</v>
      </c>
    </row>
    <row r="3" spans="2:9" x14ac:dyDescent="0.3">
      <c r="B3" t="s">
        <v>2</v>
      </c>
      <c r="C3" s="29">
        <v>510</v>
      </c>
      <c r="D3" s="29">
        <v>558</v>
      </c>
      <c r="E3" s="29">
        <v>642</v>
      </c>
      <c r="F3" s="29">
        <v>335</v>
      </c>
      <c r="G3" s="29">
        <v>316</v>
      </c>
      <c r="H3" s="34">
        <f>SUM(C3:G3)</f>
        <v>2361</v>
      </c>
    </row>
    <row r="4" spans="2:9" ht="15" thickBot="1" x14ac:dyDescent="0.35">
      <c r="B4" s="30" t="s">
        <v>3</v>
      </c>
      <c r="C4" s="31">
        <v>42767</v>
      </c>
      <c r="D4" s="31">
        <v>38604</v>
      </c>
      <c r="E4" s="31">
        <v>24464</v>
      </c>
      <c r="F4" s="31">
        <v>41893</v>
      </c>
      <c r="G4" s="31">
        <v>35263</v>
      </c>
      <c r="H4" s="35">
        <f>SUM(C4:G4)</f>
        <v>182991</v>
      </c>
    </row>
    <row r="5" spans="2:9" x14ac:dyDescent="0.3">
      <c r="B5" s="28" t="s">
        <v>9</v>
      </c>
      <c r="C5" s="32">
        <f>C3*C4</f>
        <v>21811170</v>
      </c>
      <c r="D5" s="32">
        <f t="shared" ref="D5:G5" si="0">D3*D4</f>
        <v>21541032</v>
      </c>
      <c r="E5" s="32">
        <f t="shared" si="0"/>
        <v>15705888</v>
      </c>
      <c r="F5" s="32">
        <f t="shared" si="0"/>
        <v>14034155</v>
      </c>
      <c r="G5" s="32">
        <f t="shared" si="0"/>
        <v>11143108</v>
      </c>
      <c r="H5" s="36">
        <f>SUM(C5:G5)</f>
        <v>84235353</v>
      </c>
      <c r="I5" s="32">
        <f>H5/H3</f>
        <v>35677.828462515885</v>
      </c>
    </row>
    <row r="6" spans="2:9" x14ac:dyDescent="0.3">
      <c r="C6" s="29"/>
      <c r="D6" s="29"/>
      <c r="E6" s="29"/>
      <c r="F6" s="29"/>
      <c r="G6" s="29"/>
      <c r="H6" s="34"/>
    </row>
    <row r="7" spans="2:9" x14ac:dyDescent="0.3">
      <c r="B7" t="s">
        <v>12</v>
      </c>
      <c r="C7" s="29">
        <v>24804.86</v>
      </c>
      <c r="D7" s="29">
        <v>22776.36</v>
      </c>
      <c r="E7" s="29">
        <v>12721.28</v>
      </c>
      <c r="F7" s="29">
        <v>21784.36</v>
      </c>
      <c r="G7" s="29">
        <v>18336.759999999998</v>
      </c>
      <c r="H7" s="34">
        <f>SUM(C7:G7)</f>
        <v>100423.62</v>
      </c>
    </row>
    <row r="8" spans="2:9" x14ac:dyDescent="0.3">
      <c r="B8" t="s">
        <v>13</v>
      </c>
      <c r="C8" s="29">
        <f>C7*C3</f>
        <v>12650478.6</v>
      </c>
      <c r="D8" s="29">
        <f t="shared" ref="D8:G8" si="1">D7*D3</f>
        <v>12709208.880000001</v>
      </c>
      <c r="E8" s="29">
        <f t="shared" si="1"/>
        <v>8167061.7600000007</v>
      </c>
      <c r="F8" s="29">
        <f t="shared" si="1"/>
        <v>7297760.6000000006</v>
      </c>
      <c r="G8" s="29">
        <f t="shared" si="1"/>
        <v>5794416.1599999992</v>
      </c>
      <c r="H8" s="34">
        <f>SUM(C8:G8)</f>
        <v>46618926</v>
      </c>
    </row>
    <row r="9" spans="2:9" ht="15" thickBot="1" x14ac:dyDescent="0.35">
      <c r="B9" s="30" t="s">
        <v>11</v>
      </c>
      <c r="C9" s="31">
        <v>1963005.3</v>
      </c>
      <c r="D9" s="31">
        <v>1723282.56</v>
      </c>
      <c r="E9" s="31">
        <v>1570588.8</v>
      </c>
      <c r="F9" s="31">
        <v>1263073.95</v>
      </c>
      <c r="G9" s="31">
        <v>1114310.8</v>
      </c>
      <c r="H9" s="35">
        <f>SUM(C9:G9)</f>
        <v>7634261.4100000001</v>
      </c>
    </row>
    <row r="10" spans="2:9" x14ac:dyDescent="0.3">
      <c r="B10" s="28" t="s">
        <v>14</v>
      </c>
      <c r="C10" s="32">
        <f>C8+C9</f>
        <v>14613483.9</v>
      </c>
      <c r="D10" s="32">
        <f t="shared" ref="D10:G10" si="2">D8+D9</f>
        <v>14432491.440000001</v>
      </c>
      <c r="E10" s="32">
        <f t="shared" si="2"/>
        <v>9737650.5600000005</v>
      </c>
      <c r="F10" s="32">
        <f t="shared" si="2"/>
        <v>8560834.5500000007</v>
      </c>
      <c r="G10" s="32">
        <f t="shared" si="2"/>
        <v>6908726.959999999</v>
      </c>
      <c r="H10" s="36">
        <f>SUM(C10:G10)</f>
        <v>54253187.410000004</v>
      </c>
    </row>
    <row r="11" spans="2:9" x14ac:dyDescent="0.3">
      <c r="C11" s="29" t="s">
        <v>18</v>
      </c>
      <c r="D11" s="29"/>
      <c r="E11" s="29"/>
      <c r="F11" s="29"/>
      <c r="G11" s="29"/>
      <c r="H11" s="34"/>
    </row>
    <row r="12" spans="2:9" x14ac:dyDescent="0.3">
      <c r="B12" s="28" t="s">
        <v>10</v>
      </c>
      <c r="C12" s="32">
        <f>C5-C10</f>
        <v>7197686.0999999996</v>
      </c>
      <c r="D12" s="32">
        <f t="shared" ref="D12:G12" si="3">D5-D10</f>
        <v>7108540.5599999987</v>
      </c>
      <c r="E12" s="32">
        <f t="shared" si="3"/>
        <v>5968237.4399999995</v>
      </c>
      <c r="F12" s="32">
        <f t="shared" si="3"/>
        <v>5473320.4499999993</v>
      </c>
      <c r="G12" s="32">
        <f t="shared" si="3"/>
        <v>4234381.040000001</v>
      </c>
      <c r="H12" s="36">
        <f>SUM(C12:G12)</f>
        <v>29982165.589999996</v>
      </c>
      <c r="I12" s="32">
        <f>H12/H3-Report!W8</f>
        <v>0</v>
      </c>
    </row>
    <row r="15" spans="2:9" x14ac:dyDescent="0.3">
      <c r="B15" s="33" t="s">
        <v>16</v>
      </c>
      <c r="C15" s="38" t="s">
        <v>4</v>
      </c>
      <c r="D15" s="38" t="s">
        <v>5</v>
      </c>
      <c r="E15" s="38" t="s">
        <v>6</v>
      </c>
      <c r="F15" s="38" t="s">
        <v>7</v>
      </c>
      <c r="G15" s="38" t="s">
        <v>8</v>
      </c>
      <c r="H15" s="39" t="s">
        <v>17</v>
      </c>
    </row>
    <row r="16" spans="2:9" x14ac:dyDescent="0.3">
      <c r="B16" t="s">
        <v>2</v>
      </c>
      <c r="C16" s="29">
        <v>691</v>
      </c>
      <c r="D16" s="29">
        <v>666</v>
      </c>
      <c r="E16" s="29">
        <v>468</v>
      </c>
      <c r="F16" s="29">
        <v>833</v>
      </c>
      <c r="G16" s="29">
        <v>246</v>
      </c>
      <c r="H16" s="34">
        <f>SUM(C16:G16)</f>
        <v>2904</v>
      </c>
    </row>
    <row r="17" spans="2:9" ht="15" thickBot="1" x14ac:dyDescent="0.35">
      <c r="B17" s="30" t="s">
        <v>3</v>
      </c>
      <c r="C17" s="31">
        <v>31974</v>
      </c>
      <c r="D17" s="31">
        <v>33278</v>
      </c>
      <c r="E17" s="31">
        <v>23615</v>
      </c>
      <c r="F17" s="31">
        <v>13265</v>
      </c>
      <c r="G17" s="31">
        <v>14231</v>
      </c>
      <c r="H17" s="35">
        <f>SUM(C17:G17)</f>
        <v>116363</v>
      </c>
    </row>
    <row r="18" spans="2:9" x14ac:dyDescent="0.3">
      <c r="B18" s="28" t="s">
        <v>9</v>
      </c>
      <c r="C18" s="32">
        <v>22094034</v>
      </c>
      <c r="D18" s="32">
        <v>22163148</v>
      </c>
      <c r="E18" s="32">
        <v>11051820</v>
      </c>
      <c r="F18" s="32">
        <v>11049745</v>
      </c>
      <c r="G18" s="32">
        <v>3500826</v>
      </c>
      <c r="H18" s="36">
        <f>SUM(C18:G18)</f>
        <v>69859573</v>
      </c>
    </row>
    <row r="19" spans="2:9" x14ac:dyDescent="0.3">
      <c r="C19" s="29"/>
      <c r="D19" s="29"/>
      <c r="E19" s="29"/>
      <c r="F19" s="29"/>
      <c r="G19" s="29"/>
      <c r="H19" s="34"/>
    </row>
    <row r="20" spans="2:9" x14ac:dyDescent="0.3">
      <c r="B20" t="s">
        <v>12</v>
      </c>
      <c r="C20" s="29">
        <v>14708.04</v>
      </c>
      <c r="D20" s="29">
        <v>19966.8</v>
      </c>
      <c r="E20" s="29">
        <v>12752.1</v>
      </c>
      <c r="F20" s="29">
        <v>6367.2</v>
      </c>
      <c r="G20" s="29">
        <v>6403.95</v>
      </c>
      <c r="H20" s="34">
        <f>SUM(C20:G20)</f>
        <v>60198.089999999989</v>
      </c>
    </row>
    <row r="21" spans="2:9" x14ac:dyDescent="0.3">
      <c r="B21" t="s">
        <v>13</v>
      </c>
      <c r="C21" s="29">
        <v>10163255.640000001</v>
      </c>
      <c r="D21" s="29">
        <v>13297888.799999999</v>
      </c>
      <c r="E21" s="29">
        <v>5967982.7999999998</v>
      </c>
      <c r="F21" s="29">
        <v>5303877.5999999996</v>
      </c>
      <c r="G21" s="29">
        <v>1575371.7</v>
      </c>
      <c r="H21" s="34">
        <f>SUM(C21:G21)</f>
        <v>36308376.539999999</v>
      </c>
    </row>
    <row r="22" spans="2:9" ht="15" thickBot="1" x14ac:dyDescent="0.35">
      <c r="B22" s="30" t="s">
        <v>11</v>
      </c>
      <c r="C22" s="31">
        <v>1988463.06</v>
      </c>
      <c r="D22" s="31">
        <v>1773051.84</v>
      </c>
      <c r="E22" s="31">
        <v>994663.8</v>
      </c>
      <c r="F22" s="31">
        <v>1104974.5</v>
      </c>
      <c r="G22" s="31">
        <v>315074.34000000003</v>
      </c>
      <c r="H22" s="35">
        <f>SUM(C22:G22)</f>
        <v>6176227.54</v>
      </c>
    </row>
    <row r="23" spans="2:9" x14ac:dyDescent="0.3">
      <c r="B23" s="28" t="s">
        <v>14</v>
      </c>
      <c r="C23" s="32">
        <v>12151718.700000001</v>
      </c>
      <c r="D23" s="32">
        <v>15070940.639999999</v>
      </c>
      <c r="E23" s="32">
        <v>6962646.5999999996</v>
      </c>
      <c r="F23" s="32">
        <v>6408852.0999999996</v>
      </c>
      <c r="G23" s="32">
        <v>1890446.04</v>
      </c>
      <c r="H23" s="36">
        <f>SUM(C23:G23)</f>
        <v>42484604.079999998</v>
      </c>
    </row>
    <row r="24" spans="2:9" x14ac:dyDescent="0.3">
      <c r="C24" s="29"/>
      <c r="D24" s="29"/>
      <c r="E24" s="29"/>
      <c r="F24" s="29"/>
      <c r="G24" s="29"/>
      <c r="H24" s="34"/>
    </row>
    <row r="25" spans="2:9" x14ac:dyDescent="0.3">
      <c r="B25" s="28" t="s">
        <v>10</v>
      </c>
      <c r="C25" s="32">
        <v>9942315.2999999989</v>
      </c>
      <c r="D25" s="32">
        <v>7092207.3600000013</v>
      </c>
      <c r="E25" s="32">
        <v>4089173.4000000004</v>
      </c>
      <c r="F25" s="32">
        <v>4640892.9000000004</v>
      </c>
      <c r="G25" s="32">
        <v>1610379.96</v>
      </c>
      <c r="H25" s="36">
        <f>SUM(C25:G25)</f>
        <v>27374968.920000002</v>
      </c>
      <c r="I25" s="41">
        <f>H25/H16-Report!W18</f>
        <v>0</v>
      </c>
    </row>
    <row r="26" spans="2:9" x14ac:dyDescent="0.3">
      <c r="H26" s="37">
        <f>H25/H18</f>
        <v>0.39185708907782763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FA9C-3466-4A31-B5B5-31719FB56CE8}">
  <dimension ref="A4:P22"/>
  <sheetViews>
    <sheetView workbookViewId="0">
      <selection activeCell="C30" sqref="C30"/>
    </sheetView>
  </sheetViews>
  <sheetFormatPr defaultRowHeight="14.4" x14ac:dyDescent="0.3"/>
  <cols>
    <col min="1" max="1" width="20.33203125" bestFit="1" customWidth="1"/>
    <col min="2" max="3" width="15.109375" bestFit="1" customWidth="1"/>
    <col min="5" max="5" width="20.33203125" bestFit="1" customWidth="1"/>
    <col min="6" max="7" width="12" bestFit="1" customWidth="1"/>
    <col min="8" max="8" width="12" customWidth="1"/>
    <col min="9" max="9" width="20.33203125" bestFit="1" customWidth="1"/>
    <col min="10" max="13" width="12" customWidth="1"/>
    <col min="14" max="14" width="11" bestFit="1" customWidth="1"/>
  </cols>
  <sheetData>
    <row r="4" spans="1:16" x14ac:dyDescent="0.3">
      <c r="A4" s="33" t="s">
        <v>15</v>
      </c>
      <c r="B4" s="39" t="s">
        <v>17</v>
      </c>
      <c r="C4" s="39" t="s">
        <v>17</v>
      </c>
    </row>
    <row r="5" spans="1:16" x14ac:dyDescent="0.3">
      <c r="A5" t="s">
        <v>2</v>
      </c>
      <c r="B5" s="34">
        <v>2361</v>
      </c>
      <c r="C5" s="34">
        <v>2904</v>
      </c>
    </row>
    <row r="6" spans="1:16" ht="15" thickBot="1" x14ac:dyDescent="0.35">
      <c r="A6" s="30" t="s">
        <v>3</v>
      </c>
      <c r="B6" s="35">
        <v>35677.828462515885</v>
      </c>
      <c r="C6" s="35">
        <v>24056.326790633608</v>
      </c>
      <c r="E6" t="s">
        <v>3</v>
      </c>
      <c r="F6">
        <v>35677.828462515885</v>
      </c>
      <c r="G6" s="41">
        <f>C6</f>
        <v>24056.326790633608</v>
      </c>
      <c r="H6" s="41">
        <f>G6-F6</f>
        <v>-11621.501671882277</v>
      </c>
      <c r="I6" t="s">
        <v>3</v>
      </c>
      <c r="J6">
        <v>35677.828462515899</v>
      </c>
      <c r="K6" s="41">
        <f>J6</f>
        <v>35677.828462515899</v>
      </c>
      <c r="L6" s="41"/>
      <c r="M6" s="41"/>
      <c r="O6" s="76">
        <f>F6/F$6</f>
        <v>1</v>
      </c>
      <c r="P6" s="76">
        <f>G6/G$6</f>
        <v>1</v>
      </c>
    </row>
    <row r="7" spans="1:16" x14ac:dyDescent="0.3">
      <c r="A7" s="28" t="s">
        <v>9</v>
      </c>
      <c r="B7" s="36">
        <f>B5*B6</f>
        <v>84235353</v>
      </c>
      <c r="C7" s="36">
        <f>C5*C6</f>
        <v>69859573</v>
      </c>
    </row>
    <row r="8" spans="1:16" x14ac:dyDescent="0.3">
      <c r="B8" s="34"/>
      <c r="C8" s="34"/>
      <c r="I8" t="s">
        <v>56</v>
      </c>
      <c r="K8" s="77">
        <v>-7067.5338560253904</v>
      </c>
      <c r="L8" s="40">
        <f>1-K15-L9-L10</f>
        <v>1.0181926597716957</v>
      </c>
      <c r="M8" s="41">
        <f>L8*K6-K8</f>
        <v>43394.436913152764</v>
      </c>
    </row>
    <row r="9" spans="1:16" x14ac:dyDescent="0.3">
      <c r="A9" t="s">
        <v>12</v>
      </c>
      <c r="B9" s="34">
        <v>19745.415501905973</v>
      </c>
      <c r="C9" s="34">
        <v>12502.884483471074</v>
      </c>
      <c r="E9" t="s">
        <v>12</v>
      </c>
      <c r="F9" s="34">
        <v>19745.415501905973</v>
      </c>
      <c r="G9" s="34">
        <v>12502.884483471074</v>
      </c>
      <c r="H9" s="34">
        <f>G9-F9</f>
        <v>-7242.5310184348982</v>
      </c>
      <c r="I9" t="s">
        <v>12</v>
      </c>
      <c r="J9" s="34">
        <v>-19745.415501906002</v>
      </c>
      <c r="K9" s="34">
        <v>-12502.8844834711</v>
      </c>
      <c r="L9" s="75">
        <f>K9/J6</f>
        <v>-0.35043849422077278</v>
      </c>
      <c r="M9" s="34"/>
      <c r="O9" s="76">
        <f t="shared" ref="O9:P10" si="0">F9/F$6</f>
        <v>0.5534365838058517</v>
      </c>
      <c r="P9" s="76">
        <f t="shared" si="0"/>
        <v>0.51973373126686595</v>
      </c>
    </row>
    <row r="10" spans="1:16" x14ac:dyDescent="0.3">
      <c r="A10" t="s">
        <v>13</v>
      </c>
      <c r="B10" s="34">
        <v>46618926</v>
      </c>
      <c r="C10" s="34">
        <v>36308376.539999999</v>
      </c>
      <c r="E10" t="s">
        <v>54</v>
      </c>
      <c r="F10">
        <f>B11/B5</f>
        <v>3233.4864083015673</v>
      </c>
      <c r="G10">
        <f>C11/C5</f>
        <v>2126.8001170798898</v>
      </c>
      <c r="I10" t="s">
        <v>54</v>
      </c>
      <c r="J10">
        <v>-3233.48640830157</v>
      </c>
      <c r="K10">
        <v>-2126.8001170798898</v>
      </c>
      <c r="L10" s="40">
        <f>K10/J6</f>
        <v>-5.9611254628749728E-2</v>
      </c>
      <c r="O10" s="76">
        <f t="shared" si="0"/>
        <v>9.0630134950583044E-2</v>
      </c>
      <c r="P10" s="76">
        <f t="shared" si="0"/>
        <v>8.8409179655306508E-2</v>
      </c>
    </row>
    <row r="11" spans="1:16" ht="15" thickBot="1" x14ac:dyDescent="0.35">
      <c r="A11" s="30" t="s">
        <v>11</v>
      </c>
      <c r="B11" s="35">
        <v>7634261.4100000001</v>
      </c>
      <c r="C11" s="35">
        <v>6176227.54</v>
      </c>
    </row>
    <row r="12" spans="1:16" x14ac:dyDescent="0.3">
      <c r="A12" s="28" t="s">
        <v>14</v>
      </c>
      <c r="B12" s="36">
        <v>54253187.410000004</v>
      </c>
      <c r="C12" s="36">
        <v>42484604.079999998</v>
      </c>
    </row>
    <row r="13" spans="1:16" x14ac:dyDescent="0.3">
      <c r="B13" s="34"/>
      <c r="C13" s="34"/>
    </row>
    <row r="14" spans="1:16" x14ac:dyDescent="0.3">
      <c r="A14" s="28" t="s">
        <v>10</v>
      </c>
      <c r="B14" s="36">
        <v>29982165.589999996</v>
      </c>
      <c r="C14" s="36">
        <v>27374968.920000002</v>
      </c>
      <c r="E14" t="s">
        <v>55</v>
      </c>
      <c r="F14" s="41">
        <f>F6-F9-F10</f>
        <v>12698.926552308345</v>
      </c>
      <c r="G14" s="41">
        <f>G6-G9-G10</f>
        <v>9426.6421900826426</v>
      </c>
      <c r="H14" s="41"/>
      <c r="I14" t="s">
        <v>55</v>
      </c>
      <c r="J14" s="41">
        <f>SUM(J6:J11)</f>
        <v>12698.926552308327</v>
      </c>
      <c r="K14" s="41">
        <f>SUM(K6:K13)</f>
        <v>13980.610005939518</v>
      </c>
      <c r="L14" s="41"/>
      <c r="M14" s="41"/>
      <c r="N14">
        <f>G14*C5</f>
        <v>27374968.919999994</v>
      </c>
      <c r="O14" s="76">
        <f>F14/F$6</f>
        <v>0.35593328124356527</v>
      </c>
      <c r="P14" s="76">
        <f>G14/G$6</f>
        <v>0.39185708907782751</v>
      </c>
    </row>
    <row r="15" spans="1:16" x14ac:dyDescent="0.3">
      <c r="B15" s="75">
        <f>B14/B7</f>
        <v>0.35593328124356521</v>
      </c>
      <c r="C15" s="75">
        <f>C14/C7</f>
        <v>0.39185708907782763</v>
      </c>
      <c r="F15" s="41">
        <f>F14/F6</f>
        <v>0.35593328124356527</v>
      </c>
      <c r="G15" s="41">
        <f>G14/G6</f>
        <v>0.39185708907782751</v>
      </c>
      <c r="H15" s="41"/>
      <c r="J15" s="41">
        <f>J14/J6</f>
        <v>0.35593328124356466</v>
      </c>
      <c r="K15" s="41">
        <f>K14/K6</f>
        <v>0.39185708907782679</v>
      </c>
      <c r="L15" s="41"/>
      <c r="M15" s="41"/>
    </row>
    <row r="16" spans="1:16" x14ac:dyDescent="0.3">
      <c r="K16" s="41">
        <f>K15-G15</f>
        <v>-7.2164496600635175E-16</v>
      </c>
    </row>
    <row r="18" spans="9:11" x14ac:dyDescent="0.3">
      <c r="I18" t="s">
        <v>57</v>
      </c>
      <c r="J18" s="41">
        <f>J14</f>
        <v>12698.926552308327</v>
      </c>
      <c r="K18" s="40">
        <f>J18/$K$6</f>
        <v>0.35593328124356466</v>
      </c>
    </row>
    <row r="19" spans="9:11" x14ac:dyDescent="0.3">
      <c r="I19" t="s">
        <v>56</v>
      </c>
      <c r="J19" s="41">
        <f>K8-J8</f>
        <v>-7067.5338560253904</v>
      </c>
      <c r="K19" s="40">
        <f t="shared" ref="K19:K22" si="1">J19/$K$6</f>
        <v>-0.19809316207265065</v>
      </c>
    </row>
    <row r="20" spans="9:11" x14ac:dyDescent="0.3">
      <c r="I20" t="s">
        <v>12</v>
      </c>
      <c r="J20" s="41">
        <f t="shared" ref="J20:J21" si="2">K9-J9</f>
        <v>7242.5310184349019</v>
      </c>
      <c r="K20" s="40">
        <f t="shared" si="1"/>
        <v>0.20299808958507951</v>
      </c>
    </row>
    <row r="21" spans="9:11" x14ac:dyDescent="0.3">
      <c r="I21" t="s">
        <v>54</v>
      </c>
      <c r="J21" s="41">
        <f t="shared" si="2"/>
        <v>1106.6862912216802</v>
      </c>
      <c r="K21" s="40">
        <f t="shared" si="1"/>
        <v>3.101888032183335E-2</v>
      </c>
    </row>
    <row r="22" spans="9:11" x14ac:dyDescent="0.3">
      <c r="I22" t="s">
        <v>58</v>
      </c>
      <c r="J22" s="41">
        <f>SUM(J18:J21)</f>
        <v>13980.610005939519</v>
      </c>
      <c r="K22" s="40">
        <f t="shared" si="1"/>
        <v>0.39185708907782685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GV</vt:lpstr>
      <vt:lpstr>DT</vt:lpstr>
      <vt:lpstr>Report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Tuấn</dc:creator>
  <cp:lastModifiedBy>VINACFO</cp:lastModifiedBy>
  <dcterms:created xsi:type="dcterms:W3CDTF">2023-01-09T07:30:00Z</dcterms:created>
  <dcterms:modified xsi:type="dcterms:W3CDTF">2023-02-16T15:53:59Z</dcterms:modified>
</cp:coreProperties>
</file>