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inal\Excel File\"/>
    </mc:Choice>
  </mc:AlternateContent>
  <xr:revisionPtr revIDLastSave="0" documentId="13_ncr:1_{A93F2851-403B-4037-858A-3EAB22356FAE}" xr6:coauthVersionLast="47" xr6:coauthVersionMax="47" xr10:uidLastSave="{00000000-0000-0000-0000-000000000000}"/>
  <bookViews>
    <workbookView xWindow="-108" yWindow="-108" windowWidth="23256" windowHeight="14016" activeTab="5" xr2:uid="{0EE8251A-0265-4BF7-BDE1-80D858FA0064}"/>
  </bookViews>
  <sheets>
    <sheet name="Trang 205" sheetId="1" r:id="rId1"/>
    <sheet name="Trang 208" sheetId="2" r:id="rId2"/>
    <sheet name="Trang 211" sheetId="5" r:id="rId3"/>
    <sheet name="Trang 213" sheetId="6" r:id="rId4"/>
    <sheet name="Trang 222" sheetId="4" r:id="rId5"/>
    <sheet name="Trang 223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7" i="6" l="1"/>
  <c r="B28" i="6"/>
  <c r="C29" i="6" s="1"/>
  <c r="C28" i="6"/>
  <c r="D29" i="6" s="1"/>
  <c r="D28" i="6"/>
  <c r="E29" i="6"/>
  <c r="E30" i="6"/>
  <c r="E6" i="6" s="1"/>
  <c r="F32" i="6"/>
  <c r="B33" i="6"/>
  <c r="C34" i="6" s="1"/>
  <c r="C33" i="6"/>
  <c r="C35" i="6" s="1"/>
  <c r="C14" i="6" s="1"/>
  <c r="D33" i="6"/>
  <c r="E34" i="6" s="1"/>
  <c r="E35" i="6" s="1"/>
  <c r="E14" i="6" s="1"/>
  <c r="C67" i="6"/>
  <c r="F41" i="6"/>
  <c r="F42" i="6"/>
  <c r="B62" i="6"/>
  <c r="C62" i="6"/>
  <c r="D62" i="6"/>
  <c r="E62" i="6"/>
  <c r="A63" i="6"/>
  <c r="A64" i="6"/>
  <c r="C64" i="6"/>
  <c r="C161" i="6" s="1"/>
  <c r="E64" i="6"/>
  <c r="E161" i="6" s="1"/>
  <c r="A65" i="6"/>
  <c r="B65" i="6"/>
  <c r="A66" i="6"/>
  <c r="A67" i="6"/>
  <c r="E67" i="6"/>
  <c r="A68" i="6"/>
  <c r="B68" i="6"/>
  <c r="D74" i="6"/>
  <c r="D92" i="6" s="1"/>
  <c r="E76" i="6"/>
  <c r="E96" i="6" s="1"/>
  <c r="C77" i="6"/>
  <c r="C97" i="6" s="1"/>
  <c r="D77" i="6"/>
  <c r="D97" i="6" s="1"/>
  <c r="E77" i="6"/>
  <c r="E97" i="6" s="1"/>
  <c r="C91" i="6"/>
  <c r="B96" i="6"/>
  <c r="C96" i="6"/>
  <c r="D96" i="6"/>
  <c r="C109" i="6"/>
  <c r="D109" i="6" s="1"/>
  <c r="C121" i="6"/>
  <c r="D121" i="6" s="1"/>
  <c r="E121" i="6" s="1"/>
  <c r="B125" i="6"/>
  <c r="C125" i="6" s="1"/>
  <c r="D125" i="6" s="1"/>
  <c r="E146" i="6"/>
  <c r="E150" i="6" s="1"/>
  <c r="B150" i="6"/>
  <c r="C150" i="6"/>
  <c r="D150" i="6"/>
  <c r="F150" i="6"/>
  <c r="F153" i="6"/>
  <c r="B172" i="6"/>
  <c r="C172" i="6"/>
  <c r="D172" i="6"/>
  <c r="E172" i="6"/>
  <c r="B177" i="6"/>
  <c r="C177" i="6"/>
  <c r="D177" i="6"/>
  <c r="E177" i="6"/>
  <c r="B180" i="6"/>
  <c r="C180" i="6"/>
  <c r="D180" i="6"/>
  <c r="E180" i="6"/>
  <c r="B181" i="6"/>
  <c r="C181" i="6"/>
  <c r="D181" i="6"/>
  <c r="E181" i="6"/>
  <c r="B182" i="6"/>
  <c r="C182" i="6"/>
  <c r="D182" i="6"/>
  <c r="E182" i="6"/>
  <c r="A186" i="6"/>
  <c r="B186" i="6"/>
  <c r="C186" i="6"/>
  <c r="D186" i="6"/>
  <c r="E186" i="6"/>
  <c r="F186" i="6"/>
  <c r="A187" i="6"/>
  <c r="B187" i="6"/>
  <c r="C187" i="6"/>
  <c r="D187" i="6"/>
  <c r="E187" i="6"/>
  <c r="F187" i="6"/>
  <c r="A188" i="6"/>
  <c r="B188" i="6"/>
  <c r="C188" i="6"/>
  <c r="D188" i="6"/>
  <c r="E188" i="6"/>
  <c r="F188" i="6"/>
  <c r="A189" i="6"/>
  <c r="C190" i="6"/>
  <c r="D190" i="6" s="1"/>
  <c r="E190" i="6" s="1"/>
  <c r="A192" i="6"/>
  <c r="C193" i="6"/>
  <c r="D193" i="6" s="1"/>
  <c r="A195" i="6"/>
  <c r="C196" i="6"/>
  <c r="D196" i="6" s="1"/>
  <c r="E196" i="6" s="1"/>
  <c r="K5" i="5"/>
  <c r="K6" i="5"/>
  <c r="G8" i="5"/>
  <c r="H8" i="5"/>
  <c r="G9" i="5"/>
  <c r="G10" i="5" s="1"/>
  <c r="H10" i="5" s="1"/>
  <c r="H9" i="5"/>
  <c r="I8" i="5" s="1"/>
  <c r="I16" i="5"/>
  <c r="O16" i="5"/>
  <c r="O17" i="5"/>
  <c r="C23" i="5"/>
  <c r="C33" i="5" s="1"/>
  <c r="D23" i="5"/>
  <c r="C24" i="5"/>
  <c r="D24" i="5"/>
  <c r="E34" i="5" s="1"/>
  <c r="E33" i="5"/>
  <c r="C25" i="5"/>
  <c r="D25" i="5"/>
  <c r="C34" i="5"/>
  <c r="D5" i="4"/>
  <c r="G5" i="4" s="1"/>
  <c r="B6" i="4"/>
  <c r="B18" i="4" s="1"/>
  <c r="C6" i="4"/>
  <c r="D6" i="4"/>
  <c r="E6" i="4"/>
  <c r="E18" i="4" s="1"/>
  <c r="G7" i="4"/>
  <c r="G8" i="4"/>
  <c r="B9" i="4"/>
  <c r="C9" i="4"/>
  <c r="D9" i="4"/>
  <c r="E9" i="4"/>
  <c r="B10" i="4"/>
  <c r="G10" i="4" s="1"/>
  <c r="C10" i="4"/>
  <c r="D10" i="4"/>
  <c r="E10" i="4"/>
  <c r="G11" i="4"/>
  <c r="G12" i="4"/>
  <c r="G13" i="4"/>
  <c r="G14" i="4"/>
  <c r="G15" i="4"/>
  <c r="G16" i="4"/>
  <c r="F18" i="4"/>
  <c r="B26" i="4"/>
  <c r="C26" i="4"/>
  <c r="D26" i="4"/>
  <c r="E26" i="4"/>
  <c r="B27" i="4"/>
  <c r="C27" i="4"/>
  <c r="D27" i="4"/>
  <c r="E27" i="4"/>
  <c r="B28" i="4"/>
  <c r="C28" i="4"/>
  <c r="D28" i="4"/>
  <c r="E28" i="4"/>
  <c r="F5" i="3"/>
  <c r="F6" i="3"/>
  <c r="F7" i="3"/>
  <c r="F8" i="3"/>
  <c r="F9" i="3"/>
  <c r="F10" i="3"/>
  <c r="F11" i="3"/>
  <c r="F17" i="3" s="1"/>
  <c r="F12" i="3"/>
  <c r="F13" i="3"/>
  <c r="F14" i="3"/>
  <c r="F15" i="3"/>
  <c r="B17" i="3"/>
  <c r="C17" i="3"/>
  <c r="D17" i="3"/>
  <c r="E17" i="3"/>
  <c r="F24" i="3"/>
  <c r="F25" i="3"/>
  <c r="F26" i="3"/>
  <c r="F36" i="3" s="1"/>
  <c r="F27" i="3"/>
  <c r="F28" i="3"/>
  <c r="F29" i="3"/>
  <c r="I29" i="3"/>
  <c r="F30" i="3"/>
  <c r="F31" i="3"/>
  <c r="F32" i="3"/>
  <c r="F33" i="3"/>
  <c r="F34" i="3"/>
  <c r="B36" i="3"/>
  <c r="C36" i="3"/>
  <c r="D36" i="3"/>
  <c r="E36" i="3"/>
  <c r="E48" i="3"/>
  <c r="E51" i="3"/>
  <c r="F51" i="3"/>
  <c r="F53" i="3" s="1"/>
  <c r="G53" i="3" s="1"/>
  <c r="C11" i="2"/>
  <c r="D11" i="2"/>
  <c r="E11" i="2"/>
  <c r="E13" i="2" s="1"/>
  <c r="F11" i="2"/>
  <c r="C12" i="2"/>
  <c r="D12" i="2"/>
  <c r="E12" i="2"/>
  <c r="F12" i="2"/>
  <c r="G5" i="2"/>
  <c r="E23" i="2"/>
  <c r="H23" i="2"/>
  <c r="G6" i="2"/>
  <c r="E24" i="2"/>
  <c r="H24" i="2"/>
  <c r="E25" i="2"/>
  <c r="H25" i="2"/>
  <c r="C26" i="2"/>
  <c r="F26" i="2"/>
  <c r="E27" i="2"/>
  <c r="H27" i="2"/>
  <c r="E28" i="2"/>
  <c r="H28" i="2"/>
  <c r="E29" i="2"/>
  <c r="H29" i="2"/>
  <c r="C30" i="2"/>
  <c r="F30" i="2"/>
  <c r="E31" i="2"/>
  <c r="H31" i="2"/>
  <c r="E32" i="2"/>
  <c r="H32" i="2"/>
  <c r="E33" i="2"/>
  <c r="H33" i="2"/>
  <c r="C34" i="2"/>
  <c r="F34" i="2"/>
  <c r="E35" i="2"/>
  <c r="H35" i="2"/>
  <c r="E36" i="2"/>
  <c r="H36" i="2"/>
  <c r="E37" i="2"/>
  <c r="H37" i="2"/>
  <c r="H38" i="2" s="1"/>
  <c r="C38" i="2"/>
  <c r="F38" i="2"/>
  <c r="B179" i="6" l="1"/>
  <c r="C179" i="6"/>
  <c r="D34" i="6"/>
  <c r="D68" i="6" s="1"/>
  <c r="C30" i="6"/>
  <c r="C6" i="6" s="1"/>
  <c r="C12" i="6" s="1"/>
  <c r="D30" i="6"/>
  <c r="D6" i="6" s="1"/>
  <c r="D108" i="6" s="1"/>
  <c r="D110" i="6" s="1"/>
  <c r="D112" i="6" s="1"/>
  <c r="D126" i="6" s="1"/>
  <c r="D65" i="6"/>
  <c r="C19" i="6"/>
  <c r="C20" i="6"/>
  <c r="E11" i="6"/>
  <c r="E12" i="6"/>
  <c r="E19" i="6"/>
  <c r="E20" i="6"/>
  <c r="D67" i="6"/>
  <c r="B30" i="6"/>
  <c r="F151" i="6"/>
  <c r="F152" i="6" s="1"/>
  <c r="B35" i="6"/>
  <c r="E179" i="6"/>
  <c r="D179" i="6"/>
  <c r="E26" i="2"/>
  <c r="G12" i="2"/>
  <c r="H34" i="2"/>
  <c r="H39" i="2" s="1"/>
  <c r="F39" i="2"/>
  <c r="G11" i="2"/>
  <c r="C13" i="2"/>
  <c r="C15" i="2" s="1"/>
  <c r="E65" i="6"/>
  <c r="J8" i="5"/>
  <c r="I9" i="5"/>
  <c r="H26" i="2"/>
  <c r="E34" i="2"/>
  <c r="F13" i="2"/>
  <c r="F15" i="2" s="1"/>
  <c r="D64" i="6"/>
  <c r="D161" i="6" s="1"/>
  <c r="C39" i="2"/>
  <c r="E30" i="2"/>
  <c r="G9" i="4"/>
  <c r="E38" i="2"/>
  <c r="D18" i="4"/>
  <c r="D13" i="2"/>
  <c r="H30" i="2"/>
  <c r="C18" i="4"/>
  <c r="G6" i="4"/>
  <c r="G18" i="4" s="1"/>
  <c r="E125" i="6"/>
  <c r="E193" i="6"/>
  <c r="E109" i="6"/>
  <c r="B77" i="6"/>
  <c r="B97" i="6" s="1"/>
  <c r="B64" i="6"/>
  <c r="B161" i="6" s="1"/>
  <c r="C68" i="6"/>
  <c r="B67" i="6"/>
  <c r="E14" i="2"/>
  <c r="E15" i="2"/>
  <c r="D35" i="6" l="1"/>
  <c r="D14" i="6" s="1"/>
  <c r="D114" i="6" s="1"/>
  <c r="D116" i="6" s="1"/>
  <c r="D118" i="6" s="1"/>
  <c r="D127" i="6" s="1"/>
  <c r="C11" i="6"/>
  <c r="E21" i="6"/>
  <c r="E157" i="6" s="1"/>
  <c r="D11" i="6"/>
  <c r="D85" i="6" s="1"/>
  <c r="D12" i="6"/>
  <c r="B6" i="6"/>
  <c r="F30" i="6"/>
  <c r="B14" i="6"/>
  <c r="C21" i="6"/>
  <c r="D159" i="6"/>
  <c r="G13" i="2"/>
  <c r="E39" i="2"/>
  <c r="C14" i="2"/>
  <c r="C16" i="2" s="1"/>
  <c r="C17" i="2" s="1"/>
  <c r="C114" i="6"/>
  <c r="C116" i="6" s="1"/>
  <c r="E68" i="6"/>
  <c r="F14" i="2"/>
  <c r="F16" i="2" s="1"/>
  <c r="F17" i="2" s="1"/>
  <c r="D14" i="2"/>
  <c r="D15" i="2"/>
  <c r="G15" i="2" s="1"/>
  <c r="E108" i="6"/>
  <c r="E159" i="6" s="1"/>
  <c r="D124" i="6"/>
  <c r="B114" i="6"/>
  <c r="C65" i="6"/>
  <c r="D122" i="6"/>
  <c r="D123" i="6"/>
  <c r="E16" i="2"/>
  <c r="E17" i="2" s="1"/>
  <c r="F35" i="6" l="1"/>
  <c r="D20" i="6"/>
  <c r="D73" i="6" s="1"/>
  <c r="D19" i="6"/>
  <c r="D90" i="6"/>
  <c r="C70" i="6"/>
  <c r="D71" i="6" s="1"/>
  <c r="D87" i="6" s="1"/>
  <c r="D199" i="6"/>
  <c r="D201" i="6" s="1"/>
  <c r="F6" i="6"/>
  <c r="B11" i="6"/>
  <c r="B12" i="6"/>
  <c r="F12" i="6" s="1"/>
  <c r="D21" i="6"/>
  <c r="D157" i="6" s="1"/>
  <c r="B108" i="6"/>
  <c r="B110" i="6" s="1"/>
  <c r="F14" i="6"/>
  <c r="B19" i="6"/>
  <c r="B20" i="6"/>
  <c r="E110" i="6"/>
  <c r="E112" i="6" s="1"/>
  <c r="E126" i="6" s="1"/>
  <c r="D16" i="2"/>
  <c r="D17" i="2" s="1"/>
  <c r="G14" i="2"/>
  <c r="G16" i="2" s="1"/>
  <c r="G17" i="2" s="1"/>
  <c r="E90" i="6"/>
  <c r="E114" i="6"/>
  <c r="E116" i="6" s="1"/>
  <c r="D70" i="6"/>
  <c r="E85" i="6"/>
  <c r="E199" i="6"/>
  <c r="E201" i="6" s="1"/>
  <c r="C95" i="6"/>
  <c r="C98" i="6" s="1"/>
  <c r="C195" i="6" s="1"/>
  <c r="C197" i="6" s="1"/>
  <c r="B85" i="6"/>
  <c r="B199" i="6"/>
  <c r="B201" i="6" s="1"/>
  <c r="D120" i="6"/>
  <c r="D128" i="6" s="1"/>
  <c r="B159" i="6"/>
  <c r="B116" i="6"/>
  <c r="D129" i="6"/>
  <c r="D158" i="6" s="1"/>
  <c r="D160" i="6" s="1"/>
  <c r="D162" i="6" s="1"/>
  <c r="B90" i="6"/>
  <c r="B73" i="6"/>
  <c r="C118" i="6"/>
  <c r="C127" i="6" s="1"/>
  <c r="C123" i="6"/>
  <c r="E74" i="6" l="1"/>
  <c r="E92" i="6" s="1"/>
  <c r="D91" i="6"/>
  <c r="D93" i="6" s="1"/>
  <c r="D192" i="6" s="1"/>
  <c r="D194" i="6" s="1"/>
  <c r="D200" i="6"/>
  <c r="D202" i="6" s="1"/>
  <c r="D95" i="6"/>
  <c r="D98" i="6" s="1"/>
  <c r="D195" i="6" s="1"/>
  <c r="D197" i="6" s="1"/>
  <c r="E73" i="6"/>
  <c r="E91" i="6" s="1"/>
  <c r="E93" i="6" s="1"/>
  <c r="E192" i="6" s="1"/>
  <c r="E194" i="6" s="1"/>
  <c r="F20" i="6"/>
  <c r="F19" i="6"/>
  <c r="F114" i="6"/>
  <c r="C86" i="6"/>
  <c r="B95" i="6"/>
  <c r="B200" i="6"/>
  <c r="B202" i="6" s="1"/>
  <c r="F11" i="6"/>
  <c r="B21" i="6"/>
  <c r="B157" i="6" s="1"/>
  <c r="B163" i="6" s="1"/>
  <c r="E122" i="6"/>
  <c r="E129" i="6" s="1"/>
  <c r="E158" i="6" s="1"/>
  <c r="E160" i="6" s="1"/>
  <c r="E162" i="6" s="1"/>
  <c r="C200" i="6"/>
  <c r="D86" i="6"/>
  <c r="D88" i="6" s="1"/>
  <c r="D189" i="6" s="1"/>
  <c r="D191" i="6" s="1"/>
  <c r="E71" i="6"/>
  <c r="E87" i="6" s="1"/>
  <c r="E118" i="6"/>
  <c r="E127" i="6" s="1"/>
  <c r="E124" i="6" s="1"/>
  <c r="E123" i="6"/>
  <c r="E120" i="6" s="1"/>
  <c r="E95" i="6"/>
  <c r="E98" i="6" s="1"/>
  <c r="E195" i="6" s="1"/>
  <c r="E197" i="6" s="1"/>
  <c r="E200" i="6"/>
  <c r="E202" i="6" s="1"/>
  <c r="B91" i="6"/>
  <c r="C74" i="6"/>
  <c r="B118" i="6"/>
  <c r="F116" i="6"/>
  <c r="B123" i="6"/>
  <c r="B112" i="6"/>
  <c r="B122" i="6"/>
  <c r="B98" i="6"/>
  <c r="B195" i="6" s="1"/>
  <c r="B197" i="6" s="1"/>
  <c r="C108" i="6"/>
  <c r="D37" i="5"/>
  <c r="C37" i="5"/>
  <c r="F95" i="6" l="1"/>
  <c r="F98" i="6" s="1"/>
  <c r="F195" i="6" s="1"/>
  <c r="D198" i="6"/>
  <c r="E128" i="6"/>
  <c r="C202" i="6"/>
  <c r="F200" i="6"/>
  <c r="H200" i="6" s="1"/>
  <c r="F123" i="6"/>
  <c r="B120" i="6"/>
  <c r="C85" i="6"/>
  <c r="C157" i="6"/>
  <c r="B70" i="6"/>
  <c r="C199" i="6"/>
  <c r="B126" i="6"/>
  <c r="F118" i="6"/>
  <c r="B127" i="6"/>
  <c r="F127" i="6" s="1"/>
  <c r="C110" i="6"/>
  <c r="C159" i="6"/>
  <c r="F108" i="6"/>
  <c r="C90" i="6"/>
  <c r="F197" i="6"/>
  <c r="B74" i="6"/>
  <c r="B92" i="6" s="1"/>
  <c r="B93" i="6" s="1"/>
  <c r="B192" i="6" s="1"/>
  <c r="B194" i="6" s="1"/>
  <c r="C92" i="6"/>
  <c r="E37" i="5"/>
  <c r="F37" i="5"/>
  <c r="C93" i="6" l="1"/>
  <c r="C192" i="6" s="1"/>
  <c r="C194" i="6" s="1"/>
  <c r="F194" i="6" s="1"/>
  <c r="F90" i="6"/>
  <c r="F93" i="6" s="1"/>
  <c r="F192" i="6" s="1"/>
  <c r="F85" i="6"/>
  <c r="F88" i="6" s="1"/>
  <c r="F189" i="6" s="1"/>
  <c r="C112" i="6"/>
  <c r="C122" i="6"/>
  <c r="F110" i="6"/>
  <c r="B124" i="6"/>
  <c r="B128" i="6" s="1"/>
  <c r="B129" i="6"/>
  <c r="B158" i="6" s="1"/>
  <c r="B160" i="6" s="1"/>
  <c r="B162" i="6" s="1"/>
  <c r="C201" i="6"/>
  <c r="F199" i="6"/>
  <c r="H199" i="6" s="1"/>
  <c r="C71" i="6"/>
  <c r="B86" i="6"/>
  <c r="E70" i="6"/>
  <c r="E86" i="6" s="1"/>
  <c r="E88" i="6" s="1"/>
  <c r="E189" i="6" s="1"/>
  <c r="E191" i="6" s="1"/>
  <c r="E198" i="6" s="1"/>
  <c r="C87" i="6" l="1"/>
  <c r="C88" i="6" s="1"/>
  <c r="C189" i="6" s="1"/>
  <c r="C191" i="6" s="1"/>
  <c r="C198" i="6" s="1"/>
  <c r="B71" i="6"/>
  <c r="B87" i="6" s="1"/>
  <c r="B88" i="6" s="1"/>
  <c r="B189" i="6" s="1"/>
  <c r="B191" i="6" s="1"/>
  <c r="C126" i="6"/>
  <c r="F112" i="6"/>
  <c r="C120" i="6"/>
  <c r="F122" i="6"/>
  <c r="F120" i="6" s="1"/>
  <c r="C124" i="6" l="1"/>
  <c r="C128" i="6" s="1"/>
  <c r="C129" i="6"/>
  <c r="C158" i="6" s="1"/>
  <c r="C160" i="6" s="1"/>
  <c r="C162" i="6" s="1"/>
  <c r="F126" i="6"/>
  <c r="F124" i="6" s="1"/>
  <c r="F128" i="6" s="1"/>
  <c r="F191" i="6"/>
  <c r="B198" i="6"/>
  <c r="F198" i="6" s="1"/>
</calcChain>
</file>

<file path=xl/sharedStrings.xml><?xml version="1.0" encoding="utf-8"?>
<sst xmlns="http://schemas.openxmlformats.org/spreadsheetml/2006/main" count="390" uniqueCount="137">
  <si>
    <t>Tổng cộng</t>
  </si>
  <si>
    <t>Cộng</t>
  </si>
  <si>
    <t>B</t>
  </si>
  <si>
    <t>A</t>
  </si>
  <si>
    <t>Miền Tây</t>
  </si>
  <si>
    <t>IV</t>
  </si>
  <si>
    <t>Miền Nam</t>
  </si>
  <si>
    <t>III</t>
  </si>
  <si>
    <t>Miền Trung</t>
  </si>
  <si>
    <t>II</t>
  </si>
  <si>
    <t>Miền Bắc</t>
  </si>
  <si>
    <t>I</t>
  </si>
  <si>
    <t>Thành tiền</t>
  </si>
  <si>
    <t>Đơn giá</t>
  </si>
  <si>
    <t>Số lượng</t>
  </si>
  <si>
    <t>Thực hiện 2020</t>
  </si>
  <si>
    <t>Ngân sách 2020</t>
  </si>
  <si>
    <t>Ngân sách 2021</t>
  </si>
  <si>
    <t>Sản phẩm</t>
  </si>
  <si>
    <t>Khu vực</t>
  </si>
  <si>
    <t>Stt</t>
  </si>
  <si>
    <t>NGÂN  SÁCH BÁN HÀNG NĂM 2021</t>
  </si>
  <si>
    <t>ABC Ltd</t>
  </si>
  <si>
    <t>Quý 4</t>
  </si>
  <si>
    <t>Tháng 12</t>
  </si>
  <si>
    <t>Sản phẩm 02</t>
  </si>
  <si>
    <t>Tháng 11</t>
  </si>
  <si>
    <t>Sản phẩm 01</t>
  </si>
  <si>
    <t>Tháng 10</t>
  </si>
  <si>
    <t>Total</t>
  </si>
  <si>
    <t>Quý 3</t>
  </si>
  <si>
    <t>Quý 2</t>
  </si>
  <si>
    <t>Quý 1</t>
  </si>
  <si>
    <t>NGÂN  SÁCH BÁN HÀNG (SỐ LƯỢNG)</t>
  </si>
  <si>
    <t>Tháng 09</t>
  </si>
  <si>
    <t>Tháng 08</t>
  </si>
  <si>
    <t>Tháng 07</t>
  </si>
  <si>
    <t>Tháng 06</t>
  </si>
  <si>
    <t>Tháng 05</t>
  </si>
  <si>
    <t>3. Doanh thu thuần</t>
  </si>
  <si>
    <t>Tháng 04</t>
  </si>
  <si>
    <t>2. Total Khoản giảm trừ</t>
  </si>
  <si>
    <t>Giảm giá hàng bán(1% doanh thu)</t>
  </si>
  <si>
    <t>Tháng 03</t>
  </si>
  <si>
    <t>Hàng bán bị trả lại (2% doanh thu)</t>
  </si>
  <si>
    <t>Tháng 02</t>
  </si>
  <si>
    <t>1. Total doanh thu</t>
  </si>
  <si>
    <t>Tháng 01</t>
  </si>
  <si>
    <t>Sản phẩm 02 (giá bán 480.000)</t>
  </si>
  <si>
    <t>Sản phẩm 01 (giá bán 240.000)</t>
  </si>
  <si>
    <t>Tháng</t>
  </si>
  <si>
    <t>NGÂN  SÁCH BÁN HÀNG THEO THÁNG CỦA NĂM 2021</t>
  </si>
  <si>
    <t>Chi phí khác</t>
  </si>
  <si>
    <t>Chi phí lương quản lý bán hàng</t>
  </si>
  <si>
    <t>Chi phí quảng cáo</t>
  </si>
  <si>
    <t>Chi phí đóng gói</t>
  </si>
  <si>
    <t>Chi phí thuê kho</t>
  </si>
  <si>
    <t>Chi phí thu nợ</t>
  </si>
  <si>
    <t>Chiết khấu - giảm giá</t>
  </si>
  <si>
    <t>Chi phí thuê showroom</t>
  </si>
  <si>
    <t>Chi phí đi lại</t>
  </si>
  <si>
    <t>Hoa hồng bán hàng</t>
  </si>
  <si>
    <t>Lương nhân viên bán hàng</t>
  </si>
  <si>
    <t>Văn phòng chính</t>
  </si>
  <si>
    <t>Khoản mục</t>
  </si>
  <si>
    <t>BÁO CÁO CHI PHÍ BÁN HÀNG NĂM 2020</t>
  </si>
  <si>
    <t>Chi phí thu nợ (1%/Doanh thu)</t>
  </si>
  <si>
    <t>Chiết khấu - giảm giá (3%/Doanh thu)</t>
  </si>
  <si>
    <t>Hoa hồng bán hàng (3%/Doanh thu)</t>
  </si>
  <si>
    <t>Doanh thu</t>
  </si>
  <si>
    <t>Chi phí Hội chợ Thương mại Quốc tế</t>
  </si>
  <si>
    <t>BÁO CÁO NGÂN SÁCH CHI PHÍ BÁN HÀNG NĂM 2021</t>
  </si>
  <si>
    <t xml:space="preserve">Chi phí sản xuất chung </t>
  </si>
  <si>
    <t>Nhân công trực tiếp</t>
  </si>
  <si>
    <t>Nguyên vật liệu trực tiếp</t>
  </si>
  <si>
    <t xml:space="preserve"> - Nhân công trực tiếp</t>
  </si>
  <si>
    <t xml:space="preserve"> - Nguyên vật liệu trực tiếp</t>
  </si>
  <si>
    <t>Chi phí đơn vị</t>
  </si>
  <si>
    <t>Cho giai đoạn 06 tháng đầu năm 2021</t>
  </si>
  <si>
    <t>Số lượng sản xuất</t>
  </si>
  <si>
    <t>NGÂN SÁCH CHI PHÍ SẢN XUẤT TÓM TẮT</t>
  </si>
  <si>
    <t>Tổng cộng giá trị nguyên vật liệu trực tiếp</t>
  </si>
  <si>
    <t>Giá trị nguyên liệu C</t>
  </si>
  <si>
    <t>Đơn giá dự kiến</t>
  </si>
  <si>
    <t>Giá trị nguyên liệu B</t>
  </si>
  <si>
    <t>Giá trị nguyên liệu A</t>
  </si>
  <si>
    <t>Tổng chi phí  quản lý doanh nghiệp</t>
  </si>
  <si>
    <t>Khác</t>
  </si>
  <si>
    <t>Vật liệu khác</t>
  </si>
  <si>
    <t>Thuê văn phòng</t>
  </si>
  <si>
    <t>Khấu hao tài sản</t>
  </si>
  <si>
    <t>Lương hành chính</t>
  </si>
  <si>
    <t>Cho năm 2021</t>
  </si>
  <si>
    <t>NGÂN SÁCH CHI PHÍ QUẢN LÝ DOANH NGHIỆP</t>
  </si>
  <si>
    <t>Ngân sách tồn kho Sản phẩm 01</t>
  </si>
  <si>
    <t>Đơn vị thành phẩm cuối kỳ</t>
  </si>
  <si>
    <t>Tổng chi phí cho mỗi đơn vị</t>
  </si>
  <si>
    <t xml:space="preserve"> + Chi phí sản xuất chung</t>
  </si>
  <si>
    <t xml:space="preserve"> + Chi phí nhân công trực tiếp</t>
  </si>
  <si>
    <t xml:space="preserve"> + Chi phí nguyên vật liệu trực tiếp</t>
  </si>
  <si>
    <t>Chi phí cho mỗi đơn vị:</t>
  </si>
  <si>
    <t>Tổng chi phí sản xuất chung</t>
  </si>
  <si>
    <t>Thuê nhà máy</t>
  </si>
  <si>
    <t>Vận chuyển hàng hóa vào và ra</t>
  </si>
  <si>
    <t>NGÂN SÁCH CHI PHÍ SẢN XUẤT CHUNG</t>
  </si>
  <si>
    <t>Tổng chi phí nhân công trực tiếp</t>
  </si>
  <si>
    <t xml:space="preserve"> - Sản phẩm 02</t>
  </si>
  <si>
    <t xml:space="preserve"> - Sản phẩm 01</t>
  </si>
  <si>
    <t>Đơn giá chi phí lao động khác / giờ</t>
  </si>
  <si>
    <t>Tổng chi phí nhân công khác</t>
  </si>
  <si>
    <t>Đơn giá chi phí vận hành máy/giờ</t>
  </si>
  <si>
    <t>Tổng chi phí vận hành máy</t>
  </si>
  <si>
    <t>Tổng số giờ lao động khác</t>
  </si>
  <si>
    <t>Giờ lao động khác</t>
  </si>
  <si>
    <t>Tổng số giờ vận hành máy</t>
  </si>
  <si>
    <t>Số giờ vận hành máy</t>
  </si>
  <si>
    <t>Mục tiêu sản xuất (đơn vị)</t>
  </si>
  <si>
    <t xml:space="preserve">NGÂN SÁCH NGUYÊN LAO ĐỘNG TRỰC TIẾP </t>
  </si>
  <si>
    <t xml:space="preserve">Nguyên vật liệu trực tiếp được mua </t>
  </si>
  <si>
    <t>Tồn kho đầu kỳ</t>
  </si>
  <si>
    <t>Tồn kho cuối kỳ</t>
  </si>
  <si>
    <t xml:space="preserve">Số lượng cần thiết sản xuất </t>
  </si>
  <si>
    <t>Nguyên liệu C (Kg)</t>
  </si>
  <si>
    <t>Nguyên liệu B (Kg)</t>
  </si>
  <si>
    <t>Nguyên liệu A (Kg)</t>
  </si>
  <si>
    <t>Nguyên liệu</t>
  </si>
  <si>
    <t>Cho giai đoạn năm 2021</t>
  </si>
  <si>
    <t xml:space="preserve">NGÂN SÁCH  NGUYÊN VẬT LIỆU TRỰC TIẾP </t>
  </si>
  <si>
    <t>Loại</t>
  </si>
  <si>
    <t>DỰ KIẾN TỒN KHO</t>
  </si>
  <si>
    <t xml:space="preserve">Định mức Nguyên liệu trực tiếp/đơn vị </t>
  </si>
  <si>
    <t xml:space="preserve">NGÂN SÁCH NGUYÊN VẬT LIỆU TRỰC TIẾP </t>
  </si>
  <si>
    <t>Ngân sách sản xuất</t>
  </si>
  <si>
    <t>Số lượng bán</t>
  </si>
  <si>
    <t>NGÂN SÁCH SẢN XUẤT</t>
  </si>
  <si>
    <t>Nguyên liệu B (m2)</t>
  </si>
  <si>
    <t>Tổng số vật liệu trực tiếp cần thiết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</si>
</sst>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i/>
      <u/>
      <sz val="11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12"/>
      <color theme="1"/>
      <name val="Tahoma"/>
      <family val="2"/>
    </font>
    <font>
      <sz val="8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Tahoma"/>
      <family val="2"/>
    </font>
    <font>
      <sz val="12"/>
      <color theme="1"/>
      <name val="Tahoma"/>
      <family val="2"/>
    </font>
    <font>
      <i/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3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164" fontId="3" fillId="0" borderId="1" xfId="0" applyNumberFormat="1" applyFont="1" applyBorder="1"/>
    <xf numFmtId="164" fontId="5" fillId="0" borderId="1" xfId="1" applyNumberFormat="1" applyFont="1" applyFill="1" applyBorder="1" applyAlignment="1"/>
    <xf numFmtId="0" fontId="5" fillId="0" borderId="1" xfId="0" applyFont="1" applyBorder="1"/>
    <xf numFmtId="164" fontId="2" fillId="0" borderId="3" xfId="1" applyNumberFormat="1" applyFont="1" applyBorder="1"/>
    <xf numFmtId="164" fontId="3" fillId="0" borderId="2" xfId="1" applyNumberFormat="1" applyFont="1" applyFill="1" applyBorder="1"/>
    <xf numFmtId="164" fontId="2" fillId="0" borderId="2" xfId="1" applyNumberFormat="1" applyFont="1" applyBorder="1"/>
    <xf numFmtId="0" fontId="2" fillId="0" borderId="2" xfId="0" applyFont="1" applyBorder="1"/>
    <xf numFmtId="0" fontId="2" fillId="0" borderId="2" xfId="0" applyFont="1" applyBorder="1" applyAlignment="1">
      <alignment vertical="top"/>
    </xf>
    <xf numFmtId="164" fontId="3" fillId="0" borderId="4" xfId="1" applyNumberFormat="1" applyFont="1" applyFill="1" applyBorder="1"/>
    <xf numFmtId="164" fontId="2" fillId="0" borderId="4" xfId="1" applyNumberFormat="1" applyFont="1" applyBorder="1"/>
    <xf numFmtId="0" fontId="2" fillId="0" borderId="4" xfId="0" applyFont="1" applyBorder="1" applyAlignment="1">
      <alignment vertical="top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/>
    <xf numFmtId="164" fontId="5" fillId="0" borderId="2" xfId="1" applyNumberFormat="1" applyFont="1" applyFill="1" applyBorder="1"/>
    <xf numFmtId="164" fontId="6" fillId="0" borderId="2" xfId="1" applyNumberFormat="1" applyFont="1" applyBorder="1"/>
    <xf numFmtId="0" fontId="6" fillId="0" borderId="2" xfId="0" applyFont="1" applyBorder="1"/>
    <xf numFmtId="164" fontId="5" fillId="0" borderId="4" xfId="1" applyNumberFormat="1" applyFont="1" applyFill="1" applyBorder="1"/>
    <xf numFmtId="164" fontId="6" fillId="0" borderId="4" xfId="1" applyNumberFormat="1" applyFont="1" applyBorder="1"/>
    <xf numFmtId="0" fontId="6" fillId="0" borderId="4" xfId="0" applyFont="1" applyBorder="1"/>
    <xf numFmtId="164" fontId="2" fillId="0" borderId="0" xfId="0" applyNumberFormat="1" applyFont="1"/>
    <xf numFmtId="164" fontId="2" fillId="0" borderId="0" xfId="1" applyNumberFormat="1" applyFont="1"/>
    <xf numFmtId="43" fontId="2" fillId="0" borderId="0" xfId="1" applyFont="1"/>
    <xf numFmtId="164" fontId="3" fillId="2" borderId="1" xfId="1" applyNumberFormat="1" applyFont="1" applyFill="1" applyBorder="1"/>
    <xf numFmtId="0" fontId="3" fillId="2" borderId="1" xfId="0" applyFont="1" applyFill="1" applyBorder="1"/>
    <xf numFmtId="164" fontId="5" fillId="2" borderId="2" xfId="1" applyNumberFormat="1" applyFont="1" applyFill="1" applyBorder="1"/>
    <xf numFmtId="164" fontId="5" fillId="2" borderId="3" xfId="1" applyNumberFormat="1" applyFont="1" applyFill="1" applyBorder="1"/>
    <xf numFmtId="0" fontId="6" fillId="0" borderId="3" xfId="0" applyFont="1" applyBorder="1"/>
    <xf numFmtId="164" fontId="5" fillId="2" borderId="4" xfId="1" applyNumberFormat="1" applyFont="1" applyFill="1" applyBorder="1"/>
    <xf numFmtId="0" fontId="5" fillId="2" borderId="9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164" fontId="3" fillId="0" borderId="1" xfId="1" applyNumberFormat="1" applyFont="1" applyFill="1" applyBorder="1"/>
    <xf numFmtId="164" fontId="5" fillId="0" borderId="3" xfId="1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64" fontId="2" fillId="0" borderId="11" xfId="1" applyNumberFormat="1" applyFont="1" applyBorder="1"/>
    <xf numFmtId="164" fontId="2" fillId="0" borderId="12" xfId="1" applyNumberFormat="1" applyFont="1" applyBorder="1"/>
    <xf numFmtId="164" fontId="2" fillId="0" borderId="8" xfId="1" applyNumberFormat="1" applyFont="1" applyBorder="1"/>
    <xf numFmtId="164" fontId="2" fillId="0" borderId="0" xfId="1" applyNumberFormat="1" applyFont="1" applyBorder="1"/>
    <xf numFmtId="164" fontId="2" fillId="0" borderId="10" xfId="1" applyNumberFormat="1" applyFont="1" applyBorder="1"/>
    <xf numFmtId="164" fontId="2" fillId="0" borderId="13" xfId="1" applyNumberFormat="1" applyFont="1" applyBorder="1"/>
    <xf numFmtId="164" fontId="3" fillId="0" borderId="5" xfId="1" applyNumberFormat="1" applyFont="1" applyBorder="1"/>
    <xf numFmtId="164" fontId="3" fillId="0" borderId="6" xfId="1" applyNumberFormat="1" applyFont="1" applyBorder="1"/>
    <xf numFmtId="0" fontId="3" fillId="0" borderId="7" xfId="0" applyFont="1" applyBorder="1"/>
    <xf numFmtId="0" fontId="8" fillId="0" borderId="0" xfId="0" applyFont="1"/>
    <xf numFmtId="43" fontId="8" fillId="0" borderId="0" xfId="0" applyNumberFormat="1" applyFont="1"/>
    <xf numFmtId="164" fontId="5" fillId="2" borderId="1" xfId="1" applyNumberFormat="1" applyFont="1" applyFill="1" applyBorder="1"/>
    <xf numFmtId="164" fontId="6" fillId="0" borderId="3" xfId="1" applyNumberFormat="1" applyFont="1" applyBorder="1"/>
    <xf numFmtId="164" fontId="0" fillId="0" borderId="0" xfId="0" applyNumberFormat="1"/>
    <xf numFmtId="164" fontId="9" fillId="2" borderId="1" xfId="0" applyNumberFormat="1" applyFont="1" applyFill="1" applyBorder="1"/>
    <xf numFmtId="0" fontId="9" fillId="2" borderId="1" xfId="0" applyFont="1" applyFill="1" applyBorder="1"/>
    <xf numFmtId="0" fontId="0" fillId="0" borderId="3" xfId="0" applyBorder="1"/>
    <xf numFmtId="164" fontId="0" fillId="0" borderId="3" xfId="0" applyNumberFormat="1" applyBorder="1"/>
    <xf numFmtId="164" fontId="9" fillId="0" borderId="2" xfId="1" applyNumberFormat="1" applyFont="1" applyBorder="1"/>
    <xf numFmtId="0" fontId="9" fillId="0" borderId="2" xfId="0" applyFont="1" applyBorder="1"/>
    <xf numFmtId="164" fontId="0" fillId="0" borderId="4" xfId="0" applyNumberFormat="1" applyBorder="1"/>
    <xf numFmtId="0" fontId="0" fillId="0" borderId="4" xfId="0" applyBorder="1"/>
    <xf numFmtId="164" fontId="0" fillId="0" borderId="3" xfId="1" applyNumberFormat="1" applyFont="1" applyBorder="1"/>
    <xf numFmtId="0" fontId="9" fillId="2" borderId="1" xfId="0" applyFont="1" applyFill="1" applyBorder="1" applyAlignment="1">
      <alignment horizontal="center"/>
    </xf>
    <xf numFmtId="164" fontId="9" fillId="0" borderId="4" xfId="1" applyNumberFormat="1" applyFont="1" applyBorder="1"/>
    <xf numFmtId="0" fontId="9" fillId="0" borderId="4" xfId="0" applyFont="1" applyBorder="1"/>
    <xf numFmtId="43" fontId="0" fillId="0" borderId="0" xfId="1" applyFont="1"/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43" fontId="0" fillId="0" borderId="0" xfId="0" applyNumberFormat="1"/>
    <xf numFmtId="164" fontId="0" fillId="0" borderId="0" xfId="1" applyNumberFormat="1" applyFont="1"/>
    <xf numFmtId="164" fontId="3" fillId="3" borderId="2" xfId="1" applyNumberFormat="1" applyFont="1" applyFill="1" applyBorder="1"/>
    <xf numFmtId="164" fontId="3" fillId="3" borderId="4" xfId="1" applyNumberFormat="1" applyFont="1" applyFill="1" applyBorder="1"/>
    <xf numFmtId="0" fontId="11" fillId="0" borderId="0" xfId="0" applyFont="1"/>
    <xf numFmtId="164" fontId="11" fillId="0" borderId="0" xfId="0" applyNumberFormat="1" applyFont="1"/>
    <xf numFmtId="164" fontId="7" fillId="0" borderId="2" xfId="0" applyNumberFormat="1" applyFont="1" applyBorder="1"/>
    <xf numFmtId="164" fontId="7" fillId="0" borderId="1" xfId="0" applyNumberFormat="1" applyFont="1" applyBorder="1"/>
    <xf numFmtId="0" fontId="7" fillId="0" borderId="1" xfId="0" applyFont="1" applyBorder="1"/>
    <xf numFmtId="0" fontId="7" fillId="0" borderId="2" xfId="0" applyFont="1" applyBorder="1"/>
    <xf numFmtId="164" fontId="11" fillId="0" borderId="3" xfId="1" applyNumberFormat="1" applyFont="1" applyBorder="1"/>
    <xf numFmtId="0" fontId="11" fillId="0" borderId="3" xfId="0" applyFont="1" applyBorder="1"/>
    <xf numFmtId="164" fontId="7" fillId="0" borderId="4" xfId="0" applyNumberFormat="1" applyFont="1" applyBorder="1"/>
    <xf numFmtId="0" fontId="7" fillId="0" borderId="4" xfId="0" applyFont="1" applyBorder="1"/>
    <xf numFmtId="0" fontId="7" fillId="0" borderId="1" xfId="0" applyFont="1" applyBorder="1" applyAlignment="1">
      <alignment horizontal="center"/>
    </xf>
    <xf numFmtId="164" fontId="11" fillId="0" borderId="4" xfId="1" applyNumberFormat="1" applyFont="1" applyBorder="1"/>
    <xf numFmtId="0" fontId="11" fillId="0" borderId="4" xfId="0" applyFont="1" applyBorder="1"/>
    <xf numFmtId="0" fontId="3" fillId="0" borderId="0" xfId="0" applyFont="1"/>
    <xf numFmtId="164" fontId="11" fillId="0" borderId="0" xfId="1" applyNumberFormat="1" applyFont="1"/>
    <xf numFmtId="164" fontId="7" fillId="0" borderId="2" xfId="1" applyNumberFormat="1" applyFont="1" applyBorder="1"/>
    <xf numFmtId="164" fontId="11" fillId="0" borderId="3" xfId="0" applyNumberFormat="1" applyFont="1" applyBorder="1"/>
    <xf numFmtId="0" fontId="3" fillId="0" borderId="4" xfId="0" applyFont="1" applyBorder="1"/>
    <xf numFmtId="164" fontId="3" fillId="0" borderId="2" xfId="0" applyNumberFormat="1" applyFont="1" applyBorder="1"/>
    <xf numFmtId="0" fontId="3" fillId="0" borderId="2" xfId="0" applyFont="1" applyBorder="1"/>
    <xf numFmtId="164" fontId="3" fillId="0" borderId="4" xfId="0" applyNumberFormat="1" applyFont="1" applyBorder="1"/>
    <xf numFmtId="164" fontId="2" fillId="0" borderId="3" xfId="0" applyNumberFormat="1" applyFont="1" applyBorder="1"/>
    <xf numFmtId="164" fontId="3" fillId="0" borderId="3" xfId="0" applyNumberFormat="1" applyFont="1" applyBorder="1"/>
    <xf numFmtId="0" fontId="3" fillId="0" borderId="3" xfId="0" applyFont="1" applyBorder="1"/>
    <xf numFmtId="164" fontId="11" fillId="0" borderId="2" xfId="0" applyNumberFormat="1" applyFont="1" applyBorder="1"/>
    <xf numFmtId="0" fontId="11" fillId="0" borderId="2" xfId="0" applyFont="1" applyBorder="1"/>
    <xf numFmtId="0" fontId="11" fillId="0" borderId="10" xfId="0" applyFont="1" applyBorder="1"/>
    <xf numFmtId="0" fontId="11" fillId="0" borderId="13" xfId="0" applyFont="1" applyBorder="1"/>
    <xf numFmtId="0" fontId="7" fillId="0" borderId="9" xfId="0" applyFont="1" applyBorder="1"/>
    <xf numFmtId="0" fontId="7" fillId="0" borderId="0" xfId="0" applyFont="1"/>
    <xf numFmtId="164" fontId="2" fillId="0" borderId="2" xfId="1" applyNumberFormat="1" applyFont="1" applyFill="1" applyBorder="1"/>
    <xf numFmtId="164" fontId="2" fillId="0" borderId="4" xfId="1" applyNumberFormat="1" applyFont="1" applyFill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5" fillId="2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/>
    </xf>
    <xf numFmtId="0" fontId="12" fillId="0" borderId="12" xfId="0" applyFont="1" applyBorder="1" applyAlignment="1">
      <alignment horizontal="left"/>
    </xf>
    <xf numFmtId="0" fontId="12" fillId="0" borderId="11" xfId="0" applyFont="1" applyBorder="1" applyAlignment="1">
      <alignment horizontal="left"/>
    </xf>
    <xf numFmtId="0" fontId="7" fillId="0" borderId="9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9" fillId="0" borderId="11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8C92-95E5-4F6A-95BA-BE1872B99FDF}">
  <dimension ref="A1:L18"/>
  <sheetViews>
    <sheetView showGridLines="0" workbookViewId="0">
      <selection activeCell="F22" sqref="F22"/>
    </sheetView>
  </sheetViews>
  <sheetFormatPr defaultColWidth="8.77734375" defaultRowHeight="13.8" x14ac:dyDescent="0.25"/>
  <cols>
    <col min="1" max="1" width="8.77734375" style="1"/>
    <col min="2" max="2" width="13.33203125" style="1" customWidth="1"/>
    <col min="3" max="3" width="10.5546875" style="1" customWidth="1"/>
    <col min="4" max="4" width="8.5546875" style="1" bestFit="1" customWidth="1"/>
    <col min="5" max="5" width="7.6640625" style="1" bestFit="1" customWidth="1"/>
    <col min="6" max="6" width="10.21875" style="1" bestFit="1" customWidth="1"/>
    <col min="7" max="7" width="8.5546875" style="1" bestFit="1" customWidth="1"/>
    <col min="8" max="8" width="7.6640625" style="1" bestFit="1" customWidth="1"/>
    <col min="9" max="9" width="10.21875" style="1" bestFit="1" customWidth="1"/>
    <col min="10" max="10" width="8.5546875" style="1" bestFit="1" customWidth="1"/>
    <col min="11" max="11" width="7.6640625" style="1" bestFit="1" customWidth="1"/>
    <col min="12" max="12" width="10.21875" style="1" bestFit="1" customWidth="1"/>
    <col min="13" max="16384" width="8.77734375" style="1"/>
  </cols>
  <sheetData>
    <row r="1" spans="1:12" x14ac:dyDescent="0.25">
      <c r="A1" s="1" t="s">
        <v>22</v>
      </c>
    </row>
    <row r="3" spans="1:12" x14ac:dyDescent="0.25">
      <c r="A3" s="117" t="s">
        <v>21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</row>
    <row r="4" spans="1:12" x14ac:dyDescent="0.25">
      <c r="A4" s="113" t="s">
        <v>20</v>
      </c>
      <c r="B4" s="113" t="s">
        <v>19</v>
      </c>
      <c r="C4" s="113" t="s">
        <v>18</v>
      </c>
      <c r="D4" s="112" t="s">
        <v>17</v>
      </c>
      <c r="E4" s="112"/>
      <c r="F4" s="112"/>
      <c r="G4" s="112" t="s">
        <v>16</v>
      </c>
      <c r="H4" s="112"/>
      <c r="I4" s="112"/>
      <c r="J4" s="112" t="s">
        <v>15</v>
      </c>
      <c r="K4" s="112"/>
      <c r="L4" s="112"/>
    </row>
    <row r="5" spans="1:12" x14ac:dyDescent="0.25">
      <c r="A5" s="113"/>
      <c r="B5" s="113"/>
      <c r="C5" s="113"/>
      <c r="D5" s="8" t="s">
        <v>14</v>
      </c>
      <c r="E5" s="8" t="s">
        <v>13</v>
      </c>
      <c r="F5" s="8" t="s">
        <v>12</v>
      </c>
      <c r="G5" s="8" t="s">
        <v>14</v>
      </c>
      <c r="H5" s="8" t="s">
        <v>13</v>
      </c>
      <c r="I5" s="8" t="s">
        <v>12</v>
      </c>
      <c r="J5" s="8" t="s">
        <v>14</v>
      </c>
      <c r="K5" s="8" t="s">
        <v>13</v>
      </c>
      <c r="L5" s="8" t="s">
        <v>12</v>
      </c>
    </row>
    <row r="6" spans="1:12" x14ac:dyDescent="0.25">
      <c r="A6" s="114" t="s">
        <v>11</v>
      </c>
      <c r="B6" s="114" t="s">
        <v>10</v>
      </c>
      <c r="C6" s="7" t="s">
        <v>3</v>
      </c>
      <c r="D6" s="7"/>
      <c r="E6" s="7"/>
      <c r="F6" s="7"/>
      <c r="G6" s="7"/>
      <c r="H6" s="7"/>
      <c r="I6" s="7"/>
      <c r="J6" s="7"/>
      <c r="K6" s="7"/>
      <c r="L6" s="7"/>
    </row>
    <row r="7" spans="1:12" x14ac:dyDescent="0.25">
      <c r="A7" s="115"/>
      <c r="B7" s="115"/>
      <c r="C7" s="6" t="s">
        <v>2</v>
      </c>
      <c r="D7" s="6"/>
      <c r="E7" s="6"/>
      <c r="F7" s="6"/>
      <c r="G7" s="6"/>
      <c r="H7" s="6"/>
      <c r="I7" s="6"/>
      <c r="J7" s="6"/>
      <c r="K7" s="6"/>
      <c r="L7" s="6"/>
    </row>
    <row r="8" spans="1:12" x14ac:dyDescent="0.25">
      <c r="A8" s="116"/>
      <c r="B8" s="116"/>
      <c r="C8" s="5" t="s">
        <v>1</v>
      </c>
      <c r="D8" s="4"/>
      <c r="E8" s="4"/>
      <c r="F8" s="4"/>
      <c r="G8" s="4"/>
      <c r="H8" s="4"/>
      <c r="I8" s="4"/>
      <c r="J8" s="4"/>
      <c r="K8" s="4"/>
      <c r="L8" s="4"/>
    </row>
    <row r="9" spans="1:12" x14ac:dyDescent="0.25">
      <c r="A9" s="114" t="s">
        <v>9</v>
      </c>
      <c r="B9" s="114" t="s">
        <v>8</v>
      </c>
      <c r="C9" s="7" t="s">
        <v>3</v>
      </c>
      <c r="D9" s="7"/>
      <c r="E9" s="7"/>
      <c r="F9" s="7"/>
      <c r="G9" s="7"/>
      <c r="H9" s="7"/>
      <c r="I9" s="7"/>
      <c r="J9" s="7"/>
      <c r="K9" s="7"/>
      <c r="L9" s="7"/>
    </row>
    <row r="10" spans="1:12" x14ac:dyDescent="0.25">
      <c r="A10" s="115"/>
      <c r="B10" s="115"/>
      <c r="C10" s="6" t="s">
        <v>2</v>
      </c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25">
      <c r="A11" s="116"/>
      <c r="B11" s="116"/>
      <c r="C11" s="5" t="s">
        <v>1</v>
      </c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114" t="s">
        <v>7</v>
      </c>
      <c r="B12" s="114" t="s">
        <v>6</v>
      </c>
      <c r="C12" s="7" t="s">
        <v>3</v>
      </c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5">
      <c r="A13" s="115"/>
      <c r="B13" s="115"/>
      <c r="C13" s="6" t="s">
        <v>2</v>
      </c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A14" s="116"/>
      <c r="B14" s="116"/>
      <c r="C14" s="5" t="s">
        <v>1</v>
      </c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5">
      <c r="A15" s="114" t="s">
        <v>5</v>
      </c>
      <c r="B15" s="114" t="s">
        <v>4</v>
      </c>
      <c r="C15" s="7" t="s">
        <v>3</v>
      </c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5">
      <c r="A16" s="115"/>
      <c r="B16" s="115"/>
      <c r="C16" s="6" t="s">
        <v>2</v>
      </c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5">
      <c r="A17" s="116"/>
      <c r="B17" s="116"/>
      <c r="C17" s="5" t="s">
        <v>1</v>
      </c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117" t="s">
        <v>0</v>
      </c>
      <c r="B18" s="117"/>
      <c r="C18" s="117"/>
      <c r="D18" s="2"/>
      <c r="E18" s="2"/>
      <c r="F18" s="2"/>
      <c r="G18" s="2"/>
      <c r="H18" s="2"/>
      <c r="I18" s="2"/>
      <c r="J18" s="2"/>
      <c r="K18" s="2"/>
      <c r="L18" s="2"/>
    </row>
  </sheetData>
  <mergeCells count="16">
    <mergeCell ref="A4:A5"/>
    <mergeCell ref="A15:A17"/>
    <mergeCell ref="B15:B17"/>
    <mergeCell ref="A18:C18"/>
    <mergeCell ref="A3:L3"/>
    <mergeCell ref="A6:A8"/>
    <mergeCell ref="B6:B8"/>
    <mergeCell ref="A9:A11"/>
    <mergeCell ref="B9:B11"/>
    <mergeCell ref="A12:A14"/>
    <mergeCell ref="B12:B14"/>
    <mergeCell ref="D4:F4"/>
    <mergeCell ref="G4:I4"/>
    <mergeCell ref="J4:L4"/>
    <mergeCell ref="B4:B5"/>
    <mergeCell ref="C4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B7DB-D9AA-47FC-8605-BED3E6BD900D}">
  <dimension ref="A3:H39"/>
  <sheetViews>
    <sheetView showGridLines="0" topLeftCell="E4" workbookViewId="0">
      <selection activeCell="H26" sqref="H26"/>
    </sheetView>
  </sheetViews>
  <sheetFormatPr defaultColWidth="8.77734375" defaultRowHeight="13.8" x14ac:dyDescent="0.25"/>
  <cols>
    <col min="1" max="1" width="5" style="1" customWidth="1"/>
    <col min="2" max="2" width="29.88671875" style="1" bestFit="1" customWidth="1"/>
    <col min="3" max="7" width="19.33203125" style="1" bestFit="1" customWidth="1"/>
    <col min="8" max="8" width="19.6640625" style="1" bestFit="1" customWidth="1"/>
    <col min="9" max="9" width="8.77734375" style="1"/>
    <col min="10" max="10" width="15.77734375" style="1" customWidth="1"/>
    <col min="11" max="11" width="13.21875" style="1" bestFit="1" customWidth="1"/>
    <col min="12" max="12" width="13.21875" style="1" customWidth="1"/>
    <col min="13" max="13" width="20.21875" style="1" bestFit="1" customWidth="1"/>
    <col min="14" max="14" width="13.21875" style="1" bestFit="1" customWidth="1"/>
    <col min="15" max="15" width="9.44140625" style="1" bestFit="1" customWidth="1"/>
    <col min="16" max="16" width="20.21875" style="1" bestFit="1" customWidth="1"/>
    <col min="17" max="16384" width="8.77734375" style="1"/>
  </cols>
  <sheetData>
    <row r="3" spans="1:7" x14ac:dyDescent="0.25">
      <c r="A3" s="124" t="s">
        <v>33</v>
      </c>
      <c r="B3" s="124"/>
      <c r="C3" s="124"/>
      <c r="D3" s="124"/>
      <c r="E3" s="124"/>
      <c r="F3" s="124"/>
      <c r="G3" s="124"/>
    </row>
    <row r="4" spans="1:7" x14ac:dyDescent="0.25">
      <c r="A4" s="21" t="s">
        <v>20</v>
      </c>
      <c r="B4" s="21" t="s">
        <v>18</v>
      </c>
      <c r="C4" s="12" t="s">
        <v>32</v>
      </c>
      <c r="D4" s="12" t="s">
        <v>31</v>
      </c>
      <c r="E4" s="12" t="s">
        <v>30</v>
      </c>
      <c r="F4" s="12" t="s">
        <v>23</v>
      </c>
      <c r="G4" s="12" t="s">
        <v>29</v>
      </c>
    </row>
    <row r="5" spans="1:7" x14ac:dyDescent="0.25">
      <c r="A5" s="20">
        <v>1</v>
      </c>
      <c r="B5" s="7" t="s">
        <v>27</v>
      </c>
      <c r="C5" s="19">
        <v>190000</v>
      </c>
      <c r="D5" s="19">
        <v>230000</v>
      </c>
      <c r="E5" s="19">
        <v>300000</v>
      </c>
      <c r="F5" s="19">
        <v>180000</v>
      </c>
      <c r="G5" s="18">
        <f>SUM(C5:F5)</f>
        <v>900000</v>
      </c>
    </row>
    <row r="6" spans="1:7" x14ac:dyDescent="0.25">
      <c r="A6" s="17">
        <v>2</v>
      </c>
      <c r="B6" s="16" t="s">
        <v>25</v>
      </c>
      <c r="C6" s="15">
        <v>185000</v>
      </c>
      <c r="D6" s="15">
        <v>175000</v>
      </c>
      <c r="E6" s="15">
        <v>155000</v>
      </c>
      <c r="F6" s="15">
        <v>185000</v>
      </c>
      <c r="G6" s="14">
        <f>SUM(C6:F6)</f>
        <v>700000</v>
      </c>
    </row>
    <row r="9" spans="1:7" x14ac:dyDescent="0.25">
      <c r="B9" s="124" t="s">
        <v>21</v>
      </c>
      <c r="C9" s="124"/>
      <c r="D9" s="124"/>
      <c r="E9" s="124"/>
      <c r="F9" s="124"/>
      <c r="G9" s="124"/>
    </row>
    <row r="10" spans="1:7" x14ac:dyDescent="0.25">
      <c r="B10" s="21" t="s">
        <v>18</v>
      </c>
      <c r="C10" s="12" t="s">
        <v>32</v>
      </c>
      <c r="D10" s="12" t="s">
        <v>31</v>
      </c>
      <c r="E10" s="12" t="s">
        <v>30</v>
      </c>
      <c r="F10" s="12" t="s">
        <v>23</v>
      </c>
      <c r="G10" s="12" t="s">
        <v>29</v>
      </c>
    </row>
    <row r="11" spans="1:7" x14ac:dyDescent="0.25">
      <c r="B11" s="28" t="s">
        <v>49</v>
      </c>
      <c r="C11" s="27">
        <f>C5*240000</f>
        <v>45600000000</v>
      </c>
      <c r="D11" s="27">
        <f>D5*240000</f>
        <v>55200000000</v>
      </c>
      <c r="E11" s="27">
        <f>E5*240000</f>
        <v>72000000000</v>
      </c>
      <c r="F11" s="27">
        <f>F5*240000</f>
        <v>43200000000</v>
      </c>
      <c r="G11" s="26">
        <f>SUM(C11:F11)</f>
        <v>216000000000</v>
      </c>
    </row>
    <row r="12" spans="1:7" x14ac:dyDescent="0.25">
      <c r="B12" s="25" t="s">
        <v>48</v>
      </c>
      <c r="C12" s="24">
        <f>C6*480000</f>
        <v>88800000000</v>
      </c>
      <c r="D12" s="24">
        <f>D6*480000</f>
        <v>84000000000</v>
      </c>
      <c r="E12" s="24">
        <f>E6*480000</f>
        <v>74400000000</v>
      </c>
      <c r="F12" s="24">
        <f>F6*480000</f>
        <v>88800000000</v>
      </c>
      <c r="G12" s="23">
        <f>SUM(C12:F12)</f>
        <v>336000000000</v>
      </c>
    </row>
    <row r="13" spans="1:7" x14ac:dyDescent="0.25">
      <c r="B13" s="12" t="s">
        <v>46</v>
      </c>
      <c r="C13" s="22">
        <f>SUM(C11:C12)</f>
        <v>134400000000</v>
      </c>
      <c r="D13" s="22">
        <f>SUM(D11:D12)</f>
        <v>139200000000</v>
      </c>
      <c r="E13" s="22">
        <f>SUM(E11:E12)</f>
        <v>146400000000</v>
      </c>
      <c r="F13" s="22">
        <f>SUM(F11:F12)</f>
        <v>132000000000</v>
      </c>
      <c r="G13" s="22">
        <f>SUM(G11:G12)</f>
        <v>552000000000</v>
      </c>
    </row>
    <row r="14" spans="1:7" x14ac:dyDescent="0.25">
      <c r="B14" s="28" t="s">
        <v>44</v>
      </c>
      <c r="C14" s="27">
        <f>C13*2%</f>
        <v>2688000000</v>
      </c>
      <c r="D14" s="27">
        <f>D13*2%</f>
        <v>2784000000</v>
      </c>
      <c r="E14" s="27">
        <f>E13*2%</f>
        <v>2928000000</v>
      </c>
      <c r="F14" s="27">
        <f>F13*2%</f>
        <v>2640000000</v>
      </c>
      <c r="G14" s="26">
        <f>SUM(C14:F14)</f>
        <v>11040000000</v>
      </c>
    </row>
    <row r="15" spans="1:7" x14ac:dyDescent="0.25">
      <c r="B15" s="25" t="s">
        <v>42</v>
      </c>
      <c r="C15" s="24">
        <f>C13*1%</f>
        <v>1344000000</v>
      </c>
      <c r="D15" s="24">
        <f>D13*1%</f>
        <v>1392000000</v>
      </c>
      <c r="E15" s="24">
        <f>E13*1%</f>
        <v>1464000000</v>
      </c>
      <c r="F15" s="24">
        <f>F13*1%</f>
        <v>1320000000</v>
      </c>
      <c r="G15" s="23">
        <f>SUM(C15:F15)</f>
        <v>5520000000</v>
      </c>
    </row>
    <row r="16" spans="1:7" x14ac:dyDescent="0.25">
      <c r="B16" s="12" t="s">
        <v>41</v>
      </c>
      <c r="C16" s="22">
        <f>SUM(C14:C15)</f>
        <v>4032000000</v>
      </c>
      <c r="D16" s="22">
        <f>SUM(D14:D15)</f>
        <v>4176000000</v>
      </c>
      <c r="E16" s="22">
        <f>SUM(E14:E15)</f>
        <v>4392000000</v>
      </c>
      <c r="F16" s="22">
        <f>SUM(F14:F15)</f>
        <v>3960000000</v>
      </c>
      <c r="G16" s="22">
        <f>SUM(G14:G15)</f>
        <v>16560000000</v>
      </c>
    </row>
    <row r="17" spans="2:8" x14ac:dyDescent="0.25">
      <c r="B17" s="12" t="s">
        <v>39</v>
      </c>
      <c r="C17" s="22">
        <f>C13-C16</f>
        <v>130368000000</v>
      </c>
      <c r="D17" s="22">
        <f>D13-D16</f>
        <v>135024000000</v>
      </c>
      <c r="E17" s="22">
        <f>E13-E16</f>
        <v>142008000000</v>
      </c>
      <c r="F17" s="22">
        <f>F13-F16</f>
        <v>128040000000</v>
      </c>
      <c r="G17" s="22">
        <f>G13-G16</f>
        <v>535440000000</v>
      </c>
    </row>
    <row r="20" spans="2:8" x14ac:dyDescent="0.25">
      <c r="B20" s="121" t="s">
        <v>51</v>
      </c>
      <c r="C20" s="122"/>
      <c r="D20" s="122"/>
      <c r="E20" s="122"/>
      <c r="F20" s="122"/>
      <c r="G20" s="122"/>
      <c r="H20" s="123"/>
    </row>
    <row r="21" spans="2:8" x14ac:dyDescent="0.25">
      <c r="B21" s="125" t="s">
        <v>50</v>
      </c>
      <c r="C21" s="118" t="s">
        <v>27</v>
      </c>
      <c r="D21" s="119"/>
      <c r="E21" s="120"/>
      <c r="F21" s="118" t="s">
        <v>25</v>
      </c>
      <c r="G21" s="119"/>
      <c r="H21" s="120"/>
    </row>
    <row r="22" spans="2:8" x14ac:dyDescent="0.25">
      <c r="B22" s="126"/>
      <c r="C22" s="12" t="s">
        <v>14</v>
      </c>
      <c r="D22" s="12" t="s">
        <v>13</v>
      </c>
      <c r="E22" s="12" t="s">
        <v>12</v>
      </c>
      <c r="F22" s="12" t="s">
        <v>14</v>
      </c>
      <c r="G22" s="12" t="s">
        <v>13</v>
      </c>
      <c r="H22" s="12" t="s">
        <v>12</v>
      </c>
    </row>
    <row r="23" spans="2:8" x14ac:dyDescent="0.25">
      <c r="B23" s="7" t="s">
        <v>47</v>
      </c>
      <c r="C23" s="19">
        <v>53800</v>
      </c>
      <c r="D23" s="19">
        <v>240000</v>
      </c>
      <c r="E23" s="19">
        <f>D23*C23</f>
        <v>12912000000</v>
      </c>
      <c r="F23" s="19">
        <v>76800</v>
      </c>
      <c r="G23" s="19">
        <v>480000</v>
      </c>
      <c r="H23" s="19">
        <f>G23*F23</f>
        <v>36864000000</v>
      </c>
    </row>
    <row r="24" spans="2:8" x14ac:dyDescent="0.25">
      <c r="B24" s="6" t="s">
        <v>45</v>
      </c>
      <c r="C24" s="13">
        <v>66000</v>
      </c>
      <c r="D24" s="13">
        <v>240000</v>
      </c>
      <c r="E24" s="13">
        <f>D24*C24</f>
        <v>15840000000</v>
      </c>
      <c r="F24" s="13">
        <v>74800</v>
      </c>
      <c r="G24" s="13">
        <v>480000</v>
      </c>
      <c r="H24" s="13">
        <f>G24*F24</f>
        <v>35904000000</v>
      </c>
    </row>
    <row r="25" spans="2:8" x14ac:dyDescent="0.25">
      <c r="B25" s="6" t="s">
        <v>43</v>
      </c>
      <c r="C25" s="13">
        <v>70200</v>
      </c>
      <c r="D25" s="13">
        <v>240000</v>
      </c>
      <c r="E25" s="13">
        <f>D25*C25</f>
        <v>16848000000</v>
      </c>
      <c r="F25" s="13">
        <v>33400</v>
      </c>
      <c r="G25" s="13">
        <v>480000</v>
      </c>
      <c r="H25" s="13">
        <f>G25*F25</f>
        <v>16032000000</v>
      </c>
    </row>
    <row r="26" spans="2:8" x14ac:dyDescent="0.25">
      <c r="B26" s="12" t="s">
        <v>32</v>
      </c>
      <c r="C26" s="11">
        <f>SUM(C23:C25)</f>
        <v>190000</v>
      </c>
      <c r="D26" s="11"/>
      <c r="E26" s="11">
        <f>SUM(E23:E25)</f>
        <v>45600000000</v>
      </c>
      <c r="F26" s="11">
        <f>SUM(F23:F25)</f>
        <v>185000</v>
      </c>
      <c r="G26" s="11"/>
      <c r="H26" s="11">
        <f>SUM(H23:H25)</f>
        <v>88800000000</v>
      </c>
    </row>
    <row r="27" spans="2:8" x14ac:dyDescent="0.25">
      <c r="B27" s="7" t="s">
        <v>40</v>
      </c>
      <c r="C27" s="19">
        <v>67000</v>
      </c>
      <c r="D27" s="19">
        <v>240000</v>
      </c>
      <c r="E27" s="19">
        <f>D27*C27</f>
        <v>16080000000</v>
      </c>
      <c r="F27" s="19">
        <v>58000</v>
      </c>
      <c r="G27" s="19">
        <v>480000</v>
      </c>
      <c r="H27" s="19">
        <f>G27*F27</f>
        <v>27840000000</v>
      </c>
    </row>
    <row r="28" spans="2:8" x14ac:dyDescent="0.25">
      <c r="B28" s="6" t="s">
        <v>38</v>
      </c>
      <c r="C28" s="13">
        <v>81400</v>
      </c>
      <c r="D28" s="13">
        <v>240000</v>
      </c>
      <c r="E28" s="13">
        <f>D28*C28</f>
        <v>19536000000</v>
      </c>
      <c r="F28" s="13">
        <v>58500</v>
      </c>
      <c r="G28" s="13">
        <v>480000</v>
      </c>
      <c r="H28" s="13">
        <f>G28*F28</f>
        <v>28080000000</v>
      </c>
    </row>
    <row r="29" spans="2:8" x14ac:dyDescent="0.25">
      <c r="B29" s="6" t="s">
        <v>37</v>
      </c>
      <c r="C29" s="13">
        <v>81600</v>
      </c>
      <c r="D29" s="13">
        <v>240000</v>
      </c>
      <c r="E29" s="13">
        <f>D29*C29</f>
        <v>19584000000</v>
      </c>
      <c r="F29" s="13">
        <v>58500</v>
      </c>
      <c r="G29" s="13">
        <v>480000</v>
      </c>
      <c r="H29" s="13">
        <f>G29*F29</f>
        <v>28080000000</v>
      </c>
    </row>
    <row r="30" spans="2:8" x14ac:dyDescent="0.25">
      <c r="B30" s="12" t="s">
        <v>31</v>
      </c>
      <c r="C30" s="11">
        <f>SUM(C27:C29)</f>
        <v>230000</v>
      </c>
      <c r="D30" s="11"/>
      <c r="E30" s="11">
        <f>SUM(E27:E29)</f>
        <v>55200000000</v>
      </c>
      <c r="F30" s="11">
        <f>SUM(F27:F29)</f>
        <v>175000</v>
      </c>
      <c r="G30" s="11"/>
      <c r="H30" s="11">
        <f>SUM(H27:H29)</f>
        <v>84000000000</v>
      </c>
    </row>
    <row r="31" spans="2:8" x14ac:dyDescent="0.25">
      <c r="B31" s="7" t="s">
        <v>36</v>
      </c>
      <c r="C31" s="19">
        <v>93000</v>
      </c>
      <c r="D31" s="19">
        <v>240000</v>
      </c>
      <c r="E31" s="19">
        <f>D31*C31</f>
        <v>22320000000</v>
      </c>
      <c r="F31" s="19">
        <v>54900</v>
      </c>
      <c r="G31" s="19">
        <v>480000</v>
      </c>
      <c r="H31" s="19">
        <f>G31*F31</f>
        <v>26352000000</v>
      </c>
    </row>
    <row r="32" spans="2:8" x14ac:dyDescent="0.25">
      <c r="B32" s="6" t="s">
        <v>35</v>
      </c>
      <c r="C32" s="13">
        <v>108400</v>
      </c>
      <c r="D32" s="13">
        <v>240000</v>
      </c>
      <c r="E32" s="13">
        <f>D32*C32</f>
        <v>26016000000</v>
      </c>
      <c r="F32" s="13">
        <v>51600</v>
      </c>
      <c r="G32" s="13">
        <v>480000</v>
      </c>
      <c r="H32" s="13">
        <f>G32*F32</f>
        <v>24768000000</v>
      </c>
    </row>
    <row r="33" spans="2:8" x14ac:dyDescent="0.25">
      <c r="B33" s="6" t="s">
        <v>34</v>
      </c>
      <c r="C33" s="13">
        <v>98600</v>
      </c>
      <c r="D33" s="13">
        <v>240000</v>
      </c>
      <c r="E33" s="13">
        <f>D33*C33</f>
        <v>23664000000</v>
      </c>
      <c r="F33" s="13">
        <v>48500</v>
      </c>
      <c r="G33" s="13">
        <v>480000</v>
      </c>
      <c r="H33" s="13">
        <f>G33*F33</f>
        <v>23280000000</v>
      </c>
    </row>
    <row r="34" spans="2:8" x14ac:dyDescent="0.25">
      <c r="B34" s="12" t="s">
        <v>30</v>
      </c>
      <c r="C34" s="11">
        <f>SUM(C31:C33)</f>
        <v>300000</v>
      </c>
      <c r="D34" s="11"/>
      <c r="E34" s="11">
        <f>SUM(E31:E33)</f>
        <v>72000000000</v>
      </c>
      <c r="F34" s="11">
        <f>SUM(F31:F33)</f>
        <v>155000</v>
      </c>
      <c r="G34" s="11"/>
      <c r="H34" s="11">
        <f>SUM(H31:H33)</f>
        <v>74400000000</v>
      </c>
    </row>
    <row r="35" spans="2:8" x14ac:dyDescent="0.25">
      <c r="B35" s="7" t="s">
        <v>28</v>
      </c>
      <c r="C35" s="19">
        <v>54800</v>
      </c>
      <c r="D35" s="19">
        <v>240000</v>
      </c>
      <c r="E35" s="19">
        <f>D35*C35</f>
        <v>13152000000</v>
      </c>
      <c r="F35" s="19">
        <v>54900</v>
      </c>
      <c r="G35" s="19">
        <v>480000</v>
      </c>
      <c r="H35" s="19">
        <f>G35*F35</f>
        <v>26352000000</v>
      </c>
    </row>
    <row r="36" spans="2:8" x14ac:dyDescent="0.25">
      <c r="B36" s="6" t="s">
        <v>26</v>
      </c>
      <c r="C36" s="13">
        <v>60000</v>
      </c>
      <c r="D36" s="13">
        <v>240000</v>
      </c>
      <c r="E36" s="13">
        <f>D36*C36</f>
        <v>14400000000</v>
      </c>
      <c r="F36" s="13">
        <v>61600</v>
      </c>
      <c r="G36" s="13">
        <v>480000</v>
      </c>
      <c r="H36" s="13">
        <f>G36*F36</f>
        <v>29568000000</v>
      </c>
    </row>
    <row r="37" spans="2:8" x14ac:dyDescent="0.25">
      <c r="B37" s="6" t="s">
        <v>24</v>
      </c>
      <c r="C37" s="13">
        <v>65200</v>
      </c>
      <c r="D37" s="13">
        <v>240000</v>
      </c>
      <c r="E37" s="13">
        <f>D37*C37</f>
        <v>15648000000</v>
      </c>
      <c r="F37" s="13">
        <v>68500</v>
      </c>
      <c r="G37" s="13">
        <v>480000</v>
      </c>
      <c r="H37" s="13">
        <f>G37*F37</f>
        <v>32880000000</v>
      </c>
    </row>
    <row r="38" spans="2:8" x14ac:dyDescent="0.25">
      <c r="B38" s="12" t="s">
        <v>23</v>
      </c>
      <c r="C38" s="11">
        <f>SUM(C35:C37)</f>
        <v>180000</v>
      </c>
      <c r="D38" s="11"/>
      <c r="E38" s="11">
        <f>SUM(E35:E37)</f>
        <v>43200000000</v>
      </c>
      <c r="F38" s="11">
        <f>SUM(F35:F37)</f>
        <v>185000</v>
      </c>
      <c r="G38" s="11"/>
      <c r="H38" s="11">
        <f>SUM(H35:H37)</f>
        <v>88800000000</v>
      </c>
    </row>
    <row r="39" spans="2:8" x14ac:dyDescent="0.25">
      <c r="B39" s="2" t="s">
        <v>0</v>
      </c>
      <c r="C39" s="10">
        <f>C38+C34+C30+C26</f>
        <v>900000</v>
      </c>
      <c r="D39" s="2"/>
      <c r="E39" s="10">
        <f>E38+E34+E30+E26</f>
        <v>216000000000</v>
      </c>
      <c r="F39" s="10">
        <f>F38+F34+F30+F26</f>
        <v>700000</v>
      </c>
      <c r="G39" s="2"/>
      <c r="H39" s="10">
        <f>H38+H34+H30+H26</f>
        <v>336000000000</v>
      </c>
    </row>
  </sheetData>
  <mergeCells count="6">
    <mergeCell ref="F21:H21"/>
    <mergeCell ref="B20:H20"/>
    <mergeCell ref="A3:G3"/>
    <mergeCell ref="B9:G9"/>
    <mergeCell ref="B21:B22"/>
    <mergeCell ref="C21:E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CEAC-DDFB-4F4E-9C1E-63947BB8BDA2}">
  <dimension ref="A1:O37"/>
  <sheetViews>
    <sheetView showGridLines="0" topLeftCell="A13" workbookViewId="0">
      <selection activeCell="H38" sqref="H38"/>
    </sheetView>
  </sheetViews>
  <sheetFormatPr defaultRowHeight="14.4" x14ac:dyDescent="0.3"/>
  <cols>
    <col min="1" max="1" width="7.44140625" customWidth="1"/>
    <col min="2" max="2" width="22.77734375" bestFit="1" customWidth="1"/>
    <col min="3" max="3" width="14.33203125" customWidth="1"/>
    <col min="4" max="4" width="15.109375" bestFit="1" customWidth="1"/>
    <col min="5" max="5" width="14.33203125" customWidth="1"/>
    <col min="6" max="6" width="16.109375" bestFit="1" customWidth="1"/>
    <col min="7" max="7" width="9.88671875" bestFit="1" customWidth="1"/>
    <col min="8" max="8" width="11.88671875" customWidth="1"/>
    <col min="9" max="9" width="14.5546875" bestFit="1" customWidth="1"/>
    <col min="10" max="10" width="10.109375" bestFit="1" customWidth="1"/>
    <col min="11" max="11" width="15.5546875" bestFit="1" customWidth="1"/>
    <col min="12" max="13" width="9.6640625" bestFit="1" customWidth="1"/>
    <col min="14" max="14" width="10.77734375" bestFit="1" customWidth="1"/>
  </cols>
  <sheetData>
    <row r="1" spans="1:15" hidden="1" x14ac:dyDescent="0.3"/>
    <row r="2" spans="1:15" hidden="1" x14ac:dyDescent="0.3">
      <c r="A2" t="s">
        <v>50</v>
      </c>
      <c r="B2" t="s">
        <v>27</v>
      </c>
      <c r="C2" t="s">
        <v>25</v>
      </c>
    </row>
    <row r="3" spans="1:15" hidden="1" x14ac:dyDescent="0.3">
      <c r="A3" t="s">
        <v>47</v>
      </c>
      <c r="B3" s="74">
        <v>53800</v>
      </c>
      <c r="C3" s="74">
        <v>76800</v>
      </c>
      <c r="E3">
        <v>111</v>
      </c>
    </row>
    <row r="4" spans="1:15" hidden="1" x14ac:dyDescent="0.3">
      <c r="A4" t="s">
        <v>45</v>
      </c>
      <c r="B4" s="74">
        <v>66000</v>
      </c>
      <c r="C4" s="74">
        <v>74800</v>
      </c>
      <c r="G4" s="8" t="s">
        <v>32</v>
      </c>
      <c r="H4" s="8" t="s">
        <v>31</v>
      </c>
      <c r="I4" s="8" t="s">
        <v>30</v>
      </c>
      <c r="J4" s="8" t="s">
        <v>23</v>
      </c>
      <c r="K4" s="8" t="s">
        <v>29</v>
      </c>
    </row>
    <row r="5" spans="1:15" hidden="1" x14ac:dyDescent="0.3">
      <c r="A5" t="s">
        <v>43</v>
      </c>
      <c r="B5" s="74">
        <v>70200</v>
      </c>
      <c r="C5" s="74">
        <v>33400</v>
      </c>
      <c r="G5" s="19">
        <v>190000</v>
      </c>
      <c r="H5" s="19">
        <v>230000</v>
      </c>
      <c r="I5" s="19">
        <v>300000</v>
      </c>
      <c r="J5" s="19">
        <v>180000</v>
      </c>
      <c r="K5" s="76">
        <f>SUM(G5:J5)</f>
        <v>900000</v>
      </c>
    </row>
    <row r="6" spans="1:15" hidden="1" x14ac:dyDescent="0.3">
      <c r="A6" t="s">
        <v>40</v>
      </c>
      <c r="B6" s="74">
        <v>67000</v>
      </c>
      <c r="C6" s="74">
        <v>58000</v>
      </c>
      <c r="G6" s="15">
        <v>185000</v>
      </c>
      <c r="H6" s="15">
        <v>175000</v>
      </c>
      <c r="I6" s="15">
        <v>155000</v>
      </c>
      <c r="J6" s="15">
        <v>185000</v>
      </c>
      <c r="K6" s="75">
        <f>SUM(G6:J6)</f>
        <v>700000</v>
      </c>
    </row>
    <row r="7" spans="1:15" hidden="1" x14ac:dyDescent="0.3">
      <c r="A7" t="s">
        <v>38</v>
      </c>
      <c r="B7" s="74">
        <v>81400</v>
      </c>
      <c r="C7" s="74">
        <v>58500</v>
      </c>
    </row>
    <row r="8" spans="1:15" hidden="1" x14ac:dyDescent="0.3">
      <c r="A8" t="s">
        <v>37</v>
      </c>
      <c r="B8" s="74">
        <v>81600</v>
      </c>
      <c r="C8" s="74">
        <v>58500</v>
      </c>
      <c r="G8" s="57">
        <f>B5+B4+B3</f>
        <v>190000</v>
      </c>
      <c r="H8" s="57">
        <f>C5+C4+C3</f>
        <v>185000</v>
      </c>
      <c r="I8" s="57">
        <f>H9-H6</f>
        <v>0</v>
      </c>
      <c r="J8" s="57">
        <f>I8/2</f>
        <v>0</v>
      </c>
    </row>
    <row r="9" spans="1:15" hidden="1" x14ac:dyDescent="0.3">
      <c r="G9" s="57">
        <f>B8+B7+B6</f>
        <v>230000</v>
      </c>
      <c r="H9" s="57">
        <f>C8+C7+C6</f>
        <v>175000</v>
      </c>
      <c r="I9" s="73">
        <f>I8/3</f>
        <v>0</v>
      </c>
      <c r="J9">
        <v>134000</v>
      </c>
    </row>
    <row r="10" spans="1:15" hidden="1" x14ac:dyDescent="0.3">
      <c r="G10" s="57">
        <f>G9-H5</f>
        <v>0</v>
      </c>
      <c r="H10" s="73">
        <f>G10/3</f>
        <v>0</v>
      </c>
    </row>
    <row r="11" spans="1:15" hidden="1" x14ac:dyDescent="0.3">
      <c r="G11" s="57"/>
      <c r="H11" s="57"/>
    </row>
    <row r="12" spans="1:15" hidden="1" x14ac:dyDescent="0.3">
      <c r="G12" s="57"/>
      <c r="H12" s="57"/>
    </row>
    <row r="13" spans="1:15" x14ac:dyDescent="0.3">
      <c r="I13" s="57"/>
      <c r="L13" s="57"/>
      <c r="M13" s="57"/>
      <c r="N13" s="57"/>
    </row>
    <row r="14" spans="1:15" x14ac:dyDescent="0.3">
      <c r="A14" s="121" t="s">
        <v>33</v>
      </c>
      <c r="B14" s="122"/>
      <c r="C14" s="122"/>
      <c r="D14" s="122"/>
      <c r="E14" s="122"/>
      <c r="F14" s="122"/>
      <c r="G14" s="122"/>
      <c r="H14" s="123"/>
      <c r="I14" s="57"/>
      <c r="J14" s="57"/>
      <c r="K14" s="73"/>
      <c r="L14" s="57"/>
      <c r="M14" s="57"/>
      <c r="N14" s="73"/>
    </row>
    <row r="15" spans="1:15" x14ac:dyDescent="0.3">
      <c r="A15" s="9" t="s">
        <v>20</v>
      </c>
      <c r="B15" s="9" t="s">
        <v>18</v>
      </c>
      <c r="C15" s="8" t="s">
        <v>47</v>
      </c>
      <c r="D15" s="8" t="s">
        <v>45</v>
      </c>
      <c r="E15" s="8" t="s">
        <v>43</v>
      </c>
      <c r="F15" s="8" t="s">
        <v>40</v>
      </c>
      <c r="G15" s="8" t="s">
        <v>38</v>
      </c>
      <c r="H15" s="8" t="s">
        <v>37</v>
      </c>
      <c r="I15" s="8" t="s">
        <v>36</v>
      </c>
      <c r="J15" s="8" t="s">
        <v>35</v>
      </c>
      <c r="K15" s="8" t="s">
        <v>34</v>
      </c>
      <c r="L15" s="8" t="s">
        <v>28</v>
      </c>
      <c r="M15" s="8" t="s">
        <v>26</v>
      </c>
      <c r="N15" s="8" t="s">
        <v>24</v>
      </c>
    </row>
    <row r="16" spans="1:15" x14ac:dyDescent="0.3">
      <c r="A16" s="72">
        <v>1</v>
      </c>
      <c r="B16" s="7" t="s">
        <v>27</v>
      </c>
      <c r="C16" s="19">
        <v>53800</v>
      </c>
      <c r="D16" s="19">
        <v>66000</v>
      </c>
      <c r="E16" s="19">
        <v>70200</v>
      </c>
      <c r="F16" s="19">
        <v>67000</v>
      </c>
      <c r="G16" s="19">
        <v>81400</v>
      </c>
      <c r="H16" s="19">
        <v>81600</v>
      </c>
      <c r="I16" s="19">
        <f>98200-5200</f>
        <v>93000</v>
      </c>
      <c r="J16" s="19">
        <v>108400</v>
      </c>
      <c r="K16" s="19">
        <v>98600</v>
      </c>
      <c r="L16" s="19">
        <v>54800</v>
      </c>
      <c r="M16" s="19">
        <v>60000</v>
      </c>
      <c r="N16" s="19">
        <v>65200</v>
      </c>
      <c r="O16" s="57">
        <f>SUM(C16:N16)</f>
        <v>900000</v>
      </c>
    </row>
    <row r="17" spans="1:15" x14ac:dyDescent="0.3">
      <c r="A17" s="71">
        <v>2</v>
      </c>
      <c r="B17" s="16" t="s">
        <v>25</v>
      </c>
      <c r="C17" s="15">
        <v>76800</v>
      </c>
      <c r="D17" s="15">
        <v>74800</v>
      </c>
      <c r="E17" s="15">
        <v>33400</v>
      </c>
      <c r="F17" s="15">
        <v>58000</v>
      </c>
      <c r="G17" s="15">
        <v>58500</v>
      </c>
      <c r="H17" s="15">
        <v>58500</v>
      </c>
      <c r="I17" s="15">
        <v>54900</v>
      </c>
      <c r="J17" s="15">
        <v>51600</v>
      </c>
      <c r="K17" s="15">
        <v>48500</v>
      </c>
      <c r="L17" s="15">
        <v>54900</v>
      </c>
      <c r="M17" s="15">
        <v>61600</v>
      </c>
      <c r="N17" s="15">
        <v>68500</v>
      </c>
      <c r="O17" s="57">
        <f>SUM(C17:N17)</f>
        <v>700000</v>
      </c>
    </row>
    <row r="19" spans="1:15" x14ac:dyDescent="0.3">
      <c r="C19" s="70">
        <v>240000</v>
      </c>
      <c r="D19" s="70">
        <v>480000</v>
      </c>
    </row>
    <row r="20" spans="1:15" x14ac:dyDescent="0.3">
      <c r="B20" s="9"/>
      <c r="C20" s="9" t="s">
        <v>27</v>
      </c>
      <c r="D20" s="9" t="s">
        <v>25</v>
      </c>
    </row>
    <row r="21" spans="1:15" x14ac:dyDescent="0.3">
      <c r="B21" s="69" t="s">
        <v>79</v>
      </c>
      <c r="C21" s="68">
        <v>900000</v>
      </c>
      <c r="D21" s="68">
        <v>700000</v>
      </c>
    </row>
    <row r="22" spans="1:15" x14ac:dyDescent="0.3">
      <c r="B22" s="60" t="s">
        <v>77</v>
      </c>
      <c r="C22" s="60"/>
      <c r="D22" s="60"/>
    </row>
    <row r="23" spans="1:15" x14ac:dyDescent="0.3">
      <c r="B23" s="60" t="s">
        <v>76</v>
      </c>
      <c r="C23" s="66">
        <f>4.9*24000</f>
        <v>117600.00000000001</v>
      </c>
      <c r="D23" s="66">
        <f>9.8*24000</f>
        <v>235200.00000000003</v>
      </c>
    </row>
    <row r="24" spans="1:15" x14ac:dyDescent="0.3">
      <c r="B24" s="60" t="s">
        <v>75</v>
      </c>
      <c r="C24" s="66">
        <f>1.9*24000</f>
        <v>45600</v>
      </c>
      <c r="D24" s="66">
        <f>3.9*24000</f>
        <v>93600</v>
      </c>
    </row>
    <row r="25" spans="1:15" x14ac:dyDescent="0.3">
      <c r="B25" s="63" t="s">
        <v>72</v>
      </c>
      <c r="C25" s="62">
        <f>276000*24000</f>
        <v>6624000000</v>
      </c>
      <c r="D25" s="62">
        <f>376000*24000</f>
        <v>9024000000</v>
      </c>
    </row>
    <row r="26" spans="1:15" x14ac:dyDescent="0.3">
      <c r="C26" s="57"/>
    </row>
    <row r="27" spans="1:15" ht="6" customHeight="1" x14ac:dyDescent="0.3"/>
    <row r="28" spans="1:15" x14ac:dyDescent="0.3">
      <c r="C28" s="57"/>
      <c r="D28" s="57"/>
      <c r="L28" s="57"/>
    </row>
    <row r="29" spans="1:15" ht="17.399999999999999" x14ac:dyDescent="0.3">
      <c r="B29" s="147" t="s">
        <v>80</v>
      </c>
      <c r="C29" s="148"/>
      <c r="D29" s="148"/>
      <c r="E29" s="148"/>
      <c r="F29" s="149"/>
    </row>
    <row r="30" spans="1:15" x14ac:dyDescent="0.3">
      <c r="B30" s="150" t="s">
        <v>78</v>
      </c>
      <c r="C30" s="151"/>
      <c r="D30" s="151"/>
      <c r="E30" s="151"/>
      <c r="F30" s="152"/>
    </row>
    <row r="31" spans="1:15" x14ac:dyDescent="0.3">
      <c r="B31" s="146" t="s">
        <v>64</v>
      </c>
      <c r="C31" s="113" t="s">
        <v>27</v>
      </c>
      <c r="D31" s="113"/>
      <c r="E31" s="113" t="s">
        <v>25</v>
      </c>
      <c r="F31" s="113"/>
    </row>
    <row r="32" spans="1:15" x14ac:dyDescent="0.3">
      <c r="B32" s="146"/>
      <c r="C32" s="67" t="s">
        <v>13</v>
      </c>
      <c r="D32" s="67" t="s">
        <v>12</v>
      </c>
      <c r="E32" s="67" t="s">
        <v>13</v>
      </c>
      <c r="F32" s="67" t="s">
        <v>12</v>
      </c>
    </row>
    <row r="33" spans="2:6" x14ac:dyDescent="0.3">
      <c r="B33" s="65" t="s">
        <v>74</v>
      </c>
      <c r="C33" s="64">
        <f>C23</f>
        <v>117600.00000000001</v>
      </c>
      <c r="D33" s="64">
        <v>51986256000.000008</v>
      </c>
      <c r="E33" s="64">
        <f>D23</f>
        <v>235200.00000000003</v>
      </c>
      <c r="F33" s="64">
        <v>83425440000.000015</v>
      </c>
    </row>
    <row r="34" spans="2:6" x14ac:dyDescent="0.3">
      <c r="B34" s="60" t="s">
        <v>73</v>
      </c>
      <c r="C34" s="61">
        <f>C24</f>
        <v>45600</v>
      </c>
      <c r="D34" s="61">
        <v>20157936000</v>
      </c>
      <c r="E34" s="61">
        <f>D24</f>
        <v>93600</v>
      </c>
      <c r="F34" s="61">
        <v>33199920000</v>
      </c>
    </row>
    <row r="35" spans="2:6" x14ac:dyDescent="0.3">
      <c r="B35" s="60" t="s">
        <v>72</v>
      </c>
      <c r="C35" s="61">
        <v>7492</v>
      </c>
      <c r="D35" s="61">
        <v>3311913520</v>
      </c>
      <c r="E35" s="61">
        <v>25441</v>
      </c>
      <c r="F35" s="61">
        <v>9023922700</v>
      </c>
    </row>
    <row r="36" spans="2:6" x14ac:dyDescent="0.3">
      <c r="B36" s="60"/>
      <c r="C36" s="60"/>
      <c r="D36" s="60"/>
      <c r="E36" s="60"/>
      <c r="F36" s="60"/>
    </row>
    <row r="37" spans="2:6" x14ac:dyDescent="0.3">
      <c r="B37" s="59" t="s">
        <v>0</v>
      </c>
      <c r="C37" s="58">
        <f>SUM(C33:C36)</f>
        <v>170692</v>
      </c>
      <c r="D37" s="58">
        <f>SUM(D33:D36)</f>
        <v>75456105520</v>
      </c>
      <c r="E37" s="58">
        <f>SUM(E33:E36)</f>
        <v>354241</v>
      </c>
      <c r="F37" s="58">
        <f>SUM(F33:F36)</f>
        <v>125649282700.00002</v>
      </c>
    </row>
  </sheetData>
  <mergeCells count="6">
    <mergeCell ref="A14:H14"/>
    <mergeCell ref="C31:D31"/>
    <mergeCell ref="E31:F31"/>
    <mergeCell ref="B31:B32"/>
    <mergeCell ref="B29:F29"/>
    <mergeCell ref="B30:F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0D46-D70C-4494-A26A-6F66803E2C24}">
  <dimension ref="A2:H202"/>
  <sheetViews>
    <sheetView showGridLines="0" topLeftCell="A142" workbookViewId="0">
      <selection activeCell="E150" sqref="E150"/>
    </sheetView>
  </sheetViews>
  <sheetFormatPr defaultColWidth="8.77734375" defaultRowHeight="15" x14ac:dyDescent="0.25"/>
  <cols>
    <col min="1" max="1" width="38.21875" style="77" customWidth="1"/>
    <col min="2" max="5" width="21.33203125" style="77" bestFit="1" customWidth="1"/>
    <col min="6" max="6" width="21.77734375" style="77" bestFit="1" customWidth="1"/>
    <col min="7" max="7" width="17.77734375" style="77" bestFit="1" customWidth="1"/>
    <col min="8" max="16384" width="8.77734375" style="77"/>
  </cols>
  <sheetData>
    <row r="2" spans="1:6" x14ac:dyDescent="0.25">
      <c r="A2" s="106" t="s">
        <v>131</v>
      </c>
    </row>
    <row r="3" spans="1:6" x14ac:dyDescent="0.25">
      <c r="A3" s="106" t="s">
        <v>92</v>
      </c>
    </row>
    <row r="4" spans="1:6" x14ac:dyDescent="0.25">
      <c r="A4" s="87" t="s">
        <v>64</v>
      </c>
      <c r="B4" s="87" t="s">
        <v>32</v>
      </c>
      <c r="C4" s="87" t="s">
        <v>31</v>
      </c>
      <c r="D4" s="87" t="s">
        <v>30</v>
      </c>
      <c r="E4" s="87" t="s">
        <v>23</v>
      </c>
      <c r="F4" s="87" t="s">
        <v>29</v>
      </c>
    </row>
    <row r="5" spans="1:6" x14ac:dyDescent="0.25">
      <c r="A5" s="89" t="s">
        <v>27</v>
      </c>
      <c r="B5" s="89"/>
      <c r="C5" s="89"/>
      <c r="D5" s="89"/>
      <c r="E5" s="89"/>
      <c r="F5" s="89"/>
    </row>
    <row r="6" spans="1:6" x14ac:dyDescent="0.25">
      <c r="A6" s="84" t="s">
        <v>116</v>
      </c>
      <c r="B6" s="83">
        <f>B30</f>
        <v>210000</v>
      </c>
      <c r="C6" s="83">
        <f>C30</f>
        <v>265000</v>
      </c>
      <c r="D6" s="83">
        <f>D30</f>
        <v>240000</v>
      </c>
      <c r="E6" s="83">
        <f>E30</f>
        <v>195000</v>
      </c>
      <c r="F6" s="93">
        <f>SUM(B6:E6)</f>
        <v>910000</v>
      </c>
    </row>
    <row r="7" spans="1:6" ht="14.55" customHeight="1" x14ac:dyDescent="0.25">
      <c r="A7" s="84" t="s">
        <v>130</v>
      </c>
      <c r="B7" s="84"/>
      <c r="C7" s="84"/>
      <c r="D7" s="84"/>
      <c r="E7" s="84"/>
      <c r="F7" s="84"/>
    </row>
    <row r="8" spans="1:6" x14ac:dyDescent="0.25">
      <c r="A8" s="84" t="s">
        <v>124</v>
      </c>
      <c r="B8" s="84">
        <v>2</v>
      </c>
      <c r="C8" s="84">
        <v>2</v>
      </c>
      <c r="D8" s="84">
        <v>2</v>
      </c>
      <c r="E8" s="84">
        <v>2</v>
      </c>
      <c r="F8" s="84"/>
    </row>
    <row r="9" spans="1:6" x14ac:dyDescent="0.25">
      <c r="A9" s="84" t="s">
        <v>123</v>
      </c>
      <c r="B9" s="84">
        <v>3.5</v>
      </c>
      <c r="C9" s="84">
        <v>3.5</v>
      </c>
      <c r="D9" s="84">
        <v>3.5</v>
      </c>
      <c r="E9" s="84">
        <v>3.5</v>
      </c>
      <c r="F9" s="84"/>
    </row>
    <row r="10" spans="1:6" x14ac:dyDescent="0.25">
      <c r="A10" s="84" t="s">
        <v>136</v>
      </c>
      <c r="B10" s="84"/>
      <c r="C10" s="84"/>
      <c r="D10" s="84"/>
      <c r="E10" s="84"/>
      <c r="F10" s="84"/>
    </row>
    <row r="11" spans="1:6" x14ac:dyDescent="0.25">
      <c r="A11" s="84" t="s">
        <v>124</v>
      </c>
      <c r="B11" s="93">
        <f>B8*B6</f>
        <v>420000</v>
      </c>
      <c r="C11" s="93">
        <f>C8*C6</f>
        <v>530000</v>
      </c>
      <c r="D11" s="93">
        <f>D8*D6</f>
        <v>480000</v>
      </c>
      <c r="E11" s="93">
        <f>E8*E6</f>
        <v>390000</v>
      </c>
      <c r="F11" s="93">
        <f>SUM(B11:E11)</f>
        <v>1820000</v>
      </c>
    </row>
    <row r="12" spans="1:6" x14ac:dyDescent="0.25">
      <c r="A12" s="102" t="s">
        <v>135</v>
      </c>
      <c r="B12" s="101">
        <f>B9*B6</f>
        <v>735000</v>
      </c>
      <c r="C12" s="101">
        <f>C9*C6</f>
        <v>927500</v>
      </c>
      <c r="D12" s="101">
        <f>D9*D6</f>
        <v>840000</v>
      </c>
      <c r="E12" s="101">
        <f>E9*E6</f>
        <v>682500</v>
      </c>
      <c r="F12" s="101">
        <f>SUM(B12:E12)</f>
        <v>3185000</v>
      </c>
    </row>
    <row r="13" spans="1:6" x14ac:dyDescent="0.25">
      <c r="A13" s="89" t="s">
        <v>25</v>
      </c>
      <c r="B13" s="89"/>
      <c r="C13" s="89"/>
      <c r="D13" s="89"/>
      <c r="E13" s="89"/>
      <c r="F13" s="89"/>
    </row>
    <row r="14" spans="1:6" x14ac:dyDescent="0.25">
      <c r="A14" s="84" t="s">
        <v>116</v>
      </c>
      <c r="B14" s="83">
        <f>B35</f>
        <v>177500</v>
      </c>
      <c r="C14" s="83">
        <f>C35</f>
        <v>165000</v>
      </c>
      <c r="D14" s="83">
        <f>D35</f>
        <v>170000</v>
      </c>
      <c r="E14" s="83">
        <f>E35</f>
        <v>197500</v>
      </c>
      <c r="F14" s="93">
        <f>SUM(B14:E14)</f>
        <v>710000</v>
      </c>
    </row>
    <row r="15" spans="1:6" x14ac:dyDescent="0.25">
      <c r="A15" s="84" t="s">
        <v>130</v>
      </c>
      <c r="B15" s="84"/>
      <c r="C15" s="84"/>
      <c r="D15" s="84"/>
      <c r="E15" s="84"/>
      <c r="F15" s="84"/>
    </row>
    <row r="16" spans="1:6" x14ac:dyDescent="0.25">
      <c r="A16" s="84" t="s">
        <v>122</v>
      </c>
      <c r="B16" s="84">
        <v>2.21</v>
      </c>
      <c r="C16" s="84">
        <v>2.21</v>
      </c>
      <c r="D16" s="84">
        <v>2.21</v>
      </c>
      <c r="E16" s="84">
        <v>2.21</v>
      </c>
      <c r="F16" s="84"/>
    </row>
    <row r="17" spans="1:7" x14ac:dyDescent="0.25">
      <c r="A17" s="84" t="s">
        <v>123</v>
      </c>
      <c r="B17" s="84">
        <v>3.5</v>
      </c>
      <c r="C17" s="84">
        <v>3.5</v>
      </c>
      <c r="D17" s="84">
        <v>3.5</v>
      </c>
      <c r="E17" s="84">
        <v>3.5</v>
      </c>
      <c r="F17" s="84"/>
    </row>
    <row r="18" spans="1:7" x14ac:dyDescent="0.25">
      <c r="A18" s="84" t="s">
        <v>136</v>
      </c>
      <c r="B18" s="84"/>
      <c r="C18" s="84"/>
      <c r="D18" s="84"/>
      <c r="E18" s="84"/>
      <c r="F18" s="84"/>
    </row>
    <row r="19" spans="1:7" x14ac:dyDescent="0.25">
      <c r="A19" s="84" t="s">
        <v>122</v>
      </c>
      <c r="B19" s="93">
        <f>B16*B14</f>
        <v>392275</v>
      </c>
      <c r="C19" s="93">
        <f>C16*C14</f>
        <v>364650</v>
      </c>
      <c r="D19" s="93">
        <f>D16*D14</f>
        <v>375700</v>
      </c>
      <c r="E19" s="93">
        <f>E16*E14</f>
        <v>436475</v>
      </c>
      <c r="F19" s="93">
        <f>SUM(B19:E19)</f>
        <v>1569100</v>
      </c>
    </row>
    <row r="20" spans="1:7" x14ac:dyDescent="0.25">
      <c r="A20" s="102" t="s">
        <v>135</v>
      </c>
      <c r="B20" s="101">
        <f>B17*B14</f>
        <v>621250</v>
      </c>
      <c r="C20" s="101">
        <f>C17*C14</f>
        <v>577500</v>
      </c>
      <c r="D20" s="101">
        <f>D17*D14</f>
        <v>595000</v>
      </c>
      <c r="E20" s="101">
        <f>E17*E14</f>
        <v>691250</v>
      </c>
      <c r="F20" s="101">
        <f>SUM(B20:E20)</f>
        <v>2485000</v>
      </c>
    </row>
    <row r="21" spans="1:7" x14ac:dyDescent="0.25">
      <c r="B21" s="78">
        <f>(B11*B190+B193*B12)/B6</f>
        <v>114854.5</v>
      </c>
      <c r="C21" s="78">
        <f>(C11*C190+C193*C12)/C6</f>
        <v>114854.5</v>
      </c>
      <c r="D21" s="78">
        <f>(D11*D190+D193*D12)/D6</f>
        <v>120596</v>
      </c>
      <c r="E21" s="78">
        <f>(E11*E190+E193*E12)/E6</f>
        <v>120596</v>
      </c>
    </row>
    <row r="23" spans="1:7" x14ac:dyDescent="0.25">
      <c r="A23" s="143" t="s">
        <v>134</v>
      </c>
      <c r="B23" s="144"/>
      <c r="C23" s="144"/>
      <c r="D23" s="144"/>
      <c r="E23" s="144"/>
      <c r="F23" s="145"/>
    </row>
    <row r="24" spans="1:7" x14ac:dyDescent="0.25">
      <c r="A24" s="140" t="s">
        <v>126</v>
      </c>
      <c r="B24" s="141"/>
      <c r="C24" s="141"/>
      <c r="D24" s="141"/>
      <c r="E24" s="141"/>
      <c r="F24" s="142"/>
    </row>
    <row r="25" spans="1:7" x14ac:dyDescent="0.25">
      <c r="A25" s="81" t="s">
        <v>18</v>
      </c>
      <c r="B25" s="87" t="s">
        <v>32</v>
      </c>
      <c r="C25" s="87" t="s">
        <v>31</v>
      </c>
      <c r="D25" s="87" t="s">
        <v>30</v>
      </c>
      <c r="E25" s="87" t="s">
        <v>23</v>
      </c>
      <c r="F25" s="87" t="s">
        <v>29</v>
      </c>
    </row>
    <row r="26" spans="1:7" x14ac:dyDescent="0.25">
      <c r="A26" s="86" t="s">
        <v>27</v>
      </c>
      <c r="B26" s="89"/>
      <c r="C26" s="89"/>
      <c r="D26" s="89"/>
      <c r="E26" s="89"/>
      <c r="F26" s="89"/>
    </row>
    <row r="27" spans="1:7" x14ac:dyDescent="0.25">
      <c r="A27" s="84" t="s">
        <v>133</v>
      </c>
      <c r="B27" s="83">
        <v>190000</v>
      </c>
      <c r="C27" s="83">
        <v>230000</v>
      </c>
      <c r="D27" s="83">
        <v>300000</v>
      </c>
      <c r="E27" s="83">
        <v>180000</v>
      </c>
      <c r="F27" s="83">
        <f>SUM(B27:E27)</f>
        <v>900000</v>
      </c>
    </row>
    <row r="28" spans="1:7" x14ac:dyDescent="0.25">
      <c r="A28" s="84" t="s">
        <v>120</v>
      </c>
      <c r="B28" s="93">
        <f>C27*50%</f>
        <v>115000</v>
      </c>
      <c r="C28" s="93">
        <f>D27*50%</f>
        <v>150000</v>
      </c>
      <c r="D28" s="93">
        <f>E27*50%</f>
        <v>90000</v>
      </c>
      <c r="E28" s="93">
        <v>105000</v>
      </c>
      <c r="F28" s="93"/>
    </row>
    <row r="29" spans="1:7" x14ac:dyDescent="0.25">
      <c r="A29" s="84" t="s">
        <v>119</v>
      </c>
      <c r="B29" s="93">
        <v>95000</v>
      </c>
      <c r="C29" s="93">
        <f>B28</f>
        <v>115000</v>
      </c>
      <c r="D29" s="93">
        <f>C28</f>
        <v>150000</v>
      </c>
      <c r="E29" s="93">
        <f>D28</f>
        <v>90000</v>
      </c>
      <c r="F29" s="93"/>
    </row>
    <row r="30" spans="1:7" x14ac:dyDescent="0.25">
      <c r="A30" s="82" t="s">
        <v>132</v>
      </c>
      <c r="B30" s="79">
        <f>B27+B28-B29</f>
        <v>210000</v>
      </c>
      <c r="C30" s="79">
        <f>C27+C28-C29</f>
        <v>265000</v>
      </c>
      <c r="D30" s="79">
        <f>D27+D28-D29</f>
        <v>240000</v>
      </c>
      <c r="E30" s="79">
        <f>E27+E28-E29</f>
        <v>195000</v>
      </c>
      <c r="F30" s="79">
        <f>SUM(B30:E30)</f>
        <v>910000</v>
      </c>
      <c r="G30" s="78"/>
    </row>
    <row r="31" spans="1:7" x14ac:dyDescent="0.25">
      <c r="A31" s="86" t="s">
        <v>25</v>
      </c>
      <c r="B31" s="89"/>
      <c r="C31" s="89"/>
      <c r="D31" s="89"/>
      <c r="E31" s="89"/>
      <c r="F31" s="89"/>
    </row>
    <row r="32" spans="1:7" x14ac:dyDescent="0.25">
      <c r="A32" s="84" t="s">
        <v>133</v>
      </c>
      <c r="B32" s="83">
        <v>185000</v>
      </c>
      <c r="C32" s="83">
        <v>175000</v>
      </c>
      <c r="D32" s="83">
        <v>155000</v>
      </c>
      <c r="E32" s="83">
        <v>185000</v>
      </c>
      <c r="F32" s="83">
        <f>SUM(B32:E32)</f>
        <v>700000</v>
      </c>
    </row>
    <row r="33" spans="1:6" x14ac:dyDescent="0.25">
      <c r="A33" s="84" t="s">
        <v>120</v>
      </c>
      <c r="B33" s="93">
        <f>C32*50%</f>
        <v>87500</v>
      </c>
      <c r="C33" s="93">
        <f>D32*50%</f>
        <v>77500</v>
      </c>
      <c r="D33" s="93">
        <f>E32*50%</f>
        <v>92500</v>
      </c>
      <c r="E33" s="93">
        <v>105000</v>
      </c>
      <c r="F33" s="93"/>
    </row>
    <row r="34" spans="1:6" x14ac:dyDescent="0.25">
      <c r="A34" s="84" t="s">
        <v>119</v>
      </c>
      <c r="B34" s="93">
        <v>95000</v>
      </c>
      <c r="C34" s="93">
        <f>B33</f>
        <v>87500</v>
      </c>
      <c r="D34" s="93">
        <f>C33</f>
        <v>77500</v>
      </c>
      <c r="E34" s="93">
        <f>D33</f>
        <v>92500</v>
      </c>
      <c r="F34" s="93"/>
    </row>
    <row r="35" spans="1:6" x14ac:dyDescent="0.25">
      <c r="A35" s="82" t="s">
        <v>132</v>
      </c>
      <c r="B35" s="79">
        <f>B32+B33-B34</f>
        <v>177500</v>
      </c>
      <c r="C35" s="79">
        <f>C32+C33-C34</f>
        <v>165000</v>
      </c>
      <c r="D35" s="79">
        <f>D32+D33-D34</f>
        <v>170000</v>
      </c>
      <c r="E35" s="79">
        <f>E32+E33-E34</f>
        <v>197500</v>
      </c>
      <c r="F35" s="79">
        <f>SUM(B35:E35)</f>
        <v>710000</v>
      </c>
    </row>
    <row r="39" spans="1:6" x14ac:dyDescent="0.25">
      <c r="A39" s="111" t="s">
        <v>33</v>
      </c>
      <c r="B39" s="110"/>
      <c r="C39" s="110"/>
      <c r="D39" s="110"/>
      <c r="E39" s="110"/>
      <c r="F39" s="109"/>
    </row>
    <row r="40" spans="1:6" x14ac:dyDescent="0.25">
      <c r="A40" s="21" t="s">
        <v>18</v>
      </c>
      <c r="B40" s="12" t="s">
        <v>32</v>
      </c>
      <c r="C40" s="12" t="s">
        <v>31</v>
      </c>
      <c r="D40" s="12" t="s">
        <v>30</v>
      </c>
      <c r="E40" s="12" t="s">
        <v>23</v>
      </c>
      <c r="F40" s="12" t="s">
        <v>29</v>
      </c>
    </row>
    <row r="41" spans="1:6" x14ac:dyDescent="0.25">
      <c r="A41" s="7" t="s">
        <v>27</v>
      </c>
      <c r="B41" s="108">
        <v>190000</v>
      </c>
      <c r="C41" s="108">
        <v>230000</v>
      </c>
      <c r="D41" s="108">
        <v>300000</v>
      </c>
      <c r="E41" s="108">
        <v>180000</v>
      </c>
      <c r="F41" s="18">
        <f>SUM(B41:E41)</f>
        <v>900000</v>
      </c>
    </row>
    <row r="42" spans="1:6" x14ac:dyDescent="0.25">
      <c r="A42" s="16" t="s">
        <v>25</v>
      </c>
      <c r="B42" s="107">
        <v>185000</v>
      </c>
      <c r="C42" s="107">
        <v>175000</v>
      </c>
      <c r="D42" s="107">
        <v>155000</v>
      </c>
      <c r="E42" s="107">
        <v>185000</v>
      </c>
      <c r="F42" s="14">
        <f>SUM(B42:E42)</f>
        <v>700000</v>
      </c>
    </row>
    <row r="47" spans="1:6" x14ac:dyDescent="0.25">
      <c r="A47" s="106" t="s">
        <v>131</v>
      </c>
    </row>
    <row r="48" spans="1:6" x14ac:dyDescent="0.25">
      <c r="A48" s="106" t="s">
        <v>92</v>
      </c>
    </row>
    <row r="49" spans="1:6" x14ac:dyDescent="0.25">
      <c r="A49" s="87" t="s">
        <v>64</v>
      </c>
      <c r="B49" s="87" t="s">
        <v>32</v>
      </c>
      <c r="C49" s="87" t="s">
        <v>31</v>
      </c>
      <c r="D49" s="87" t="s">
        <v>30</v>
      </c>
      <c r="E49" s="87" t="s">
        <v>23</v>
      </c>
      <c r="F49" s="87" t="s">
        <v>29</v>
      </c>
    </row>
    <row r="50" spans="1:6" x14ac:dyDescent="0.25">
      <c r="A50" s="89" t="s">
        <v>27</v>
      </c>
      <c r="B50" s="89"/>
      <c r="C50" s="89"/>
      <c r="D50" s="89"/>
      <c r="E50" s="89"/>
      <c r="F50" s="89"/>
    </row>
    <row r="51" spans="1:6" x14ac:dyDescent="0.25">
      <c r="A51" s="84" t="s">
        <v>130</v>
      </c>
      <c r="B51" s="84"/>
      <c r="C51" s="84"/>
      <c r="D51" s="84"/>
      <c r="E51" s="84"/>
      <c r="F51" s="84"/>
    </row>
    <row r="52" spans="1:6" x14ac:dyDescent="0.25">
      <c r="A52" s="84" t="s">
        <v>124</v>
      </c>
      <c r="B52" s="84">
        <v>2</v>
      </c>
      <c r="C52" s="84">
        <v>2</v>
      </c>
      <c r="D52" s="84">
        <v>2</v>
      </c>
      <c r="E52" s="84">
        <v>2</v>
      </c>
      <c r="F52" s="84"/>
    </row>
    <row r="53" spans="1:6" x14ac:dyDescent="0.25">
      <c r="A53" s="84" t="s">
        <v>123</v>
      </c>
      <c r="B53" s="84">
        <v>3.5</v>
      </c>
      <c r="C53" s="84">
        <v>3.5</v>
      </c>
      <c r="D53" s="84">
        <v>3.5</v>
      </c>
      <c r="E53" s="84">
        <v>3.5</v>
      </c>
      <c r="F53" s="84"/>
    </row>
    <row r="54" spans="1:6" x14ac:dyDescent="0.25">
      <c r="A54" s="89" t="s">
        <v>25</v>
      </c>
      <c r="B54" s="89"/>
      <c r="C54" s="89"/>
      <c r="D54" s="89"/>
      <c r="E54" s="89"/>
      <c r="F54" s="89"/>
    </row>
    <row r="55" spans="1:6" x14ac:dyDescent="0.25">
      <c r="A55" s="84" t="s">
        <v>130</v>
      </c>
      <c r="B55" s="84"/>
      <c r="C55" s="84"/>
      <c r="D55" s="84"/>
      <c r="E55" s="84"/>
      <c r="F55" s="84"/>
    </row>
    <row r="56" spans="1:6" x14ac:dyDescent="0.25">
      <c r="A56" s="84" t="s">
        <v>122</v>
      </c>
      <c r="B56" s="84">
        <v>2.21</v>
      </c>
      <c r="C56" s="84">
        <v>2.21</v>
      </c>
      <c r="D56" s="84">
        <v>2.21</v>
      </c>
      <c r="E56" s="84">
        <v>2.21</v>
      </c>
      <c r="F56" s="84"/>
    </row>
    <row r="57" spans="1:6" x14ac:dyDescent="0.25">
      <c r="A57" s="102" t="s">
        <v>123</v>
      </c>
      <c r="B57" s="102">
        <v>3.5</v>
      </c>
      <c r="C57" s="102">
        <v>3.5</v>
      </c>
      <c r="D57" s="102">
        <v>3.5</v>
      </c>
      <c r="E57" s="102">
        <v>3.5</v>
      </c>
      <c r="F57" s="102"/>
    </row>
    <row r="61" spans="1:6" x14ac:dyDescent="0.25">
      <c r="A61" s="105" t="s">
        <v>129</v>
      </c>
      <c r="B61" s="104"/>
      <c r="C61" s="104"/>
      <c r="D61" s="104"/>
      <c r="E61" s="103"/>
    </row>
    <row r="62" spans="1:6" x14ac:dyDescent="0.25">
      <c r="A62" s="81" t="s">
        <v>128</v>
      </c>
      <c r="B62" s="87" t="str">
        <f>B25</f>
        <v>Quý 1</v>
      </c>
      <c r="C62" s="87" t="str">
        <f>C25</f>
        <v>Quý 2</v>
      </c>
      <c r="D62" s="87" t="str">
        <f>D25</f>
        <v>Quý 3</v>
      </c>
      <c r="E62" s="87" t="str">
        <f>E25</f>
        <v>Quý 4</v>
      </c>
    </row>
    <row r="63" spans="1:6" x14ac:dyDescent="0.25">
      <c r="A63" s="86" t="str">
        <f>A26</f>
        <v>Sản phẩm 01</v>
      </c>
      <c r="B63" s="89"/>
      <c r="C63" s="89"/>
      <c r="D63" s="89"/>
      <c r="E63" s="89"/>
    </row>
    <row r="64" spans="1:6" x14ac:dyDescent="0.25">
      <c r="A64" s="84" t="str">
        <f>A28</f>
        <v>Tồn kho cuối kỳ</v>
      </c>
      <c r="B64" s="93">
        <f>B28</f>
        <v>115000</v>
      </c>
      <c r="C64" s="93">
        <f>C28</f>
        <v>150000</v>
      </c>
      <c r="D64" s="93">
        <f>D28</f>
        <v>90000</v>
      </c>
      <c r="E64" s="93">
        <f>E28</f>
        <v>105000</v>
      </c>
    </row>
    <row r="65" spans="1:5" x14ac:dyDescent="0.25">
      <c r="A65" s="84" t="str">
        <f>A29</f>
        <v>Tồn kho đầu kỳ</v>
      </c>
      <c r="B65" s="93">
        <f>B29</f>
        <v>95000</v>
      </c>
      <c r="C65" s="93">
        <f>C29</f>
        <v>115000</v>
      </c>
      <c r="D65" s="93">
        <f>D29</f>
        <v>150000</v>
      </c>
      <c r="E65" s="93">
        <f>E29</f>
        <v>90000</v>
      </c>
    </row>
    <row r="66" spans="1:5" x14ac:dyDescent="0.25">
      <c r="A66" s="86" t="str">
        <f>A31</f>
        <v>Sản phẩm 02</v>
      </c>
      <c r="B66" s="89"/>
      <c r="C66" s="89"/>
      <c r="D66" s="89"/>
      <c r="E66" s="89"/>
    </row>
    <row r="67" spans="1:5" x14ac:dyDescent="0.25">
      <c r="A67" s="84" t="str">
        <f>A33</f>
        <v>Tồn kho cuối kỳ</v>
      </c>
      <c r="B67" s="93">
        <f>B33</f>
        <v>87500</v>
      </c>
      <c r="C67" s="93">
        <f>C33</f>
        <v>77500</v>
      </c>
      <c r="D67" s="93">
        <f>D33</f>
        <v>92500</v>
      </c>
      <c r="E67" s="93">
        <f>E33</f>
        <v>105000</v>
      </c>
    </row>
    <row r="68" spans="1:5" x14ac:dyDescent="0.25">
      <c r="A68" s="84" t="str">
        <f>A34</f>
        <v>Tồn kho đầu kỳ</v>
      </c>
      <c r="B68" s="93">
        <f>B34</f>
        <v>95000</v>
      </c>
      <c r="C68" s="93">
        <f>C34</f>
        <v>87500</v>
      </c>
      <c r="D68" s="93">
        <f>D34</f>
        <v>77500</v>
      </c>
      <c r="E68" s="93">
        <f>E34</f>
        <v>92500</v>
      </c>
    </row>
    <row r="69" spans="1:5" x14ac:dyDescent="0.25">
      <c r="A69" s="86" t="s">
        <v>124</v>
      </c>
      <c r="B69" s="89"/>
      <c r="C69" s="89"/>
      <c r="D69" s="89"/>
      <c r="E69" s="89"/>
    </row>
    <row r="70" spans="1:5" x14ac:dyDescent="0.25">
      <c r="A70" s="84" t="s">
        <v>120</v>
      </c>
      <c r="B70" s="93">
        <f>C11*20%</f>
        <v>106000</v>
      </c>
      <c r="C70" s="93">
        <f>D11*20%</f>
        <v>96000</v>
      </c>
      <c r="D70" s="93">
        <f>E11*20%</f>
        <v>78000</v>
      </c>
      <c r="E70" s="93">
        <f>(D70+B70)/2+24000</f>
        <v>116000</v>
      </c>
    </row>
    <row r="71" spans="1:5" x14ac:dyDescent="0.25">
      <c r="A71" s="84" t="s">
        <v>119</v>
      </c>
      <c r="B71" s="93">
        <f>(C71+D71)/2</f>
        <v>101000</v>
      </c>
      <c r="C71" s="93">
        <f>B70</f>
        <v>106000</v>
      </c>
      <c r="D71" s="93">
        <f>C70</f>
        <v>96000</v>
      </c>
      <c r="E71" s="93">
        <f>D70</f>
        <v>78000</v>
      </c>
    </row>
    <row r="72" spans="1:5" x14ac:dyDescent="0.25">
      <c r="A72" s="86" t="s">
        <v>123</v>
      </c>
      <c r="B72" s="89"/>
      <c r="C72" s="89"/>
      <c r="D72" s="89"/>
      <c r="E72" s="89"/>
    </row>
    <row r="73" spans="1:5" x14ac:dyDescent="0.25">
      <c r="A73" s="84" t="s">
        <v>120</v>
      </c>
      <c r="B73" s="93">
        <f>(B12+B20)*20%</f>
        <v>271250</v>
      </c>
      <c r="C73" s="93">
        <v>306000</v>
      </c>
      <c r="D73" s="93">
        <f>(D12+D20)*20%</f>
        <v>287000</v>
      </c>
      <c r="E73" s="93">
        <f>(D73+B73)/2+23400</f>
        <v>302525</v>
      </c>
    </row>
    <row r="74" spans="1:5" x14ac:dyDescent="0.25">
      <c r="A74" s="84" t="s">
        <v>119</v>
      </c>
      <c r="B74" s="93">
        <f>(C74+D74)/2</f>
        <v>288625</v>
      </c>
      <c r="C74" s="93">
        <f>B73</f>
        <v>271250</v>
      </c>
      <c r="D74" s="93">
        <f>C73</f>
        <v>306000</v>
      </c>
      <c r="E74" s="93">
        <f>D73</f>
        <v>287000</v>
      </c>
    </row>
    <row r="75" spans="1:5" x14ac:dyDescent="0.25">
      <c r="A75" s="86" t="s">
        <v>122</v>
      </c>
      <c r="B75" s="89"/>
      <c r="C75" s="89"/>
      <c r="D75" s="89"/>
      <c r="E75" s="89"/>
    </row>
    <row r="76" spans="1:5" x14ac:dyDescent="0.25">
      <c r="A76" s="84" t="s">
        <v>120</v>
      </c>
      <c r="B76" s="93">
        <v>153000</v>
      </c>
      <c r="C76" s="93">
        <v>137000</v>
      </c>
      <c r="D76" s="93">
        <v>174000</v>
      </c>
      <c r="E76" s="93">
        <f>ROUND((D76+B76)/2,0)+24600</f>
        <v>188100</v>
      </c>
    </row>
    <row r="77" spans="1:5" x14ac:dyDescent="0.25">
      <c r="A77" s="102" t="s">
        <v>119</v>
      </c>
      <c r="B77" s="101">
        <f>(C77+D77)/2</f>
        <v>145000</v>
      </c>
      <c r="C77" s="101">
        <f>B76</f>
        <v>153000</v>
      </c>
      <c r="D77" s="101">
        <f>C76</f>
        <v>137000</v>
      </c>
      <c r="E77" s="101">
        <f>D76</f>
        <v>174000</v>
      </c>
    </row>
    <row r="81" spans="1:6" x14ac:dyDescent="0.25">
      <c r="A81" s="143" t="s">
        <v>127</v>
      </c>
      <c r="B81" s="144"/>
      <c r="C81" s="144"/>
      <c r="D81" s="144"/>
      <c r="E81" s="144"/>
      <c r="F81" s="145"/>
    </row>
    <row r="82" spans="1:6" x14ac:dyDescent="0.25">
      <c r="A82" s="140" t="s">
        <v>126</v>
      </c>
      <c r="B82" s="141"/>
      <c r="C82" s="141"/>
      <c r="D82" s="141"/>
      <c r="E82" s="141"/>
      <c r="F82" s="142"/>
    </row>
    <row r="83" spans="1:6" x14ac:dyDescent="0.25">
      <c r="A83" s="81" t="s">
        <v>125</v>
      </c>
      <c r="B83" s="87" t="s">
        <v>32</v>
      </c>
      <c r="C83" s="87" t="s">
        <v>31</v>
      </c>
      <c r="D83" s="87" t="s">
        <v>30</v>
      </c>
      <c r="E83" s="87" t="s">
        <v>23</v>
      </c>
      <c r="F83" s="87" t="s">
        <v>29</v>
      </c>
    </row>
    <row r="84" spans="1:6" x14ac:dyDescent="0.25">
      <c r="A84" s="86" t="s">
        <v>124</v>
      </c>
      <c r="B84" s="89"/>
      <c r="C84" s="89"/>
      <c r="D84" s="89"/>
      <c r="E84" s="89"/>
      <c r="F84" s="89"/>
    </row>
    <row r="85" spans="1:6" x14ac:dyDescent="0.25">
      <c r="A85" s="84" t="s">
        <v>121</v>
      </c>
      <c r="B85" s="83">
        <f>B11</f>
        <v>420000</v>
      </c>
      <c r="C85" s="83">
        <f>C11</f>
        <v>530000</v>
      </c>
      <c r="D85" s="83">
        <f>D11</f>
        <v>480000</v>
      </c>
      <c r="E85" s="83">
        <f>E11</f>
        <v>390000</v>
      </c>
      <c r="F85" s="83">
        <f>SUM(B85:E85)</f>
        <v>1820000</v>
      </c>
    </row>
    <row r="86" spans="1:6" x14ac:dyDescent="0.25">
      <c r="A86" s="84" t="s">
        <v>120</v>
      </c>
      <c r="B86" s="93">
        <f t="shared" ref="B86:E87" si="0">B70</f>
        <v>106000</v>
      </c>
      <c r="C86" s="93">
        <f t="shared" si="0"/>
        <v>96000</v>
      </c>
      <c r="D86" s="93">
        <f t="shared" si="0"/>
        <v>78000</v>
      </c>
      <c r="E86" s="93">
        <f t="shared" si="0"/>
        <v>116000</v>
      </c>
      <c r="F86" s="93"/>
    </row>
    <row r="87" spans="1:6" x14ac:dyDescent="0.25">
      <c r="A87" s="84" t="s">
        <v>119</v>
      </c>
      <c r="B87" s="93">
        <f t="shared" si="0"/>
        <v>101000</v>
      </c>
      <c r="C87" s="93">
        <f t="shared" si="0"/>
        <v>106000</v>
      </c>
      <c r="D87" s="93">
        <f t="shared" si="0"/>
        <v>96000</v>
      </c>
      <c r="E87" s="93">
        <f t="shared" si="0"/>
        <v>78000</v>
      </c>
      <c r="F87" s="93"/>
    </row>
    <row r="88" spans="1:6" x14ac:dyDescent="0.25">
      <c r="A88" s="82" t="s">
        <v>118</v>
      </c>
      <c r="B88" s="79">
        <f>B85+B86-B87</f>
        <v>425000</v>
      </c>
      <c r="C88" s="79">
        <f>C85+C86-C87</f>
        <v>520000</v>
      </c>
      <c r="D88" s="79">
        <f>D85+D86-D87</f>
        <v>462000</v>
      </c>
      <c r="E88" s="79">
        <f>E85+E86-E87</f>
        <v>428000</v>
      </c>
      <c r="F88" s="79">
        <f>F85+F86-F87</f>
        <v>1820000</v>
      </c>
    </row>
    <row r="89" spans="1:6" x14ac:dyDescent="0.25">
      <c r="A89" s="86" t="s">
        <v>123</v>
      </c>
      <c r="B89" s="89"/>
      <c r="C89" s="89"/>
      <c r="D89" s="89"/>
      <c r="E89" s="89"/>
      <c r="F89" s="89"/>
    </row>
    <row r="90" spans="1:6" x14ac:dyDescent="0.25">
      <c r="A90" s="84" t="s">
        <v>121</v>
      </c>
      <c r="B90" s="83">
        <f>B12+B20</f>
        <v>1356250</v>
      </c>
      <c r="C90" s="83">
        <f>C12+C20</f>
        <v>1505000</v>
      </c>
      <c r="D90" s="83">
        <f>D12+D20</f>
        <v>1435000</v>
      </c>
      <c r="E90" s="83">
        <f>E12+E20</f>
        <v>1373750</v>
      </c>
      <c r="F90" s="83">
        <f>SUM(B90:E90)</f>
        <v>5670000</v>
      </c>
    </row>
    <row r="91" spans="1:6" x14ac:dyDescent="0.25">
      <c r="A91" s="84" t="s">
        <v>120</v>
      </c>
      <c r="B91" s="93">
        <f t="shared" ref="B91:E92" si="1">B73</f>
        <v>271250</v>
      </c>
      <c r="C91" s="93">
        <f t="shared" si="1"/>
        <v>306000</v>
      </c>
      <c r="D91" s="93">
        <f t="shared" si="1"/>
        <v>287000</v>
      </c>
      <c r="E91" s="93">
        <f t="shared" si="1"/>
        <v>302525</v>
      </c>
      <c r="F91" s="93"/>
    </row>
    <row r="92" spans="1:6" x14ac:dyDescent="0.25">
      <c r="A92" s="84" t="s">
        <v>119</v>
      </c>
      <c r="B92" s="93">
        <f t="shared" si="1"/>
        <v>288625</v>
      </c>
      <c r="C92" s="93">
        <f t="shared" si="1"/>
        <v>271250</v>
      </c>
      <c r="D92" s="93">
        <f t="shared" si="1"/>
        <v>306000</v>
      </c>
      <c r="E92" s="93">
        <f t="shared" si="1"/>
        <v>287000</v>
      </c>
      <c r="F92" s="93"/>
    </row>
    <row r="93" spans="1:6" x14ac:dyDescent="0.25">
      <c r="A93" s="82" t="s">
        <v>118</v>
      </c>
      <c r="B93" s="79">
        <f>B90+B91-B92</f>
        <v>1338875</v>
      </c>
      <c r="C93" s="79">
        <f>C90+C91-C92</f>
        <v>1539750</v>
      </c>
      <c r="D93" s="79">
        <f>D90+D91-D92</f>
        <v>1416000</v>
      </c>
      <c r="E93" s="79">
        <f>E90+E91-E92</f>
        <v>1389275</v>
      </c>
      <c r="F93" s="79">
        <f>F90+F91-F92</f>
        <v>5670000</v>
      </c>
    </row>
    <row r="94" spans="1:6" x14ac:dyDescent="0.25">
      <c r="A94" s="86" t="s">
        <v>122</v>
      </c>
      <c r="B94" s="89"/>
      <c r="C94" s="89"/>
      <c r="D94" s="89"/>
      <c r="E94" s="89"/>
      <c r="F94" s="89"/>
    </row>
    <row r="95" spans="1:6" x14ac:dyDescent="0.25">
      <c r="A95" s="84" t="s">
        <v>121</v>
      </c>
      <c r="B95" s="83">
        <f>B19</f>
        <v>392275</v>
      </c>
      <c r="C95" s="83">
        <f>C19</f>
        <v>364650</v>
      </c>
      <c r="D95" s="83">
        <f>D19</f>
        <v>375700</v>
      </c>
      <c r="E95" s="83">
        <f>E19</f>
        <v>436475</v>
      </c>
      <c r="F95" s="83">
        <f>SUM(B95:E95)</f>
        <v>1569100</v>
      </c>
    </row>
    <row r="96" spans="1:6" x14ac:dyDescent="0.25">
      <c r="A96" s="84" t="s">
        <v>120</v>
      </c>
      <c r="B96" s="93">
        <f t="shared" ref="B96:E97" si="2">B76</f>
        <v>153000</v>
      </c>
      <c r="C96" s="93">
        <f t="shared" si="2"/>
        <v>137000</v>
      </c>
      <c r="D96" s="93">
        <f t="shared" si="2"/>
        <v>174000</v>
      </c>
      <c r="E96" s="93">
        <f t="shared" si="2"/>
        <v>188100</v>
      </c>
      <c r="F96" s="93"/>
    </row>
    <row r="97" spans="1:6" x14ac:dyDescent="0.25">
      <c r="A97" s="84" t="s">
        <v>119</v>
      </c>
      <c r="B97" s="93">
        <f t="shared" si="2"/>
        <v>145000</v>
      </c>
      <c r="C97" s="93">
        <f t="shared" si="2"/>
        <v>153000</v>
      </c>
      <c r="D97" s="93">
        <f t="shared" si="2"/>
        <v>137000</v>
      </c>
      <c r="E97" s="93">
        <f t="shared" si="2"/>
        <v>174000</v>
      </c>
      <c r="F97" s="93"/>
    </row>
    <row r="98" spans="1:6" x14ac:dyDescent="0.25">
      <c r="A98" s="82" t="s">
        <v>118</v>
      </c>
      <c r="B98" s="79">
        <f>B95+B96-B97</f>
        <v>400275</v>
      </c>
      <c r="C98" s="79">
        <f>C95+C96-C97</f>
        <v>348650</v>
      </c>
      <c r="D98" s="79">
        <f>D95+D96-D97</f>
        <v>412700</v>
      </c>
      <c r="E98" s="79">
        <f>E95+E96-E97</f>
        <v>450575</v>
      </c>
      <c r="F98" s="79">
        <f>F95+F96-F97</f>
        <v>1569100</v>
      </c>
    </row>
    <row r="104" spans="1:6" x14ac:dyDescent="0.25">
      <c r="A104" s="90" t="s">
        <v>117</v>
      </c>
      <c r="B104" s="1"/>
      <c r="C104" s="1"/>
      <c r="D104" s="1"/>
      <c r="E104" s="1"/>
      <c r="F104" s="1"/>
    </row>
    <row r="105" spans="1:6" x14ac:dyDescent="0.25">
      <c r="A105" s="90" t="s">
        <v>92</v>
      </c>
      <c r="B105" s="1"/>
      <c r="C105" s="1"/>
      <c r="D105" s="1"/>
      <c r="E105" s="1"/>
      <c r="F105" s="1"/>
    </row>
    <row r="106" spans="1:6" x14ac:dyDescent="0.25">
      <c r="A106" s="3" t="s">
        <v>64</v>
      </c>
      <c r="B106" s="3" t="s">
        <v>32</v>
      </c>
      <c r="C106" s="3" t="s">
        <v>31</v>
      </c>
      <c r="D106" s="3" t="s">
        <v>30</v>
      </c>
      <c r="E106" s="3" t="s">
        <v>23</v>
      </c>
      <c r="F106" s="3" t="s">
        <v>29</v>
      </c>
    </row>
    <row r="107" spans="1:6" x14ac:dyDescent="0.25">
      <c r="A107" s="94" t="s">
        <v>27</v>
      </c>
      <c r="B107" s="7"/>
      <c r="C107" s="7"/>
      <c r="D107" s="7"/>
      <c r="E107" s="7"/>
      <c r="F107" s="7"/>
    </row>
    <row r="108" spans="1:6" x14ac:dyDescent="0.25">
      <c r="A108" s="6" t="s">
        <v>116</v>
      </c>
      <c r="B108" s="13">
        <f>B6</f>
        <v>210000</v>
      </c>
      <c r="C108" s="13">
        <f>C6</f>
        <v>265000</v>
      </c>
      <c r="D108" s="13">
        <f>D6</f>
        <v>240000</v>
      </c>
      <c r="E108" s="13">
        <f>E6</f>
        <v>195000</v>
      </c>
      <c r="F108" s="98">
        <f>SUM(B108:E108)</f>
        <v>910000</v>
      </c>
    </row>
    <row r="109" spans="1:6" x14ac:dyDescent="0.25">
      <c r="A109" s="6" t="s">
        <v>115</v>
      </c>
      <c r="B109" s="6">
        <v>0.1</v>
      </c>
      <c r="C109" s="6">
        <f>B109</f>
        <v>0.1</v>
      </c>
      <c r="D109" s="6">
        <f>C109</f>
        <v>0.1</v>
      </c>
      <c r="E109" s="6">
        <f>D109</f>
        <v>0.1</v>
      </c>
      <c r="F109" s="6"/>
    </row>
    <row r="110" spans="1:6" x14ac:dyDescent="0.25">
      <c r="A110" s="100" t="s">
        <v>114</v>
      </c>
      <c r="B110" s="99">
        <f>B109*B108</f>
        <v>21000</v>
      </c>
      <c r="C110" s="99">
        <f>C109*C108</f>
        <v>26500</v>
      </c>
      <c r="D110" s="99">
        <f>D109*D108</f>
        <v>24000</v>
      </c>
      <c r="E110" s="99">
        <f>E109*E108</f>
        <v>19500</v>
      </c>
      <c r="F110" s="98">
        <f>SUM(B110:E110)</f>
        <v>91000</v>
      </c>
    </row>
    <row r="111" spans="1:6" x14ac:dyDescent="0.25">
      <c r="A111" s="6" t="s">
        <v>113</v>
      </c>
      <c r="B111" s="6">
        <v>0.03</v>
      </c>
      <c r="C111" s="6">
        <v>0.03</v>
      </c>
      <c r="D111" s="6">
        <v>0.03</v>
      </c>
      <c r="E111" s="6">
        <v>0.03</v>
      </c>
      <c r="F111" s="6"/>
    </row>
    <row r="112" spans="1:6" x14ac:dyDescent="0.25">
      <c r="A112" s="100" t="s">
        <v>112</v>
      </c>
      <c r="B112" s="99">
        <f>B111*B110</f>
        <v>630</v>
      </c>
      <c r="C112" s="99">
        <f>C111*C110</f>
        <v>795</v>
      </c>
      <c r="D112" s="99">
        <f>D111*D110</f>
        <v>720</v>
      </c>
      <c r="E112" s="99">
        <f>E111*E110</f>
        <v>585</v>
      </c>
      <c r="F112" s="98">
        <f>SUM(B112:E112)</f>
        <v>2730</v>
      </c>
    </row>
    <row r="113" spans="1:7" x14ac:dyDescent="0.25">
      <c r="A113" s="94" t="s">
        <v>25</v>
      </c>
      <c r="B113" s="7"/>
      <c r="C113" s="7"/>
      <c r="D113" s="7"/>
      <c r="E113" s="7"/>
      <c r="F113" s="7"/>
    </row>
    <row r="114" spans="1:7" x14ac:dyDescent="0.25">
      <c r="A114" s="6" t="s">
        <v>116</v>
      </c>
      <c r="B114" s="13">
        <f>B14</f>
        <v>177500</v>
      </c>
      <c r="C114" s="13">
        <f>C14</f>
        <v>165000</v>
      </c>
      <c r="D114" s="13">
        <f>D14</f>
        <v>170000</v>
      </c>
      <c r="E114" s="13">
        <f>E14</f>
        <v>197500</v>
      </c>
      <c r="F114" s="98">
        <f>SUM(B114:E114)</f>
        <v>710000</v>
      </c>
    </row>
    <row r="115" spans="1:7" x14ac:dyDescent="0.25">
      <c r="A115" s="6" t="s">
        <v>115</v>
      </c>
      <c r="B115" s="6">
        <v>0.3</v>
      </c>
      <c r="C115" s="6">
        <v>0.3</v>
      </c>
      <c r="D115" s="6">
        <v>0.3</v>
      </c>
      <c r="E115" s="6">
        <v>0.3</v>
      </c>
      <c r="F115" s="6"/>
    </row>
    <row r="116" spans="1:7" x14ac:dyDescent="0.25">
      <c r="A116" s="100" t="s">
        <v>114</v>
      </c>
      <c r="B116" s="99">
        <f>B115*B114</f>
        <v>53250</v>
      </c>
      <c r="C116" s="99">
        <f>C115*C114</f>
        <v>49500</v>
      </c>
      <c r="D116" s="99">
        <f>D115*D114</f>
        <v>51000</v>
      </c>
      <c r="E116" s="99">
        <f>E115*E114</f>
        <v>59250</v>
      </c>
      <c r="F116" s="98">
        <f>SUM(B116:E116)</f>
        <v>213000</v>
      </c>
    </row>
    <row r="117" spans="1:7" x14ac:dyDescent="0.25">
      <c r="A117" s="6" t="s">
        <v>113</v>
      </c>
      <c r="B117" s="6">
        <v>0.06</v>
      </c>
      <c r="C117" s="6">
        <v>0.06</v>
      </c>
      <c r="D117" s="6">
        <v>0.06</v>
      </c>
      <c r="E117" s="6">
        <v>0.06</v>
      </c>
      <c r="F117" s="6"/>
    </row>
    <row r="118" spans="1:7" x14ac:dyDescent="0.25">
      <c r="A118" s="100" t="s">
        <v>112</v>
      </c>
      <c r="B118" s="99">
        <f>B117*B116</f>
        <v>3195</v>
      </c>
      <c r="C118" s="99">
        <f>C117*C116</f>
        <v>2970</v>
      </c>
      <c r="D118" s="99">
        <f>D117*D116</f>
        <v>3060</v>
      </c>
      <c r="E118" s="99">
        <f>E117*E116</f>
        <v>3555</v>
      </c>
      <c r="F118" s="98">
        <f>SUM(B118:E118)</f>
        <v>12780</v>
      </c>
    </row>
    <row r="119" spans="1:7" x14ac:dyDescent="0.25">
      <c r="A119" s="6"/>
      <c r="B119" s="6"/>
      <c r="C119" s="6"/>
      <c r="D119" s="6"/>
      <c r="E119" s="6"/>
      <c r="F119" s="6"/>
    </row>
    <row r="120" spans="1:7" x14ac:dyDescent="0.25">
      <c r="A120" s="94" t="s">
        <v>111</v>
      </c>
      <c r="B120" s="97">
        <f>B122+B123</f>
        <v>12050775000</v>
      </c>
      <c r="C120" s="97">
        <f>C122+C123</f>
        <v>12334800000</v>
      </c>
      <c r="D120" s="97">
        <f>D122+D123</f>
        <v>12172500000</v>
      </c>
      <c r="E120" s="97">
        <f>E122+E123</f>
        <v>12781125000</v>
      </c>
      <c r="F120" s="97">
        <f>F122+F123</f>
        <v>49339200000</v>
      </c>
    </row>
    <row r="121" spans="1:7" x14ac:dyDescent="0.25">
      <c r="A121" s="6" t="s">
        <v>110</v>
      </c>
      <c r="B121" s="13">
        <v>162300</v>
      </c>
      <c r="C121" s="13">
        <f>B121</f>
        <v>162300</v>
      </c>
      <c r="D121" s="13">
        <f>C121</f>
        <v>162300</v>
      </c>
      <c r="E121" s="13">
        <f>D121</f>
        <v>162300</v>
      </c>
      <c r="F121" s="6"/>
    </row>
    <row r="122" spans="1:7" x14ac:dyDescent="0.25">
      <c r="A122" s="6" t="s">
        <v>107</v>
      </c>
      <c r="B122" s="13">
        <f>B121*B110</f>
        <v>3408300000</v>
      </c>
      <c r="C122" s="13">
        <f>C121*C110</f>
        <v>4300950000</v>
      </c>
      <c r="D122" s="13">
        <f>D121*D110</f>
        <v>3895200000</v>
      </c>
      <c r="E122" s="13">
        <f>E121*E110</f>
        <v>3164850000</v>
      </c>
      <c r="F122" s="13">
        <f>SUM(B122:E122)</f>
        <v>14769300000</v>
      </c>
      <c r="G122" s="78"/>
    </row>
    <row r="123" spans="1:7" x14ac:dyDescent="0.25">
      <c r="A123" s="16" t="s">
        <v>106</v>
      </c>
      <c r="B123" s="15">
        <f>B121*B116</f>
        <v>8642475000</v>
      </c>
      <c r="C123" s="15">
        <f>C121*C116</f>
        <v>8033850000</v>
      </c>
      <c r="D123" s="15">
        <f>D121*D116</f>
        <v>8277300000</v>
      </c>
      <c r="E123" s="15">
        <f>E121*E116</f>
        <v>9616275000</v>
      </c>
      <c r="F123" s="15">
        <f>SUM(B123:E123)</f>
        <v>34569900000</v>
      </c>
      <c r="G123" s="78"/>
    </row>
    <row r="124" spans="1:7" x14ac:dyDescent="0.25">
      <c r="A124" s="94" t="s">
        <v>109</v>
      </c>
      <c r="B124" s="97">
        <f>B126+B127</f>
        <v>372478500</v>
      </c>
      <c r="C124" s="97">
        <f>C126+C127</f>
        <v>366635700</v>
      </c>
      <c r="D124" s="97">
        <f>D126+D127</f>
        <v>368096400</v>
      </c>
      <c r="E124" s="97">
        <f>E126+E127</f>
        <v>403153200</v>
      </c>
      <c r="F124" s="97">
        <f>F126+F127</f>
        <v>1510363800</v>
      </c>
    </row>
    <row r="125" spans="1:7" x14ac:dyDescent="0.25">
      <c r="A125" s="6" t="s">
        <v>108</v>
      </c>
      <c r="B125" s="13">
        <f>15/25*B121</f>
        <v>97380</v>
      </c>
      <c r="C125" s="13">
        <f>B125</f>
        <v>97380</v>
      </c>
      <c r="D125" s="13">
        <f>C125</f>
        <v>97380</v>
      </c>
      <c r="E125" s="13">
        <f>D125</f>
        <v>97380</v>
      </c>
      <c r="F125" s="6"/>
    </row>
    <row r="126" spans="1:7" x14ac:dyDescent="0.25">
      <c r="A126" s="6" t="s">
        <v>107</v>
      </c>
      <c r="B126" s="13">
        <f>B125*B112</f>
        <v>61349400</v>
      </c>
      <c r="C126" s="13">
        <f>C125*C112</f>
        <v>77417100</v>
      </c>
      <c r="D126" s="13">
        <f>D125*D112</f>
        <v>70113600</v>
      </c>
      <c r="E126" s="13">
        <f>E125*E112</f>
        <v>56967300</v>
      </c>
      <c r="F126" s="13">
        <f>SUM(B126:E126)</f>
        <v>265847400</v>
      </c>
    </row>
    <row r="127" spans="1:7" x14ac:dyDescent="0.25">
      <c r="A127" s="16" t="s">
        <v>106</v>
      </c>
      <c r="B127" s="15">
        <f>B118*B125</f>
        <v>311129100</v>
      </c>
      <c r="C127" s="15">
        <f>C118*C125</f>
        <v>289218600</v>
      </c>
      <c r="D127" s="15">
        <f>D118*D125</f>
        <v>297982800</v>
      </c>
      <c r="E127" s="15">
        <f>E118*E125</f>
        <v>346185900</v>
      </c>
      <c r="F127" s="15">
        <f>SUM(B127:E127)</f>
        <v>1244516400</v>
      </c>
    </row>
    <row r="128" spans="1:7" x14ac:dyDescent="0.25">
      <c r="A128" s="96" t="s">
        <v>105</v>
      </c>
      <c r="B128" s="95">
        <f>B124+B120</f>
        <v>12423253500</v>
      </c>
      <c r="C128" s="95">
        <f>C124+C120</f>
        <v>12701435700</v>
      </c>
      <c r="D128" s="95">
        <f>D124+D120</f>
        <v>12540596400</v>
      </c>
      <c r="E128" s="95">
        <f>E124+E120</f>
        <v>13184278200</v>
      </c>
      <c r="F128" s="95">
        <f>F124+F120</f>
        <v>50849563800</v>
      </c>
    </row>
    <row r="129" spans="1:6" x14ac:dyDescent="0.25">
      <c r="B129" s="77">
        <f>(B126+B122)/B108</f>
        <v>16522.14</v>
      </c>
      <c r="C129" s="77">
        <f>(C126+C122)/C108</f>
        <v>16522.14</v>
      </c>
      <c r="D129" s="77">
        <f>(D126+D122)/D108</f>
        <v>16522.14</v>
      </c>
      <c r="E129" s="77">
        <f>(E126+E122)/E108</f>
        <v>16522.14</v>
      </c>
    </row>
    <row r="132" spans="1:6" x14ac:dyDescent="0.25">
      <c r="B132" s="77">
        <v>142000</v>
      </c>
      <c r="C132" s="77">
        <v>143000</v>
      </c>
      <c r="D132" s="77">
        <v>144000</v>
      </c>
      <c r="E132" s="77">
        <v>145000</v>
      </c>
    </row>
    <row r="133" spans="1:6" x14ac:dyDescent="0.25">
      <c r="B133" s="77">
        <v>37000</v>
      </c>
      <c r="C133" s="77">
        <v>37000</v>
      </c>
      <c r="D133" s="77">
        <v>40000</v>
      </c>
      <c r="E133" s="77">
        <v>40000</v>
      </c>
    </row>
    <row r="134" spans="1:6" x14ac:dyDescent="0.25">
      <c r="B134" s="77">
        <v>8000</v>
      </c>
      <c r="C134" s="77">
        <v>7000</v>
      </c>
      <c r="D134" s="77">
        <v>10000</v>
      </c>
      <c r="E134" s="77">
        <v>9000</v>
      </c>
    </row>
    <row r="135" spans="1:6" x14ac:dyDescent="0.25">
      <c r="B135" s="77">
        <v>32000</v>
      </c>
      <c r="C135" s="77">
        <v>32000</v>
      </c>
      <c r="D135" s="77">
        <v>32000</v>
      </c>
      <c r="E135" s="77">
        <v>32000</v>
      </c>
    </row>
    <row r="136" spans="1:6" x14ac:dyDescent="0.25">
      <c r="B136" s="77">
        <v>6000</v>
      </c>
      <c r="C136" s="77">
        <v>5000</v>
      </c>
      <c r="D136" s="77">
        <v>7000</v>
      </c>
      <c r="E136" s="77">
        <v>6000</v>
      </c>
    </row>
    <row r="137" spans="1:6" x14ac:dyDescent="0.25">
      <c r="B137" s="77">
        <v>8000</v>
      </c>
      <c r="C137" s="77">
        <v>8000</v>
      </c>
      <c r="D137" s="77">
        <v>8000</v>
      </c>
      <c r="E137" s="77">
        <v>8000</v>
      </c>
    </row>
    <row r="140" spans="1:6" x14ac:dyDescent="0.25">
      <c r="A140" s="90" t="s">
        <v>104</v>
      </c>
      <c r="B140" s="1"/>
      <c r="C140" s="1"/>
      <c r="D140" s="1"/>
      <c r="E140" s="1"/>
      <c r="F140" s="1"/>
    </row>
    <row r="141" spans="1:6" x14ac:dyDescent="0.25">
      <c r="A141" s="90" t="s">
        <v>92</v>
      </c>
      <c r="B141" s="1"/>
      <c r="C141" s="1"/>
      <c r="D141" s="1"/>
      <c r="E141" s="1"/>
      <c r="F141" s="1"/>
    </row>
    <row r="142" spans="1:6" x14ac:dyDescent="0.25">
      <c r="A142" s="3" t="s">
        <v>64</v>
      </c>
      <c r="B142" s="3" t="s">
        <v>32</v>
      </c>
      <c r="C142" s="3" t="s">
        <v>31</v>
      </c>
      <c r="D142" s="3" t="s">
        <v>30</v>
      </c>
      <c r="E142" s="3" t="s">
        <v>23</v>
      </c>
      <c r="F142" s="1"/>
    </row>
    <row r="143" spans="1:6" x14ac:dyDescent="0.25">
      <c r="A143" s="89" t="s">
        <v>91</v>
      </c>
      <c r="B143" s="88">
        <v>1408000000</v>
      </c>
      <c r="C143" s="88">
        <v>1432000000</v>
      </c>
      <c r="D143" s="88">
        <v>1456000000</v>
      </c>
      <c r="E143" s="88">
        <v>1480000000</v>
      </c>
      <c r="F143" s="1"/>
    </row>
    <row r="144" spans="1:6" x14ac:dyDescent="0.25">
      <c r="A144" s="84" t="s">
        <v>90</v>
      </c>
      <c r="B144" s="83">
        <v>888000000</v>
      </c>
      <c r="C144" s="83">
        <v>888000000</v>
      </c>
      <c r="D144" s="83">
        <v>960000000</v>
      </c>
      <c r="E144" s="83">
        <v>960000000</v>
      </c>
      <c r="F144" s="1"/>
    </row>
    <row r="145" spans="1:6" x14ac:dyDescent="0.25">
      <c r="A145" s="84" t="s">
        <v>103</v>
      </c>
      <c r="B145" s="83">
        <v>192000000</v>
      </c>
      <c r="C145" s="83">
        <v>168000000</v>
      </c>
      <c r="D145" s="83">
        <v>240000000</v>
      </c>
      <c r="E145" s="83">
        <v>216000000</v>
      </c>
      <c r="F145" s="1"/>
    </row>
    <row r="146" spans="1:6" x14ac:dyDescent="0.25">
      <c r="A146" s="84" t="s">
        <v>102</v>
      </c>
      <c r="B146" s="83">
        <v>768000000</v>
      </c>
      <c r="C146" s="83">
        <v>768000000</v>
      </c>
      <c r="D146" s="83">
        <v>768000000</v>
      </c>
      <c r="E146" s="83">
        <f>768000000+2000*24000</f>
        <v>816000000</v>
      </c>
      <c r="F146" s="1"/>
    </row>
    <row r="147" spans="1:6" x14ac:dyDescent="0.25">
      <c r="A147" s="84" t="s">
        <v>88</v>
      </c>
      <c r="B147" s="83">
        <v>368000000</v>
      </c>
      <c r="C147" s="83">
        <v>344000000</v>
      </c>
      <c r="D147" s="83">
        <v>392000000</v>
      </c>
      <c r="E147" s="83">
        <v>368000000</v>
      </c>
      <c r="F147" s="1"/>
    </row>
    <row r="148" spans="1:6" x14ac:dyDescent="0.25">
      <c r="A148" s="84" t="s">
        <v>87</v>
      </c>
      <c r="B148" s="83">
        <v>192000000</v>
      </c>
      <c r="C148" s="83">
        <v>192000000</v>
      </c>
      <c r="D148" s="83">
        <v>192000000</v>
      </c>
      <c r="E148" s="83">
        <v>192000000</v>
      </c>
    </row>
    <row r="149" spans="1:6" ht="8.5500000000000007" customHeight="1" x14ac:dyDescent="0.25">
      <c r="A149" s="84"/>
      <c r="B149" s="84"/>
      <c r="C149" s="84"/>
      <c r="D149" s="84"/>
      <c r="E149" s="84"/>
    </row>
    <row r="150" spans="1:6" x14ac:dyDescent="0.25">
      <c r="A150" s="81" t="s">
        <v>101</v>
      </c>
      <c r="B150" s="80">
        <f>SUM(B143:B149)</f>
        <v>3816000000</v>
      </c>
      <c r="C150" s="80">
        <f>SUM(C143:C149)</f>
        <v>3792000000</v>
      </c>
      <c r="D150" s="80">
        <f>SUM(D143:D149)</f>
        <v>4008000000</v>
      </c>
      <c r="E150" s="80">
        <f>SUM(E143:E149)</f>
        <v>4032000000</v>
      </c>
      <c r="F150" s="77">
        <f>9024000000+6624000000</f>
        <v>15648000000</v>
      </c>
    </row>
    <row r="151" spans="1:6" x14ac:dyDescent="0.25">
      <c r="B151" s="77">
        <v>23000</v>
      </c>
      <c r="F151" s="78">
        <f>F150-SUM(B150:E150)</f>
        <v>0</v>
      </c>
    </row>
    <row r="152" spans="1:6" x14ac:dyDescent="0.25">
      <c r="B152" s="77">
        <v>98000</v>
      </c>
      <c r="F152" s="78">
        <f>F151/4</f>
        <v>0</v>
      </c>
    </row>
    <row r="153" spans="1:6" x14ac:dyDescent="0.25">
      <c r="F153" s="77">
        <f>6624000000/(9024000000+6624000000)</f>
        <v>0.42331288343558282</v>
      </c>
    </row>
    <row r="154" spans="1:6" x14ac:dyDescent="0.25">
      <c r="A154" s="3" t="s">
        <v>64</v>
      </c>
      <c r="B154" s="3" t="s">
        <v>32</v>
      </c>
      <c r="C154" s="3" t="s">
        <v>31</v>
      </c>
      <c r="D154" s="3" t="s">
        <v>30</v>
      </c>
      <c r="E154" s="3" t="s">
        <v>23</v>
      </c>
    </row>
    <row r="155" spans="1:6" x14ac:dyDescent="0.25">
      <c r="A155" s="94" t="s">
        <v>27</v>
      </c>
      <c r="B155" s="89"/>
      <c r="C155" s="89"/>
      <c r="D155" s="89"/>
      <c r="E155" s="89"/>
    </row>
    <row r="156" spans="1:6" x14ac:dyDescent="0.25">
      <c r="A156" s="84" t="s">
        <v>100</v>
      </c>
      <c r="B156" s="84"/>
      <c r="C156" s="84"/>
      <c r="D156" s="84"/>
      <c r="E156" s="84"/>
    </row>
    <row r="157" spans="1:6" x14ac:dyDescent="0.25">
      <c r="A157" s="84" t="s">
        <v>99</v>
      </c>
      <c r="B157" s="93">
        <f>B21</f>
        <v>114854.5</v>
      </c>
      <c r="C157" s="93">
        <f>C21</f>
        <v>114854.5</v>
      </c>
      <c r="D157" s="93">
        <f>D21</f>
        <v>120596</v>
      </c>
      <c r="E157" s="93">
        <f>E21</f>
        <v>120596</v>
      </c>
    </row>
    <row r="158" spans="1:6" x14ac:dyDescent="0.25">
      <c r="A158" s="84" t="s">
        <v>98</v>
      </c>
      <c r="B158" s="93">
        <f>ROUND(B129,0)</f>
        <v>16522</v>
      </c>
      <c r="C158" s="93">
        <f>ROUND(C129,0)</f>
        <v>16522</v>
      </c>
      <c r="D158" s="93">
        <f>ROUND(D129,0)</f>
        <v>16522</v>
      </c>
      <c r="E158" s="93">
        <f>ROUND(E129,0)</f>
        <v>16522</v>
      </c>
    </row>
    <row r="159" spans="1:6" x14ac:dyDescent="0.25">
      <c r="A159" s="84" t="s">
        <v>97</v>
      </c>
      <c r="B159" s="83">
        <f>ROUND($F$153*B150/B108,0)</f>
        <v>7692</v>
      </c>
      <c r="C159" s="83">
        <f>ROUND($F$153*C150/C108,0)</f>
        <v>6057</v>
      </c>
      <c r="D159" s="83">
        <f>ROUND($F$153*D150/D108,0)</f>
        <v>7069</v>
      </c>
      <c r="E159" s="83">
        <f>ROUND($F$153*E150/E108,0)</f>
        <v>8753</v>
      </c>
    </row>
    <row r="160" spans="1:6" x14ac:dyDescent="0.25">
      <c r="A160" s="84" t="s">
        <v>96</v>
      </c>
      <c r="B160" s="93">
        <f>SUM(B157:B159)</f>
        <v>139068.5</v>
      </c>
      <c r="C160" s="93">
        <f>SUM(C157:C159)</f>
        <v>137433.5</v>
      </c>
      <c r="D160" s="93">
        <f>SUM(D157:D159)</f>
        <v>144187</v>
      </c>
      <c r="E160" s="93">
        <f>SUM(E157:E159)</f>
        <v>145871</v>
      </c>
    </row>
    <row r="161" spans="1:5" x14ac:dyDescent="0.25">
      <c r="A161" s="84" t="s">
        <v>95</v>
      </c>
      <c r="B161" s="93">
        <f>B64</f>
        <v>115000</v>
      </c>
      <c r="C161" s="93">
        <f>C64</f>
        <v>150000</v>
      </c>
      <c r="D161" s="93">
        <f>D64</f>
        <v>90000</v>
      </c>
      <c r="E161" s="93">
        <f>E64</f>
        <v>105000</v>
      </c>
    </row>
    <row r="162" spans="1:5" x14ac:dyDescent="0.25">
      <c r="A162" s="82" t="s">
        <v>94</v>
      </c>
      <c r="B162" s="92">
        <f>B161*B160</f>
        <v>15992877500</v>
      </c>
      <c r="C162" s="92">
        <f>C161*C160</f>
        <v>20615025000</v>
      </c>
      <c r="D162" s="92">
        <f>D161*D160</f>
        <v>12976830000</v>
      </c>
      <c r="E162" s="92">
        <f>E161*E160</f>
        <v>15316455000</v>
      </c>
    </row>
    <row r="163" spans="1:5" x14ac:dyDescent="0.25">
      <c r="B163" s="91">
        <f>B157/B6</f>
        <v>0.54692619047619051</v>
      </c>
    </row>
    <row r="164" spans="1:5" x14ac:dyDescent="0.25">
      <c r="B164" s="91">
        <v>117600</v>
      </c>
    </row>
    <row r="169" spans="1:5" x14ac:dyDescent="0.25">
      <c r="A169" s="90" t="s">
        <v>93</v>
      </c>
      <c r="B169" s="1"/>
      <c r="C169" s="1"/>
      <c r="D169" s="1"/>
      <c r="E169" s="1"/>
    </row>
    <row r="170" spans="1:5" x14ac:dyDescent="0.25">
      <c r="A170" s="90" t="s">
        <v>92</v>
      </c>
      <c r="B170" s="1"/>
      <c r="C170" s="1"/>
      <c r="D170" s="1"/>
      <c r="E170" s="1"/>
    </row>
    <row r="171" spans="1:5" x14ac:dyDescent="0.25">
      <c r="A171" s="3" t="s">
        <v>64</v>
      </c>
      <c r="B171" s="3" t="s">
        <v>32</v>
      </c>
      <c r="C171" s="3" t="s">
        <v>31</v>
      </c>
      <c r="D171" s="3" t="s">
        <v>30</v>
      </c>
      <c r="E171" s="3" t="s">
        <v>23</v>
      </c>
    </row>
    <row r="172" spans="1:5" x14ac:dyDescent="0.25">
      <c r="A172" s="89" t="s">
        <v>91</v>
      </c>
      <c r="B172" s="88">
        <f>30000*24000</f>
        <v>720000000</v>
      </c>
      <c r="C172" s="88">
        <f>31000*24000</f>
        <v>744000000</v>
      </c>
      <c r="D172" s="88">
        <f>32000*24000</f>
        <v>768000000</v>
      </c>
      <c r="E172" s="88">
        <f>33000*24000</f>
        <v>792000000</v>
      </c>
    </row>
    <row r="173" spans="1:5" x14ac:dyDescent="0.25">
      <c r="A173" s="84" t="s">
        <v>90</v>
      </c>
      <c r="B173" s="83">
        <v>188000000</v>
      </c>
      <c r="C173" s="83">
        <v>188000000</v>
      </c>
      <c r="D173" s="83">
        <v>188000000</v>
      </c>
      <c r="E173" s="83">
        <v>188000000</v>
      </c>
    </row>
    <row r="174" spans="1:5" x14ac:dyDescent="0.25">
      <c r="A174" s="84" t="s">
        <v>60</v>
      </c>
      <c r="B174" s="83">
        <v>57600000</v>
      </c>
      <c r="C174" s="83">
        <v>50400000</v>
      </c>
      <c r="D174" s="83">
        <v>72000000</v>
      </c>
      <c r="E174" s="83">
        <v>64800000</v>
      </c>
    </row>
    <row r="175" spans="1:5" x14ac:dyDescent="0.25">
      <c r="A175" s="84" t="s">
        <v>89</v>
      </c>
      <c r="B175" s="83">
        <v>230400000</v>
      </c>
      <c r="C175" s="83">
        <v>230400000</v>
      </c>
      <c r="D175" s="83">
        <v>230400000</v>
      </c>
      <c r="E175" s="83">
        <v>244800000</v>
      </c>
    </row>
    <row r="176" spans="1:5" x14ac:dyDescent="0.25">
      <c r="A176" s="84" t="s">
        <v>88</v>
      </c>
      <c r="B176" s="83">
        <v>110400000</v>
      </c>
      <c r="C176" s="83">
        <v>103200000</v>
      </c>
      <c r="D176" s="83">
        <v>117600000</v>
      </c>
      <c r="E176" s="83">
        <v>110400000</v>
      </c>
    </row>
    <row r="177" spans="1:6" x14ac:dyDescent="0.25">
      <c r="A177" s="84" t="s">
        <v>87</v>
      </c>
      <c r="B177" s="83">
        <f>1500*24000</f>
        <v>36000000</v>
      </c>
      <c r="C177" s="83">
        <f>1500*24000</f>
        <v>36000000</v>
      </c>
      <c r="D177" s="83">
        <f>1500*24000</f>
        <v>36000000</v>
      </c>
      <c r="E177" s="83">
        <f>1500*24000</f>
        <v>36000000</v>
      </c>
    </row>
    <row r="178" spans="1:6" x14ac:dyDescent="0.25">
      <c r="A178" s="84"/>
      <c r="B178" s="84"/>
      <c r="C178" s="84"/>
      <c r="D178" s="84"/>
      <c r="E178" s="84"/>
    </row>
    <row r="179" spans="1:6" x14ac:dyDescent="0.25">
      <c r="A179" s="81" t="s">
        <v>86</v>
      </c>
      <c r="B179" s="80">
        <f>SUM(B172:B178)</f>
        <v>1342400000</v>
      </c>
      <c r="C179" s="80">
        <f>SUM(C172:C178)</f>
        <v>1352000000</v>
      </c>
      <c r="D179" s="80">
        <f>SUM(D172:D178)</f>
        <v>1412000000</v>
      </c>
      <c r="E179" s="80">
        <f>SUM(E172:E178)</f>
        <v>1436000000</v>
      </c>
    </row>
    <row r="180" spans="1:6" x14ac:dyDescent="0.25">
      <c r="B180" s="78">
        <f t="shared" ref="B180:E182" si="3">B174*30%</f>
        <v>17280000</v>
      </c>
      <c r="C180" s="78">
        <f t="shared" si="3"/>
        <v>15120000</v>
      </c>
      <c r="D180" s="78">
        <f t="shared" si="3"/>
        <v>21600000</v>
      </c>
      <c r="E180" s="78">
        <f t="shared" si="3"/>
        <v>19440000</v>
      </c>
    </row>
    <row r="181" spans="1:6" x14ac:dyDescent="0.25">
      <c r="B181" s="78">
        <f t="shared" si="3"/>
        <v>69120000</v>
      </c>
      <c r="C181" s="78">
        <f t="shared" si="3"/>
        <v>69120000</v>
      </c>
      <c r="D181" s="78">
        <f t="shared" si="3"/>
        <v>69120000</v>
      </c>
      <c r="E181" s="78">
        <f t="shared" si="3"/>
        <v>73440000</v>
      </c>
    </row>
    <row r="182" spans="1:6" x14ac:dyDescent="0.25">
      <c r="B182" s="78">
        <f t="shared" si="3"/>
        <v>33120000</v>
      </c>
      <c r="C182" s="78">
        <f t="shared" si="3"/>
        <v>30960000</v>
      </c>
      <c r="D182" s="78">
        <f t="shared" si="3"/>
        <v>35280000</v>
      </c>
      <c r="E182" s="78">
        <f t="shared" si="3"/>
        <v>33120000</v>
      </c>
    </row>
    <row r="186" spans="1:6" x14ac:dyDescent="0.25">
      <c r="A186" s="143" t="str">
        <f t="shared" ref="A186:F188" si="4">A81</f>
        <v xml:space="preserve">NGÂN SÁCH  NGUYÊN VẬT LIỆU TRỰC TIẾP </v>
      </c>
      <c r="B186" s="144">
        <f t="shared" si="4"/>
        <v>0</v>
      </c>
      <c r="C186" s="144">
        <f t="shared" si="4"/>
        <v>0</v>
      </c>
      <c r="D186" s="144">
        <f t="shared" si="4"/>
        <v>0</v>
      </c>
      <c r="E186" s="144">
        <f t="shared" si="4"/>
        <v>0</v>
      </c>
      <c r="F186" s="145">
        <f t="shared" si="4"/>
        <v>0</v>
      </c>
    </row>
    <row r="187" spans="1:6" x14ac:dyDescent="0.25">
      <c r="A187" s="140" t="str">
        <f t="shared" si="4"/>
        <v>Cho giai đoạn năm 2021</v>
      </c>
      <c r="B187" s="141">
        <f t="shared" si="4"/>
        <v>0</v>
      </c>
      <c r="C187" s="141">
        <f t="shared" si="4"/>
        <v>0</v>
      </c>
      <c r="D187" s="141">
        <f t="shared" si="4"/>
        <v>0</v>
      </c>
      <c r="E187" s="141">
        <f t="shared" si="4"/>
        <v>0</v>
      </c>
      <c r="F187" s="142">
        <f t="shared" si="4"/>
        <v>0</v>
      </c>
    </row>
    <row r="188" spans="1:6" x14ac:dyDescent="0.25">
      <c r="A188" s="81" t="str">
        <f t="shared" si="4"/>
        <v>Nguyên liệu</v>
      </c>
      <c r="B188" s="87" t="str">
        <f t="shared" si="4"/>
        <v>Quý 1</v>
      </c>
      <c r="C188" s="87" t="str">
        <f t="shared" si="4"/>
        <v>Quý 2</v>
      </c>
      <c r="D188" s="87" t="str">
        <f t="shared" si="4"/>
        <v>Quý 3</v>
      </c>
      <c r="E188" s="87" t="str">
        <f t="shared" si="4"/>
        <v>Quý 4</v>
      </c>
      <c r="F188" s="87" t="str">
        <f t="shared" si="4"/>
        <v>Total</v>
      </c>
    </row>
    <row r="189" spans="1:6" x14ac:dyDescent="0.25">
      <c r="A189" s="86" t="str">
        <f>A84</f>
        <v>Nguyên liệu A (Kg)</v>
      </c>
      <c r="B189" s="85">
        <f>B88</f>
        <v>425000</v>
      </c>
      <c r="C189" s="85">
        <f>C88</f>
        <v>520000</v>
      </c>
      <c r="D189" s="85">
        <f>D88</f>
        <v>462000</v>
      </c>
      <c r="E189" s="85">
        <f>E88</f>
        <v>428000</v>
      </c>
      <c r="F189" s="85">
        <f>F88</f>
        <v>1820000</v>
      </c>
    </row>
    <row r="190" spans="1:6" x14ac:dyDescent="0.25">
      <c r="A190" s="84" t="s">
        <v>83</v>
      </c>
      <c r="B190" s="83">
        <v>13000</v>
      </c>
      <c r="C190" s="83">
        <f>B190</f>
        <v>13000</v>
      </c>
      <c r="D190" s="83">
        <f>C190*(1+5%)</f>
        <v>13650</v>
      </c>
      <c r="E190" s="83">
        <f>D190</f>
        <v>13650</v>
      </c>
      <c r="F190" s="83"/>
    </row>
    <row r="191" spans="1:6" x14ac:dyDescent="0.25">
      <c r="A191" s="82" t="s">
        <v>85</v>
      </c>
      <c r="B191" s="79">
        <f>B190*B189</f>
        <v>5525000000</v>
      </c>
      <c r="C191" s="79">
        <f>C190*C189</f>
        <v>6760000000</v>
      </c>
      <c r="D191" s="79">
        <f>D190*D189</f>
        <v>6306300000</v>
      </c>
      <c r="E191" s="79">
        <f>E190*E189</f>
        <v>5842200000</v>
      </c>
      <c r="F191" s="79">
        <f>SUM(B191:E191)</f>
        <v>24433500000</v>
      </c>
    </row>
    <row r="192" spans="1:6" x14ac:dyDescent="0.25">
      <c r="A192" s="86" t="str">
        <f>A89</f>
        <v>Nguyên liệu B (Kg)</v>
      </c>
      <c r="B192" s="85">
        <f>B93</f>
        <v>1338875</v>
      </c>
      <c r="C192" s="85">
        <f>C93</f>
        <v>1539750</v>
      </c>
      <c r="D192" s="85">
        <f>D93</f>
        <v>1416000</v>
      </c>
      <c r="E192" s="85">
        <f>E93</f>
        <v>1389275</v>
      </c>
      <c r="F192" s="85">
        <f>F93</f>
        <v>5670000</v>
      </c>
    </row>
    <row r="193" spans="1:8" x14ac:dyDescent="0.25">
      <c r="A193" s="84" t="s">
        <v>83</v>
      </c>
      <c r="B193" s="83">
        <v>25387</v>
      </c>
      <c r="C193" s="83">
        <f>B193</f>
        <v>25387</v>
      </c>
      <c r="D193" s="83">
        <f>ROUND(C193*(1+5%),0)</f>
        <v>26656</v>
      </c>
      <c r="E193" s="83">
        <f>D193</f>
        <v>26656</v>
      </c>
      <c r="F193" s="83"/>
    </row>
    <row r="194" spans="1:8" x14ac:dyDescent="0.25">
      <c r="A194" s="82" t="s">
        <v>84</v>
      </c>
      <c r="B194" s="79">
        <f>B193*B192</f>
        <v>33990019625</v>
      </c>
      <c r="C194" s="79">
        <f>C193*C192</f>
        <v>39089633250</v>
      </c>
      <c r="D194" s="79">
        <f>D193*D192</f>
        <v>37744896000</v>
      </c>
      <c r="E194" s="79">
        <f>E193*E192</f>
        <v>37032514400</v>
      </c>
      <c r="F194" s="79">
        <f>SUM(B194:E194)</f>
        <v>147857063275</v>
      </c>
    </row>
    <row r="195" spans="1:8" x14ac:dyDescent="0.25">
      <c r="A195" s="86" t="str">
        <f>A94</f>
        <v>Nguyên liệu C (Kg)</v>
      </c>
      <c r="B195" s="85">
        <f>B98</f>
        <v>400275</v>
      </c>
      <c r="C195" s="85">
        <f>C98</f>
        <v>348650</v>
      </c>
      <c r="D195" s="85">
        <f>D98</f>
        <v>412700</v>
      </c>
      <c r="E195" s="85">
        <f>E98</f>
        <v>450575</v>
      </c>
      <c r="F195" s="85">
        <f>F98</f>
        <v>1569100</v>
      </c>
    </row>
    <row r="196" spans="1:8" x14ac:dyDescent="0.25">
      <c r="A196" s="84" t="s">
        <v>83</v>
      </c>
      <c r="B196" s="83">
        <v>63535</v>
      </c>
      <c r="C196" s="83">
        <f>B196</f>
        <v>63535</v>
      </c>
      <c r="D196" s="83">
        <f>ROUND(C196*(1+5%),0)</f>
        <v>66712</v>
      </c>
      <c r="E196" s="83">
        <f>D196</f>
        <v>66712</v>
      </c>
      <c r="F196" s="83"/>
    </row>
    <row r="197" spans="1:8" x14ac:dyDescent="0.25">
      <c r="A197" s="82" t="s">
        <v>82</v>
      </c>
      <c r="B197" s="79">
        <f>B196*B195</f>
        <v>25431472125</v>
      </c>
      <c r="C197" s="79">
        <f>C196*C195</f>
        <v>22151477750</v>
      </c>
      <c r="D197" s="79">
        <f>D196*D195</f>
        <v>27532042400</v>
      </c>
      <c r="E197" s="79">
        <f>E196*E195</f>
        <v>30058759400</v>
      </c>
      <c r="F197" s="79">
        <f>SUM(B197:E197)</f>
        <v>105173751675</v>
      </c>
    </row>
    <row r="198" spans="1:8" x14ac:dyDescent="0.25">
      <c r="A198" s="81" t="s">
        <v>81</v>
      </c>
      <c r="B198" s="80">
        <f>B197+B194+B191</f>
        <v>64946491750</v>
      </c>
      <c r="C198" s="80">
        <f>C197+C194+C191</f>
        <v>68001111000</v>
      </c>
      <c r="D198" s="80">
        <f>D197+D194+D191</f>
        <v>71583238400</v>
      </c>
      <c r="E198" s="80">
        <f>E197+E194+E191</f>
        <v>72933473800</v>
      </c>
      <c r="F198" s="79">
        <f>SUM(B198:E198)</f>
        <v>277464314950</v>
      </c>
    </row>
    <row r="199" spans="1:8" x14ac:dyDescent="0.25">
      <c r="B199" s="78">
        <f>B11*B190+B12*B193</f>
        <v>24119445000</v>
      </c>
      <c r="C199" s="78">
        <f>C11*C190+C12*C193</f>
        <v>30436442500</v>
      </c>
      <c r="D199" s="78">
        <f>D11*D190+D12*D193</f>
        <v>28943040000</v>
      </c>
      <c r="E199" s="78">
        <f>E11*E190+E12*E193</f>
        <v>23516220000</v>
      </c>
      <c r="F199" s="77">
        <f>SUM(B199:E199)/F30</f>
        <v>117599.06318681319</v>
      </c>
      <c r="G199" s="77">
        <v>117600</v>
      </c>
      <c r="H199" s="77">
        <f>F199-G199</f>
        <v>-0.93681318681046832</v>
      </c>
    </row>
    <row r="200" spans="1:8" x14ac:dyDescent="0.25">
      <c r="B200" s="78">
        <f>B19*B196+B20*B193</f>
        <v>40694865875</v>
      </c>
      <c r="C200" s="78">
        <f>C19*C196+C20*C193</f>
        <v>37829030250</v>
      </c>
      <c r="D200" s="78">
        <f>D19*D196+D20*D193</f>
        <v>40924018400</v>
      </c>
      <c r="E200" s="78">
        <f>E19*E196+E20*E193</f>
        <v>47544080200</v>
      </c>
      <c r="F200" s="77">
        <f>SUM(B200:E200)/F35</f>
        <v>235199.99257042253</v>
      </c>
      <c r="G200" s="77">
        <v>235200</v>
      </c>
      <c r="H200" s="77">
        <f>F200-G200</f>
        <v>-7.4295774684287608E-3</v>
      </c>
    </row>
    <row r="201" spans="1:8" x14ac:dyDescent="0.25">
      <c r="B201" s="77">
        <f>B199/B6</f>
        <v>114854.5</v>
      </c>
      <c r="C201" s="77">
        <f>C199/C6</f>
        <v>114854.5</v>
      </c>
      <c r="D201" s="77">
        <f>D199/D6</f>
        <v>120596</v>
      </c>
      <c r="E201" s="77">
        <f>E199/E6</f>
        <v>120596</v>
      </c>
    </row>
    <row r="202" spans="1:8" x14ac:dyDescent="0.25">
      <c r="B202" s="77">
        <f>B200/B14</f>
        <v>229266.85</v>
      </c>
      <c r="C202" s="77">
        <f>C200/C14</f>
        <v>229266.85</v>
      </c>
      <c r="D202" s="77">
        <f>D200/D14</f>
        <v>240729.52</v>
      </c>
      <c r="E202" s="77">
        <f>E200/E14</f>
        <v>240729.52</v>
      </c>
    </row>
  </sheetData>
  <mergeCells count="6">
    <mergeCell ref="A24:F24"/>
    <mergeCell ref="A23:F23"/>
    <mergeCell ref="A187:F187"/>
    <mergeCell ref="A81:F81"/>
    <mergeCell ref="A82:F82"/>
    <mergeCell ref="A186:F18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04FBD-D845-497C-9493-6CA05D2EF26D}">
  <dimension ref="A2:G28"/>
  <sheetViews>
    <sheetView showGridLines="0" workbookViewId="0">
      <selection activeCell="E35" sqref="E35"/>
    </sheetView>
  </sheetViews>
  <sheetFormatPr defaultColWidth="8.77734375" defaultRowHeight="13.8" x14ac:dyDescent="0.25"/>
  <cols>
    <col min="1" max="1" width="35.109375" style="1" customWidth="1"/>
    <col min="2" max="4" width="20.21875" style="1" bestFit="1" customWidth="1"/>
    <col min="5" max="5" width="19.21875" style="1" bestFit="1" customWidth="1"/>
    <col min="6" max="6" width="16.6640625" style="1" bestFit="1" customWidth="1"/>
    <col min="7" max="7" width="18.109375" style="1" bestFit="1" customWidth="1"/>
    <col min="8" max="8" width="15.21875" style="1" bestFit="1" customWidth="1"/>
    <col min="9" max="9" width="8.77734375" style="1"/>
    <col min="10" max="10" width="16.21875" style="1" bestFit="1" customWidth="1"/>
    <col min="11" max="16384" width="8.77734375" style="1"/>
  </cols>
  <sheetData>
    <row r="2" spans="1:7" ht="15" x14ac:dyDescent="0.25">
      <c r="A2" s="127" t="s">
        <v>71</v>
      </c>
      <c r="B2" s="128"/>
      <c r="C2" s="128"/>
      <c r="D2" s="128"/>
      <c r="E2" s="128"/>
      <c r="F2" s="128"/>
      <c r="G2" s="129"/>
    </row>
    <row r="3" spans="1:7" x14ac:dyDescent="0.25">
      <c r="A3" s="130" t="s">
        <v>64</v>
      </c>
      <c r="B3" s="132" t="s">
        <v>19</v>
      </c>
      <c r="C3" s="133"/>
      <c r="D3" s="133"/>
      <c r="E3" s="133"/>
      <c r="F3" s="134" t="s">
        <v>63</v>
      </c>
      <c r="G3" s="130" t="s">
        <v>0</v>
      </c>
    </row>
    <row r="4" spans="1:7" x14ac:dyDescent="0.25">
      <c r="A4" s="131"/>
      <c r="B4" s="39" t="s">
        <v>10</v>
      </c>
      <c r="C4" s="39" t="s">
        <v>8</v>
      </c>
      <c r="D4" s="39" t="s">
        <v>4</v>
      </c>
      <c r="E4" s="38" t="s">
        <v>6</v>
      </c>
      <c r="F4" s="135"/>
      <c r="G4" s="131"/>
    </row>
    <row r="5" spans="1:7" x14ac:dyDescent="0.25">
      <c r="A5" s="28" t="s">
        <v>62</v>
      </c>
      <c r="B5" s="27">
        <v>705000000</v>
      </c>
      <c r="C5" s="27">
        <v>752000000</v>
      </c>
      <c r="D5" s="27">
        <f>352500000+8000000*4</f>
        <v>384500000</v>
      </c>
      <c r="E5" s="27">
        <v>120000000</v>
      </c>
      <c r="F5" s="27"/>
      <c r="G5" s="37">
        <f t="shared" ref="G5:G16" si="0">SUM(B5:F5)</f>
        <v>1961500000</v>
      </c>
    </row>
    <row r="6" spans="1:7" x14ac:dyDescent="0.25">
      <c r="A6" s="36" t="s">
        <v>61</v>
      </c>
      <c r="B6" s="56">
        <f>3%*B25</f>
        <v>4500000000</v>
      </c>
      <c r="C6" s="56">
        <f>3%*C25</f>
        <v>5940000000</v>
      </c>
      <c r="D6" s="56">
        <f>3%*D25</f>
        <v>3780000000</v>
      </c>
      <c r="E6" s="56">
        <f>3%*E25</f>
        <v>2340000000</v>
      </c>
      <c r="F6" s="56"/>
      <c r="G6" s="35">
        <f t="shared" si="0"/>
        <v>16560000000</v>
      </c>
    </row>
    <row r="7" spans="1:7" x14ac:dyDescent="0.25">
      <c r="A7" s="36" t="s">
        <v>60</v>
      </c>
      <c r="B7" s="56">
        <v>211500000</v>
      </c>
      <c r="C7" s="56">
        <v>305500000</v>
      </c>
      <c r="D7" s="56">
        <v>141000000</v>
      </c>
      <c r="E7" s="56">
        <v>48000000</v>
      </c>
      <c r="F7" s="56"/>
      <c r="G7" s="35">
        <f t="shared" si="0"/>
        <v>706000000</v>
      </c>
    </row>
    <row r="8" spans="1:7" x14ac:dyDescent="0.25">
      <c r="A8" s="36" t="s">
        <v>59</v>
      </c>
      <c r="B8" s="56">
        <v>376000000</v>
      </c>
      <c r="C8" s="56">
        <v>470000000</v>
      </c>
      <c r="D8" s="56">
        <v>188000000</v>
      </c>
      <c r="E8" s="56">
        <v>120000000</v>
      </c>
      <c r="F8" s="56"/>
      <c r="G8" s="35">
        <f t="shared" si="0"/>
        <v>1154000000</v>
      </c>
    </row>
    <row r="9" spans="1:7" x14ac:dyDescent="0.25">
      <c r="A9" s="36" t="s">
        <v>58</v>
      </c>
      <c r="B9" s="56">
        <f>B25*5%</f>
        <v>7500000000</v>
      </c>
      <c r="C9" s="56">
        <f>C25*5%</f>
        <v>9900000000</v>
      </c>
      <c r="D9" s="56">
        <f>D25*5%</f>
        <v>6300000000</v>
      </c>
      <c r="E9" s="56">
        <f>E25*5%</f>
        <v>3900000000</v>
      </c>
      <c r="F9" s="56"/>
      <c r="G9" s="35">
        <f t="shared" si="0"/>
        <v>27600000000</v>
      </c>
    </row>
    <row r="10" spans="1:7" x14ac:dyDescent="0.25">
      <c r="A10" s="36" t="s">
        <v>57</v>
      </c>
      <c r="B10" s="56">
        <f>B25*(1%)</f>
        <v>1500000000</v>
      </c>
      <c r="C10" s="56">
        <f>C25*(1%)</f>
        <v>1980000000</v>
      </c>
      <c r="D10" s="56">
        <f>D25*(1%)</f>
        <v>1260000000</v>
      </c>
      <c r="E10" s="56">
        <f>E25*(1%)</f>
        <v>780000000</v>
      </c>
      <c r="F10" s="56"/>
      <c r="G10" s="35">
        <f t="shared" si="0"/>
        <v>5520000000</v>
      </c>
    </row>
    <row r="11" spans="1:7" x14ac:dyDescent="0.25">
      <c r="A11" s="36" t="s">
        <v>56</v>
      </c>
      <c r="B11" s="56">
        <v>352500000</v>
      </c>
      <c r="C11" s="56">
        <v>587500000</v>
      </c>
      <c r="D11" s="56">
        <v>329000000</v>
      </c>
      <c r="E11" s="56"/>
      <c r="F11" s="56"/>
      <c r="G11" s="35">
        <f t="shared" si="0"/>
        <v>1269000000</v>
      </c>
    </row>
    <row r="12" spans="1:7" x14ac:dyDescent="0.25">
      <c r="A12" s="36" t="s">
        <v>55</v>
      </c>
      <c r="B12" s="56">
        <v>94000000</v>
      </c>
      <c r="C12" s="56">
        <v>235000000</v>
      </c>
      <c r="D12" s="56">
        <v>188000000</v>
      </c>
      <c r="E12" s="56"/>
      <c r="F12" s="56"/>
      <c r="G12" s="35">
        <f t="shared" si="0"/>
        <v>517000000</v>
      </c>
    </row>
    <row r="13" spans="1:7" x14ac:dyDescent="0.25">
      <c r="A13" s="36" t="s">
        <v>54</v>
      </c>
      <c r="B13" s="56">
        <v>517000000</v>
      </c>
      <c r="C13" s="56">
        <v>587500000</v>
      </c>
      <c r="D13" s="56">
        <v>235000000</v>
      </c>
      <c r="E13" s="56">
        <v>240000000</v>
      </c>
      <c r="F13" s="56">
        <v>480000000</v>
      </c>
      <c r="G13" s="35">
        <f t="shared" si="0"/>
        <v>2059500000</v>
      </c>
    </row>
    <row r="14" spans="1:7" x14ac:dyDescent="0.25">
      <c r="A14" s="36" t="s">
        <v>53</v>
      </c>
      <c r="B14" s="56">
        <v>352500000</v>
      </c>
      <c r="C14" s="56">
        <v>470000000</v>
      </c>
      <c r="D14" s="56">
        <v>282000000</v>
      </c>
      <c r="E14" s="56">
        <v>216000000</v>
      </c>
      <c r="F14" s="56">
        <v>470000000</v>
      </c>
      <c r="G14" s="35">
        <f t="shared" si="0"/>
        <v>1790500000</v>
      </c>
    </row>
    <row r="15" spans="1:7" x14ac:dyDescent="0.25">
      <c r="A15" s="36" t="s">
        <v>70</v>
      </c>
      <c r="B15" s="56"/>
      <c r="C15" s="56"/>
      <c r="D15" s="56"/>
      <c r="E15" s="56"/>
      <c r="F15" s="56">
        <v>240000000</v>
      </c>
      <c r="G15" s="35">
        <f t="shared" si="0"/>
        <v>240000000</v>
      </c>
    </row>
    <row r="16" spans="1:7" x14ac:dyDescent="0.25">
      <c r="A16" s="36" t="s">
        <v>52</v>
      </c>
      <c r="B16" s="56">
        <v>376000000</v>
      </c>
      <c r="C16" s="56">
        <v>611000000</v>
      </c>
      <c r="D16" s="56">
        <v>305500000</v>
      </c>
      <c r="E16" s="56">
        <v>168000000</v>
      </c>
      <c r="F16" s="56">
        <v>376000000</v>
      </c>
      <c r="G16" s="35">
        <f t="shared" si="0"/>
        <v>1836500000</v>
      </c>
    </row>
    <row r="17" spans="1:7" x14ac:dyDescent="0.25">
      <c r="A17" s="25"/>
      <c r="B17" s="24"/>
      <c r="C17" s="24"/>
      <c r="D17" s="24"/>
      <c r="E17" s="24"/>
      <c r="F17" s="24"/>
      <c r="G17" s="34"/>
    </row>
    <row r="18" spans="1:7" x14ac:dyDescent="0.25">
      <c r="A18" s="8" t="s">
        <v>0</v>
      </c>
      <c r="B18" s="55">
        <f t="shared" ref="B18:G18" si="1">SUM(B5:B17)</f>
        <v>16484500000</v>
      </c>
      <c r="C18" s="55">
        <f t="shared" si="1"/>
        <v>21838500000</v>
      </c>
      <c r="D18" s="55">
        <f t="shared" si="1"/>
        <v>13393000000</v>
      </c>
      <c r="E18" s="55">
        <f t="shared" si="1"/>
        <v>7932000000</v>
      </c>
      <c r="F18" s="55">
        <f t="shared" si="1"/>
        <v>1566000000</v>
      </c>
      <c r="G18" s="55">
        <f t="shared" si="1"/>
        <v>61214000000</v>
      </c>
    </row>
    <row r="21" spans="1:7" s="53" customFormat="1" ht="10.199999999999999" x14ac:dyDescent="0.2">
      <c r="A21" s="53" t="s">
        <v>69</v>
      </c>
      <c r="G21" s="54"/>
    </row>
    <row r="24" spans="1:7" x14ac:dyDescent="0.25">
      <c r="A24" s="39" t="s">
        <v>64</v>
      </c>
      <c r="B24" s="39" t="s">
        <v>10</v>
      </c>
      <c r="C24" s="39" t="s">
        <v>8</v>
      </c>
      <c r="D24" s="39" t="s">
        <v>4</v>
      </c>
      <c r="E24" s="38" t="s">
        <v>6</v>
      </c>
    </row>
    <row r="25" spans="1:7" x14ac:dyDescent="0.25">
      <c r="A25" s="52" t="s">
        <v>69</v>
      </c>
      <c r="B25" s="51">
        <v>150000000000</v>
      </c>
      <c r="C25" s="51">
        <v>198000000000</v>
      </c>
      <c r="D25" s="51">
        <v>126000000000</v>
      </c>
      <c r="E25" s="50">
        <v>78000000000</v>
      </c>
    </row>
    <row r="26" spans="1:7" x14ac:dyDescent="0.25">
      <c r="A26" s="28" t="s">
        <v>68</v>
      </c>
      <c r="B26" s="49">
        <f>3%*B25</f>
        <v>4500000000</v>
      </c>
      <c r="C26" s="49">
        <f>3%*C25</f>
        <v>5940000000</v>
      </c>
      <c r="D26" s="49">
        <f>3%*D25</f>
        <v>3780000000</v>
      </c>
      <c r="E26" s="48">
        <f>3%*E25</f>
        <v>2340000000</v>
      </c>
    </row>
    <row r="27" spans="1:7" x14ac:dyDescent="0.25">
      <c r="A27" s="36" t="s">
        <v>67</v>
      </c>
      <c r="B27" s="47">
        <f>B25*5%</f>
        <v>7500000000</v>
      </c>
      <c r="C27" s="47">
        <f>C25*5%</f>
        <v>9900000000</v>
      </c>
      <c r="D27" s="47">
        <f>D25*5%</f>
        <v>6300000000</v>
      </c>
      <c r="E27" s="46">
        <f>E25*5%</f>
        <v>3900000000</v>
      </c>
    </row>
    <row r="28" spans="1:7" x14ac:dyDescent="0.25">
      <c r="A28" s="25" t="s">
        <v>66</v>
      </c>
      <c r="B28" s="45">
        <f>B25*(1%)</f>
        <v>1500000000</v>
      </c>
      <c r="C28" s="45">
        <f>C25*(1%)</f>
        <v>1980000000</v>
      </c>
      <c r="D28" s="45">
        <f>D25*(1%)</f>
        <v>1260000000</v>
      </c>
      <c r="E28" s="44">
        <f>E25*(1%)</f>
        <v>780000000</v>
      </c>
    </row>
  </sheetData>
  <mergeCells count="5">
    <mergeCell ref="A2:G2"/>
    <mergeCell ref="A3:A4"/>
    <mergeCell ref="B3:E3"/>
    <mergeCell ref="F3:F4"/>
    <mergeCell ref="G3:G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CEFA-398A-416B-A69F-8DF0DE3688C1}">
  <dimension ref="A2:I53"/>
  <sheetViews>
    <sheetView showGridLines="0" tabSelected="1" workbookViewId="0">
      <selection activeCell="G34" sqref="G34"/>
    </sheetView>
  </sheetViews>
  <sheetFormatPr defaultColWidth="8.77734375" defaultRowHeight="13.8" x14ac:dyDescent="0.25"/>
  <cols>
    <col min="1" max="1" width="28.77734375" style="1" bestFit="1" customWidth="1"/>
    <col min="2" max="4" width="17.6640625" style="1" bestFit="1" customWidth="1"/>
    <col min="5" max="5" width="19.21875" style="1" bestFit="1" customWidth="1"/>
    <col min="6" max="6" width="20.21875" style="1" bestFit="1" customWidth="1"/>
    <col min="7" max="7" width="15.21875" style="1" bestFit="1" customWidth="1"/>
    <col min="8" max="8" width="8.77734375" style="1"/>
    <col min="9" max="9" width="16.21875" style="1" bestFit="1" customWidth="1"/>
    <col min="10" max="16384" width="8.77734375" style="1"/>
  </cols>
  <sheetData>
    <row r="2" spans="1:6" ht="15" x14ac:dyDescent="0.25">
      <c r="A2" s="127" t="s">
        <v>65</v>
      </c>
      <c r="B2" s="128"/>
      <c r="C2" s="128"/>
      <c r="D2" s="128"/>
      <c r="E2" s="128"/>
      <c r="F2" s="129"/>
    </row>
    <row r="3" spans="1:6" x14ac:dyDescent="0.25">
      <c r="A3" s="138" t="s">
        <v>64</v>
      </c>
      <c r="B3" s="136" t="s">
        <v>19</v>
      </c>
      <c r="C3" s="137"/>
      <c r="D3" s="137"/>
      <c r="E3" s="125" t="s">
        <v>63</v>
      </c>
      <c r="F3" s="138" t="s">
        <v>0</v>
      </c>
    </row>
    <row r="4" spans="1:6" x14ac:dyDescent="0.25">
      <c r="A4" s="139"/>
      <c r="B4" s="43" t="s">
        <v>10</v>
      </c>
      <c r="C4" s="43" t="s">
        <v>8</v>
      </c>
      <c r="D4" s="42" t="s">
        <v>4</v>
      </c>
      <c r="E4" s="126"/>
      <c r="F4" s="139"/>
    </row>
    <row r="5" spans="1:6" x14ac:dyDescent="0.25">
      <c r="A5" s="28" t="s">
        <v>62</v>
      </c>
      <c r="B5" s="19">
        <v>705000000</v>
      </c>
      <c r="C5" s="19">
        <v>752000000</v>
      </c>
      <c r="D5" s="19">
        <v>352500000</v>
      </c>
      <c r="E5" s="19"/>
      <c r="F5" s="26">
        <f t="shared" ref="F5:F15" si="0">SUM(B5:E5)</f>
        <v>1809500000</v>
      </c>
    </row>
    <row r="6" spans="1:6" x14ac:dyDescent="0.25">
      <c r="A6" s="36" t="s">
        <v>61</v>
      </c>
      <c r="B6" s="13">
        <v>423000000</v>
      </c>
      <c r="C6" s="13">
        <v>470000000</v>
      </c>
      <c r="D6" s="13">
        <v>211500000</v>
      </c>
      <c r="E6" s="13"/>
      <c r="F6" s="41">
        <f t="shared" si="0"/>
        <v>1104500000</v>
      </c>
    </row>
    <row r="7" spans="1:6" x14ac:dyDescent="0.25">
      <c r="A7" s="36" t="s">
        <v>60</v>
      </c>
      <c r="B7" s="13">
        <v>211500000</v>
      </c>
      <c r="C7" s="13">
        <v>305500000</v>
      </c>
      <c r="D7" s="13">
        <v>141000000</v>
      </c>
      <c r="E7" s="13"/>
      <c r="F7" s="41">
        <f t="shared" si="0"/>
        <v>658000000</v>
      </c>
    </row>
    <row r="8" spans="1:6" x14ac:dyDescent="0.25">
      <c r="A8" s="36" t="s">
        <v>59</v>
      </c>
      <c r="B8" s="13">
        <v>376000000</v>
      </c>
      <c r="C8" s="13">
        <v>470000000</v>
      </c>
      <c r="D8" s="13">
        <v>188000000</v>
      </c>
      <c r="E8" s="13"/>
      <c r="F8" s="41">
        <f t="shared" si="0"/>
        <v>1034000000</v>
      </c>
    </row>
    <row r="9" spans="1:6" x14ac:dyDescent="0.25">
      <c r="A9" s="36" t="s">
        <v>58</v>
      </c>
      <c r="B9" s="13">
        <v>70500000</v>
      </c>
      <c r="C9" s="13">
        <v>117500000</v>
      </c>
      <c r="D9" s="13">
        <v>47000000</v>
      </c>
      <c r="E9" s="13"/>
      <c r="F9" s="41">
        <f t="shared" si="0"/>
        <v>235000000</v>
      </c>
    </row>
    <row r="10" spans="1:6" x14ac:dyDescent="0.25">
      <c r="A10" s="36" t="s">
        <v>57</v>
      </c>
      <c r="B10" s="13">
        <v>47000000</v>
      </c>
      <c r="C10" s="13">
        <v>94000000</v>
      </c>
      <c r="D10" s="13">
        <v>70500000</v>
      </c>
      <c r="E10" s="13"/>
      <c r="F10" s="41">
        <f t="shared" si="0"/>
        <v>211500000</v>
      </c>
    </row>
    <row r="11" spans="1:6" x14ac:dyDescent="0.25">
      <c r="A11" s="36" t="s">
        <v>56</v>
      </c>
      <c r="B11" s="13">
        <v>352500000</v>
      </c>
      <c r="C11" s="13">
        <v>587500000</v>
      </c>
      <c r="D11" s="13">
        <v>329000000</v>
      </c>
      <c r="E11" s="13"/>
      <c r="F11" s="41">
        <f t="shared" si="0"/>
        <v>1269000000</v>
      </c>
    </row>
    <row r="12" spans="1:6" x14ac:dyDescent="0.25">
      <c r="A12" s="6" t="s">
        <v>55</v>
      </c>
      <c r="B12" s="13">
        <v>94000000</v>
      </c>
      <c r="C12" s="13">
        <v>235000000</v>
      </c>
      <c r="D12" s="13">
        <v>188000000</v>
      </c>
      <c r="E12" s="13"/>
      <c r="F12" s="41">
        <f t="shared" si="0"/>
        <v>517000000</v>
      </c>
    </row>
    <row r="13" spans="1:6" x14ac:dyDescent="0.25">
      <c r="A13" s="6" t="s">
        <v>54</v>
      </c>
      <c r="B13" s="13">
        <v>517000000</v>
      </c>
      <c r="C13" s="13">
        <v>587500000</v>
      </c>
      <c r="D13" s="13">
        <v>235000000</v>
      </c>
      <c r="E13" s="13">
        <v>329000000</v>
      </c>
      <c r="F13" s="41">
        <f t="shared" si="0"/>
        <v>1668500000</v>
      </c>
    </row>
    <row r="14" spans="1:6" x14ac:dyDescent="0.25">
      <c r="A14" s="6" t="s">
        <v>53</v>
      </c>
      <c r="B14" s="13">
        <v>352500000</v>
      </c>
      <c r="C14" s="13">
        <v>470000000</v>
      </c>
      <c r="D14" s="13">
        <v>282000000</v>
      </c>
      <c r="E14" s="13">
        <v>470000000</v>
      </c>
      <c r="F14" s="41">
        <f t="shared" si="0"/>
        <v>1574500000</v>
      </c>
    </row>
    <row r="15" spans="1:6" x14ac:dyDescent="0.25">
      <c r="A15" s="6" t="s">
        <v>52</v>
      </c>
      <c r="B15" s="13">
        <v>376000000</v>
      </c>
      <c r="C15" s="13">
        <v>611000000</v>
      </c>
      <c r="D15" s="13">
        <v>305500000</v>
      </c>
      <c r="E15" s="13">
        <v>376000000</v>
      </c>
      <c r="F15" s="41">
        <f t="shared" si="0"/>
        <v>1668500000</v>
      </c>
    </row>
    <row r="16" spans="1:6" x14ac:dyDescent="0.25">
      <c r="A16" s="16"/>
      <c r="B16" s="15"/>
      <c r="C16" s="15"/>
      <c r="D16" s="15"/>
      <c r="E16" s="15"/>
      <c r="F16" s="23"/>
    </row>
    <row r="17" spans="1:9" x14ac:dyDescent="0.25">
      <c r="A17" s="2" t="s">
        <v>0</v>
      </c>
      <c r="B17" s="40">
        <f>SUM(B5:B16)</f>
        <v>3525000000</v>
      </c>
      <c r="C17" s="40">
        <f>SUM(C5:C16)</f>
        <v>4700000000</v>
      </c>
      <c r="D17" s="40">
        <f>SUM(D5:D16)</f>
        <v>2350000000</v>
      </c>
      <c r="E17" s="40">
        <f>SUM(E5:E16)</f>
        <v>1175000000</v>
      </c>
      <c r="F17" s="40">
        <f>SUM(F5:F16)</f>
        <v>11750000000</v>
      </c>
    </row>
    <row r="21" spans="1:9" ht="15" x14ac:dyDescent="0.25">
      <c r="A21" s="127" t="s">
        <v>65</v>
      </c>
      <c r="B21" s="128"/>
      <c r="C21" s="128"/>
      <c r="D21" s="128"/>
      <c r="E21" s="128"/>
      <c r="F21" s="129"/>
    </row>
    <row r="22" spans="1:9" x14ac:dyDescent="0.25">
      <c r="A22" s="130" t="s">
        <v>64</v>
      </c>
      <c r="B22" s="132" t="s">
        <v>19</v>
      </c>
      <c r="C22" s="133"/>
      <c r="D22" s="133"/>
      <c r="E22" s="134" t="s">
        <v>63</v>
      </c>
      <c r="F22" s="130" t="s">
        <v>0</v>
      </c>
    </row>
    <row r="23" spans="1:9" x14ac:dyDescent="0.25">
      <c r="A23" s="131"/>
      <c r="B23" s="39" t="s">
        <v>10</v>
      </c>
      <c r="C23" s="39" t="s">
        <v>8</v>
      </c>
      <c r="D23" s="38" t="s">
        <v>4</v>
      </c>
      <c r="E23" s="135"/>
      <c r="F23" s="131"/>
    </row>
    <row r="24" spans="1:9" x14ac:dyDescent="0.25">
      <c r="A24" s="28" t="s">
        <v>62</v>
      </c>
      <c r="B24" s="19">
        <v>705000000</v>
      </c>
      <c r="C24" s="19">
        <v>752000000</v>
      </c>
      <c r="D24" s="19">
        <v>352500000</v>
      </c>
      <c r="E24" s="19"/>
      <c r="F24" s="37">
        <f t="shared" ref="F24:F34" si="1">SUM(B24:E24)</f>
        <v>1809500000</v>
      </c>
    </row>
    <row r="25" spans="1:9" x14ac:dyDescent="0.25">
      <c r="A25" s="36" t="s">
        <v>61</v>
      </c>
      <c r="B25" s="13">
        <v>423000000</v>
      </c>
      <c r="C25" s="13">
        <v>470000000</v>
      </c>
      <c r="D25" s="13">
        <v>211500000</v>
      </c>
      <c r="E25" s="13"/>
      <c r="F25" s="35">
        <f t="shared" si="1"/>
        <v>1104500000</v>
      </c>
    </row>
    <row r="26" spans="1:9" x14ac:dyDescent="0.25">
      <c r="A26" s="36" t="s">
        <v>60</v>
      </c>
      <c r="B26" s="13">
        <v>211500000</v>
      </c>
      <c r="C26" s="13">
        <v>305500000</v>
      </c>
      <c r="D26" s="13">
        <v>141000000</v>
      </c>
      <c r="E26" s="13"/>
      <c r="F26" s="35">
        <f t="shared" si="1"/>
        <v>658000000</v>
      </c>
    </row>
    <row r="27" spans="1:9" x14ac:dyDescent="0.25">
      <c r="A27" s="36" t="s">
        <v>59</v>
      </c>
      <c r="B27" s="13">
        <v>376000000</v>
      </c>
      <c r="C27" s="13">
        <v>470000000</v>
      </c>
      <c r="D27" s="13">
        <v>188000000</v>
      </c>
      <c r="E27" s="13"/>
      <c r="F27" s="35">
        <f t="shared" si="1"/>
        <v>1034000000</v>
      </c>
    </row>
    <row r="28" spans="1:9" x14ac:dyDescent="0.25">
      <c r="A28" s="36" t="s">
        <v>58</v>
      </c>
      <c r="B28" s="13">
        <v>70500000</v>
      </c>
      <c r="C28" s="13">
        <v>117500000</v>
      </c>
      <c r="D28" s="13">
        <v>47000000</v>
      </c>
      <c r="E28" s="13"/>
      <c r="F28" s="35">
        <f t="shared" si="1"/>
        <v>235000000</v>
      </c>
    </row>
    <row r="29" spans="1:9" x14ac:dyDescent="0.25">
      <c r="A29" s="36" t="s">
        <v>57</v>
      </c>
      <c r="B29" s="13">
        <v>47000000</v>
      </c>
      <c r="C29" s="13">
        <v>94000000</v>
      </c>
      <c r="D29" s="13">
        <v>70500000</v>
      </c>
      <c r="E29" s="13"/>
      <c r="F29" s="35">
        <f t="shared" si="1"/>
        <v>211500000</v>
      </c>
      <c r="I29" s="31">
        <f>10000*24000</f>
        <v>240000000</v>
      </c>
    </row>
    <row r="30" spans="1:9" x14ac:dyDescent="0.25">
      <c r="A30" s="36" t="s">
        <v>56</v>
      </c>
      <c r="B30" s="13">
        <v>352500000</v>
      </c>
      <c r="C30" s="13">
        <v>587500000</v>
      </c>
      <c r="D30" s="13">
        <v>329000000</v>
      </c>
      <c r="E30" s="13"/>
      <c r="F30" s="35">
        <f t="shared" si="1"/>
        <v>1269000000</v>
      </c>
    </row>
    <row r="31" spans="1:9" x14ac:dyDescent="0.25">
      <c r="A31" s="6" t="s">
        <v>55</v>
      </c>
      <c r="B31" s="13">
        <v>94000000</v>
      </c>
      <c r="C31" s="13">
        <v>235000000</v>
      </c>
      <c r="D31" s="13">
        <v>188000000</v>
      </c>
      <c r="E31" s="13"/>
      <c r="F31" s="35">
        <f t="shared" si="1"/>
        <v>517000000</v>
      </c>
    </row>
    <row r="32" spans="1:9" x14ac:dyDescent="0.25">
      <c r="A32" s="6" t="s">
        <v>54</v>
      </c>
      <c r="B32" s="13">
        <v>517000000</v>
      </c>
      <c r="C32" s="13">
        <v>587500000</v>
      </c>
      <c r="D32" s="13">
        <v>235000000</v>
      </c>
      <c r="E32" s="13">
        <v>329000000</v>
      </c>
      <c r="F32" s="35">
        <f t="shared" si="1"/>
        <v>1668500000</v>
      </c>
    </row>
    <row r="33" spans="1:6" x14ac:dyDescent="0.25">
      <c r="A33" s="6" t="s">
        <v>53</v>
      </c>
      <c r="B33" s="13">
        <v>352500000</v>
      </c>
      <c r="C33" s="13">
        <v>470000000</v>
      </c>
      <c r="D33" s="13">
        <v>282000000</v>
      </c>
      <c r="E33" s="13">
        <v>470000000</v>
      </c>
      <c r="F33" s="35">
        <f t="shared" si="1"/>
        <v>1574500000</v>
      </c>
    </row>
    <row r="34" spans="1:6" x14ac:dyDescent="0.25">
      <c r="A34" s="6" t="s">
        <v>52</v>
      </c>
      <c r="B34" s="13">
        <v>376000000</v>
      </c>
      <c r="C34" s="13">
        <v>611000000</v>
      </c>
      <c r="D34" s="13">
        <v>305500000</v>
      </c>
      <c r="E34" s="13">
        <v>376000000</v>
      </c>
      <c r="F34" s="35">
        <f t="shared" si="1"/>
        <v>1668500000</v>
      </c>
    </row>
    <row r="35" spans="1:6" x14ac:dyDescent="0.25">
      <c r="A35" s="16"/>
      <c r="B35" s="15"/>
      <c r="C35" s="15"/>
      <c r="D35" s="15"/>
      <c r="E35" s="15"/>
      <c r="F35" s="34"/>
    </row>
    <row r="36" spans="1:6" x14ac:dyDescent="0.25">
      <c r="A36" s="33" t="s">
        <v>0</v>
      </c>
      <c r="B36" s="32">
        <f>SUM(B24:B35)</f>
        <v>3525000000</v>
      </c>
      <c r="C36" s="32">
        <f>SUM(C24:C35)</f>
        <v>4700000000</v>
      </c>
      <c r="D36" s="32">
        <f>SUM(D24:D35)</f>
        <v>2350000000</v>
      </c>
      <c r="E36" s="32">
        <f>SUM(E24:E35)</f>
        <v>1175000000</v>
      </c>
      <c r="F36" s="32">
        <f>SUM(F24:F35)</f>
        <v>11750000000</v>
      </c>
    </row>
    <row r="47" spans="1:6" x14ac:dyDescent="0.25">
      <c r="F47" s="30">
        <v>126000000000</v>
      </c>
    </row>
    <row r="48" spans="1:6" x14ac:dyDescent="0.25">
      <c r="C48" s="1">
        <v>300000</v>
      </c>
      <c r="D48" s="1">
        <v>24000</v>
      </c>
      <c r="E48" s="31">
        <f>D48*C48</f>
        <v>7200000000</v>
      </c>
      <c r="F48" s="30">
        <v>198000000000</v>
      </c>
    </row>
    <row r="49" spans="5:7" x14ac:dyDescent="0.25">
      <c r="F49" s="30">
        <v>150000000000</v>
      </c>
    </row>
    <row r="50" spans="5:7" x14ac:dyDescent="0.25">
      <c r="F50" s="30">
        <v>78000000000</v>
      </c>
    </row>
    <row r="51" spans="5:7" x14ac:dyDescent="0.25">
      <c r="E51" s="31">
        <f>20000*24000</f>
        <v>480000000</v>
      </c>
      <c r="F51" s="30">
        <f>SUM(F47:F50)</f>
        <v>552000000000</v>
      </c>
    </row>
    <row r="52" spans="5:7" x14ac:dyDescent="0.25">
      <c r="F52" s="30">
        <v>552000000000</v>
      </c>
    </row>
    <row r="53" spans="5:7" x14ac:dyDescent="0.25">
      <c r="F53" s="29">
        <f>F52-F51</f>
        <v>0</v>
      </c>
      <c r="G53" s="29">
        <f>F53/4</f>
        <v>0</v>
      </c>
    </row>
  </sheetData>
  <mergeCells count="10">
    <mergeCell ref="A2:F2"/>
    <mergeCell ref="B3:D3"/>
    <mergeCell ref="E3:E4"/>
    <mergeCell ref="F3:F4"/>
    <mergeCell ref="A3:A4"/>
    <mergeCell ref="A21:F21"/>
    <mergeCell ref="A22:A23"/>
    <mergeCell ref="B22:D22"/>
    <mergeCell ref="E22:E23"/>
    <mergeCell ref="F22:F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Trang 205</vt:lpstr>
      <vt:lpstr>Trang 208</vt:lpstr>
      <vt:lpstr>Trang 211</vt:lpstr>
      <vt:lpstr>Trang 213</vt:lpstr>
      <vt:lpstr>Trang 222</vt:lpstr>
      <vt:lpstr>Trang 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Sơn Trần</dc:creator>
  <cp:lastModifiedBy>VINACFO</cp:lastModifiedBy>
  <dcterms:created xsi:type="dcterms:W3CDTF">2023-01-07T09:42:58Z</dcterms:created>
  <dcterms:modified xsi:type="dcterms:W3CDTF">2023-02-16T08:22:52Z</dcterms:modified>
</cp:coreProperties>
</file>