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nal\"/>
    </mc:Choice>
  </mc:AlternateContent>
  <xr:revisionPtr revIDLastSave="0" documentId="8_{944E6AB5-6292-4035-ACC9-7CE824F36C42}" xr6:coauthVersionLast="47" xr6:coauthVersionMax="47" xr10:uidLastSave="{00000000-0000-0000-0000-000000000000}"/>
  <bookViews>
    <workbookView xWindow="-108" yWindow="-108" windowWidth="23256" windowHeight="14016" activeTab="6" xr2:uid="{31C0F18D-F939-4833-BF39-A4399368F00A}"/>
  </bookViews>
  <sheets>
    <sheet name="Trang 15" sheetId="7" r:id="rId1"/>
    <sheet name="Trang 21" sheetId="8" r:id="rId2"/>
    <sheet name="Trang 25" sheetId="1" r:id="rId3"/>
    <sheet name="Sheet3" sheetId="5" state="hidden" r:id="rId4"/>
    <sheet name="Trang 26" sheetId="3" r:id="rId5"/>
    <sheet name="Trang 31" sheetId="2" r:id="rId6"/>
    <sheet name="Trang 37" sheetId="6" r:id="rId7"/>
    <sheet name="Trang 21_" sheetId="4" state="hidden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H4" i="5"/>
  <c r="G5" i="5"/>
  <c r="H5" i="5"/>
  <c r="G6" i="5"/>
  <c r="H6" i="5"/>
  <c r="G7" i="5"/>
  <c r="H7" i="5"/>
  <c r="G8" i="5"/>
  <c r="H8" i="5"/>
  <c r="G9" i="5"/>
  <c r="B9" i="5" s="1"/>
  <c r="H9" i="5"/>
  <c r="C9" i="5" s="1"/>
  <c r="G10" i="5"/>
  <c r="B10" i="5" s="1"/>
  <c r="H10" i="5"/>
  <c r="C10" i="5" s="1"/>
  <c r="G11" i="5"/>
  <c r="B11" i="5" s="1"/>
  <c r="H11" i="5"/>
  <c r="C11" i="5" s="1"/>
  <c r="G12" i="5"/>
  <c r="B12" i="5" s="1"/>
  <c r="H12" i="5"/>
  <c r="G13" i="5"/>
  <c r="H13" i="5"/>
  <c r="G14" i="5"/>
  <c r="H14" i="5"/>
  <c r="G15" i="5"/>
  <c r="H15" i="5"/>
  <c r="E18" i="5"/>
  <c r="E21" i="5"/>
  <c r="D14" i="8"/>
  <c r="D16" i="8" s="1"/>
  <c r="C14" i="8"/>
  <c r="C16" i="8" s="1"/>
  <c r="B14" i="8"/>
  <c r="B16" i="8" s="1"/>
  <c r="B7" i="8"/>
  <c r="C6" i="7"/>
  <c r="D6" i="7" s="1"/>
  <c r="C7" i="7"/>
  <c r="D7" i="7"/>
  <c r="C8" i="7"/>
  <c r="D8" i="7" s="1"/>
  <c r="C9" i="7"/>
  <c r="D9" i="7" s="1"/>
  <c r="C3" i="6"/>
  <c r="B5" i="6"/>
  <c r="B6" i="6"/>
  <c r="B7" i="6"/>
  <c r="C8" i="6" s="1"/>
  <c r="C13" i="6" s="1"/>
  <c r="B12" i="6"/>
  <c r="B23" i="6"/>
  <c r="D23" i="6" s="1"/>
  <c r="C23" i="6"/>
  <c r="B25" i="6"/>
  <c r="D25" i="6" s="1"/>
  <c r="D27" i="6" s="1"/>
  <c r="C25" i="6"/>
  <c r="C27" i="6" s="1"/>
  <c r="C28" i="6" s="1"/>
  <c r="B26" i="6"/>
  <c r="C26" i="6"/>
  <c r="D26" i="6"/>
  <c r="B30" i="6"/>
  <c r="D30" i="6" s="1"/>
  <c r="D32" i="6" s="1"/>
  <c r="C30" i="6"/>
  <c r="C32" i="6" s="1"/>
  <c r="B31" i="6"/>
  <c r="C31" i="6"/>
  <c r="D31" i="6"/>
  <c r="B4" i="5"/>
  <c r="C4" i="5"/>
  <c r="B5" i="5"/>
  <c r="C5" i="5"/>
  <c r="B6" i="5"/>
  <c r="C6" i="5"/>
  <c r="B7" i="5"/>
  <c r="C7" i="5"/>
  <c r="B8" i="5"/>
  <c r="C8" i="5"/>
  <c r="C12" i="5"/>
  <c r="B13" i="5"/>
  <c r="C13" i="5"/>
  <c r="B14" i="5"/>
  <c r="C14" i="5"/>
  <c r="B15" i="5"/>
  <c r="C15" i="5"/>
  <c r="B4" i="4"/>
  <c r="C4" i="4"/>
  <c r="B5" i="4"/>
  <c r="C5" i="4"/>
  <c r="D6" i="4"/>
  <c r="D8" i="4"/>
  <c r="B13" i="4"/>
  <c r="C13" i="4"/>
  <c r="B14" i="4"/>
  <c r="C14" i="4"/>
  <c r="B18" i="4"/>
  <c r="C18" i="4"/>
  <c r="D18" i="4"/>
  <c r="B19" i="4"/>
  <c r="C19" i="4"/>
  <c r="D19" i="4"/>
  <c r="E20" i="4"/>
  <c r="E22" i="4"/>
  <c r="B31" i="4"/>
  <c r="C31" i="4"/>
  <c r="D31" i="4" s="1"/>
  <c r="B32" i="4"/>
  <c r="C32" i="4"/>
  <c r="D32" i="4" s="1"/>
  <c r="D34" i="4"/>
  <c r="B40" i="4"/>
  <c r="C40" i="4"/>
  <c r="D40" i="4"/>
  <c r="B41" i="4"/>
  <c r="C41" i="4"/>
  <c r="D41" i="4"/>
  <c r="B43" i="4"/>
  <c r="C43" i="4"/>
  <c r="E43" i="4" s="1"/>
  <c r="F43" i="4" s="1"/>
  <c r="D43" i="4"/>
  <c r="E44" i="4"/>
  <c r="B51" i="4"/>
  <c r="C51" i="4"/>
  <c r="D51" i="4"/>
  <c r="E51" i="4"/>
  <c r="B52" i="4"/>
  <c r="C52" i="4"/>
  <c r="D52" i="4"/>
  <c r="E52" i="4"/>
  <c r="B53" i="4"/>
  <c r="B54" i="4"/>
  <c r="C54" i="4"/>
  <c r="D54" i="4"/>
  <c r="E54" i="4"/>
  <c r="B55" i="4"/>
  <c r="E55" i="4" s="1"/>
  <c r="C55" i="4"/>
  <c r="D55" i="4"/>
  <c r="C61" i="4"/>
  <c r="D61" i="4"/>
  <c r="C62" i="4"/>
  <c r="D62" i="4"/>
  <c r="C63" i="4"/>
  <c r="D63" i="4"/>
  <c r="B56" i="4" l="1"/>
  <c r="C42" i="4"/>
  <c r="C45" i="4" s="1"/>
  <c r="E41" i="4"/>
  <c r="F41" i="4" s="1"/>
  <c r="D53" i="4"/>
  <c r="D56" i="4" s="1"/>
  <c r="C53" i="4"/>
  <c r="C56" i="4" s="1"/>
  <c r="E53" i="4"/>
  <c r="D42" i="4"/>
  <c r="D45" i="4" s="1"/>
  <c r="B33" i="4"/>
  <c r="E56" i="4"/>
  <c r="B42" i="4"/>
  <c r="B45" i="4" s="1"/>
  <c r="C33" i="6"/>
  <c r="B32" i="6"/>
  <c r="B27" i="6"/>
  <c r="B28" i="6" s="1"/>
  <c r="B33" i="6" s="1"/>
  <c r="D33" i="4"/>
  <c r="D35" i="4" s="1"/>
  <c r="C33" i="4"/>
  <c r="E40" i="4"/>
  <c r="D28" i="6" l="1"/>
  <c r="D33" i="6"/>
  <c r="F40" i="4"/>
  <c r="E42" i="4"/>
  <c r="F42" i="4" l="1"/>
  <c r="E45" i="4"/>
  <c r="F45" i="4" s="1"/>
</calcChain>
</file>

<file path=xl/sharedStrings.xml><?xml version="1.0" encoding="utf-8"?>
<sst xmlns="http://schemas.openxmlformats.org/spreadsheetml/2006/main" count="186" uniqueCount="93">
  <si>
    <t>Kỳ báo cáo (Tháng)</t>
  </si>
  <si>
    <t>Tổng chi phí sản xuất</t>
  </si>
  <si>
    <t>Mức độ hoạt động (Đơn vị được sản xuất)</t>
  </si>
  <si>
    <t>07/2020</t>
  </si>
  <si>
    <t>08/2020</t>
  </si>
  <si>
    <t>09/2020</t>
  </si>
  <si>
    <t>10/2020</t>
  </si>
  <si>
    <t>11/2020</t>
  </si>
  <si>
    <t>12/2020</t>
  </si>
  <si>
    <t>01/2021</t>
  </si>
  <si>
    <t>02/2021</t>
  </si>
  <si>
    <t>03/2021</t>
  </si>
  <si>
    <t>04/2021</t>
  </si>
  <si>
    <t>05/2021</t>
  </si>
  <si>
    <t>06/2021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</si>
  <si>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</si>
  <si>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</si>
  <si>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</si>
  <si>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</si>
  <si>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</si>
  <si>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</si>
  <si>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</si>
  <si>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</si>
  <si>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</si>
  <si>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</si>
  <si>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</si>
  <si>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</si>
  <si>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</si>
  <si>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</si>
  <si>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</si>
  <si>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</si>
  <si>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</si>
  <si>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</si>
  <si>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</si>
  <si>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</si>
  <si>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</si>
  <si>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</si>
  <si>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</si>
  <si>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</si>
  <si>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</si>
  <si>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</si>
  <si>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Tổng chi phí sản xuất</t>
  </si>
  <si>
    <t>Residuals</t>
  </si>
  <si>
    <t>SP 03</t>
  </si>
  <si>
    <t>SP 02</t>
  </si>
  <si>
    <t>SP 01</t>
  </si>
  <si>
    <t>Chi phí biến đổi</t>
  </si>
  <si>
    <t>Giá bán</t>
  </si>
  <si>
    <t>Kiểm định chất lượng (Giờ lao động)</t>
  </si>
  <si>
    <t xml:space="preserve">Lợi nhuận </t>
  </si>
  <si>
    <t>Chi phí cố định phân bổ</t>
  </si>
  <si>
    <t>Chi phí cố định trực tiếp</t>
  </si>
  <si>
    <t>Số dư đảm phí</t>
  </si>
  <si>
    <t xml:space="preserve">Chi phí biến đổi </t>
  </si>
  <si>
    <t>Doanh thu</t>
  </si>
  <si>
    <t>Tổng cộng</t>
  </si>
  <si>
    <t>Z</t>
  </si>
  <si>
    <t>Y</t>
  </si>
  <si>
    <t>X</t>
  </si>
  <si>
    <t>Khoản mục</t>
  </si>
  <si>
    <t>Lợi nhuận</t>
  </si>
  <si>
    <t>Định phí</t>
  </si>
  <si>
    <t xml:space="preserve">Biến phí </t>
  </si>
  <si>
    <t>Báo cáo thu nhập biên đóng góp.</t>
  </si>
  <si>
    <t>Chi phí cố định</t>
  </si>
  <si>
    <t>Hỗn hợp bán hàng</t>
  </si>
  <si>
    <t>Số lượng bán dự kiến</t>
  </si>
  <si>
    <t>Chi phí biến đổi trên mỗi đơn vị</t>
  </si>
  <si>
    <t>Giá bán mỗi chiếc</t>
  </si>
  <si>
    <t xml:space="preserve">Chi phí cho mỗi đơn vị </t>
  </si>
  <si>
    <t>Số lượng sản xuất</t>
  </si>
  <si>
    <t>Chi phí sản xuất chung</t>
  </si>
  <si>
    <t>Chi phí nhân công trực tiếp</t>
  </si>
  <si>
    <t>Chi phí nguyên vật liệu trực tiếp</t>
  </si>
  <si>
    <t>Biến phí</t>
  </si>
  <si>
    <t>Giá trị</t>
  </si>
  <si>
    <t>BÁO CÁO CHI PHÍ SẢN XUẤT THÁNG 06</t>
  </si>
  <si>
    <t>Tổng chi phí hổn hợp</t>
  </si>
  <si>
    <t>Số lượng bán</t>
  </si>
  <si>
    <t xml:space="preserve">Lợi nhuận của hoạt động kinh doanh </t>
  </si>
  <si>
    <t>Cộng Chi phí cố định</t>
  </si>
  <si>
    <t xml:space="preserve"> - Chi phí bán hàng và chi phí quản lý</t>
  </si>
  <si>
    <t xml:space="preserve"> - Giá vốn hàng bán</t>
  </si>
  <si>
    <t xml:space="preserve">Số dư đảm phí </t>
  </si>
  <si>
    <t>Cộng chi phí biến đổi</t>
  </si>
  <si>
    <t>Phương sai</t>
  </si>
  <si>
    <t>Ngân sách</t>
  </si>
  <si>
    <t>Thực tế</t>
  </si>
  <si>
    <t>Báo cáo thu nhập biên lợi nhuận đóng góp</t>
  </si>
  <si>
    <t>Phương trình: Y = 10.000.000 + 10.000 * x</t>
  </si>
  <si>
    <t>Chi phí hỗn hợp trên một đơn vị sản phẩm</t>
  </si>
  <si>
    <t>Trang: 15</t>
  </si>
  <si>
    <t>3. Chi phí hỗn hợp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</si>
</sst>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.##0.00_);_(* \(#.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charset val="163"/>
      <scheme val="minor"/>
    </font>
    <font>
      <sz val="12"/>
      <color theme="1"/>
      <name val="Tahoma"/>
      <family val="2"/>
      <charset val="16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2"/>
      <color theme="1"/>
      <name val="Tahoma"/>
      <family val="2"/>
    </font>
    <font>
      <b/>
      <sz val="11"/>
      <color theme="1"/>
      <name val="Tahoma"/>
      <family val="2"/>
    </font>
    <font>
      <b/>
      <u/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/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/>
    <xf numFmtId="0" fontId="0" fillId="0" borderId="6" xfId="0" applyBorder="1"/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Continuous"/>
    </xf>
    <xf numFmtId="43" fontId="0" fillId="0" borderId="0" xfId="1" applyFont="1" applyFill="1" applyBorder="1" applyAlignment="1"/>
    <xf numFmtId="43" fontId="0" fillId="0" borderId="6" xfId="1" applyFont="1" applyFill="1" applyBorder="1" applyAlignment="1"/>
    <xf numFmtId="0" fontId="4" fillId="0" borderId="7" xfId="0" applyFont="1" applyBorder="1" applyAlignment="1">
      <alignment horizontal="center" vertical="center" wrapText="1"/>
    </xf>
    <xf numFmtId="43" fontId="5" fillId="0" borderId="0" xfId="1" applyFont="1" applyFill="1" applyBorder="1" applyAlignment="1"/>
    <xf numFmtId="43" fontId="5" fillId="0" borderId="6" xfId="1" applyFont="1" applyFill="1" applyBorder="1" applyAlignment="1"/>
    <xf numFmtId="0" fontId="3" fillId="0" borderId="0" xfId="0" applyFont="1"/>
    <xf numFmtId="0" fontId="3" fillId="0" borderId="2" xfId="0" applyFont="1" applyBorder="1"/>
    <xf numFmtId="164" fontId="3" fillId="0" borderId="5" xfId="1" applyNumberFormat="1" applyFont="1" applyBorder="1"/>
    <xf numFmtId="43" fontId="3" fillId="0" borderId="5" xfId="1" applyFont="1" applyBorder="1"/>
    <xf numFmtId="0" fontId="3" fillId="0" borderId="5" xfId="0" applyFont="1" applyBorder="1"/>
    <xf numFmtId="164" fontId="3" fillId="0" borderId="4" xfId="1" applyNumberFormat="1" applyFont="1" applyBorder="1"/>
    <xf numFmtId="43" fontId="3" fillId="0" borderId="4" xfId="1" applyFont="1" applyBorder="1"/>
    <xf numFmtId="0" fontId="3" fillId="0" borderId="4" xfId="0" applyFont="1" applyBorder="1"/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/>
    <xf numFmtId="164" fontId="2" fillId="0" borderId="2" xfId="1" applyNumberFormat="1" applyFont="1" applyBorder="1"/>
    <xf numFmtId="0" fontId="2" fillId="0" borderId="2" xfId="0" applyFont="1" applyBorder="1"/>
    <xf numFmtId="164" fontId="2" fillId="0" borderId="5" xfId="1" applyNumberFormat="1" applyFont="1" applyBorder="1"/>
    <xf numFmtId="0" fontId="2" fillId="0" borderId="5" xfId="0" applyFont="1" applyBorder="1"/>
    <xf numFmtId="164" fontId="2" fillId="0" borderId="4" xfId="1" applyNumberFormat="1" applyFont="1" applyBorder="1"/>
    <xf numFmtId="0" fontId="2" fillId="0" borderId="4" xfId="0" applyFont="1" applyBorder="1"/>
    <xf numFmtId="164" fontId="3" fillId="0" borderId="0" xfId="1" applyNumberFormat="1" applyFont="1"/>
    <xf numFmtId="164" fontId="6" fillId="0" borderId="2" xfId="1" applyNumberFormat="1" applyFont="1" applyBorder="1"/>
    <xf numFmtId="0" fontId="7" fillId="0" borderId="2" xfId="0" applyFont="1" applyBorder="1"/>
    <xf numFmtId="0" fontId="6" fillId="0" borderId="2" xfId="0" applyFont="1" applyBorder="1"/>
    <xf numFmtId="164" fontId="6" fillId="0" borderId="5" xfId="1" applyNumberFormat="1" applyFont="1" applyBorder="1"/>
    <xf numFmtId="0" fontId="7" fillId="0" borderId="5" xfId="0" applyFont="1" applyBorder="1"/>
    <xf numFmtId="0" fontId="6" fillId="0" borderId="5" xfId="0" applyFont="1" applyBorder="1"/>
    <xf numFmtId="164" fontId="7" fillId="0" borderId="5" xfId="0" applyNumberFormat="1" applyFont="1" applyBorder="1"/>
    <xf numFmtId="164" fontId="7" fillId="0" borderId="4" xfId="0" applyNumberFormat="1" applyFont="1" applyBorder="1"/>
    <xf numFmtId="164" fontId="6" fillId="0" borderId="4" xfId="1" applyNumberFormat="1" applyFont="1" applyBorder="1"/>
    <xf numFmtId="0" fontId="6" fillId="0" borderId="4" xfId="0" applyFont="1" applyBorder="1"/>
    <xf numFmtId="0" fontId="2" fillId="0" borderId="2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164" fontId="8" fillId="0" borderId="10" xfId="1" applyNumberFormat="1" applyFont="1" applyBorder="1"/>
    <xf numFmtId="0" fontId="9" fillId="0" borderId="11" xfId="0" applyFont="1" applyBorder="1"/>
    <xf numFmtId="164" fontId="3" fillId="0" borderId="2" xfId="1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9" fontId="3" fillId="0" borderId="5" xfId="0" applyNumberFormat="1" applyFont="1" applyBorder="1" applyAlignment="1">
      <alignment vertical="center" wrapText="1"/>
    </xf>
    <xf numFmtId="9" fontId="3" fillId="0" borderId="0" xfId="0" applyNumberFormat="1" applyFont="1"/>
    <xf numFmtId="0" fontId="3" fillId="0" borderId="5" xfId="0" applyFont="1" applyBorder="1" applyAlignment="1">
      <alignment vertical="center" wrapText="1"/>
    </xf>
    <xf numFmtId="164" fontId="3" fillId="0" borderId="5" xfId="1" applyNumberFormat="1" applyFont="1" applyBorder="1" applyAlignment="1">
      <alignment vertical="center" wrapText="1"/>
    </xf>
    <xf numFmtId="164" fontId="3" fillId="0" borderId="4" xfId="1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64" fontId="3" fillId="0" borderId="0" xfId="0" applyNumberFormat="1" applyFont="1"/>
    <xf numFmtId="164" fontId="10" fillId="0" borderId="2" xfId="0" applyNumberFormat="1" applyFont="1" applyBorder="1"/>
    <xf numFmtId="164" fontId="10" fillId="0" borderId="5" xfId="0" applyNumberFormat="1" applyFont="1" applyBorder="1"/>
    <xf numFmtId="164" fontId="10" fillId="0" borderId="5" xfId="1" applyNumberFormat="1" applyFont="1" applyBorder="1"/>
    <xf numFmtId="0" fontId="11" fillId="0" borderId="0" xfId="0" applyFont="1"/>
    <xf numFmtId="164" fontId="2" fillId="0" borderId="2" xfId="0" applyNumberFormat="1" applyFont="1" applyBorder="1"/>
    <xf numFmtId="164" fontId="3" fillId="0" borderId="2" xfId="1" applyNumberFormat="1" applyFont="1" applyBorder="1"/>
    <xf numFmtId="43" fontId="3" fillId="0" borderId="0" xfId="1" applyFont="1"/>
    <xf numFmtId="0" fontId="2" fillId="2" borderId="0" xfId="0" applyFont="1" applyFill="1" applyAlignment="1">
      <alignment horizontal="center" vertical="center" wrapText="1"/>
    </xf>
    <xf numFmtId="164" fontId="12" fillId="0" borderId="5" xfId="1" applyNumberFormat="1" applyFont="1" applyBorder="1"/>
    <xf numFmtId="3" fontId="12" fillId="0" borderId="5" xfId="0" applyNumberFormat="1" applyFont="1" applyBorder="1"/>
    <xf numFmtId="3" fontId="3" fillId="0" borderId="5" xfId="0" applyNumberFormat="1" applyFont="1" applyBorder="1"/>
    <xf numFmtId="164" fontId="2" fillId="0" borderId="5" xfId="0" applyNumberFormat="1" applyFont="1" applyBorder="1"/>
    <xf numFmtId="164" fontId="2" fillId="0" borderId="8" xfId="1" applyNumberFormat="1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3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2" fillId="0" borderId="0" xfId="0" applyFont="1"/>
    <xf numFmtId="0" fontId="2" fillId="3" borderId="8" xfId="0" applyFont="1" applyFill="1" applyBorder="1" applyAlignment="1">
      <alignment horizontal="center" vertical="center"/>
    </xf>
    <xf numFmtId="0" fontId="0" fillId="0" borderId="0" xfId="0" applyBorder="1"/>
    <xf numFmtId="164" fontId="3" fillId="0" borderId="0" xfId="0" applyNumberFormat="1" applyFont="1" applyBorder="1"/>
    <xf numFmtId="165" fontId="0" fillId="0" borderId="0" xfId="0" applyNumberFormat="1" applyBorder="1"/>
    <xf numFmtId="43" fontId="0" fillId="0" borderId="0" xfId="1" applyFont="1" applyBorder="1"/>
    <xf numFmtId="3" fontId="3" fillId="0" borderId="0" xfId="0" applyNumberFormat="1" applyFont="1" applyBorder="1" applyAlignment="1">
      <alignment horizontal="justify" vertical="center"/>
    </xf>
    <xf numFmtId="0" fontId="0" fillId="0" borderId="11" xfId="0" applyBorder="1"/>
    <xf numFmtId="164" fontId="2" fillId="0" borderId="8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'Trang 26'!$C$2:$C$7</c:f>
              <c:strCache>
                <c:ptCount val="6"/>
                <c:pt idx="0">
                  <c:v> 7,000 </c:v>
                </c:pt>
                <c:pt idx="1">
                  <c:v> 7,500 </c:v>
                </c:pt>
                <c:pt idx="2">
                  <c:v> 7,600 </c:v>
                </c:pt>
                <c:pt idx="3">
                  <c:v> 6,800 </c:v>
                </c:pt>
                <c:pt idx="4">
                  <c:v> 11,600 </c:v>
                </c:pt>
                <c:pt idx="5">
                  <c:v> 11,000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'Trang 26'!$C$2:$C$13</c:f>
              <c:numCache>
                <c:formatCode>_(* #,##0_);_(* \(#,##0\);_(* "-"??_);_(@_)</c:formatCode>
                <c:ptCount val="12"/>
                <c:pt idx="0">
                  <c:v>7000</c:v>
                </c:pt>
                <c:pt idx="1">
                  <c:v>7500</c:v>
                </c:pt>
                <c:pt idx="2">
                  <c:v>7600</c:v>
                </c:pt>
                <c:pt idx="3">
                  <c:v>6800</c:v>
                </c:pt>
                <c:pt idx="4">
                  <c:v>11600</c:v>
                </c:pt>
                <c:pt idx="5">
                  <c:v>11000</c:v>
                </c:pt>
                <c:pt idx="6">
                  <c:v>5800</c:v>
                </c:pt>
                <c:pt idx="7">
                  <c:v>6600</c:v>
                </c:pt>
                <c:pt idx="8">
                  <c:v>7200</c:v>
                </c:pt>
                <c:pt idx="9">
                  <c:v>11800</c:v>
                </c:pt>
                <c:pt idx="10">
                  <c:v>11200</c:v>
                </c:pt>
                <c:pt idx="11">
                  <c:v>10000</c:v>
                </c:pt>
              </c:numCache>
            </c:numRef>
          </c:xVal>
          <c:yVal>
            <c:numRef>
              <c:f>'Trang 26'!$B$2:$B$13</c:f>
              <c:numCache>
                <c:formatCode>_(* #,##0_);_(* \(#,##0\);_(* "-"??_);_(@_)</c:formatCode>
                <c:ptCount val="12"/>
                <c:pt idx="0">
                  <c:v>11040000000</c:v>
                </c:pt>
                <c:pt idx="1">
                  <c:v>12000000000</c:v>
                </c:pt>
                <c:pt idx="2">
                  <c:v>12480000000</c:v>
                </c:pt>
                <c:pt idx="3">
                  <c:v>10560000000</c:v>
                </c:pt>
                <c:pt idx="4">
                  <c:v>16320000000</c:v>
                </c:pt>
                <c:pt idx="5">
                  <c:v>15840000000</c:v>
                </c:pt>
                <c:pt idx="6">
                  <c:v>9600000000</c:v>
                </c:pt>
                <c:pt idx="7">
                  <c:v>10080000000</c:v>
                </c:pt>
                <c:pt idx="8">
                  <c:v>11520000000</c:v>
                </c:pt>
                <c:pt idx="9">
                  <c:v>18240000000</c:v>
                </c:pt>
                <c:pt idx="10">
                  <c:v>16800000000</c:v>
                </c:pt>
                <c:pt idx="11">
                  <c:v>13920000000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1-45BB-8494-75AC2B66B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3840"/>
        <c:axId val="356352856"/>
      </c:scatterChart>
      <c:valAx>
        <c:axId val="356353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2856"/>
        <c:crosses val="autoZero"/>
        <c:crossBetween val="midCat"/>
      </c:valAx>
      <c:valAx>
        <c:axId val="35635285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384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vi-VN"/>
              <a:t>Mức độ hoạt động (Đơn vị được sản xuất)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Tổng chi phí sản xuất</c:v>
          </c:tx>
          <c:spPr>
            <a:ln w="19050">
              <a:noFill/>
            </a:ln>
          </c:spPr>
          <c:xVal>
            <c:numRef>
              <c:f>'Trang 25'!$C$2:$C$13</c:f>
              <c:numCache>
                <c:formatCode>_(* #,##0_);_(* \(#,##0\);_(* "-"??_);_(@_)</c:formatCode>
                <c:ptCount val="12"/>
                <c:pt idx="0">
                  <c:v>7000</c:v>
                </c:pt>
                <c:pt idx="1">
                  <c:v>7500</c:v>
                </c:pt>
                <c:pt idx="2">
                  <c:v>7600</c:v>
                </c:pt>
                <c:pt idx="3">
                  <c:v>6800</c:v>
                </c:pt>
                <c:pt idx="4">
                  <c:v>11600</c:v>
                </c:pt>
                <c:pt idx="5">
                  <c:v>11000</c:v>
                </c:pt>
                <c:pt idx="6">
                  <c:v>5800</c:v>
                </c:pt>
                <c:pt idx="7">
                  <c:v>6600</c:v>
                </c:pt>
                <c:pt idx="8">
                  <c:v>7200</c:v>
                </c:pt>
                <c:pt idx="9">
                  <c:v>11800</c:v>
                </c:pt>
                <c:pt idx="10">
                  <c:v>11200</c:v>
                </c:pt>
                <c:pt idx="11">
                  <c:v>10000</c:v>
                </c:pt>
              </c:numCache>
            </c:numRef>
          </c:xVal>
          <c:yVal>
            <c:numRef>
              <c:f>'Trang 25'!$B$2:$B$13</c:f>
              <c:numCache>
                <c:formatCode>_(* #,##0_);_(* \(#,##0\);_(* "-"??_);_(@_)</c:formatCode>
                <c:ptCount val="12"/>
                <c:pt idx="0">
                  <c:v>11040000000</c:v>
                </c:pt>
                <c:pt idx="1">
                  <c:v>12000000000</c:v>
                </c:pt>
                <c:pt idx="2">
                  <c:v>12480000000</c:v>
                </c:pt>
                <c:pt idx="3">
                  <c:v>10560000000</c:v>
                </c:pt>
                <c:pt idx="4">
                  <c:v>16320000000</c:v>
                </c:pt>
                <c:pt idx="5">
                  <c:v>15840000000</c:v>
                </c:pt>
                <c:pt idx="6">
                  <c:v>9600000000</c:v>
                </c:pt>
                <c:pt idx="7">
                  <c:v>10080000000</c:v>
                </c:pt>
                <c:pt idx="8">
                  <c:v>11520000000</c:v>
                </c:pt>
                <c:pt idx="9">
                  <c:v>18240000000</c:v>
                </c:pt>
                <c:pt idx="10">
                  <c:v>16800000000</c:v>
                </c:pt>
                <c:pt idx="11">
                  <c:v>13920000000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55-42FE-B664-F3EE7D021A88}"/>
            </c:ext>
          </c:extLst>
        </c:ser>
        <c:ser>
          <c:idx val="1"/>
          <c:order val="1"/>
          <c:tx>
            <c:v>Predicted Tổng chi phí sản xuất</c:v>
          </c:tx>
          <c:spPr>
            <a:ln w="19050">
              <a:noFill/>
            </a:ln>
          </c:spPr>
          <c:xVal>
            <c:numRef>
              <c:f>'Trang 25'!$C$2:$C$13</c:f>
              <c:numCache>
                <c:formatCode>_(* #,##0_);_(* \(#,##0\);_(* "-"??_);_(@_)</c:formatCode>
                <c:ptCount val="12"/>
                <c:pt idx="0">
                  <c:v>7000</c:v>
                </c:pt>
                <c:pt idx="1">
                  <c:v>7500</c:v>
                </c:pt>
                <c:pt idx="2">
                  <c:v>7600</c:v>
                </c:pt>
                <c:pt idx="3">
                  <c:v>6800</c:v>
                </c:pt>
                <c:pt idx="4">
                  <c:v>11600</c:v>
                </c:pt>
                <c:pt idx="5">
                  <c:v>11000</c:v>
                </c:pt>
                <c:pt idx="6">
                  <c:v>5800</c:v>
                </c:pt>
                <c:pt idx="7">
                  <c:v>6600</c:v>
                </c:pt>
                <c:pt idx="8">
                  <c:v>7200</c:v>
                </c:pt>
                <c:pt idx="9">
                  <c:v>11800</c:v>
                </c:pt>
                <c:pt idx="10">
                  <c:v>11200</c:v>
                </c:pt>
                <c:pt idx="11">
                  <c:v>10000</c:v>
                </c:pt>
              </c:numCache>
            </c:numRef>
          </c:xVal>
          <c:yVal>
            <c:numRef>
              <c:f>'Trang 31'!$B$36:$B$47</c:f>
              <c:numCache>
                <c:formatCode>_(* #,##0.00_);_(* \(#,##0.00\);_(* "-"??_);_(@_)</c:formatCode>
                <c:ptCount val="12"/>
                <c:pt idx="0">
                  <c:v>11052375929.682219</c:v>
                </c:pt>
                <c:pt idx="1">
                  <c:v>11693457741.717379</c:v>
                </c:pt>
                <c:pt idx="2">
                  <c:v>11821674104.124409</c:v>
                </c:pt>
                <c:pt idx="3">
                  <c:v>10795943204.868156</c:v>
                </c:pt>
                <c:pt idx="4">
                  <c:v>16950328600.40568</c:v>
                </c:pt>
                <c:pt idx="5">
                  <c:v>16181030425.96349</c:v>
                </c:pt>
                <c:pt idx="6">
                  <c:v>9513779580.7978382</c:v>
                </c:pt>
                <c:pt idx="7">
                  <c:v>10539510480.054092</c:v>
                </c:pt>
                <c:pt idx="8">
                  <c:v>11308808654.496283</c:v>
                </c:pt>
                <c:pt idx="9">
                  <c:v>17206761325.219742</c:v>
                </c:pt>
                <c:pt idx="10">
                  <c:v>16437463150.777552</c:v>
                </c:pt>
                <c:pt idx="11">
                  <c:v>14898866801.893171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55-42FE-B664-F3EE7D021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58792"/>
        <c:axId val="617258464"/>
      </c:scatterChart>
      <c:valAx>
        <c:axId val="61725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vi-VN"/>
                  <a:t>Mức độ hoạt động (Đơn vị được sản xuất)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617258464"/>
        <c:crosses val="autoZero"/>
        <c:crossBetween val="midCat"/>
      </c:valAx>
      <c:valAx>
        <c:axId val="617258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Tổng chi phí sản xuất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617258792"/>
        <c:crosses val="autoZero"/>
        <c:crossBetween val="midCat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0</xdr:row>
      <xdr:rowOff>295275</xdr:rowOff>
    </xdr:from>
    <xdr:to>
      <xdr:col>11</xdr:col>
      <xdr:colOff>180975</xdr:colOff>
      <xdr:row>13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3AF69F0-B912-4813-A60B-8CA44F8D7364}"/>
            </a:ext>
          </a:extLst>
        </xdr:cNvPr>
        <xdr:cNvGrpSpPr/>
      </xdr:nvGrpSpPr>
      <xdr:grpSpPr>
        <a:xfrm>
          <a:off x="5149215" y="295275"/>
          <a:ext cx="4975860" cy="2758440"/>
          <a:chOff x="5229225" y="295275"/>
          <a:chExt cx="4572000" cy="2743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9E90D67F-32CA-0C3C-F323-52113425E571}"/>
              </a:ext>
            </a:extLst>
          </xdr:cNvPr>
          <xdr:cNvGraphicFramePr/>
        </xdr:nvGraphicFramePr>
        <xdr:xfrm>
          <a:off x="5229225" y="2952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F1A73CAD-5D69-DF5D-02B6-11073C3F971B}"/>
              </a:ext>
            </a:extLst>
          </xdr:cNvPr>
          <xdr:cNvCxnSpPr/>
        </xdr:nvCxnSpPr>
        <xdr:spPr>
          <a:xfrm flipH="1">
            <a:off x="6121400" y="736600"/>
            <a:ext cx="2880814" cy="1723511"/>
          </a:xfrm>
          <a:prstGeom prst="line">
            <a:avLst/>
          </a:prstGeom>
          <a:ln w="254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18</xdr:row>
      <xdr:rowOff>31750</xdr:rowOff>
    </xdr:from>
    <xdr:to>
      <xdr:col>4</xdr:col>
      <xdr:colOff>408215</xdr:colOff>
      <xdr:row>31</xdr:row>
      <xdr:rowOff>36286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27D03-A1F3-2BD5-7F11-D11634D6A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25A6-7549-438B-A294-9B924D432B37}">
  <dimension ref="B3:D11"/>
  <sheetViews>
    <sheetView workbookViewId="0">
      <selection activeCell="D30" sqref="D30"/>
    </sheetView>
  </sheetViews>
  <sheetFormatPr defaultRowHeight="14.4" x14ac:dyDescent="0.3"/>
  <cols>
    <col min="1" max="1" width="3.88671875" customWidth="1"/>
    <col min="2" max="2" width="13.5546875" customWidth="1"/>
    <col min="3" max="3" width="18.44140625" customWidth="1"/>
    <col min="4" max="4" width="37.33203125" customWidth="1"/>
  </cols>
  <sheetData>
    <row r="3" spans="2:4" ht="15.6" x14ac:dyDescent="0.3">
      <c r="B3" s="77" t="s">
        <v>92</v>
      </c>
      <c r="C3" s="18"/>
      <c r="D3" s="76" t="s">
        <v>91</v>
      </c>
    </row>
    <row r="4" spans="2:4" ht="15.6" x14ac:dyDescent="0.3">
      <c r="B4" s="18"/>
      <c r="C4" s="18"/>
      <c r="D4" s="18"/>
    </row>
    <row r="5" spans="2:4" ht="30" x14ac:dyDescent="0.3">
      <c r="B5" s="75" t="s">
        <v>78</v>
      </c>
      <c r="C5" s="75" t="s">
        <v>77</v>
      </c>
      <c r="D5" s="75" t="s">
        <v>90</v>
      </c>
    </row>
    <row r="6" spans="2:4" ht="15.6" x14ac:dyDescent="0.3">
      <c r="B6" s="23">
        <v>1</v>
      </c>
      <c r="C6" s="23">
        <f>10000000+1*10000</f>
        <v>10010000</v>
      </c>
      <c r="D6" s="23">
        <f>C6/B6</f>
        <v>10010000</v>
      </c>
    </row>
    <row r="7" spans="2:4" ht="15.6" x14ac:dyDescent="0.3">
      <c r="B7" s="20">
        <v>2000</v>
      </c>
      <c r="C7" s="20">
        <f>10000000+B7*10000</f>
        <v>30000000</v>
      </c>
      <c r="D7" s="20">
        <f>C7/B7</f>
        <v>15000</v>
      </c>
    </row>
    <row r="8" spans="2:4" ht="15.6" x14ac:dyDescent="0.3">
      <c r="B8" s="20">
        <v>4000</v>
      </c>
      <c r="C8" s="20">
        <f>10000000+B8*10000</f>
        <v>50000000</v>
      </c>
      <c r="D8" s="20">
        <f>C8/B8</f>
        <v>12500</v>
      </c>
    </row>
    <row r="9" spans="2:4" ht="15.6" x14ac:dyDescent="0.3">
      <c r="B9" s="64">
        <v>5000</v>
      </c>
      <c r="C9" s="64">
        <f>10000000+B9*10000</f>
        <v>60000000</v>
      </c>
      <c r="D9" s="64">
        <f>C9/B9</f>
        <v>12000</v>
      </c>
    </row>
    <row r="10" spans="2:4" ht="15.6" x14ac:dyDescent="0.3">
      <c r="B10" s="18"/>
      <c r="C10" s="18"/>
      <c r="D10" s="18"/>
    </row>
    <row r="11" spans="2:4" ht="15.6" x14ac:dyDescent="0.3">
      <c r="B11" s="18" t="s">
        <v>89</v>
      </c>
      <c r="C11" s="18"/>
      <c r="D11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EC53-4D63-48D5-91AC-11B02421BBA6}">
  <dimension ref="A2:E18"/>
  <sheetViews>
    <sheetView showGridLines="0" workbookViewId="0">
      <selection activeCell="F22" sqref="F22"/>
    </sheetView>
  </sheetViews>
  <sheetFormatPr defaultColWidth="21.5546875" defaultRowHeight="15" x14ac:dyDescent="0.25"/>
  <cols>
    <col min="1" max="1" width="40.88671875" style="18" bestFit="1" customWidth="1"/>
    <col min="2" max="3" width="21.33203125" style="18" bestFit="1" customWidth="1"/>
    <col min="4" max="4" width="25" style="18" bestFit="1" customWidth="1"/>
    <col min="5" max="5" width="20" style="18" customWidth="1"/>
    <col min="6" max="16384" width="21.5546875" style="18"/>
  </cols>
  <sheetData>
    <row r="2" spans="1:5" x14ac:dyDescent="0.25">
      <c r="A2" s="33" t="s">
        <v>70</v>
      </c>
      <c r="B2" s="32">
        <v>10000</v>
      </c>
    </row>
    <row r="3" spans="1:5" ht="5.55" customHeight="1" x14ac:dyDescent="0.25">
      <c r="A3" s="22"/>
      <c r="B3" s="20"/>
    </row>
    <row r="4" spans="1:5" x14ac:dyDescent="0.25">
      <c r="A4" s="22" t="s">
        <v>73</v>
      </c>
      <c r="B4" s="20">
        <v>8640000000</v>
      </c>
    </row>
    <row r="5" spans="1:5" x14ac:dyDescent="0.25">
      <c r="A5" s="22" t="s">
        <v>72</v>
      </c>
      <c r="B5" s="20">
        <v>1920000000</v>
      </c>
    </row>
    <row r="6" spans="1:5" x14ac:dyDescent="0.25">
      <c r="A6" s="22" t="s">
        <v>71</v>
      </c>
      <c r="B6" s="20">
        <v>3360000000</v>
      </c>
    </row>
    <row r="7" spans="1:5" x14ac:dyDescent="0.25">
      <c r="A7" s="29" t="s">
        <v>1</v>
      </c>
      <c r="B7" s="63">
        <f>SUM(B4:B6)</f>
        <v>13920000000</v>
      </c>
    </row>
    <row r="9" spans="1:5" x14ac:dyDescent="0.25">
      <c r="A9" s="62" t="s">
        <v>76</v>
      </c>
    </row>
    <row r="10" spans="1:5" x14ac:dyDescent="0.25">
      <c r="A10" s="78" t="s">
        <v>59</v>
      </c>
      <c r="B10" s="78" t="s">
        <v>75</v>
      </c>
      <c r="C10" s="78" t="s">
        <v>74</v>
      </c>
      <c r="D10" s="78" t="s">
        <v>61</v>
      </c>
    </row>
    <row r="11" spans="1:5" x14ac:dyDescent="0.25">
      <c r="A11" s="25" t="s">
        <v>73</v>
      </c>
      <c r="B11" s="23">
        <v>8640000000</v>
      </c>
      <c r="C11" s="23">
        <v>8640000000</v>
      </c>
      <c r="D11" s="25"/>
    </row>
    <row r="12" spans="1:5" x14ac:dyDescent="0.25">
      <c r="A12" s="22" t="s">
        <v>72</v>
      </c>
      <c r="B12" s="20">
        <v>1920000000</v>
      </c>
      <c r="C12" s="20">
        <v>1560000000</v>
      </c>
      <c r="D12" s="20">
        <v>360000000</v>
      </c>
    </row>
    <row r="13" spans="1:5" x14ac:dyDescent="0.25">
      <c r="A13" s="22" t="s">
        <v>71</v>
      </c>
      <c r="B13" s="20">
        <v>3360000000</v>
      </c>
      <c r="C13" s="7">
        <v>1008000000</v>
      </c>
      <c r="D13" s="7">
        <v>2352000000</v>
      </c>
    </row>
    <row r="14" spans="1:5" ht="18.600000000000001" x14ac:dyDescent="0.55000000000000004">
      <c r="A14" s="31" t="s">
        <v>1</v>
      </c>
      <c r="B14" s="61">
        <f>SUM(B11:B13)</f>
        <v>13920000000</v>
      </c>
      <c r="C14" s="60">
        <f>SUM(C11:C13)</f>
        <v>11208000000</v>
      </c>
      <c r="D14" s="60">
        <f>SUM(D11:D13)</f>
        <v>2712000000</v>
      </c>
      <c r="E14" s="58"/>
    </row>
    <row r="15" spans="1:5" x14ac:dyDescent="0.25">
      <c r="A15" s="22" t="s">
        <v>70</v>
      </c>
      <c r="B15" s="20">
        <v>10000</v>
      </c>
      <c r="C15" s="7">
        <v>10000</v>
      </c>
      <c r="D15" s="7">
        <v>10000</v>
      </c>
    </row>
    <row r="16" spans="1:5" x14ac:dyDescent="0.25">
      <c r="A16" s="29" t="s">
        <v>69</v>
      </c>
      <c r="B16" s="28">
        <f>B14/B15</f>
        <v>1392000</v>
      </c>
      <c r="C16" s="63">
        <f>C14/C15</f>
        <v>1120800</v>
      </c>
      <c r="D16" s="63">
        <f>D14/D15</f>
        <v>271200</v>
      </c>
    </row>
    <row r="18" spans="2:3" x14ac:dyDescent="0.25">
      <c r="B18" s="58"/>
      <c r="C18" s="5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179B-CF92-440E-8795-136C176062A5}">
  <dimension ref="A1:C13"/>
  <sheetViews>
    <sheetView showGridLines="0" workbookViewId="0">
      <selection activeCell="B9" sqref="B9"/>
    </sheetView>
  </sheetViews>
  <sheetFormatPr defaultRowHeight="14.4" x14ac:dyDescent="0.3"/>
  <cols>
    <col min="1" max="1" width="12.88671875" bestFit="1" customWidth="1"/>
    <col min="2" max="2" width="18.21875" customWidth="1"/>
    <col min="3" max="3" width="14.6640625" bestFit="1" customWidth="1"/>
  </cols>
  <sheetData>
    <row r="1" spans="1:3" ht="75" x14ac:dyDescent="0.3">
      <c r="A1" s="1" t="s">
        <v>0</v>
      </c>
      <c r="B1" s="2" t="s">
        <v>1</v>
      </c>
      <c r="C1" s="3" t="s">
        <v>2</v>
      </c>
    </row>
    <row r="2" spans="1:3" ht="15.6" x14ac:dyDescent="0.3">
      <c r="A2" s="4" t="s">
        <v>3</v>
      </c>
      <c r="B2" s="5">
        <v>11040000000</v>
      </c>
      <c r="C2" s="5">
        <v>7000</v>
      </c>
    </row>
    <row r="3" spans="1:3" ht="15.6" x14ac:dyDescent="0.3">
      <c r="A3" s="6" t="s">
        <v>4</v>
      </c>
      <c r="B3" s="7">
        <v>12000000000</v>
      </c>
      <c r="C3" s="7">
        <v>7500</v>
      </c>
    </row>
    <row r="4" spans="1:3" ht="15.6" x14ac:dyDescent="0.3">
      <c r="A4" s="6" t="s">
        <v>5</v>
      </c>
      <c r="B4" s="7">
        <v>12480000000</v>
      </c>
      <c r="C4" s="7">
        <v>7600</v>
      </c>
    </row>
    <row r="5" spans="1:3" ht="15.6" x14ac:dyDescent="0.3">
      <c r="A5" s="6" t="s">
        <v>6</v>
      </c>
      <c r="B5" s="7">
        <v>10560000000</v>
      </c>
      <c r="C5" s="7">
        <v>6800</v>
      </c>
    </row>
    <row r="6" spans="1:3" ht="15.6" x14ac:dyDescent="0.3">
      <c r="A6" s="6" t="s">
        <v>7</v>
      </c>
      <c r="B6" s="7">
        <v>16320000000</v>
      </c>
      <c r="C6" s="7">
        <v>11600</v>
      </c>
    </row>
    <row r="7" spans="1:3" ht="15.6" x14ac:dyDescent="0.3">
      <c r="A7" s="6" t="s">
        <v>8</v>
      </c>
      <c r="B7" s="7">
        <v>15840000000</v>
      </c>
      <c r="C7" s="7">
        <v>11000</v>
      </c>
    </row>
    <row r="8" spans="1:3" ht="15.6" x14ac:dyDescent="0.3">
      <c r="A8" s="6" t="s">
        <v>9</v>
      </c>
      <c r="B8" s="7">
        <v>9600000000</v>
      </c>
      <c r="C8" s="7">
        <v>5800</v>
      </c>
    </row>
    <row r="9" spans="1:3" ht="15.6" x14ac:dyDescent="0.3">
      <c r="A9" s="6" t="s">
        <v>10</v>
      </c>
      <c r="B9" s="7">
        <v>10080000000</v>
      </c>
      <c r="C9" s="7">
        <v>6600</v>
      </c>
    </row>
    <row r="10" spans="1:3" ht="15.6" x14ac:dyDescent="0.3">
      <c r="A10" s="6" t="s">
        <v>11</v>
      </c>
      <c r="B10" s="7">
        <v>11520000000</v>
      </c>
      <c r="C10" s="7">
        <v>7200</v>
      </c>
    </row>
    <row r="11" spans="1:3" ht="15.6" x14ac:dyDescent="0.3">
      <c r="A11" s="6" t="s">
        <v>12</v>
      </c>
      <c r="B11" s="7">
        <v>18240000000</v>
      </c>
      <c r="C11" s="7">
        <v>11800</v>
      </c>
    </row>
    <row r="12" spans="1:3" ht="15.6" x14ac:dyDescent="0.3">
      <c r="A12" s="6" t="s">
        <v>13</v>
      </c>
      <c r="B12" s="7">
        <v>16800000000</v>
      </c>
      <c r="C12" s="7">
        <v>11200</v>
      </c>
    </row>
    <row r="13" spans="1:3" ht="15.6" x14ac:dyDescent="0.3">
      <c r="A13" s="8" t="s">
        <v>14</v>
      </c>
      <c r="B13" s="9">
        <v>13920000000</v>
      </c>
      <c r="C13" s="9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CA6B-E58E-45FC-911E-6F719777F221}">
  <dimension ref="A3:H21"/>
  <sheetViews>
    <sheetView showGridLines="0" workbookViewId="0">
      <selection activeCell="C8" sqref="C8"/>
    </sheetView>
  </sheetViews>
  <sheetFormatPr defaultColWidth="8.77734375" defaultRowHeight="15" x14ac:dyDescent="0.25"/>
  <cols>
    <col min="1" max="1" width="13.44140625" style="18" customWidth="1"/>
    <col min="2" max="2" width="18.44140625" style="18" bestFit="1" customWidth="1"/>
    <col min="3" max="3" width="28.5546875" style="18" customWidth="1"/>
    <col min="4" max="4" width="8.77734375" style="18"/>
    <col min="5" max="5" width="19.5546875" style="18" bestFit="1" customWidth="1"/>
    <col min="6" max="6" width="8.77734375" style="18"/>
    <col min="7" max="7" width="10.33203125" style="18" bestFit="1" customWidth="1"/>
    <col min="8" max="16384" width="8.77734375" style="18"/>
  </cols>
  <sheetData>
    <row r="3" spans="1:8" ht="45" x14ac:dyDescent="0.25">
      <c r="A3" s="66" t="s">
        <v>0</v>
      </c>
      <c r="B3" s="66" t="s">
        <v>1</v>
      </c>
      <c r="C3" s="66" t="s">
        <v>2</v>
      </c>
    </row>
    <row r="4" spans="1:8" x14ac:dyDescent="0.25">
      <c r="A4" s="4" t="s">
        <v>3</v>
      </c>
      <c r="B4" s="5">
        <f t="shared" ref="B4:B15" si="0">G4*24000</f>
        <v>11040000000</v>
      </c>
      <c r="C4" s="5">
        <f t="shared" ref="C4:C15" si="1">H4</f>
        <v>7000</v>
      </c>
      <c r="E4" s="23">
        <v>230000</v>
      </c>
      <c r="F4" s="18">
        <v>3500</v>
      </c>
      <c r="G4" s="58">
        <f t="shared" ref="G4:G15" si="2">E4*2</f>
        <v>460000</v>
      </c>
      <c r="H4" s="58">
        <f t="shared" ref="H4:H15" si="3">F4*2</f>
        <v>7000</v>
      </c>
    </row>
    <row r="5" spans="1:8" x14ac:dyDescent="0.25">
      <c r="A5" s="6" t="s">
        <v>4</v>
      </c>
      <c r="B5" s="7">
        <f t="shared" si="0"/>
        <v>12000000000</v>
      </c>
      <c r="C5" s="7">
        <f t="shared" si="1"/>
        <v>7500</v>
      </c>
      <c r="E5" s="23">
        <v>250000</v>
      </c>
      <c r="F5" s="18">
        <v>3750</v>
      </c>
      <c r="G5" s="58">
        <f t="shared" si="2"/>
        <v>500000</v>
      </c>
      <c r="H5" s="58">
        <f t="shared" si="3"/>
        <v>7500</v>
      </c>
    </row>
    <row r="6" spans="1:8" x14ac:dyDescent="0.25">
      <c r="A6" s="6" t="s">
        <v>5</v>
      </c>
      <c r="B6" s="7">
        <f t="shared" si="0"/>
        <v>12480000000</v>
      </c>
      <c r="C6" s="7">
        <f t="shared" si="1"/>
        <v>7600</v>
      </c>
      <c r="E6" s="23">
        <v>260000</v>
      </c>
      <c r="F6" s="18">
        <v>3800</v>
      </c>
      <c r="G6" s="58">
        <f t="shared" si="2"/>
        <v>520000</v>
      </c>
      <c r="H6" s="58">
        <f t="shared" si="3"/>
        <v>7600</v>
      </c>
    </row>
    <row r="7" spans="1:8" x14ac:dyDescent="0.25">
      <c r="A7" s="6" t="s">
        <v>6</v>
      </c>
      <c r="B7" s="7">
        <f t="shared" si="0"/>
        <v>10560000000</v>
      </c>
      <c r="C7" s="7">
        <f t="shared" si="1"/>
        <v>6800</v>
      </c>
      <c r="E7" s="23">
        <v>220000</v>
      </c>
      <c r="F7" s="18">
        <v>3400</v>
      </c>
      <c r="G7" s="58">
        <f t="shared" si="2"/>
        <v>440000</v>
      </c>
      <c r="H7" s="58">
        <f t="shared" si="3"/>
        <v>6800</v>
      </c>
    </row>
    <row r="8" spans="1:8" x14ac:dyDescent="0.25">
      <c r="A8" s="6" t="s">
        <v>7</v>
      </c>
      <c r="B8" s="7">
        <f t="shared" si="0"/>
        <v>16320000000</v>
      </c>
      <c r="C8" s="7">
        <f t="shared" si="1"/>
        <v>11600</v>
      </c>
      <c r="E8" s="23">
        <v>340000</v>
      </c>
      <c r="F8" s="18">
        <v>5800</v>
      </c>
      <c r="G8" s="58">
        <f t="shared" si="2"/>
        <v>680000</v>
      </c>
      <c r="H8" s="58">
        <f t="shared" si="3"/>
        <v>11600</v>
      </c>
    </row>
    <row r="9" spans="1:8" x14ac:dyDescent="0.25">
      <c r="A9" s="6" t="s">
        <v>8</v>
      </c>
      <c r="B9" s="7">
        <f t="shared" si="0"/>
        <v>15840000000</v>
      </c>
      <c r="C9" s="7">
        <f t="shared" si="1"/>
        <v>11000</v>
      </c>
      <c r="E9" s="23">
        <v>330000</v>
      </c>
      <c r="F9" s="18">
        <v>5500</v>
      </c>
      <c r="G9" s="58">
        <f t="shared" si="2"/>
        <v>660000</v>
      </c>
      <c r="H9" s="58">
        <f t="shared" si="3"/>
        <v>11000</v>
      </c>
    </row>
    <row r="10" spans="1:8" x14ac:dyDescent="0.25">
      <c r="A10" s="6" t="s">
        <v>9</v>
      </c>
      <c r="B10" s="7">
        <f t="shared" si="0"/>
        <v>9600000000</v>
      </c>
      <c r="C10" s="7">
        <f t="shared" si="1"/>
        <v>5800</v>
      </c>
      <c r="E10" s="23">
        <v>200000</v>
      </c>
      <c r="F10" s="18">
        <v>2900</v>
      </c>
      <c r="G10" s="58">
        <f t="shared" si="2"/>
        <v>400000</v>
      </c>
      <c r="H10" s="58">
        <f t="shared" si="3"/>
        <v>5800</v>
      </c>
    </row>
    <row r="11" spans="1:8" x14ac:dyDescent="0.25">
      <c r="A11" s="6" t="s">
        <v>10</v>
      </c>
      <c r="B11" s="7">
        <f t="shared" si="0"/>
        <v>10080000000</v>
      </c>
      <c r="C11" s="7">
        <f t="shared" si="1"/>
        <v>6600</v>
      </c>
      <c r="E11" s="23">
        <v>210000</v>
      </c>
      <c r="F11" s="18">
        <v>3300</v>
      </c>
      <c r="G11" s="58">
        <f t="shared" si="2"/>
        <v>420000</v>
      </c>
      <c r="H11" s="58">
        <f t="shared" si="3"/>
        <v>6600</v>
      </c>
    </row>
    <row r="12" spans="1:8" x14ac:dyDescent="0.25">
      <c r="A12" s="6" t="s">
        <v>11</v>
      </c>
      <c r="B12" s="7">
        <f t="shared" si="0"/>
        <v>11520000000</v>
      </c>
      <c r="C12" s="7">
        <f t="shared" si="1"/>
        <v>7200</v>
      </c>
      <c r="E12" s="23">
        <v>240000</v>
      </c>
      <c r="F12" s="18">
        <v>3600</v>
      </c>
      <c r="G12" s="58">
        <f t="shared" si="2"/>
        <v>480000</v>
      </c>
      <c r="H12" s="58">
        <f t="shared" si="3"/>
        <v>7200</v>
      </c>
    </row>
    <row r="13" spans="1:8" x14ac:dyDescent="0.25">
      <c r="A13" s="6" t="s">
        <v>12</v>
      </c>
      <c r="B13" s="7">
        <f t="shared" si="0"/>
        <v>18240000000</v>
      </c>
      <c r="C13" s="7">
        <f t="shared" si="1"/>
        <v>11800</v>
      </c>
      <c r="E13" s="23">
        <v>380000</v>
      </c>
      <c r="F13" s="18">
        <v>5900</v>
      </c>
      <c r="G13" s="58">
        <f t="shared" si="2"/>
        <v>760000</v>
      </c>
      <c r="H13" s="58">
        <f t="shared" si="3"/>
        <v>11800</v>
      </c>
    </row>
    <row r="14" spans="1:8" x14ac:dyDescent="0.25">
      <c r="A14" s="6" t="s">
        <v>13</v>
      </c>
      <c r="B14" s="7">
        <f t="shared" si="0"/>
        <v>16800000000</v>
      </c>
      <c r="C14" s="7">
        <f t="shared" si="1"/>
        <v>11200</v>
      </c>
      <c r="E14" s="23">
        <v>350000</v>
      </c>
      <c r="F14" s="18">
        <v>5600</v>
      </c>
      <c r="G14" s="58">
        <f t="shared" si="2"/>
        <v>700000</v>
      </c>
      <c r="H14" s="58">
        <f t="shared" si="3"/>
        <v>11200</v>
      </c>
    </row>
    <row r="15" spans="1:8" x14ac:dyDescent="0.25">
      <c r="A15" s="8" t="s">
        <v>14</v>
      </c>
      <c r="B15" s="9">
        <f t="shared" si="0"/>
        <v>13920000000</v>
      </c>
      <c r="C15" s="9">
        <f t="shared" si="1"/>
        <v>10000</v>
      </c>
      <c r="E15" s="23">
        <v>290000</v>
      </c>
      <c r="F15" s="18">
        <v>5000</v>
      </c>
      <c r="G15" s="58">
        <f t="shared" si="2"/>
        <v>580000</v>
      </c>
      <c r="H15" s="58">
        <f t="shared" si="3"/>
        <v>10000</v>
      </c>
    </row>
    <row r="17" spans="5:5" x14ac:dyDescent="0.25">
      <c r="E17" s="58">
        <v>1248000000</v>
      </c>
    </row>
    <row r="18" spans="5:5" x14ac:dyDescent="0.25">
      <c r="E18" s="58">
        <f>E17/24000/2</f>
        <v>26000</v>
      </c>
    </row>
    <row r="20" spans="5:5" x14ac:dyDescent="0.25">
      <c r="E20" s="65">
        <v>3000000000</v>
      </c>
    </row>
    <row r="21" spans="5:5" x14ac:dyDescent="0.25">
      <c r="E21" s="18">
        <f>9*24000</f>
        <v>216000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3106-2535-4EBE-8C5C-FF9A1AE092AA}">
  <dimension ref="A1:E27"/>
  <sheetViews>
    <sheetView showGridLines="0" workbookViewId="0">
      <selection activeCell="C30" sqref="C30"/>
    </sheetView>
  </sheetViews>
  <sheetFormatPr defaultRowHeight="14.4" x14ac:dyDescent="0.3"/>
  <cols>
    <col min="1" max="1" width="18.6640625" customWidth="1"/>
    <col min="2" max="2" width="22.21875" customWidth="1"/>
    <col min="3" max="3" width="27.109375" customWidth="1"/>
    <col min="5" max="5" width="14.77734375" bestFit="1" customWidth="1"/>
  </cols>
  <sheetData>
    <row r="1" spans="1:3" ht="45" x14ac:dyDescent="0.3">
      <c r="A1" s="1" t="s">
        <v>0</v>
      </c>
      <c r="B1" s="2" t="s">
        <v>1</v>
      </c>
      <c r="C1" s="3" t="s">
        <v>2</v>
      </c>
    </row>
    <row r="2" spans="1:3" ht="15.6" x14ac:dyDescent="0.3">
      <c r="A2" s="4" t="s">
        <v>3</v>
      </c>
      <c r="B2" s="5">
        <v>11040000000</v>
      </c>
      <c r="C2" s="5">
        <v>7000</v>
      </c>
    </row>
    <row r="3" spans="1:3" ht="15.6" x14ac:dyDescent="0.3">
      <c r="A3" s="6" t="s">
        <v>4</v>
      </c>
      <c r="B3" s="7">
        <v>12000000000</v>
      </c>
      <c r="C3" s="7">
        <v>7500</v>
      </c>
    </row>
    <row r="4" spans="1:3" ht="15.6" x14ac:dyDescent="0.3">
      <c r="A4" s="6" t="s">
        <v>5</v>
      </c>
      <c r="B4" s="7">
        <v>12480000000</v>
      </c>
      <c r="C4" s="7">
        <v>7600</v>
      </c>
    </row>
    <row r="5" spans="1:3" ht="15.6" x14ac:dyDescent="0.3">
      <c r="A5" s="6" t="s">
        <v>6</v>
      </c>
      <c r="B5" s="7">
        <v>10560000000</v>
      </c>
      <c r="C5" s="7">
        <v>6800</v>
      </c>
    </row>
    <row r="6" spans="1:3" ht="15.6" x14ac:dyDescent="0.3">
      <c r="A6" s="6" t="s">
        <v>7</v>
      </c>
      <c r="B6" s="7">
        <v>16320000000</v>
      </c>
      <c r="C6" s="7">
        <v>11600</v>
      </c>
    </row>
    <row r="7" spans="1:3" ht="15.6" x14ac:dyDescent="0.3">
      <c r="A7" s="6" t="s">
        <v>8</v>
      </c>
      <c r="B7" s="7">
        <v>15840000000</v>
      </c>
      <c r="C7" s="7">
        <v>11000</v>
      </c>
    </row>
    <row r="8" spans="1:3" ht="15.6" x14ac:dyDescent="0.3">
      <c r="A8" s="6" t="s">
        <v>9</v>
      </c>
      <c r="B8" s="7">
        <v>9600000000</v>
      </c>
      <c r="C8" s="7">
        <v>5800</v>
      </c>
    </row>
    <row r="9" spans="1:3" ht="15.6" x14ac:dyDescent="0.3">
      <c r="A9" s="6" t="s">
        <v>10</v>
      </c>
      <c r="B9" s="7">
        <v>10080000000</v>
      </c>
      <c r="C9" s="7">
        <v>6600</v>
      </c>
    </row>
    <row r="10" spans="1:3" ht="15.6" x14ac:dyDescent="0.3">
      <c r="A10" s="6" t="s">
        <v>11</v>
      </c>
      <c r="B10" s="7">
        <v>11520000000</v>
      </c>
      <c r="C10" s="7">
        <v>7200</v>
      </c>
    </row>
    <row r="11" spans="1:3" ht="15.6" x14ac:dyDescent="0.3">
      <c r="A11" s="6" t="s">
        <v>12</v>
      </c>
      <c r="B11" s="7">
        <v>18240000000</v>
      </c>
      <c r="C11" s="7">
        <v>11800</v>
      </c>
    </row>
    <row r="12" spans="1:3" ht="15.6" x14ac:dyDescent="0.3">
      <c r="A12" s="6" t="s">
        <v>13</v>
      </c>
      <c r="B12" s="7">
        <v>16800000000</v>
      </c>
      <c r="C12" s="7">
        <v>11200</v>
      </c>
    </row>
    <row r="13" spans="1:3" ht="15.6" x14ac:dyDescent="0.3">
      <c r="A13" s="8" t="s">
        <v>14</v>
      </c>
      <c r="B13" s="9">
        <v>13920000000</v>
      </c>
      <c r="C13" s="9">
        <v>10000</v>
      </c>
    </row>
    <row r="14" spans="1:3" ht="15.6" x14ac:dyDescent="0.3">
      <c r="A14" s="84"/>
      <c r="B14" s="85">
        <v>15360000000</v>
      </c>
      <c r="C14" s="85">
        <v>10436.3636363636</v>
      </c>
    </row>
    <row r="16" spans="1:3" ht="15.6" x14ac:dyDescent="0.3">
      <c r="B16" s="18"/>
    </row>
    <row r="17" spans="1:5" ht="15.6" x14ac:dyDescent="0.3">
      <c r="A17" s="79"/>
      <c r="B17" s="80"/>
      <c r="C17" s="81"/>
      <c r="D17" s="79"/>
      <c r="E17" s="79"/>
    </row>
    <row r="18" spans="1:5" ht="15.6" x14ac:dyDescent="0.3">
      <c r="A18" s="79"/>
      <c r="B18" s="80"/>
      <c r="C18" s="82"/>
      <c r="D18" s="79"/>
      <c r="E18" s="83"/>
    </row>
    <row r="19" spans="1:5" ht="15.6" x14ac:dyDescent="0.3">
      <c r="A19" s="79"/>
      <c r="B19" s="80"/>
      <c r="C19" s="79"/>
      <c r="D19" s="79"/>
      <c r="E19" s="79"/>
    </row>
    <row r="20" spans="1:5" ht="15.6" x14ac:dyDescent="0.3">
      <c r="A20" s="79"/>
      <c r="B20" s="80"/>
      <c r="C20" s="79"/>
      <c r="D20" s="79"/>
      <c r="E20" s="79"/>
    </row>
    <row r="21" spans="1:5" x14ac:dyDescent="0.3">
      <c r="A21" s="79"/>
      <c r="B21" s="79"/>
      <c r="C21" s="79"/>
      <c r="D21" s="79"/>
      <c r="E21" s="79"/>
    </row>
    <row r="22" spans="1:5" x14ac:dyDescent="0.3">
      <c r="A22" s="79"/>
      <c r="B22" s="79"/>
      <c r="C22" s="79"/>
      <c r="D22" s="79"/>
      <c r="E22" s="79"/>
    </row>
    <row r="23" spans="1:5" x14ac:dyDescent="0.3">
      <c r="A23" s="79"/>
      <c r="B23" s="79"/>
      <c r="C23" s="79"/>
      <c r="D23" s="79"/>
      <c r="E23" s="79"/>
    </row>
    <row r="24" spans="1:5" x14ac:dyDescent="0.3">
      <c r="A24" s="79"/>
      <c r="B24" s="79"/>
      <c r="C24" s="79"/>
      <c r="D24" s="79"/>
      <c r="E24" s="79"/>
    </row>
    <row r="25" spans="1:5" x14ac:dyDescent="0.3">
      <c r="A25" s="79"/>
      <c r="B25" s="79"/>
      <c r="C25" s="79"/>
      <c r="D25" s="79"/>
      <c r="E25" s="79"/>
    </row>
    <row r="26" spans="1:5" x14ac:dyDescent="0.3">
      <c r="A26" s="79"/>
      <c r="B26" s="79"/>
      <c r="C26" s="79"/>
      <c r="D26" s="79"/>
      <c r="E26" s="79"/>
    </row>
    <row r="27" spans="1:5" x14ac:dyDescent="0.3">
      <c r="A27" s="79"/>
      <c r="B27" s="79"/>
      <c r="C27" s="79"/>
      <c r="D27" s="79"/>
      <c r="E27" s="7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8C949-41E1-421C-A418-914938467DE8}">
  <dimension ref="A1:I47"/>
  <sheetViews>
    <sheetView showGridLines="0" zoomScale="98" zoomScaleNormal="98" workbookViewId="0">
      <selection activeCell="J56" sqref="J56"/>
    </sheetView>
  </sheetViews>
  <sheetFormatPr defaultRowHeight="14.4" x14ac:dyDescent="0.3"/>
  <cols>
    <col min="1" max="1" width="19.5546875" customWidth="1"/>
    <col min="2" max="2" width="26.77734375" bestFit="1" customWidth="1"/>
    <col min="3" max="4" width="28.33203125" bestFit="1" customWidth="1"/>
    <col min="5" max="5" width="8.88671875" bestFit="1" customWidth="1"/>
    <col min="6" max="6" width="14.77734375" bestFit="1" customWidth="1"/>
    <col min="7" max="7" width="16.33203125" bestFit="1" customWidth="1"/>
    <col min="8" max="8" width="14.77734375" bestFit="1" customWidth="1"/>
    <col min="9" max="9" width="16.33203125" bestFit="1" customWidth="1"/>
  </cols>
  <sheetData>
    <row r="1" spans="1:9" x14ac:dyDescent="0.3">
      <c r="A1" t="s">
        <v>15</v>
      </c>
    </row>
    <row r="2" spans="1:9" ht="15" thickBot="1" x14ac:dyDescent="0.35"/>
    <row r="3" spans="1:9" x14ac:dyDescent="0.3">
      <c r="A3" s="12" t="s">
        <v>16</v>
      </c>
      <c r="B3" s="12"/>
    </row>
    <row r="4" spans="1:9" x14ac:dyDescent="0.3">
      <c r="A4" t="s">
        <v>17</v>
      </c>
      <c r="B4" s="13">
        <v>0.98125305984102396</v>
      </c>
    </row>
    <row r="5" spans="1:9" x14ac:dyDescent="0.3">
      <c r="A5" t="s">
        <v>18</v>
      </c>
      <c r="B5" s="13">
        <v>0.96285756744737216</v>
      </c>
    </row>
    <row r="6" spans="1:9" x14ac:dyDescent="0.3">
      <c r="A6" t="s">
        <v>19</v>
      </c>
      <c r="B6" s="13">
        <v>0.95914332419210935</v>
      </c>
    </row>
    <row r="7" spans="1:9" x14ac:dyDescent="0.3">
      <c r="A7" t="s">
        <v>20</v>
      </c>
      <c r="B7" s="13">
        <v>593058206.68055534</v>
      </c>
    </row>
    <row r="8" spans="1:9" ht="15" thickBot="1" x14ac:dyDescent="0.35">
      <c r="A8" s="10" t="s">
        <v>21</v>
      </c>
      <c r="B8" s="14">
        <v>12</v>
      </c>
    </row>
    <row r="9" spans="1:9" ht="7.5" customHeight="1" x14ac:dyDescent="0.3"/>
    <row r="10" spans="1:9" ht="15" thickBot="1" x14ac:dyDescent="0.35">
      <c r="A10" t="s">
        <v>22</v>
      </c>
    </row>
    <row r="11" spans="1:9" x14ac:dyDescent="0.3">
      <c r="A11" s="11"/>
      <c r="B11" s="11" t="s">
        <v>27</v>
      </c>
      <c r="C11" s="11" t="s">
        <v>28</v>
      </c>
      <c r="D11" s="11" t="s">
        <v>29</v>
      </c>
      <c r="E11" s="11" t="s">
        <v>30</v>
      </c>
      <c r="F11" s="11" t="s">
        <v>31</v>
      </c>
    </row>
    <row r="12" spans="1:9" x14ac:dyDescent="0.3">
      <c r="A12" t="s">
        <v>23</v>
      </c>
      <c r="B12" s="13">
        <v>1</v>
      </c>
      <c r="C12" s="13">
        <v>9.1177219634888442E+19</v>
      </c>
      <c r="D12" s="13">
        <v>9.1177219634888442E+19</v>
      </c>
      <c r="E12" s="13">
        <v>259.23384691702142</v>
      </c>
      <c r="F12" s="13">
        <v>1.7671946361475963E-8</v>
      </c>
    </row>
    <row r="13" spans="1:9" x14ac:dyDescent="0.3">
      <c r="A13" t="s">
        <v>24</v>
      </c>
      <c r="B13" s="13">
        <v>10</v>
      </c>
      <c r="C13" s="13">
        <v>3.5171803651115628E+18</v>
      </c>
      <c r="D13" s="13">
        <v>3.5171803651115629E+17</v>
      </c>
      <c r="E13" s="13"/>
      <c r="F13" s="13"/>
    </row>
    <row r="14" spans="1:9" ht="15" thickBot="1" x14ac:dyDescent="0.35">
      <c r="A14" s="10" t="s">
        <v>25</v>
      </c>
      <c r="B14" s="14">
        <v>11</v>
      </c>
      <c r="C14" s="14">
        <v>9.46944E+19</v>
      </c>
      <c r="D14" s="14"/>
      <c r="E14" s="14"/>
      <c r="F14" s="14"/>
    </row>
    <row r="15" spans="1:9" ht="15" thickBot="1" x14ac:dyDescent="0.35"/>
    <row r="16" spans="1:9" x14ac:dyDescent="0.3">
      <c r="A16" s="11"/>
      <c r="B16" s="11" t="s">
        <v>32</v>
      </c>
      <c r="C16" s="11" t="s">
        <v>20</v>
      </c>
      <c r="D16" s="11" t="s">
        <v>33</v>
      </c>
      <c r="E16" s="11" t="s">
        <v>34</v>
      </c>
      <c r="F16" s="11" t="s">
        <v>35</v>
      </c>
      <c r="G16" s="11" t="s">
        <v>36</v>
      </c>
      <c r="H16" s="11" t="s">
        <v>37</v>
      </c>
      <c r="I16" s="11" t="s">
        <v>38</v>
      </c>
    </row>
    <row r="17" spans="1:9" x14ac:dyDescent="0.3">
      <c r="A17" t="s">
        <v>26</v>
      </c>
      <c r="B17" s="16">
        <v>2077230561.1900001</v>
      </c>
      <c r="C17" s="13">
        <v>711721083.26483285</v>
      </c>
      <c r="D17" s="13">
        <v>2.9186019777034695</v>
      </c>
      <c r="E17" s="13">
        <v>1.5337141679763728E-2</v>
      </c>
      <c r="F17" s="13">
        <v>491417163.78986454</v>
      </c>
      <c r="G17" s="13">
        <v>3663043958.5901289</v>
      </c>
      <c r="H17" s="13">
        <v>491417163.78986454</v>
      </c>
      <c r="I17" s="13">
        <v>3663043958.5901289</v>
      </c>
    </row>
    <row r="18" spans="1:9" ht="15" thickBot="1" x14ac:dyDescent="0.35">
      <c r="A18" s="10" t="s">
        <v>2</v>
      </c>
      <c r="B18" s="17">
        <v>128216362407032</v>
      </c>
      <c r="C18" s="14">
        <v>79633.829168285767</v>
      </c>
      <c r="D18" s="14">
        <v>16.10074057045269</v>
      </c>
      <c r="E18" s="14">
        <v>1.7671946361476022E-8</v>
      </c>
      <c r="F18" s="14">
        <v>1104728.3953680221</v>
      </c>
      <c r="G18" s="14">
        <v>1459598.8527726128</v>
      </c>
      <c r="H18" s="14">
        <v>1104728.3953680221</v>
      </c>
      <c r="I18" s="14">
        <v>1459598.8527726128</v>
      </c>
    </row>
    <row r="33" spans="1:3" x14ac:dyDescent="0.3">
      <c r="A33" t="s">
        <v>39</v>
      </c>
    </row>
    <row r="34" spans="1:3" ht="15" thickBot="1" x14ac:dyDescent="0.35"/>
    <row r="35" spans="1:3" ht="28.8" x14ac:dyDescent="0.3">
      <c r="A35" s="15" t="s">
        <v>40</v>
      </c>
      <c r="B35" s="15" t="s">
        <v>41</v>
      </c>
      <c r="C35" s="15" t="s">
        <v>42</v>
      </c>
    </row>
    <row r="36" spans="1:3" x14ac:dyDescent="0.3">
      <c r="A36">
        <v>1</v>
      </c>
      <c r="B36" s="13">
        <v>11052375929.682219</v>
      </c>
      <c r="C36" s="13">
        <v>-12375929.682218552</v>
      </c>
    </row>
    <row r="37" spans="1:3" x14ac:dyDescent="0.3">
      <c r="A37">
        <v>2</v>
      </c>
      <c r="B37" s="13">
        <v>11693457741.717379</v>
      </c>
      <c r="C37" s="13">
        <v>306542258.28262138</v>
      </c>
    </row>
    <row r="38" spans="1:3" x14ac:dyDescent="0.3">
      <c r="A38">
        <v>3</v>
      </c>
      <c r="B38" s="13">
        <v>11821674104.124409</v>
      </c>
      <c r="C38" s="13">
        <v>658325895.87559128</v>
      </c>
    </row>
    <row r="39" spans="1:3" x14ac:dyDescent="0.3">
      <c r="A39">
        <v>4</v>
      </c>
      <c r="B39" s="13">
        <v>10795943204.868156</v>
      </c>
      <c r="C39" s="13">
        <v>-235943204.86815643</v>
      </c>
    </row>
    <row r="40" spans="1:3" x14ac:dyDescent="0.3">
      <c r="A40">
        <v>5</v>
      </c>
      <c r="B40" s="13">
        <v>16950328600.40568</v>
      </c>
      <c r="C40" s="13">
        <v>-630328600.4056797</v>
      </c>
    </row>
    <row r="41" spans="1:3" x14ac:dyDescent="0.3">
      <c r="A41">
        <v>6</v>
      </c>
      <c r="B41" s="13">
        <v>16181030425.96349</v>
      </c>
      <c r="C41" s="13">
        <v>-341030425.96348953</v>
      </c>
    </row>
    <row r="42" spans="1:3" x14ac:dyDescent="0.3">
      <c r="A42">
        <v>7</v>
      </c>
      <c r="B42" s="13">
        <v>9513779580.7978382</v>
      </c>
      <c r="C42" s="13">
        <v>86220419.202161789</v>
      </c>
    </row>
    <row r="43" spans="1:3" x14ac:dyDescent="0.3">
      <c r="A43">
        <v>8</v>
      </c>
      <c r="B43" s="13">
        <v>10539510480.054092</v>
      </c>
      <c r="C43" s="13">
        <v>-459510480.05409241</v>
      </c>
    </row>
    <row r="44" spans="1:3" x14ac:dyDescent="0.3">
      <c r="A44">
        <v>9</v>
      </c>
      <c r="B44" s="13">
        <v>11308808654.496283</v>
      </c>
      <c r="C44" s="13">
        <v>211191345.50371742</v>
      </c>
    </row>
    <row r="45" spans="1:3" x14ac:dyDescent="0.3">
      <c r="A45">
        <v>10</v>
      </c>
      <c r="B45" s="13">
        <v>17206761325.219742</v>
      </c>
      <c r="C45" s="13">
        <v>1033238674.7802582</v>
      </c>
    </row>
    <row r="46" spans="1:3" x14ac:dyDescent="0.3">
      <c r="A46">
        <v>11</v>
      </c>
      <c r="B46" s="13">
        <v>16437463150.777552</v>
      </c>
      <c r="C46" s="13">
        <v>362536849.22244835</v>
      </c>
    </row>
    <row r="47" spans="1:3" ht="15" thickBot="1" x14ac:dyDescent="0.35">
      <c r="A47" s="10">
        <v>12</v>
      </c>
      <c r="B47" s="14">
        <v>14898866801.893171</v>
      </c>
      <c r="C47" s="14">
        <v>-978866801.89317131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44A4-EA7A-442E-A639-EAE0B1F070A8}">
  <dimension ref="A2:E33"/>
  <sheetViews>
    <sheetView showGridLines="0" tabSelected="1" workbookViewId="0">
      <selection activeCell="H26" sqref="H26"/>
    </sheetView>
  </sheetViews>
  <sheetFormatPr defaultColWidth="8.77734375" defaultRowHeight="15" x14ac:dyDescent="0.25"/>
  <cols>
    <col min="1" max="1" width="41.21875" style="18" customWidth="1"/>
    <col min="2" max="2" width="21.44140625" style="18" customWidth="1"/>
    <col min="3" max="3" width="21.33203125" style="18" bestFit="1" customWidth="1"/>
    <col min="4" max="4" width="19.44140625" style="18" customWidth="1"/>
    <col min="5" max="5" width="14.6640625" style="18" bestFit="1" customWidth="1"/>
    <col min="6" max="16384" width="8.77734375" style="18"/>
  </cols>
  <sheetData>
    <row r="2" spans="1:3" x14ac:dyDescent="0.25">
      <c r="A2" s="74" t="s">
        <v>88</v>
      </c>
      <c r="B2" s="73"/>
      <c r="C2" s="72"/>
    </row>
    <row r="3" spans="1:3" x14ac:dyDescent="0.25">
      <c r="A3" s="33" t="s">
        <v>54</v>
      </c>
      <c r="B3" s="33"/>
      <c r="C3" s="71">
        <f>12000*2190000</f>
        <v>26280000000</v>
      </c>
    </row>
    <row r="4" spans="1:3" x14ac:dyDescent="0.25">
      <c r="A4" s="22" t="s">
        <v>46</v>
      </c>
      <c r="B4" s="22"/>
      <c r="C4" s="22"/>
    </row>
    <row r="5" spans="1:3" x14ac:dyDescent="0.25">
      <c r="A5" s="22" t="s">
        <v>82</v>
      </c>
      <c r="B5" s="20">
        <f>12000*1282163.63</f>
        <v>15385963559.999998</v>
      </c>
      <c r="C5" s="22"/>
    </row>
    <row r="6" spans="1:3" x14ac:dyDescent="0.25">
      <c r="A6" s="22" t="s">
        <v>81</v>
      </c>
      <c r="B6" s="20">
        <f>12000*240000</f>
        <v>2880000000</v>
      </c>
      <c r="C6" s="22"/>
    </row>
    <row r="7" spans="1:3" ht="18.600000000000001" x14ac:dyDescent="0.55000000000000004">
      <c r="A7" s="31" t="s">
        <v>84</v>
      </c>
      <c r="B7" s="60">
        <f>SUM(B5:B6)</f>
        <v>18265963560</v>
      </c>
      <c r="C7" s="70"/>
    </row>
    <row r="8" spans="1:3" ht="18.600000000000001" x14ac:dyDescent="0.55000000000000004">
      <c r="A8" s="31" t="s">
        <v>83</v>
      </c>
      <c r="B8" s="31"/>
      <c r="C8" s="60">
        <f>C3-B7</f>
        <v>8014036440</v>
      </c>
    </row>
    <row r="9" spans="1:3" x14ac:dyDescent="0.25">
      <c r="A9" s="22" t="s">
        <v>64</v>
      </c>
      <c r="B9" s="22"/>
      <c r="C9" s="22"/>
    </row>
    <row r="10" spans="1:3" x14ac:dyDescent="0.25">
      <c r="A10" s="22" t="s">
        <v>82</v>
      </c>
      <c r="B10" s="69">
        <v>2077230561</v>
      </c>
      <c r="C10" s="22"/>
    </row>
    <row r="11" spans="1:3" x14ac:dyDescent="0.25">
      <c r="A11" s="22" t="s">
        <v>81</v>
      </c>
      <c r="B11" s="69">
        <v>3000000000</v>
      </c>
      <c r="C11" s="22"/>
    </row>
    <row r="12" spans="1:3" x14ac:dyDescent="0.25">
      <c r="A12" s="31" t="s">
        <v>80</v>
      </c>
      <c r="B12" s="68">
        <f>SUM(B10:B11)</f>
        <v>5077230561</v>
      </c>
      <c r="C12" s="22"/>
    </row>
    <row r="13" spans="1:3" ht="18.600000000000001" x14ac:dyDescent="0.55000000000000004">
      <c r="A13" s="29" t="s">
        <v>79</v>
      </c>
      <c r="B13" s="29"/>
      <c r="C13" s="59">
        <f>C8-B12</f>
        <v>2936805879</v>
      </c>
    </row>
    <row r="22" spans="1:5" x14ac:dyDescent="0.25">
      <c r="A22" s="27" t="s">
        <v>59</v>
      </c>
      <c r="B22" s="27" t="s">
        <v>87</v>
      </c>
      <c r="C22" s="27" t="s">
        <v>86</v>
      </c>
      <c r="D22" s="27" t="s">
        <v>85</v>
      </c>
    </row>
    <row r="23" spans="1:5" x14ac:dyDescent="0.25">
      <c r="A23" s="33" t="s">
        <v>54</v>
      </c>
      <c r="B23" s="32">
        <f>305000*24000</f>
        <v>7320000000</v>
      </c>
      <c r="C23" s="32">
        <f>300000*24000</f>
        <v>7200000000</v>
      </c>
      <c r="D23" s="32">
        <f>B23-C23</f>
        <v>120000000</v>
      </c>
    </row>
    <row r="24" spans="1:5" x14ac:dyDescent="0.25">
      <c r="A24" s="22" t="s">
        <v>46</v>
      </c>
      <c r="B24" s="20"/>
      <c r="C24" s="20"/>
      <c r="D24" s="20"/>
    </row>
    <row r="25" spans="1:5" x14ac:dyDescent="0.25">
      <c r="A25" s="22" t="s">
        <v>82</v>
      </c>
      <c r="B25" s="20">
        <f>108700*24000</f>
        <v>2608800000</v>
      </c>
      <c r="C25" s="20">
        <f>100000*24000</f>
        <v>2400000000</v>
      </c>
      <c r="D25" s="20">
        <f>B25-C25</f>
        <v>208800000</v>
      </c>
    </row>
    <row r="26" spans="1:5" x14ac:dyDescent="0.25">
      <c r="A26" s="22" t="s">
        <v>81</v>
      </c>
      <c r="B26" s="20">
        <f>76000*24000</f>
        <v>1824000000</v>
      </c>
      <c r="C26" s="20">
        <f>70000*24000</f>
        <v>1680000000</v>
      </c>
      <c r="D26" s="20">
        <f>B26-C26</f>
        <v>144000000</v>
      </c>
    </row>
    <row r="27" spans="1:5" ht="18.600000000000001" x14ac:dyDescent="0.55000000000000004">
      <c r="A27" s="31" t="s">
        <v>84</v>
      </c>
      <c r="B27" s="61">
        <f>SUM(B25:B26)</f>
        <v>4432800000</v>
      </c>
      <c r="C27" s="61">
        <f>SUM(C25:C26)</f>
        <v>4080000000</v>
      </c>
      <c r="D27" s="61">
        <f>SUM(D25:D26)</f>
        <v>352800000</v>
      </c>
    </row>
    <row r="28" spans="1:5" x14ac:dyDescent="0.25">
      <c r="A28" s="31" t="s">
        <v>83</v>
      </c>
      <c r="B28" s="30">
        <f>B23-B27</f>
        <v>2887200000</v>
      </c>
      <c r="C28" s="30">
        <f>C23-C27</f>
        <v>3120000000</v>
      </c>
      <c r="D28" s="30">
        <f>C28-B28</f>
        <v>232800000</v>
      </c>
    </row>
    <row r="29" spans="1:5" x14ac:dyDescent="0.25">
      <c r="A29" s="22" t="s">
        <v>64</v>
      </c>
      <c r="B29" s="20"/>
      <c r="C29" s="20"/>
      <c r="D29" s="20"/>
    </row>
    <row r="30" spans="1:5" x14ac:dyDescent="0.25">
      <c r="A30" s="22" t="s">
        <v>82</v>
      </c>
      <c r="B30" s="20">
        <f>53000*24000</f>
        <v>1272000000</v>
      </c>
      <c r="C30" s="20">
        <f>55000*24000</f>
        <v>1320000000</v>
      </c>
      <c r="D30" s="20">
        <f>B30-C30</f>
        <v>-48000000</v>
      </c>
    </row>
    <row r="31" spans="1:5" x14ac:dyDescent="0.25">
      <c r="A31" s="22" t="s">
        <v>81</v>
      </c>
      <c r="B31" s="20">
        <f>38000*24000</f>
        <v>912000000</v>
      </c>
      <c r="C31" s="20">
        <f>35000*24000</f>
        <v>840000000</v>
      </c>
      <c r="D31" s="20">
        <f>B31-C31</f>
        <v>72000000</v>
      </c>
      <c r="E31" s="58"/>
    </row>
    <row r="32" spans="1:5" x14ac:dyDescent="0.25">
      <c r="A32" s="31" t="s">
        <v>80</v>
      </c>
      <c r="B32" s="67">
        <f>SUM(B30:B31)</f>
        <v>2184000000</v>
      </c>
      <c r="C32" s="67">
        <f>SUM(C30:C31)</f>
        <v>2160000000</v>
      </c>
      <c r="D32" s="67">
        <f>SUM(D30:D31)</f>
        <v>24000000</v>
      </c>
    </row>
    <row r="33" spans="1:5" x14ac:dyDescent="0.25">
      <c r="A33" s="29" t="s">
        <v>79</v>
      </c>
      <c r="B33" s="28">
        <f>B28-B32</f>
        <v>703200000</v>
      </c>
      <c r="C33" s="28">
        <f>C28-C32</f>
        <v>960000000</v>
      </c>
      <c r="D33" s="28">
        <f>C33-B33</f>
        <v>256800000</v>
      </c>
      <c r="E33" s="5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D133C-A755-499D-8DDF-EB9ACFEAF3C8}">
  <dimension ref="A3:F64"/>
  <sheetViews>
    <sheetView showGridLines="0" workbookViewId="0">
      <selection activeCell="F9" sqref="F9"/>
    </sheetView>
  </sheetViews>
  <sheetFormatPr defaultColWidth="21.5546875" defaultRowHeight="15" x14ac:dyDescent="0.25"/>
  <cols>
    <col min="1" max="1" width="40.88671875" style="18" bestFit="1" customWidth="1"/>
    <col min="2" max="3" width="21.33203125" style="18" bestFit="1" customWidth="1"/>
    <col min="4" max="4" width="25" style="18" bestFit="1" customWidth="1"/>
    <col min="5" max="5" width="20" style="18" customWidth="1"/>
    <col min="6" max="16384" width="21.5546875" style="18"/>
  </cols>
  <sheetData>
    <row r="3" spans="1:4" x14ac:dyDescent="0.25">
      <c r="A3" s="26" t="s">
        <v>59</v>
      </c>
      <c r="B3" s="26" t="s">
        <v>45</v>
      </c>
      <c r="C3" s="26" t="s">
        <v>44</v>
      </c>
      <c r="D3" s="26" t="s">
        <v>55</v>
      </c>
    </row>
    <row r="4" spans="1:4" x14ac:dyDescent="0.25">
      <c r="A4" s="57" t="s">
        <v>68</v>
      </c>
      <c r="B4" s="56">
        <f>100*24000</f>
        <v>2400000</v>
      </c>
      <c r="C4" s="56">
        <f>12*24000</f>
        <v>288000</v>
      </c>
      <c r="D4" s="56"/>
    </row>
    <row r="5" spans="1:4" ht="30" x14ac:dyDescent="0.25">
      <c r="A5" s="54" t="s">
        <v>67</v>
      </c>
      <c r="B5" s="55">
        <f>80*24000</f>
        <v>1920000</v>
      </c>
      <c r="C5" s="55">
        <f>3*24000</f>
        <v>72000</v>
      </c>
      <c r="D5" s="55"/>
    </row>
    <row r="6" spans="1:4" x14ac:dyDescent="0.25">
      <c r="A6" s="54" t="s">
        <v>66</v>
      </c>
      <c r="B6" s="55">
        <v>21000</v>
      </c>
      <c r="C6" s="55">
        <v>14000</v>
      </c>
      <c r="D6" s="55">
        <f>C6+B6</f>
        <v>35000</v>
      </c>
    </row>
    <row r="7" spans="1:4" x14ac:dyDescent="0.25">
      <c r="A7" s="54" t="s">
        <v>65</v>
      </c>
      <c r="B7" s="52">
        <v>0.6</v>
      </c>
      <c r="C7" s="52">
        <v>0.4</v>
      </c>
      <c r="D7" s="52">
        <v>1</v>
      </c>
    </row>
    <row r="8" spans="1:4" x14ac:dyDescent="0.25">
      <c r="A8" s="51" t="s">
        <v>64</v>
      </c>
      <c r="B8" s="51"/>
      <c r="C8" s="51"/>
      <c r="D8" s="50">
        <f>24000*750000</f>
        <v>18000000000</v>
      </c>
    </row>
    <row r="12" spans="1:4" x14ac:dyDescent="0.25">
      <c r="A12" s="26" t="s">
        <v>59</v>
      </c>
      <c r="B12" s="26" t="s">
        <v>45</v>
      </c>
      <c r="C12" s="26" t="s">
        <v>44</v>
      </c>
    </row>
    <row r="13" spans="1:4" x14ac:dyDescent="0.25">
      <c r="A13" s="57" t="s">
        <v>68</v>
      </c>
      <c r="B13" s="56">
        <f>200*24000</f>
        <v>4800000</v>
      </c>
      <c r="C13" s="56">
        <f>100*24000</f>
        <v>2400000</v>
      </c>
    </row>
    <row r="14" spans="1:4" ht="30" x14ac:dyDescent="0.25">
      <c r="A14" s="51" t="s">
        <v>67</v>
      </c>
      <c r="B14" s="50">
        <f>120*24000</f>
        <v>2880000</v>
      </c>
      <c r="C14" s="50">
        <f>50*24000</f>
        <v>1200000</v>
      </c>
    </row>
    <row r="17" spans="1:5" x14ac:dyDescent="0.25">
      <c r="A17" s="26" t="s">
        <v>59</v>
      </c>
      <c r="B17" s="26" t="s">
        <v>45</v>
      </c>
      <c r="C17" s="26" t="s">
        <v>44</v>
      </c>
      <c r="D17" s="26" t="s">
        <v>43</v>
      </c>
      <c r="E17" s="26" t="s">
        <v>55</v>
      </c>
    </row>
    <row r="18" spans="1:5" x14ac:dyDescent="0.25">
      <c r="A18" s="57" t="s">
        <v>68</v>
      </c>
      <c r="B18" s="56">
        <f>20*24000</f>
        <v>480000</v>
      </c>
      <c r="C18" s="56">
        <f>14*24000</f>
        <v>336000</v>
      </c>
      <c r="D18" s="56">
        <f>24*24000</f>
        <v>576000</v>
      </c>
      <c r="E18" s="56"/>
    </row>
    <row r="19" spans="1:5" ht="30" x14ac:dyDescent="0.25">
      <c r="A19" s="54" t="s">
        <v>67</v>
      </c>
      <c r="B19" s="55">
        <f>5*24000</f>
        <v>120000</v>
      </c>
      <c r="C19" s="55">
        <f>7*24000</f>
        <v>168000</v>
      </c>
      <c r="D19" s="55">
        <f>8*24000</f>
        <v>192000</v>
      </c>
      <c r="E19" s="55"/>
    </row>
    <row r="20" spans="1:5" x14ac:dyDescent="0.25">
      <c r="A20" s="54" t="s">
        <v>66</v>
      </c>
      <c r="B20" s="55">
        <v>30000</v>
      </c>
      <c r="C20" s="55">
        <v>50000</v>
      </c>
      <c r="D20" s="55">
        <v>20000</v>
      </c>
      <c r="E20" s="55">
        <f>SUM(B20:D20)</f>
        <v>100000</v>
      </c>
    </row>
    <row r="21" spans="1:5" x14ac:dyDescent="0.25">
      <c r="A21" s="54" t="s">
        <v>65</v>
      </c>
      <c r="B21" s="52">
        <v>0.3</v>
      </c>
      <c r="C21" s="52">
        <v>0.5</v>
      </c>
      <c r="D21" s="53">
        <v>0.2</v>
      </c>
      <c r="E21" s="52">
        <v>1</v>
      </c>
    </row>
    <row r="22" spans="1:5" x14ac:dyDescent="0.25">
      <c r="A22" s="51" t="s">
        <v>64</v>
      </c>
      <c r="B22" s="51"/>
      <c r="C22" s="51"/>
      <c r="D22" s="51"/>
      <c r="E22" s="50">
        <f>650000*24000</f>
        <v>15600000000</v>
      </c>
    </row>
    <row r="29" spans="1:5" ht="15.6" x14ac:dyDescent="0.3">
      <c r="A29" s="49" t="s">
        <v>63</v>
      </c>
      <c r="B29" s="48"/>
      <c r="C29" s="47"/>
      <c r="D29" s="46"/>
    </row>
    <row r="30" spans="1:5" x14ac:dyDescent="0.25">
      <c r="A30" s="29" t="s">
        <v>59</v>
      </c>
      <c r="B30" s="45" t="s">
        <v>45</v>
      </c>
      <c r="C30" s="45" t="s">
        <v>44</v>
      </c>
      <c r="D30" s="45" t="s">
        <v>55</v>
      </c>
    </row>
    <row r="31" spans="1:5" ht="15.6" x14ac:dyDescent="0.3">
      <c r="A31" s="44" t="s">
        <v>54</v>
      </c>
      <c r="B31" s="43">
        <f>600000*24000</f>
        <v>14400000000</v>
      </c>
      <c r="C31" s="43">
        <f>900000*24000</f>
        <v>21600000000</v>
      </c>
      <c r="D31" s="42">
        <f>C31+B31</f>
        <v>36000000000</v>
      </c>
    </row>
    <row r="32" spans="1:5" ht="15.6" x14ac:dyDescent="0.3">
      <c r="A32" s="40" t="s">
        <v>62</v>
      </c>
      <c r="B32" s="38">
        <f>100000*24000</f>
        <v>2400000000</v>
      </c>
      <c r="C32" s="38">
        <f>275000*24000</f>
        <v>6600000000</v>
      </c>
      <c r="D32" s="41">
        <f>C32+B32</f>
        <v>9000000000</v>
      </c>
    </row>
    <row r="33" spans="1:6" ht="15.6" x14ac:dyDescent="0.3">
      <c r="A33" s="40" t="s">
        <v>52</v>
      </c>
      <c r="B33" s="38">
        <f>B31-B32</f>
        <v>12000000000</v>
      </c>
      <c r="C33" s="38">
        <f>C31-C32</f>
        <v>15000000000</v>
      </c>
      <c r="D33" s="38">
        <f>D31-D32</f>
        <v>27000000000</v>
      </c>
    </row>
    <row r="34" spans="1:6" ht="15.6" x14ac:dyDescent="0.3">
      <c r="A34" s="40" t="s">
        <v>61</v>
      </c>
      <c r="B34" s="38"/>
      <c r="C34" s="39"/>
      <c r="D34" s="38">
        <f>600000*24000</f>
        <v>14400000000</v>
      </c>
    </row>
    <row r="35" spans="1:6" ht="15.6" x14ac:dyDescent="0.3">
      <c r="A35" s="37" t="s">
        <v>60</v>
      </c>
      <c r="B35" s="35"/>
      <c r="C35" s="36"/>
      <c r="D35" s="35">
        <f>D33-D34</f>
        <v>12600000000</v>
      </c>
    </row>
    <row r="39" spans="1:6" x14ac:dyDescent="0.25">
      <c r="A39" s="27" t="s">
        <v>59</v>
      </c>
      <c r="B39" s="26" t="s">
        <v>45</v>
      </c>
      <c r="C39" s="26" t="s">
        <v>44</v>
      </c>
      <c r="D39" s="26" t="s">
        <v>43</v>
      </c>
      <c r="E39" s="26" t="s">
        <v>55</v>
      </c>
    </row>
    <row r="40" spans="1:6" x14ac:dyDescent="0.25">
      <c r="A40" s="33" t="s">
        <v>54</v>
      </c>
      <c r="B40" s="32">
        <f>1000000*24000</f>
        <v>24000000000</v>
      </c>
      <c r="C40" s="32">
        <f>4000000*24000</f>
        <v>96000000000</v>
      </c>
      <c r="D40" s="32">
        <f>5000000*24000</f>
        <v>120000000000</v>
      </c>
      <c r="E40" s="32">
        <f>SUM(B40:D40)</f>
        <v>240000000000</v>
      </c>
      <c r="F40" s="34">
        <f>E40/24000</f>
        <v>10000000</v>
      </c>
    </row>
    <row r="41" spans="1:6" x14ac:dyDescent="0.25">
      <c r="A41" s="22" t="s">
        <v>53</v>
      </c>
      <c r="B41" s="20">
        <f>600000*24000</f>
        <v>14400000000</v>
      </c>
      <c r="C41" s="20">
        <f>2500000*24000</f>
        <v>60000000000</v>
      </c>
      <c r="D41" s="20">
        <f>3500000*24000</f>
        <v>84000000000</v>
      </c>
      <c r="E41" s="20">
        <f>SUM(B41:D41)</f>
        <v>158400000000</v>
      </c>
      <c r="F41" s="34">
        <f>E41/24000</f>
        <v>6600000</v>
      </c>
    </row>
    <row r="42" spans="1:6" x14ac:dyDescent="0.25">
      <c r="A42" s="31" t="s">
        <v>52</v>
      </c>
      <c r="B42" s="30">
        <f>B40-B41</f>
        <v>9600000000</v>
      </c>
      <c r="C42" s="30">
        <f>C40-C41</f>
        <v>36000000000</v>
      </c>
      <c r="D42" s="30">
        <f>D40-D41</f>
        <v>36000000000</v>
      </c>
      <c r="E42" s="30">
        <f>E40-E41</f>
        <v>81600000000</v>
      </c>
      <c r="F42" s="34">
        <f>E42/24000</f>
        <v>3400000</v>
      </c>
    </row>
    <row r="43" spans="1:6" x14ac:dyDescent="0.25">
      <c r="A43" s="22" t="s">
        <v>51</v>
      </c>
      <c r="B43" s="20">
        <f>300000*24000</f>
        <v>7200000000</v>
      </c>
      <c r="C43" s="20">
        <f>800000*24000</f>
        <v>19200000000</v>
      </c>
      <c r="D43" s="20">
        <f>1000000*24000</f>
        <v>24000000000</v>
      </c>
      <c r="E43" s="20">
        <f>SUM(B43:D43)</f>
        <v>50400000000</v>
      </c>
      <c r="F43" s="34">
        <f>E43/24000</f>
        <v>2100000</v>
      </c>
    </row>
    <row r="44" spans="1:6" x14ac:dyDescent="0.25">
      <c r="A44" s="22" t="s">
        <v>50</v>
      </c>
      <c r="B44" s="20"/>
      <c r="C44" s="20"/>
      <c r="D44" s="20"/>
      <c r="E44" s="20">
        <f>1100000*24000</f>
        <v>26400000000</v>
      </c>
      <c r="F44" s="34"/>
    </row>
    <row r="45" spans="1:6" x14ac:dyDescent="0.25">
      <c r="A45" s="29" t="s">
        <v>49</v>
      </c>
      <c r="B45" s="28">
        <f>B42-B43</f>
        <v>2400000000</v>
      </c>
      <c r="C45" s="28">
        <f>C42-C43</f>
        <v>16800000000</v>
      </c>
      <c r="D45" s="28">
        <f>D42-D43</f>
        <v>12000000000</v>
      </c>
      <c r="E45" s="28">
        <f>E42-E43-E44</f>
        <v>4800000000</v>
      </c>
      <c r="F45" s="34">
        <f>E45/24000</f>
        <v>200000</v>
      </c>
    </row>
    <row r="50" spans="1:5" x14ac:dyDescent="0.25">
      <c r="A50" s="27" t="s">
        <v>59</v>
      </c>
      <c r="B50" s="26" t="s">
        <v>58</v>
      </c>
      <c r="C50" s="26" t="s">
        <v>57</v>
      </c>
      <c r="D50" s="26" t="s">
        <v>56</v>
      </c>
      <c r="E50" s="26" t="s">
        <v>55</v>
      </c>
    </row>
    <row r="51" spans="1:5" x14ac:dyDescent="0.25">
      <c r="A51" s="33" t="s">
        <v>54</v>
      </c>
      <c r="B51" s="32">
        <f>1125000*24000</f>
        <v>27000000000</v>
      </c>
      <c r="C51" s="32">
        <f>1500000*24000</f>
        <v>36000000000</v>
      </c>
      <c r="D51" s="32">
        <f>375000*24000</f>
        <v>9000000000</v>
      </c>
      <c r="E51" s="32">
        <f>SUM(B51:D51)</f>
        <v>72000000000</v>
      </c>
    </row>
    <row r="52" spans="1:5" x14ac:dyDescent="0.25">
      <c r="A52" s="22" t="s">
        <v>53</v>
      </c>
      <c r="B52" s="20">
        <f>480000*24000</f>
        <v>11520000000</v>
      </c>
      <c r="C52" s="20">
        <f>825000*24000</f>
        <v>19800000000</v>
      </c>
      <c r="D52" s="20">
        <f>150000*24000</f>
        <v>3600000000</v>
      </c>
      <c r="E52" s="20">
        <f>SUM(B52:D52)</f>
        <v>34920000000</v>
      </c>
    </row>
    <row r="53" spans="1:5" x14ac:dyDescent="0.25">
      <c r="A53" s="31" t="s">
        <v>52</v>
      </c>
      <c r="B53" s="30">
        <f>B51-B52</f>
        <v>15480000000</v>
      </c>
      <c r="C53" s="30">
        <f>C51-C52</f>
        <v>16200000000</v>
      </c>
      <c r="D53" s="30">
        <f>D51-D52</f>
        <v>5400000000</v>
      </c>
      <c r="E53" s="30">
        <f>E51-E52</f>
        <v>37080000000</v>
      </c>
    </row>
    <row r="54" spans="1:5" x14ac:dyDescent="0.25">
      <c r="A54" s="22" t="s">
        <v>51</v>
      </c>
      <c r="B54" s="20">
        <f>650000*24000</f>
        <v>15600000000</v>
      </c>
      <c r="C54" s="20">
        <f>480000*24000</f>
        <v>11520000000</v>
      </c>
      <c r="D54" s="20">
        <f>105000*24000</f>
        <v>2520000000</v>
      </c>
      <c r="E54" s="20">
        <f>SUM(B54:D54)</f>
        <v>29640000000</v>
      </c>
    </row>
    <row r="55" spans="1:5" x14ac:dyDescent="0.25">
      <c r="A55" s="22" t="s">
        <v>50</v>
      </c>
      <c r="B55" s="20">
        <f>112500*24000</f>
        <v>2700000000</v>
      </c>
      <c r="C55" s="20">
        <f>150000*24000</f>
        <v>3600000000</v>
      </c>
      <c r="D55" s="20">
        <f>37500*24000</f>
        <v>900000000</v>
      </c>
      <c r="E55" s="20">
        <f>SUM(B55:D55)</f>
        <v>7200000000</v>
      </c>
    </row>
    <row r="56" spans="1:5" x14ac:dyDescent="0.25">
      <c r="A56" s="29" t="s">
        <v>49</v>
      </c>
      <c r="B56" s="28">
        <f>B53-B54-B55</f>
        <v>-2820000000</v>
      </c>
      <c r="C56" s="28">
        <f>C53-C54-C55</f>
        <v>1080000000</v>
      </c>
      <c r="D56" s="28">
        <f>D53-D54-D55</f>
        <v>1980000000</v>
      </c>
      <c r="E56" s="28">
        <f>E53-E54-E55</f>
        <v>240000000</v>
      </c>
    </row>
    <row r="60" spans="1:5" ht="45" x14ac:dyDescent="0.25">
      <c r="A60" s="27"/>
      <c r="B60" s="26" t="s">
        <v>48</v>
      </c>
      <c r="C60" s="26" t="s">
        <v>47</v>
      </c>
      <c r="D60" s="26" t="s">
        <v>46</v>
      </c>
    </row>
    <row r="61" spans="1:5" x14ac:dyDescent="0.25">
      <c r="A61" s="25" t="s">
        <v>45</v>
      </c>
      <c r="B61" s="24">
        <v>1.25</v>
      </c>
      <c r="C61" s="23">
        <f>1000*24000</f>
        <v>24000000</v>
      </c>
      <c r="D61" s="23">
        <f>400*24000</f>
        <v>9600000</v>
      </c>
    </row>
    <row r="62" spans="1:5" x14ac:dyDescent="0.25">
      <c r="A62" s="22" t="s">
        <v>44</v>
      </c>
      <c r="B62" s="21">
        <v>1</v>
      </c>
      <c r="C62" s="20">
        <f>500*24000</f>
        <v>12000000</v>
      </c>
      <c r="D62" s="20">
        <f>300*24000</f>
        <v>7200000</v>
      </c>
    </row>
    <row r="63" spans="1:5" x14ac:dyDescent="0.25">
      <c r="A63" s="22" t="s">
        <v>43</v>
      </c>
      <c r="B63" s="21">
        <v>1</v>
      </c>
      <c r="C63" s="20">
        <f>800*24000</f>
        <v>19200000</v>
      </c>
      <c r="D63" s="20">
        <f>450*24000</f>
        <v>10800000</v>
      </c>
    </row>
    <row r="64" spans="1:5" x14ac:dyDescent="0.25">
      <c r="A64" s="19"/>
      <c r="B64" s="19"/>
      <c r="C64" s="19"/>
      <c r="D64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Trang 15</vt:lpstr>
      <vt:lpstr>Trang 21</vt:lpstr>
      <vt:lpstr>Trang 25</vt:lpstr>
      <vt:lpstr>Sheet3</vt:lpstr>
      <vt:lpstr>Trang 26</vt:lpstr>
      <vt:lpstr>Trang 31</vt:lpstr>
      <vt:lpstr>Trang 37</vt:lpstr>
      <vt:lpstr>Trang 21_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Sơn Trần</dc:creator>
  <cp:lastModifiedBy>VINACFO</cp:lastModifiedBy>
  <dcterms:created xsi:type="dcterms:W3CDTF">2022-09-08T05:00:57Z</dcterms:created>
  <dcterms:modified xsi:type="dcterms:W3CDTF">2023-02-16T03:39:17Z</dcterms:modified>
</cp:coreProperties>
</file>