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\Excel File\"/>
    </mc:Choice>
  </mc:AlternateContent>
  <xr:revisionPtr revIDLastSave="0" documentId="13_ncr:1_{519662DF-1E98-4DFB-B1CF-83C60A79111B}" xr6:coauthVersionLast="47" xr6:coauthVersionMax="47" xr10:uidLastSave="{00000000-0000-0000-0000-000000000000}"/>
  <bookViews>
    <workbookView xWindow="-108" yWindow="-108" windowWidth="23256" windowHeight="14016" activeTab="4" xr2:uid="{2C70BA3D-254A-4ECB-9370-D1D7F7361AB2}"/>
  </bookViews>
  <sheets>
    <sheet name="Trang 145" sheetId="3" r:id="rId1"/>
    <sheet name="Trang 148" sheetId="4" r:id="rId2"/>
    <sheet name="Trang 152" sheetId="9" r:id="rId3"/>
    <sheet name="Trang 154" sheetId="5" r:id="rId4"/>
    <sheet name="Trang 159" sheetId="6" r:id="rId5"/>
    <sheet name="Sheet1" sheetId="1" state="hidden" r:id="rId6"/>
    <sheet name="Sheet2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9" l="1"/>
  <c r="A19" i="9"/>
  <c r="A18" i="9"/>
  <c r="A17" i="9"/>
  <c r="A16" i="9"/>
  <c r="A15" i="9"/>
  <c r="E14" i="9"/>
  <c r="D14" i="9"/>
  <c r="C14" i="9"/>
  <c r="B14" i="9"/>
  <c r="A14" i="9"/>
  <c r="E9" i="9"/>
  <c r="B30" i="9" s="1"/>
  <c r="D18" i="9"/>
  <c r="C18" i="9"/>
  <c r="E18" i="9" s="1"/>
  <c r="C29" i="9" s="1"/>
  <c r="D7" i="9"/>
  <c r="D10" i="9" s="1"/>
  <c r="C16" i="9"/>
  <c r="D15" i="9"/>
  <c r="C7" i="9"/>
  <c r="D29" i="3"/>
  <c r="D30" i="3" s="1"/>
  <c r="C5" i="6"/>
  <c r="C7" i="6" s="1"/>
  <c r="D4" i="6"/>
  <c r="C4" i="6"/>
  <c r="B4" i="6"/>
  <c r="B5" i="6" s="1"/>
  <c r="B7" i="6" s="1"/>
  <c r="D3" i="6"/>
  <c r="D5" i="6" s="1"/>
  <c r="D7" i="6" s="1"/>
  <c r="C3" i="6"/>
  <c r="B3" i="6"/>
  <c r="K24" i="5"/>
  <c r="K25" i="5" s="1"/>
  <c r="E5" i="5"/>
  <c r="B21" i="5"/>
  <c r="C21" i="5" s="1"/>
  <c r="G18" i="5"/>
  <c r="E12" i="5"/>
  <c r="C24" i="5" s="1"/>
  <c r="C5" i="5"/>
  <c r="B8" i="5"/>
  <c r="D8" i="5" s="1"/>
  <c r="B9" i="5"/>
  <c r="D9" i="5" s="1"/>
  <c r="B7" i="5"/>
  <c r="C10" i="5" s="1"/>
  <c r="C11" i="5" s="1"/>
  <c r="A62" i="4"/>
  <c r="B63" i="4"/>
  <c r="C63" i="4"/>
  <c r="D63" i="4"/>
  <c r="B58" i="4"/>
  <c r="B69" i="4" s="1"/>
  <c r="D69" i="4" s="1"/>
  <c r="A51" i="4"/>
  <c r="A52" i="4"/>
  <c r="B52" i="4"/>
  <c r="A53" i="4"/>
  <c r="A54" i="4"/>
  <c r="A55" i="4"/>
  <c r="A56" i="4"/>
  <c r="A57" i="4"/>
  <c r="A11" i="4"/>
  <c r="A20" i="4" s="1"/>
  <c r="A32" i="4" s="1"/>
  <c r="A63" i="4" s="1"/>
  <c r="B11" i="4"/>
  <c r="B20" i="4" s="1"/>
  <c r="C11" i="4"/>
  <c r="D20" i="4" s="1"/>
  <c r="D11" i="4"/>
  <c r="C20" i="4" s="1"/>
  <c r="E11" i="4"/>
  <c r="E20" i="4" s="1"/>
  <c r="A12" i="4"/>
  <c r="A21" i="4" s="1"/>
  <c r="A33" i="4" s="1"/>
  <c r="A64" i="4" s="1"/>
  <c r="A13" i="4"/>
  <c r="A22" i="4" s="1"/>
  <c r="A34" i="4" s="1"/>
  <c r="A65" i="4" s="1"/>
  <c r="A14" i="4"/>
  <c r="A23" i="4" s="1"/>
  <c r="A35" i="4" s="1"/>
  <c r="A66" i="4" s="1"/>
  <c r="A15" i="4"/>
  <c r="A24" i="4" s="1"/>
  <c r="A36" i="4" s="1"/>
  <c r="A67" i="4" s="1"/>
  <c r="A16" i="4"/>
  <c r="A25" i="4" s="1"/>
  <c r="A37" i="4" s="1"/>
  <c r="A68" i="4" s="1"/>
  <c r="A17" i="4"/>
  <c r="A26" i="4" s="1"/>
  <c r="A38" i="4" s="1"/>
  <c r="A70" i="4" s="1"/>
  <c r="D16" i="4"/>
  <c r="C16" i="4"/>
  <c r="B16" i="4"/>
  <c r="B15" i="4"/>
  <c r="B24" i="4" s="1"/>
  <c r="B13" i="4"/>
  <c r="B22" i="4" s="1"/>
  <c r="C13" i="4"/>
  <c r="D13" i="4"/>
  <c r="C22" i="4" s="1"/>
  <c r="D12" i="4"/>
  <c r="C21" i="4" s="1"/>
  <c r="C12" i="4"/>
  <c r="B12" i="4"/>
  <c r="B21" i="4" s="1"/>
  <c r="B24" i="5" l="1"/>
  <c r="D24" i="5" s="1"/>
  <c r="B35" i="5" s="1"/>
  <c r="C22" i="5"/>
  <c r="C15" i="9"/>
  <c r="E15" i="9" s="1"/>
  <c r="C26" i="9" s="1"/>
  <c r="B7" i="9"/>
  <c r="B10" i="9" s="1"/>
  <c r="D16" i="9"/>
  <c r="E16" i="9" s="1"/>
  <c r="C27" i="9" s="1"/>
  <c r="E8" i="9"/>
  <c r="B29" i="9" s="1"/>
  <c r="D29" i="9" s="1"/>
  <c r="C17" i="9"/>
  <c r="C10" i="9"/>
  <c r="D17" i="9"/>
  <c r="B27" i="9"/>
  <c r="C23" i="5"/>
  <c r="C25" i="5" s="1"/>
  <c r="D21" i="5"/>
  <c r="B32" i="5" s="1"/>
  <c r="D7" i="5"/>
  <c r="E10" i="5" s="1"/>
  <c r="D4" i="4"/>
  <c r="D14" i="4" s="1"/>
  <c r="C23" i="4" s="1"/>
  <c r="E22" i="4"/>
  <c r="C34" i="4" s="1"/>
  <c r="C65" i="4" s="1"/>
  <c r="E21" i="4"/>
  <c r="C33" i="4" s="1"/>
  <c r="C64" i="4" s="1"/>
  <c r="E15" i="4"/>
  <c r="B36" i="4" s="1"/>
  <c r="B67" i="4" s="1"/>
  <c r="E16" i="4"/>
  <c r="B37" i="4" s="1"/>
  <c r="B4" i="4"/>
  <c r="C4" i="4"/>
  <c r="C7" i="4" s="1"/>
  <c r="C17" i="4" s="1"/>
  <c r="E13" i="4"/>
  <c r="B34" i="4" s="1"/>
  <c r="D15" i="4"/>
  <c r="C24" i="4" s="1"/>
  <c r="C15" i="4"/>
  <c r="B55" i="3"/>
  <c r="B54" i="3"/>
  <c r="B53" i="3"/>
  <c r="B52" i="3"/>
  <c r="C50" i="3"/>
  <c r="B50" i="3"/>
  <c r="D23" i="3"/>
  <c r="C43" i="3" s="1"/>
  <c r="D43" i="3" s="1"/>
  <c r="D22" i="3"/>
  <c r="C42" i="3" s="1"/>
  <c r="D42" i="3" s="1"/>
  <c r="C44" i="3"/>
  <c r="D44" i="3" s="1"/>
  <c r="D37" i="3"/>
  <c r="E37" i="3" s="1"/>
  <c r="C51" i="3" s="1"/>
  <c r="C20" i="3"/>
  <c r="D20" i="3" s="1"/>
  <c r="C40" i="3" s="1"/>
  <c r="E40" i="3" s="1"/>
  <c r="C54" i="3" s="1"/>
  <c r="C19" i="3"/>
  <c r="D19" i="3" s="1"/>
  <c r="C39" i="3" s="1"/>
  <c r="E39" i="3" s="1"/>
  <c r="C53" i="3" s="1"/>
  <c r="C18" i="3"/>
  <c r="D18" i="3" s="1"/>
  <c r="C38" i="3" s="1"/>
  <c r="E38" i="3" s="1"/>
  <c r="C52" i="3" s="1"/>
  <c r="W39" i="1"/>
  <c r="W38" i="1"/>
  <c r="U39" i="1"/>
  <c r="U38" i="1"/>
  <c r="U33" i="1"/>
  <c r="T33" i="1"/>
  <c r="V27" i="1"/>
  <c r="V26" i="1"/>
  <c r="V28" i="1" s="1"/>
  <c r="V25" i="1"/>
  <c r="Y14" i="1"/>
  <c r="W13" i="1"/>
  <c r="W12" i="1"/>
  <c r="W11" i="1"/>
  <c r="Y12" i="1"/>
  <c r="X16" i="1"/>
  <c r="T21" i="1"/>
  <c r="U21" i="1" s="1"/>
  <c r="U12" i="1"/>
  <c r="U11" i="1"/>
  <c r="X4" i="1"/>
  <c r="X12" i="1" s="1"/>
  <c r="X5" i="1"/>
  <c r="X13" i="1" s="1"/>
  <c r="Y13" i="1" s="1"/>
  <c r="X3" i="1"/>
  <c r="X11" i="1" s="1"/>
  <c r="Y11" i="1" s="1"/>
  <c r="V4" i="1"/>
  <c r="V5" i="1"/>
  <c r="V3" i="1"/>
  <c r="F5" i="2"/>
  <c r="F4" i="2"/>
  <c r="F3" i="2"/>
  <c r="E3" i="2"/>
  <c r="G3" i="2" s="1"/>
  <c r="H3" i="2" s="1"/>
  <c r="H5" i="2"/>
  <c r="E5" i="2"/>
  <c r="G5" i="2" s="1"/>
  <c r="G6" i="2" s="1"/>
  <c r="E4" i="2"/>
  <c r="G4" i="2" s="1"/>
  <c r="H4" i="2" s="1"/>
  <c r="G26" i="2"/>
  <c r="E26" i="2"/>
  <c r="E25" i="2"/>
  <c r="E24" i="2"/>
  <c r="E22" i="2"/>
  <c r="E21" i="2"/>
  <c r="E20" i="2"/>
  <c r="J10" i="2"/>
  <c r="J9" i="2"/>
  <c r="I9" i="2"/>
  <c r="J7" i="2"/>
  <c r="I7" i="2"/>
  <c r="G11" i="2"/>
  <c r="H19" i="2"/>
  <c r="E16" i="2"/>
  <c r="E17" i="2"/>
  <c r="E15" i="2"/>
  <c r="F18" i="2" s="1"/>
  <c r="F19" i="2" s="1"/>
  <c r="E14" i="2"/>
  <c r="G14" i="2" s="1"/>
  <c r="F12" i="2"/>
  <c r="F11" i="2"/>
  <c r="F10" i="2"/>
  <c r="E11" i="2"/>
  <c r="E12" i="2"/>
  <c r="E10" i="2"/>
  <c r="E7" i="1"/>
  <c r="E16" i="1" s="1"/>
  <c r="B7" i="1"/>
  <c r="B16" i="1" s="1"/>
  <c r="G20" i="1"/>
  <c r="D20" i="1"/>
  <c r="F19" i="1"/>
  <c r="C19" i="1"/>
  <c r="F18" i="1"/>
  <c r="G18" i="1" s="1"/>
  <c r="C18" i="1"/>
  <c r="F16" i="1"/>
  <c r="C16" i="1"/>
  <c r="F15" i="1"/>
  <c r="C15" i="1"/>
  <c r="F13" i="1"/>
  <c r="C13" i="1"/>
  <c r="F12" i="1"/>
  <c r="C12" i="1"/>
  <c r="F7" i="1"/>
  <c r="C7" i="1"/>
  <c r="D7" i="1" s="1"/>
  <c r="F6" i="1"/>
  <c r="G6" i="1" s="1"/>
  <c r="C6" i="1"/>
  <c r="D6" i="1" s="1"/>
  <c r="E18" i="1"/>
  <c r="B18" i="1"/>
  <c r="E15" i="1"/>
  <c r="B15" i="1"/>
  <c r="B13" i="1"/>
  <c r="B12" i="1"/>
  <c r="E12" i="1"/>
  <c r="E11" i="5" l="1"/>
  <c r="B22" i="5"/>
  <c r="D22" i="5" s="1"/>
  <c r="B33" i="5" s="1"/>
  <c r="C19" i="9"/>
  <c r="D19" i="9" s="1"/>
  <c r="D20" i="9" s="1"/>
  <c r="D27" i="9"/>
  <c r="E17" i="9"/>
  <c r="C28" i="9" s="1"/>
  <c r="B26" i="9"/>
  <c r="D26" i="9" s="1"/>
  <c r="E7" i="9"/>
  <c r="E13" i="5"/>
  <c r="B25" i="5" s="1"/>
  <c r="D25" i="5" s="1"/>
  <c r="B36" i="5" s="1"/>
  <c r="B23" i="5"/>
  <c r="D23" i="5" s="1"/>
  <c r="B34" i="5" s="1"/>
  <c r="D34" i="4"/>
  <c r="B65" i="4"/>
  <c r="B68" i="4"/>
  <c r="D7" i="4"/>
  <c r="D17" i="4" s="1"/>
  <c r="B14" i="4"/>
  <c r="B23" i="4" s="1"/>
  <c r="E23" i="4"/>
  <c r="C35" i="4" s="1"/>
  <c r="C66" i="4" s="1"/>
  <c r="B7" i="4"/>
  <c r="B17" i="4" s="1"/>
  <c r="C14" i="4"/>
  <c r="B28" i="4"/>
  <c r="E4" i="4"/>
  <c r="E12" i="4"/>
  <c r="B33" i="4" s="1"/>
  <c r="E24" i="4"/>
  <c r="C36" i="4" s="1"/>
  <c r="D46" i="3"/>
  <c r="E43" i="3"/>
  <c r="E42" i="3"/>
  <c r="E44" i="3"/>
  <c r="C55" i="3" s="1"/>
  <c r="C46" i="3"/>
  <c r="D26" i="3"/>
  <c r="B19" i="1"/>
  <c r="V11" i="1"/>
  <c r="V12" i="1"/>
  <c r="U13" i="1"/>
  <c r="V13" i="1" s="1"/>
  <c r="G15" i="2"/>
  <c r="G7" i="1"/>
  <c r="H7" i="1" s="1"/>
  <c r="M7" i="1" s="1"/>
  <c r="E19" i="1"/>
  <c r="G19" i="1" s="1"/>
  <c r="E13" i="1"/>
  <c r="D13" i="1"/>
  <c r="G8" i="1"/>
  <c r="D8" i="1"/>
  <c r="G13" i="1"/>
  <c r="H13" i="1" s="1"/>
  <c r="D12" i="1"/>
  <c r="G16" i="1"/>
  <c r="H6" i="1"/>
  <c r="D18" i="1"/>
  <c r="H18" i="1" s="1"/>
  <c r="D19" i="1"/>
  <c r="H20" i="1"/>
  <c r="M20" i="1" s="1"/>
  <c r="G15" i="1"/>
  <c r="G12" i="1"/>
  <c r="D15" i="1"/>
  <c r="D16" i="1"/>
  <c r="G17" i="1"/>
  <c r="E19" i="9" l="1"/>
  <c r="C30" i="9" s="1"/>
  <c r="D30" i="9" s="1"/>
  <c r="C20" i="9"/>
  <c r="E10" i="9"/>
  <c r="B28" i="9"/>
  <c r="D28" i="9" s="1"/>
  <c r="C28" i="4"/>
  <c r="C25" i="4" s="1"/>
  <c r="B25" i="4"/>
  <c r="B26" i="4" s="1"/>
  <c r="D36" i="4"/>
  <c r="C67" i="4"/>
  <c r="D33" i="4"/>
  <c r="B64" i="4"/>
  <c r="B45" i="4"/>
  <c r="D65" i="4"/>
  <c r="E14" i="4"/>
  <c r="B35" i="4" s="1"/>
  <c r="E7" i="4"/>
  <c r="E17" i="4" s="1"/>
  <c r="B38" i="4" s="1"/>
  <c r="B70" i="4" s="1"/>
  <c r="E46" i="3"/>
  <c r="C56" i="3" s="1"/>
  <c r="H19" i="1"/>
  <c r="H15" i="1"/>
  <c r="H14" i="1" s="1"/>
  <c r="I7" i="1"/>
  <c r="D14" i="1"/>
  <c r="I20" i="1"/>
  <c r="G14" i="1"/>
  <c r="G11" i="1"/>
  <c r="H17" i="1"/>
  <c r="I18" i="1"/>
  <c r="M18" i="1"/>
  <c r="M13" i="1"/>
  <c r="I13" i="1"/>
  <c r="H16" i="1"/>
  <c r="H12" i="1"/>
  <c r="I15" i="1"/>
  <c r="M15" i="1"/>
  <c r="D11" i="1"/>
  <c r="D17" i="1"/>
  <c r="H8" i="1"/>
  <c r="I6" i="1"/>
  <c r="I8" i="1" s="1"/>
  <c r="M6" i="1"/>
  <c r="M19" i="1"/>
  <c r="I19" i="1"/>
  <c r="E20" i="9" l="1"/>
  <c r="C31" i="9" s="1"/>
  <c r="B31" i="9"/>
  <c r="E25" i="4"/>
  <c r="C26" i="4"/>
  <c r="B44" i="4"/>
  <c r="B53" i="4" s="1"/>
  <c r="D64" i="4"/>
  <c r="D35" i="4"/>
  <c r="B66" i="4"/>
  <c r="B54" i="4"/>
  <c r="B47" i="4"/>
  <c r="B56" i="4" s="1"/>
  <c r="D67" i="4"/>
  <c r="G22" i="1"/>
  <c r="M8" i="1"/>
  <c r="M12" i="1"/>
  <c r="H11" i="1"/>
  <c r="M11" i="1" s="1"/>
  <c r="I12" i="1"/>
  <c r="I16" i="1"/>
  <c r="M16" i="1"/>
  <c r="D22" i="1"/>
  <c r="D31" i="9" l="1"/>
  <c r="E21" i="9"/>
  <c r="C37" i="4"/>
  <c r="E26" i="4"/>
  <c r="B46" i="4"/>
  <c r="B55" i="4" s="1"/>
  <c r="D66" i="4"/>
  <c r="I22" i="1"/>
  <c r="N22" i="1"/>
  <c r="G24" i="1"/>
  <c r="H22" i="1"/>
  <c r="M22" i="1"/>
  <c r="D24" i="1"/>
  <c r="C38" i="4" l="1"/>
  <c r="E27" i="4"/>
  <c r="C68" i="4"/>
  <c r="D37" i="4"/>
  <c r="D68" i="4" s="1"/>
  <c r="N24" i="1"/>
  <c r="G25" i="1"/>
  <c r="M24" i="1"/>
  <c r="D25" i="1"/>
  <c r="O22" i="1"/>
  <c r="H24" i="1"/>
  <c r="O24" i="1" s="1"/>
  <c r="C70" i="4" l="1"/>
  <c r="D38" i="4"/>
  <c r="I24" i="1"/>
  <c r="D70" i="4" l="1"/>
  <c r="B48" i="4"/>
  <c r="B57" i="4" s="1"/>
  <c r="B59" i="4" s="1"/>
</calcChain>
</file>

<file path=xl/sharedStrings.xml><?xml version="1.0" encoding="utf-8"?>
<sst xmlns="http://schemas.openxmlformats.org/spreadsheetml/2006/main" count="198" uniqueCount="107">
  <si>
    <t>Khoản mục</t>
  </si>
  <si>
    <t>Ngân sách</t>
  </si>
  <si>
    <t>Số lượng</t>
  </si>
  <si>
    <t>Đơn giá</t>
  </si>
  <si>
    <t>T.tiền</t>
  </si>
  <si>
    <t>Thực tế</t>
  </si>
  <si>
    <t>Khác biệt</t>
  </si>
  <si>
    <t>%</t>
  </si>
  <si>
    <t>Giá trị</t>
  </si>
  <si>
    <t>Doanh thu</t>
  </si>
  <si>
    <t>Sản phẩm 01 (SP01)</t>
  </si>
  <si>
    <t>Sản phẩm 02 (SP02)</t>
  </si>
  <si>
    <t>Total</t>
  </si>
  <si>
    <t>Chí phí</t>
  </si>
  <si>
    <t>Chi phí nguyên vật liệu trực tiếp</t>
  </si>
  <si>
    <t>SP01</t>
  </si>
  <si>
    <t>SP02</t>
  </si>
  <si>
    <t>Chi phí nhân công trực tiếp</t>
  </si>
  <si>
    <t>Chi phí sản xuất chung biến đổi</t>
  </si>
  <si>
    <t>Chi phí sản xuất chung cố định</t>
  </si>
  <si>
    <t>Total chi phí</t>
  </si>
  <si>
    <t>Lợi nhuận</t>
  </si>
  <si>
    <t>% Lợi nhuận</t>
  </si>
  <si>
    <t>Đvt: ngàn đồng</t>
  </si>
  <si>
    <t>BÁO CÁO PHÂN TÍCH PHƯƠNG SAI NĂM 2021</t>
  </si>
  <si>
    <t>Lao động lành nghề</t>
  </si>
  <si>
    <t xml:space="preserve">Lao động bán kỹ năng </t>
  </si>
  <si>
    <t>Lao động phổ thông</t>
  </si>
  <si>
    <t>Giờ lao động</t>
  </si>
  <si>
    <t>Chi phí tiêu chuẩn</t>
  </si>
  <si>
    <t>Phương sai</t>
  </si>
  <si>
    <t>Sản xuất</t>
  </si>
  <si>
    <t>Mua bên ngoài</t>
  </si>
  <si>
    <t>Chi phí sản xuất biến đổi</t>
  </si>
  <si>
    <t>Vật liệu trực tiếp</t>
  </si>
  <si>
    <t>Lao động trực tiếp</t>
  </si>
  <si>
    <t>Chi phí chung biến đổi</t>
  </si>
  <si>
    <t>Từ nhà cung cấp</t>
  </si>
  <si>
    <t>Chi phí sản xuất cố định</t>
  </si>
  <si>
    <t>Tiền thuê thiết bị</t>
  </si>
  <si>
    <t>Tiền thuê nhá xưởng</t>
  </si>
  <si>
    <t>Lương quản lý sản xuất</t>
  </si>
  <si>
    <t>Đơn vị sản phẩm</t>
  </si>
  <si>
    <t>Chi phí để sản xuất 10.000 sản phẩm</t>
  </si>
  <si>
    <t>Cộng chi phí sản xuất</t>
  </si>
  <si>
    <t>Chi phí để  mua 10.000 sản phẩm</t>
  </si>
  <si>
    <t>Chi phí mua bên ngoài</t>
  </si>
  <si>
    <t>Báo cáo Phân tích Sự khác biệt tự sản xuất hoặc Mua cho sản phẩm xe đạp</t>
  </si>
  <si>
    <t>Chi phí tăng thêm do mua bên ngoài</t>
  </si>
  <si>
    <t>Chi phí tăng từ mua bên ngoài</t>
  </si>
  <si>
    <t>Doanh thu bán hàng</t>
  </si>
  <si>
    <t>Chi phí biến đổi</t>
  </si>
  <si>
    <t xml:space="preserve">Số dư đảm phí </t>
  </si>
  <si>
    <t>Chi phí cố định trực tiếp</t>
  </si>
  <si>
    <t>Chi phí cố định được phân bổ</t>
  </si>
  <si>
    <t>Nhóm Mít</t>
  </si>
  <si>
    <t>Nhóm Thập Cẩm</t>
  </si>
  <si>
    <t>Nhóm Chuối</t>
  </si>
  <si>
    <t>Tổng cộng</t>
  </si>
  <si>
    <t>Phương án 1: giữ lại cả ba dòng sản phẩm</t>
  </si>
  <si>
    <t>Phương án 2: Loại bỏ nhóm Thập Cẩm</t>
  </si>
  <si>
    <t xml:space="preserve">Báo cáo phân tích sự khác biệt </t>
  </si>
  <si>
    <t>Phương án 1</t>
  </si>
  <si>
    <t>Phương án 2</t>
  </si>
  <si>
    <t>Doanh thu bán hàng sụt giảm</t>
  </si>
  <si>
    <t>Số dư đảm phí loại trừ</t>
  </si>
  <si>
    <t>Chi phí biến đổi loại trừ</t>
  </si>
  <si>
    <t>Chi phí cố định trực tiếp loại trừ</t>
  </si>
  <si>
    <t>Lợi nhuận giảm do loại bỏ sản phẩm</t>
  </si>
  <si>
    <t>Tóm tắt phân tích chênh lệch cho công ty XYZ</t>
  </si>
  <si>
    <t xml:space="preserve">Cho thuê diện tích hiện đang được sử dụng cho dòng sản phẩm Thập Cẩm </t>
  </si>
  <si>
    <t>Lợi nhuận do loại bỏ sản phẩm</t>
  </si>
  <si>
    <t>Chi phí cơ hội</t>
  </si>
  <si>
    <t>Công ty X</t>
  </si>
  <si>
    <t>Công ty Y</t>
  </si>
  <si>
    <t>Công ty Z</t>
  </si>
  <si>
    <t>Phương án 1: Giữ lại cả ba khách hàng</t>
  </si>
  <si>
    <t>Phương án 2: Loại bỏ Công ty X</t>
  </si>
  <si>
    <t xml:space="preserve"> - Vật liệu trực tiếp</t>
  </si>
  <si>
    <t xml:space="preserve"> - Lao động trực tiếp</t>
  </si>
  <si>
    <t xml:space="preserve"> - Chi phí chung biến đổi</t>
  </si>
  <si>
    <t>Cộng chi phí biến đổi</t>
  </si>
  <si>
    <t>Chi phí cố định</t>
  </si>
  <si>
    <t>Giá trị bán 2.000 sản phẩm</t>
  </si>
  <si>
    <t xml:space="preserve">Phân tích chênh lệch đơn đặt hàng đặc biệt cho doanh nghiệp X </t>
  </si>
  <si>
    <t>BÁO CÁO KẾT QUẢ CHẤP NHẬN ĐƠN HÀNG DOANH NGHIỆP X</t>
  </si>
  <si>
    <t>Doanh thu bán hàng tăng</t>
  </si>
  <si>
    <t>Chi phí biến đổi tăng</t>
  </si>
  <si>
    <t>Số dư đảm phí tăng</t>
  </si>
  <si>
    <t>Chi phí cố định tăng</t>
  </si>
  <si>
    <t>Lợi nhuận tăng</t>
  </si>
  <si>
    <t>Giá bán một đơn vị</t>
  </si>
  <si>
    <t>Sản phẩm 01</t>
  </si>
  <si>
    <t>Sản phẩm 02</t>
  </si>
  <si>
    <t>Sản phẩm 03</t>
  </si>
  <si>
    <t>Biến phí một đơn vị</t>
  </si>
  <si>
    <t>Số dư đảm phí một đơn vị</t>
  </si>
  <si>
    <t>Giờ lao động để kiểm tra 1 đơn vị</t>
  </si>
  <si>
    <t>Số dư đảm phí cho 1 giờ lao động</t>
  </si>
  <si>
    <r>
      <rPr>
        <sz val="12"/>
        <color theme="1"/>
        <rFont val="Calibri"/>
        <family val="2"/>
      </rPr>
      <t>÷</t>
    </r>
    <r>
      <rPr>
        <sz val="12"/>
        <color theme="1"/>
        <rFont val="Tahoma"/>
        <family val="2"/>
      </rPr>
      <t xml:space="preserve"> 0.3</t>
    </r>
  </si>
  <si>
    <r>
      <rPr>
        <sz val="12"/>
        <color theme="1"/>
        <rFont val="Calibri"/>
        <family val="2"/>
      </rPr>
      <t>÷</t>
    </r>
    <r>
      <rPr>
        <sz val="12"/>
        <color theme="1"/>
        <rFont val="Tahoma"/>
        <family val="2"/>
      </rPr>
      <t xml:space="preserve"> 0.5</t>
    </r>
  </si>
  <si>
    <r>
      <rPr>
        <sz val="12"/>
        <color theme="1"/>
        <rFont val="Calibri"/>
        <family val="2"/>
      </rPr>
      <t>÷</t>
    </r>
    <r>
      <rPr>
        <sz val="12"/>
        <color theme="1"/>
        <rFont val="Tahoma"/>
        <family val="2"/>
      </rPr>
      <t xml:space="preserve"> 0.4</t>
    </r>
  </si>
  <si>
    <t>Biên đóng góp cho mỗi Đơn vị Tài nguyên Hạn chế</t>
  </si>
  <si>
    <t>1. Quyết định Sản xuất hoặc mua sản phẩm</t>
  </si>
  <si>
    <t>Theo tỷ lệ doanh thu</t>
  </si>
  <si>
    <t>3. Quyết định xem nên giữ hay bỏ khách hàng.</t>
  </si>
  <si>
    <t>4. Quyết định về Đơn hàng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</si>
</sst>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.##0.00_);_(* \(#.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u/>
      <sz val="12"/>
      <color theme="1"/>
      <name val="Tahoma"/>
      <family val="2"/>
    </font>
    <font>
      <b/>
      <u val="singleAccounting"/>
      <sz val="12"/>
      <color theme="1"/>
      <name val="Tahoma"/>
      <family val="2"/>
    </font>
    <font>
      <u val="singleAccounting"/>
      <sz val="12"/>
      <color theme="1"/>
      <name val="Tahoma"/>
      <family val="2"/>
    </font>
    <font>
      <b/>
      <sz val="11"/>
      <color theme="1"/>
      <name val="Tahoma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0" borderId="0" xfId="1" applyNumberFormat="1" applyFont="1"/>
    <xf numFmtId="10" fontId="4" fillId="0" borderId="0" xfId="2" applyNumberFormat="1" applyFont="1"/>
    <xf numFmtId="164" fontId="4" fillId="0" borderId="0" xfId="0" applyNumberFormat="1" applyFont="1"/>
    <xf numFmtId="43" fontId="4" fillId="0" borderId="0" xfId="1" applyFont="1"/>
    <xf numFmtId="43" fontId="4" fillId="0" borderId="0" xfId="0" applyNumberFormat="1" applyFont="1"/>
    <xf numFmtId="0" fontId="3" fillId="0" borderId="3" xfId="0" applyFont="1" applyBorder="1"/>
    <xf numFmtId="164" fontId="4" fillId="0" borderId="3" xfId="1" applyNumberFormat="1" applyFont="1" applyBorder="1"/>
    <xf numFmtId="0" fontId="4" fillId="0" borderId="4" xfId="0" applyFont="1" applyBorder="1"/>
    <xf numFmtId="164" fontId="4" fillId="0" borderId="4" xfId="1" applyNumberFormat="1" applyFont="1" applyBorder="1"/>
    <xf numFmtId="43" fontId="4" fillId="0" borderId="4" xfId="1" applyFont="1" applyBorder="1"/>
    <xf numFmtId="10" fontId="4" fillId="0" borderId="4" xfId="2" applyNumberFormat="1" applyFont="1" applyBorder="1"/>
    <xf numFmtId="0" fontId="5" fillId="0" borderId="5" xfId="0" applyFont="1" applyBorder="1"/>
    <xf numFmtId="164" fontId="5" fillId="0" borderId="5" xfId="1" applyNumberFormat="1" applyFont="1" applyBorder="1"/>
    <xf numFmtId="10" fontId="5" fillId="0" borderId="5" xfId="2" applyNumberFormat="1" applyFont="1" applyBorder="1"/>
    <xf numFmtId="164" fontId="5" fillId="0" borderId="4" xfId="1" applyNumberFormat="1" applyFont="1" applyBorder="1"/>
    <xf numFmtId="0" fontId="4" fillId="0" borderId="5" xfId="0" applyFont="1" applyBorder="1"/>
    <xf numFmtId="164" fontId="4" fillId="0" borderId="5" xfId="1" applyNumberFormat="1" applyFont="1" applyBorder="1"/>
    <xf numFmtId="0" fontId="4" fillId="0" borderId="6" xfId="0" applyFont="1" applyBorder="1"/>
    <xf numFmtId="164" fontId="4" fillId="0" borderId="7" xfId="1" applyNumberFormat="1" applyFont="1" applyBorder="1"/>
    <xf numFmtId="164" fontId="4" fillId="0" borderId="8" xfId="1" applyNumberFormat="1" applyFont="1" applyBorder="1"/>
    <xf numFmtId="0" fontId="4" fillId="0" borderId="3" xfId="0" applyFont="1" applyBorder="1"/>
    <xf numFmtId="0" fontId="3" fillId="0" borderId="5" xfId="0" applyFont="1" applyBorder="1"/>
    <xf numFmtId="164" fontId="3" fillId="0" borderId="5" xfId="1" applyNumberFormat="1" applyFont="1" applyBorder="1"/>
    <xf numFmtId="10" fontId="3" fillId="0" borderId="5" xfId="2" applyNumberFormat="1" applyFont="1" applyBorder="1"/>
    <xf numFmtId="0" fontId="5" fillId="0" borderId="3" xfId="0" applyFont="1" applyBorder="1"/>
    <xf numFmtId="164" fontId="5" fillId="0" borderId="3" xfId="1" applyNumberFormat="1" applyFont="1" applyBorder="1"/>
    <xf numFmtId="10" fontId="5" fillId="0" borderId="3" xfId="2" applyNumberFormat="1" applyFont="1" applyBorder="1"/>
    <xf numFmtId="10" fontId="0" fillId="0" borderId="0" xfId="0" applyNumberFormat="1"/>
    <xf numFmtId="165" fontId="0" fillId="0" borderId="0" xfId="0" applyNumberFormat="1"/>
    <xf numFmtId="164" fontId="4" fillId="0" borderId="0" xfId="1" applyNumberFormat="1" applyFont="1" applyBorder="1"/>
    <xf numFmtId="164" fontId="3" fillId="2" borderId="1" xfId="1" applyNumberFormat="1" applyFont="1" applyFill="1" applyBorder="1"/>
    <xf numFmtId="43" fontId="4" fillId="0" borderId="3" xfId="1" applyFont="1" applyBorder="1"/>
    <xf numFmtId="43" fontId="4" fillId="0" borderId="5" xfId="1" applyFont="1" applyBorder="1"/>
    <xf numFmtId="0" fontId="3" fillId="2" borderId="0" xfId="0" applyFont="1" applyFill="1" applyAlignment="1">
      <alignment horizontal="center"/>
    </xf>
    <xf numFmtId="164" fontId="3" fillId="2" borderId="0" xfId="1" applyNumberFormat="1" applyFont="1" applyFill="1" applyBorder="1"/>
    <xf numFmtId="0" fontId="3" fillId="2" borderId="1" xfId="0" applyFont="1" applyFill="1" applyBorder="1" applyAlignment="1">
      <alignment horizontal="center"/>
    </xf>
    <xf numFmtId="3" fontId="4" fillId="0" borderId="0" xfId="0" applyNumberFormat="1" applyFont="1"/>
    <xf numFmtId="165" fontId="4" fillId="0" borderId="0" xfId="0" applyNumberFormat="1" applyFont="1"/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164" fontId="3" fillId="0" borderId="8" xfId="1" applyNumberFormat="1" applyFont="1" applyBorder="1"/>
    <xf numFmtId="164" fontId="4" fillId="0" borderId="10" xfId="0" applyNumberFormat="1" applyFont="1" applyBorder="1"/>
    <xf numFmtId="164" fontId="4" fillId="0" borderId="4" xfId="0" applyNumberFormat="1" applyFont="1" applyBorder="1"/>
    <xf numFmtId="3" fontId="4" fillId="0" borderId="5" xfId="0" applyNumberFormat="1" applyFont="1" applyBorder="1"/>
    <xf numFmtId="164" fontId="4" fillId="0" borderId="5" xfId="0" applyNumberFormat="1" applyFont="1" applyBorder="1"/>
    <xf numFmtId="164" fontId="4" fillId="0" borderId="1" xfId="1" applyNumberFormat="1" applyFont="1" applyBorder="1"/>
    <xf numFmtId="0" fontId="4" fillId="0" borderId="7" xfId="0" applyFont="1" applyBorder="1"/>
    <xf numFmtId="0" fontId="4" fillId="0" borderId="8" xfId="0" applyFont="1" applyBorder="1"/>
    <xf numFmtId="164" fontId="6" fillId="0" borderId="5" xfId="1" applyNumberFormat="1" applyFont="1" applyBorder="1"/>
    <xf numFmtId="0" fontId="5" fillId="0" borderId="4" xfId="0" applyFont="1" applyBorder="1"/>
    <xf numFmtId="164" fontId="4" fillId="0" borderId="9" xfId="0" applyNumberFormat="1" applyFont="1" applyBorder="1"/>
    <xf numFmtId="164" fontId="4" fillId="0" borderId="3" xfId="0" applyNumberFormat="1" applyFont="1" applyBorder="1"/>
    <xf numFmtId="164" fontId="7" fillId="0" borderId="5" xfId="0" applyNumberFormat="1" applyFont="1" applyBorder="1"/>
    <xf numFmtId="164" fontId="4" fillId="0" borderId="4" xfId="0" applyNumberFormat="1" applyFont="1" applyBorder="1" applyAlignment="1">
      <alignment vertical="center"/>
    </xf>
    <xf numFmtId="164" fontId="7" fillId="0" borderId="4" xfId="0" applyNumberFormat="1" applyFont="1" applyBorder="1"/>
    <xf numFmtId="0" fontId="4" fillId="0" borderId="4" xfId="0" applyFont="1" applyBorder="1" applyAlignment="1">
      <alignment vertical="center" wrapText="1"/>
    </xf>
    <xf numFmtId="164" fontId="6" fillId="0" borderId="5" xfId="0" applyNumberFormat="1" applyFont="1" applyBorder="1"/>
    <xf numFmtId="164" fontId="7" fillId="0" borderId="4" xfId="1" applyNumberFormat="1" applyFont="1" applyBorder="1"/>
    <xf numFmtId="0" fontId="8" fillId="0" borderId="6" xfId="0" applyFont="1" applyBorder="1"/>
    <xf numFmtId="164" fontId="3" fillId="0" borderId="5" xfId="0" applyNumberFormat="1" applyFont="1" applyBorder="1"/>
    <xf numFmtId="164" fontId="4" fillId="0" borderId="4" xfId="1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Border="1"/>
    <xf numFmtId="0" fontId="4" fillId="0" borderId="2" xfId="0" applyFont="1" applyBorder="1"/>
    <xf numFmtId="164" fontId="4" fillId="0" borderId="2" xfId="1" applyNumberFormat="1" applyFont="1" applyBorder="1"/>
    <xf numFmtId="164" fontId="4" fillId="0" borderId="0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35D0-CB18-4C06-92CB-B2A501CD2230}">
  <dimension ref="B2:H56"/>
  <sheetViews>
    <sheetView showGridLines="0" workbookViewId="0">
      <selection activeCell="D16" sqref="D16"/>
    </sheetView>
  </sheetViews>
  <sheetFormatPr defaultColWidth="8.77734375" defaultRowHeight="15" x14ac:dyDescent="0.25"/>
  <cols>
    <col min="1" max="1" width="2.77734375" style="4" customWidth="1"/>
    <col min="2" max="2" width="39.6640625" style="4" customWidth="1"/>
    <col min="3" max="4" width="25.109375" style="4" customWidth="1"/>
    <col min="5" max="5" width="20.88671875" style="4" bestFit="1" customWidth="1"/>
    <col min="6" max="6" width="8.77734375" style="4"/>
    <col min="7" max="7" width="12.88671875" style="4" bestFit="1" customWidth="1"/>
    <col min="8" max="8" width="16.44140625" style="4" bestFit="1" customWidth="1"/>
    <col min="9" max="16384" width="8.77734375" style="4"/>
  </cols>
  <sheetData>
    <row r="2" spans="2:4" x14ac:dyDescent="0.25">
      <c r="B2" s="79" t="s">
        <v>103</v>
      </c>
      <c r="C2" s="79"/>
      <c r="D2" s="79"/>
    </row>
    <row r="4" spans="2:4" x14ac:dyDescent="0.25">
      <c r="B4" s="46" t="s">
        <v>0</v>
      </c>
      <c r="C4" s="46" t="s">
        <v>31</v>
      </c>
      <c r="D4" s="46" t="s">
        <v>32</v>
      </c>
    </row>
    <row r="5" spans="2:4" x14ac:dyDescent="0.25">
      <c r="B5" s="75" t="s">
        <v>33</v>
      </c>
      <c r="C5" s="27" t="s">
        <v>34</v>
      </c>
      <c r="D5" s="27" t="s">
        <v>37</v>
      </c>
    </row>
    <row r="6" spans="2:4" x14ac:dyDescent="0.25">
      <c r="B6" s="75"/>
      <c r="C6" s="14" t="s">
        <v>35</v>
      </c>
      <c r="D6" s="14"/>
    </row>
    <row r="7" spans="2:4" x14ac:dyDescent="0.25">
      <c r="B7" s="75"/>
      <c r="C7" s="22" t="s">
        <v>36</v>
      </c>
      <c r="D7" s="22"/>
    </row>
    <row r="8" spans="2:4" x14ac:dyDescent="0.25">
      <c r="B8" s="75" t="s">
        <v>38</v>
      </c>
      <c r="C8" s="27" t="s">
        <v>39</v>
      </c>
      <c r="D8" s="27" t="s">
        <v>39</v>
      </c>
    </row>
    <row r="9" spans="2:4" x14ac:dyDescent="0.25">
      <c r="B9" s="75"/>
      <c r="C9" s="14" t="s">
        <v>40</v>
      </c>
      <c r="D9" s="14" t="s">
        <v>40</v>
      </c>
    </row>
    <row r="10" spans="2:4" x14ac:dyDescent="0.25">
      <c r="B10" s="75"/>
      <c r="C10" s="22" t="s">
        <v>41</v>
      </c>
      <c r="D10" s="22" t="s">
        <v>41</v>
      </c>
    </row>
    <row r="16" spans="2:4" ht="30" x14ac:dyDescent="0.25">
      <c r="B16" s="46" t="s">
        <v>31</v>
      </c>
      <c r="C16" s="46" t="s">
        <v>42</v>
      </c>
      <c r="D16" s="46" t="s">
        <v>43</v>
      </c>
    </row>
    <row r="17" spans="2:5" x14ac:dyDescent="0.25">
      <c r="B17" s="12" t="s">
        <v>33</v>
      </c>
      <c r="C17" s="27"/>
      <c r="D17" s="27"/>
    </row>
    <row r="18" spans="2:5" x14ac:dyDescent="0.25">
      <c r="B18" s="14" t="s">
        <v>34</v>
      </c>
      <c r="C18" s="15">
        <f>30*24000</f>
        <v>720000</v>
      </c>
      <c r="D18" s="15">
        <f>C18*10000</f>
        <v>7200000000</v>
      </c>
    </row>
    <row r="19" spans="2:5" x14ac:dyDescent="0.25">
      <c r="B19" s="14" t="s">
        <v>35</v>
      </c>
      <c r="C19" s="15">
        <f>16*24000</f>
        <v>384000</v>
      </c>
      <c r="D19" s="15">
        <f>C19*10000</f>
        <v>3840000000</v>
      </c>
    </row>
    <row r="20" spans="2:5" x14ac:dyDescent="0.25">
      <c r="B20" s="22" t="s">
        <v>36</v>
      </c>
      <c r="C20" s="23">
        <f>10*24000</f>
        <v>240000</v>
      </c>
      <c r="D20" s="23">
        <f>C20*10000</f>
        <v>2400000000</v>
      </c>
    </row>
    <row r="21" spans="2:5" x14ac:dyDescent="0.25">
      <c r="B21" s="12" t="s">
        <v>38</v>
      </c>
      <c r="C21" s="27"/>
      <c r="D21" s="27"/>
    </row>
    <row r="22" spans="2:5" x14ac:dyDescent="0.25">
      <c r="B22" s="14" t="s">
        <v>39</v>
      </c>
      <c r="C22" s="15"/>
      <c r="D22" s="15">
        <f>(110000*24000)+1272000000</f>
        <v>3912000000</v>
      </c>
    </row>
    <row r="23" spans="2:5" x14ac:dyDescent="0.25">
      <c r="B23" s="14" t="s">
        <v>40</v>
      </c>
      <c r="C23" s="15"/>
      <c r="D23" s="15">
        <f>(290000*24000)+1272000000</f>
        <v>8232000000</v>
      </c>
    </row>
    <row r="24" spans="2:5" x14ac:dyDescent="0.25">
      <c r="B24" s="22" t="s">
        <v>41</v>
      </c>
      <c r="C24" s="23"/>
      <c r="D24" s="23">
        <v>816000000</v>
      </c>
    </row>
    <row r="25" spans="2:5" x14ac:dyDescent="0.25">
      <c r="B25" s="24"/>
      <c r="C25" s="25"/>
      <c r="D25" s="26"/>
    </row>
    <row r="26" spans="2:5" x14ac:dyDescent="0.25">
      <c r="B26" s="47" t="s">
        <v>44</v>
      </c>
      <c r="C26" s="48"/>
      <c r="D26" s="49">
        <f>SUM(D17:D24)</f>
        <v>26400000000</v>
      </c>
      <c r="E26" s="9"/>
    </row>
    <row r="27" spans="2:5" x14ac:dyDescent="0.25">
      <c r="C27" s="43"/>
    </row>
    <row r="28" spans="2:5" hidden="1" x14ac:dyDescent="0.25">
      <c r="C28" s="9"/>
    </row>
    <row r="29" spans="2:5" hidden="1" x14ac:dyDescent="0.25">
      <c r="D29" s="15">
        <f>19000*24000</f>
        <v>456000000</v>
      </c>
    </row>
    <row r="30" spans="2:5" hidden="1" x14ac:dyDescent="0.25">
      <c r="D30" s="9">
        <f>D29/12</f>
        <v>38000000</v>
      </c>
    </row>
    <row r="31" spans="2:5" hidden="1" x14ac:dyDescent="0.25">
      <c r="D31" s="10">
        <v>360000000</v>
      </c>
    </row>
    <row r="32" spans="2:5" hidden="1" x14ac:dyDescent="0.25"/>
    <row r="34" spans="2:8" x14ac:dyDescent="0.25">
      <c r="B34" s="47" t="s">
        <v>47</v>
      </c>
      <c r="C34" s="55"/>
      <c r="D34" s="55"/>
      <c r="E34" s="56"/>
    </row>
    <row r="35" spans="2:8" ht="30" x14ac:dyDescent="0.25">
      <c r="B35" s="46" t="s">
        <v>0</v>
      </c>
      <c r="C35" s="46" t="s">
        <v>43</v>
      </c>
      <c r="D35" s="46" t="s">
        <v>45</v>
      </c>
      <c r="E35" s="46" t="s">
        <v>6</v>
      </c>
    </row>
    <row r="36" spans="2:8" x14ac:dyDescent="0.25">
      <c r="B36" s="12" t="s">
        <v>33</v>
      </c>
      <c r="C36" s="27"/>
      <c r="D36" s="13"/>
      <c r="E36" s="13"/>
    </row>
    <row r="37" spans="2:8" x14ac:dyDescent="0.25">
      <c r="B37" s="14" t="s">
        <v>46</v>
      </c>
      <c r="C37" s="14"/>
      <c r="D37" s="15">
        <f>10000*1920000</f>
        <v>19200000000</v>
      </c>
      <c r="E37" s="15">
        <f t="shared" ref="E37:E39" si="0">C37-D37</f>
        <v>-19200000000</v>
      </c>
    </row>
    <row r="38" spans="2:8" x14ac:dyDescent="0.25">
      <c r="B38" s="14" t="s">
        <v>34</v>
      </c>
      <c r="C38" s="15">
        <f>D18</f>
        <v>7200000000</v>
      </c>
      <c r="D38" s="15"/>
      <c r="E38" s="15">
        <f t="shared" si="0"/>
        <v>7200000000</v>
      </c>
    </row>
    <row r="39" spans="2:8" x14ac:dyDescent="0.25">
      <c r="B39" s="14" t="s">
        <v>35</v>
      </c>
      <c r="C39" s="15">
        <f>D19</f>
        <v>3840000000</v>
      </c>
      <c r="D39" s="15"/>
      <c r="E39" s="15">
        <f t="shared" si="0"/>
        <v>3840000000</v>
      </c>
    </row>
    <row r="40" spans="2:8" x14ac:dyDescent="0.25">
      <c r="B40" s="22" t="s">
        <v>36</v>
      </c>
      <c r="C40" s="23">
        <f>D20</f>
        <v>2400000000</v>
      </c>
      <c r="D40" s="23"/>
      <c r="E40" s="23">
        <f>C40-D40</f>
        <v>2400000000</v>
      </c>
    </row>
    <row r="41" spans="2:8" x14ac:dyDescent="0.25">
      <c r="B41" s="12" t="s">
        <v>38</v>
      </c>
      <c r="C41" s="27"/>
      <c r="D41" s="27"/>
      <c r="E41" s="27"/>
    </row>
    <row r="42" spans="2:8" x14ac:dyDescent="0.25">
      <c r="B42" s="14" t="s">
        <v>39</v>
      </c>
      <c r="C42" s="15">
        <f>D22</f>
        <v>3912000000</v>
      </c>
      <c r="D42" s="51">
        <f>C42</f>
        <v>3912000000</v>
      </c>
      <c r="E42" s="51">
        <f>C42-D42</f>
        <v>0</v>
      </c>
    </row>
    <row r="43" spans="2:8" x14ac:dyDescent="0.25">
      <c r="B43" s="14" t="s">
        <v>40</v>
      </c>
      <c r="C43" s="15">
        <f>D23</f>
        <v>8232000000</v>
      </c>
      <c r="D43" s="51">
        <f>C43</f>
        <v>8232000000</v>
      </c>
      <c r="E43" s="51">
        <f>C43-D43</f>
        <v>0</v>
      </c>
    </row>
    <row r="44" spans="2:8" x14ac:dyDescent="0.25">
      <c r="B44" s="22" t="s">
        <v>41</v>
      </c>
      <c r="C44" s="23">
        <f>D24</f>
        <v>816000000</v>
      </c>
      <c r="D44" s="52">
        <f>C44-360000000</f>
        <v>456000000</v>
      </c>
      <c r="E44" s="53">
        <f>C44-D44</f>
        <v>360000000</v>
      </c>
    </row>
    <row r="45" spans="2:8" x14ac:dyDescent="0.25">
      <c r="B45" s="45"/>
      <c r="C45" s="54"/>
      <c r="D45" s="45"/>
      <c r="E45" s="45"/>
    </row>
    <row r="46" spans="2:8" x14ac:dyDescent="0.25">
      <c r="B46" s="47" t="s">
        <v>44</v>
      </c>
      <c r="C46" s="49">
        <f>SUM(C36:C44)</f>
        <v>26400000000</v>
      </c>
      <c r="D46" s="49">
        <f>SUM(D36:D44)</f>
        <v>31800000000</v>
      </c>
      <c r="E46" s="49">
        <f>SUM(E36:E44)</f>
        <v>-5400000000</v>
      </c>
      <c r="H46" s="9"/>
    </row>
    <row r="47" spans="2:8" x14ac:dyDescent="0.25">
      <c r="H47" s="9"/>
    </row>
    <row r="50" spans="2:3" x14ac:dyDescent="0.25">
      <c r="B50" s="46" t="str">
        <f t="shared" ref="B50" si="1">B35</f>
        <v>Khoản mục</v>
      </c>
      <c r="C50" s="46" t="str">
        <f t="shared" ref="C50" si="2">E35</f>
        <v>Khác biệt</v>
      </c>
    </row>
    <row r="51" spans="2:3" x14ac:dyDescent="0.25">
      <c r="B51" s="27" t="s">
        <v>48</v>
      </c>
      <c r="C51" s="13">
        <f>E37</f>
        <v>-19200000000</v>
      </c>
    </row>
    <row r="52" spans="2:3" x14ac:dyDescent="0.25">
      <c r="B52" s="14" t="str">
        <f>B38&amp;" tiết kiệm được."</f>
        <v>Vật liệu trực tiếp tiết kiệm được.</v>
      </c>
      <c r="C52" s="15">
        <f>E38</f>
        <v>7200000000</v>
      </c>
    </row>
    <row r="53" spans="2:3" x14ac:dyDescent="0.25">
      <c r="B53" s="14" t="str">
        <f>B39&amp;" tiết kiệm được."</f>
        <v>Lao động trực tiếp tiết kiệm được.</v>
      </c>
      <c r="C53" s="15">
        <f>E39</f>
        <v>3840000000</v>
      </c>
    </row>
    <row r="54" spans="2:3" x14ac:dyDescent="0.25">
      <c r="B54" s="14" t="str">
        <f>B40&amp;" tiết kiệm được."</f>
        <v>Chi phí chung biến đổi tiết kiệm được.</v>
      </c>
      <c r="C54" s="15">
        <f>E40</f>
        <v>2400000000</v>
      </c>
    </row>
    <row r="55" spans="2:3" ht="15.45" customHeight="1" x14ac:dyDescent="0.25">
      <c r="B55" s="14" t="str">
        <f>B44&amp;" tiết kiệm được."</f>
        <v>Lương quản lý sản xuất tiết kiệm được.</v>
      </c>
      <c r="C55" s="51">
        <f>E44</f>
        <v>360000000</v>
      </c>
    </row>
    <row r="56" spans="2:3" ht="18.600000000000001" x14ac:dyDescent="0.55000000000000004">
      <c r="B56" s="28" t="s">
        <v>49</v>
      </c>
      <c r="C56" s="57">
        <f>E46</f>
        <v>-5400000000</v>
      </c>
    </row>
  </sheetData>
  <mergeCells count="3">
    <mergeCell ref="B5:B7"/>
    <mergeCell ref="B8:B10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C874-2C80-4E65-8ACD-EB3EA60798F7}">
  <dimension ref="A1:J70"/>
  <sheetViews>
    <sheetView showGridLines="0" topLeftCell="A25" workbookViewId="0">
      <selection activeCell="A22" sqref="A22"/>
    </sheetView>
  </sheetViews>
  <sheetFormatPr defaultColWidth="8.77734375" defaultRowHeight="15" x14ac:dyDescent="0.25"/>
  <cols>
    <col min="1" max="1" width="31.88671875" style="4" customWidth="1"/>
    <col min="2" max="2" width="22.88671875" style="4" bestFit="1" customWidth="1"/>
    <col min="3" max="4" width="21.33203125" style="4" bestFit="1" customWidth="1"/>
    <col min="5" max="5" width="22.88671875" style="4" bestFit="1" customWidth="1"/>
    <col min="6" max="6" width="8.77734375" style="4"/>
    <col min="7" max="7" width="12.21875" style="4" customWidth="1"/>
    <col min="8" max="9" width="10.33203125" style="4" customWidth="1"/>
    <col min="10" max="10" width="11.5546875" style="4" customWidth="1"/>
    <col min="11" max="16384" width="8.77734375" style="4"/>
  </cols>
  <sheetData>
    <row r="1" spans="1:10" x14ac:dyDescent="0.25">
      <c r="A1" s="42" t="s">
        <v>0</v>
      </c>
      <c r="B1" s="42" t="s">
        <v>55</v>
      </c>
      <c r="C1" s="42" t="s">
        <v>56</v>
      </c>
      <c r="D1" s="42" t="s">
        <v>57</v>
      </c>
      <c r="E1" s="42" t="s">
        <v>58</v>
      </c>
    </row>
    <row r="2" spans="1:10" x14ac:dyDescent="0.25">
      <c r="A2" s="27" t="s">
        <v>50</v>
      </c>
      <c r="B2" s="13">
        <v>108000000000</v>
      </c>
      <c r="C2" s="13">
        <v>21600000000</v>
      </c>
      <c r="D2" s="13">
        <v>14400000000</v>
      </c>
      <c r="E2" s="59">
        <v>144000000000</v>
      </c>
      <c r="G2" s="36"/>
      <c r="H2" s="36"/>
      <c r="I2" s="36"/>
      <c r="J2" s="36"/>
    </row>
    <row r="3" spans="1:10" x14ac:dyDescent="0.25">
      <c r="A3" s="14" t="s">
        <v>51</v>
      </c>
      <c r="B3" s="15">
        <v>26400000000</v>
      </c>
      <c r="C3" s="15">
        <v>9600000000</v>
      </c>
      <c r="D3" s="15">
        <v>3600000000</v>
      </c>
      <c r="E3" s="50">
        <v>39600000000</v>
      </c>
      <c r="G3" s="36"/>
      <c r="H3" s="36"/>
      <c r="I3" s="36"/>
      <c r="J3" s="36"/>
    </row>
    <row r="4" spans="1:10" x14ac:dyDescent="0.25">
      <c r="A4" s="58" t="s">
        <v>52</v>
      </c>
      <c r="B4" s="21">
        <f>B2-B3</f>
        <v>81600000000</v>
      </c>
      <c r="C4" s="21">
        <f t="shared" ref="C4:E4" si="0">C2-C3</f>
        <v>12000000000</v>
      </c>
      <c r="D4" s="21">
        <f t="shared" si="0"/>
        <v>10800000000</v>
      </c>
      <c r="E4" s="21">
        <f t="shared" si="0"/>
        <v>104400000000</v>
      </c>
      <c r="G4" s="36"/>
      <c r="H4" s="36"/>
      <c r="I4" s="36"/>
      <c r="J4" s="36"/>
    </row>
    <row r="5" spans="1:10" x14ac:dyDescent="0.25">
      <c r="A5" s="14" t="s">
        <v>53</v>
      </c>
      <c r="B5" s="15">
        <v>14400000000</v>
      </c>
      <c r="C5" s="15">
        <v>9600000000</v>
      </c>
      <c r="D5" s="15">
        <v>3840000000</v>
      </c>
      <c r="E5" s="50">
        <v>27840000000</v>
      </c>
      <c r="G5" s="36"/>
      <c r="H5" s="36"/>
      <c r="I5" s="36"/>
      <c r="J5" s="36"/>
    </row>
    <row r="6" spans="1:10" x14ac:dyDescent="0.25">
      <c r="A6" s="14" t="s">
        <v>54</v>
      </c>
      <c r="B6" s="15">
        <v>21600000000</v>
      </c>
      <c r="C6" s="15">
        <v>4320000000</v>
      </c>
      <c r="D6" s="15">
        <v>2880000000</v>
      </c>
      <c r="E6" s="50">
        <v>28800000000</v>
      </c>
      <c r="G6" s="36"/>
      <c r="H6" s="36"/>
      <c r="I6" s="36"/>
      <c r="J6" s="36"/>
    </row>
    <row r="7" spans="1:10" ht="18.600000000000001" x14ac:dyDescent="0.55000000000000004">
      <c r="A7" s="28" t="s">
        <v>21</v>
      </c>
      <c r="B7" s="57">
        <f>B4-B5-B6</f>
        <v>45600000000</v>
      </c>
      <c r="C7" s="57">
        <f t="shared" ref="C7:E7" si="1">C4-C5-C6</f>
        <v>-1920000000</v>
      </c>
      <c r="D7" s="57">
        <f t="shared" si="1"/>
        <v>4080000000</v>
      </c>
      <c r="E7" s="57">
        <f t="shared" si="1"/>
        <v>47760000000</v>
      </c>
      <c r="G7" s="36"/>
      <c r="H7" s="36"/>
      <c r="I7" s="36"/>
      <c r="J7" s="36"/>
    </row>
    <row r="8" spans="1:10" x14ac:dyDescent="0.25">
      <c r="B8" s="36"/>
      <c r="C8" s="36"/>
      <c r="D8" s="36"/>
      <c r="G8" s="36"/>
      <c r="H8" s="36"/>
      <c r="I8" s="36"/>
      <c r="J8" s="36"/>
    </row>
    <row r="10" spans="1:10" x14ac:dyDescent="0.25">
      <c r="A10" s="47" t="s">
        <v>59</v>
      </c>
      <c r="B10" s="55"/>
      <c r="C10" s="55"/>
      <c r="D10" s="55"/>
      <c r="E10" s="56"/>
    </row>
    <row r="11" spans="1:10" x14ac:dyDescent="0.25">
      <c r="A11" s="42" t="str">
        <f>A1</f>
        <v>Khoản mục</v>
      </c>
      <c r="B11" s="42" t="str">
        <f>B1</f>
        <v>Nhóm Mít</v>
      </c>
      <c r="C11" s="42" t="str">
        <f>C1</f>
        <v>Nhóm Thập Cẩm</v>
      </c>
      <c r="D11" s="42" t="str">
        <f>D1</f>
        <v>Nhóm Chuối</v>
      </c>
      <c r="E11" s="42" t="str">
        <f>E1</f>
        <v>Tổng cộng</v>
      </c>
    </row>
    <row r="12" spans="1:10" x14ac:dyDescent="0.25">
      <c r="A12" s="27" t="str">
        <f>A2</f>
        <v>Doanh thu bán hàng</v>
      </c>
      <c r="B12" s="13">
        <f>B2</f>
        <v>108000000000</v>
      </c>
      <c r="C12" s="13">
        <f>C2</f>
        <v>21600000000</v>
      </c>
      <c r="D12" s="13">
        <f>D2</f>
        <v>14400000000</v>
      </c>
      <c r="E12" s="59">
        <f>E2</f>
        <v>144000000000</v>
      </c>
    </row>
    <row r="13" spans="1:10" x14ac:dyDescent="0.25">
      <c r="A13" s="14" t="str">
        <f>A3</f>
        <v>Chi phí biến đổi</v>
      </c>
      <c r="B13" s="15">
        <f>B3</f>
        <v>26400000000</v>
      </c>
      <c r="C13" s="15">
        <f>C3</f>
        <v>9600000000</v>
      </c>
      <c r="D13" s="15">
        <f>D3</f>
        <v>3600000000</v>
      </c>
      <c r="E13" s="50">
        <f>E3</f>
        <v>39600000000</v>
      </c>
    </row>
    <row r="14" spans="1:10" x14ac:dyDescent="0.25">
      <c r="A14" s="58" t="str">
        <f>A4</f>
        <v xml:space="preserve">Số dư đảm phí </v>
      </c>
      <c r="B14" s="21">
        <f>B4</f>
        <v>81600000000</v>
      </c>
      <c r="C14" s="21">
        <f>C4</f>
        <v>12000000000</v>
      </c>
      <c r="D14" s="21">
        <f>D4</f>
        <v>10800000000</v>
      </c>
      <c r="E14" s="21">
        <f>E4</f>
        <v>104400000000</v>
      </c>
    </row>
    <row r="15" spans="1:10" x14ac:dyDescent="0.25">
      <c r="A15" s="14" t="str">
        <f>A5</f>
        <v>Chi phí cố định trực tiếp</v>
      </c>
      <c r="B15" s="15">
        <f>B5</f>
        <v>14400000000</v>
      </c>
      <c r="C15" s="15">
        <f>C5</f>
        <v>9600000000</v>
      </c>
      <c r="D15" s="15">
        <f>D5</f>
        <v>3840000000</v>
      </c>
      <c r="E15" s="50">
        <f>E5</f>
        <v>27840000000</v>
      </c>
    </row>
    <row r="16" spans="1:10" x14ac:dyDescent="0.25">
      <c r="A16" s="14" t="str">
        <f>A6</f>
        <v>Chi phí cố định được phân bổ</v>
      </c>
      <c r="B16" s="15">
        <f>B6</f>
        <v>21600000000</v>
      </c>
      <c r="C16" s="15">
        <f>C6</f>
        <v>4320000000</v>
      </c>
      <c r="D16" s="15">
        <f>D6</f>
        <v>2880000000</v>
      </c>
      <c r="E16" s="50">
        <f>E6</f>
        <v>28800000000</v>
      </c>
    </row>
    <row r="17" spans="1:7" ht="18.600000000000001" x14ac:dyDescent="0.55000000000000004">
      <c r="A17" s="28" t="str">
        <f>A7</f>
        <v>Lợi nhuận</v>
      </c>
      <c r="B17" s="57">
        <f>B7</f>
        <v>45600000000</v>
      </c>
      <c r="C17" s="57">
        <f>C7</f>
        <v>-1920000000</v>
      </c>
      <c r="D17" s="57">
        <f>D7</f>
        <v>4080000000</v>
      </c>
      <c r="E17" s="57">
        <f>E7</f>
        <v>47760000000</v>
      </c>
    </row>
    <row r="19" spans="1:7" x14ac:dyDescent="0.25">
      <c r="A19" s="47" t="s">
        <v>60</v>
      </c>
      <c r="B19" s="55"/>
      <c r="C19" s="55"/>
      <c r="D19" s="55"/>
      <c r="E19" s="56"/>
    </row>
    <row r="20" spans="1:7" x14ac:dyDescent="0.25">
      <c r="A20" s="42" t="str">
        <f t="shared" ref="A20:E26" si="2">A11</f>
        <v>Khoản mục</v>
      </c>
      <c r="B20" s="42" t="str">
        <f t="shared" si="2"/>
        <v>Nhóm Mít</v>
      </c>
      <c r="C20" s="42" t="str">
        <f>D11</f>
        <v>Nhóm Chuối</v>
      </c>
      <c r="D20" s="42" t="str">
        <f>C11</f>
        <v>Nhóm Thập Cẩm</v>
      </c>
      <c r="E20" s="42" t="str">
        <f t="shared" si="2"/>
        <v>Tổng cộng</v>
      </c>
      <c r="G20" s="4" t="s">
        <v>56</v>
      </c>
    </row>
    <row r="21" spans="1:7" x14ac:dyDescent="0.25">
      <c r="A21" s="27" t="str">
        <f t="shared" si="2"/>
        <v>Doanh thu bán hàng</v>
      </c>
      <c r="B21" s="13">
        <f t="shared" si="2"/>
        <v>108000000000</v>
      </c>
      <c r="C21" s="13">
        <f>D12</f>
        <v>14400000000</v>
      </c>
      <c r="D21" s="13"/>
      <c r="E21" s="59">
        <f>SUM(B21:D21)</f>
        <v>122400000000</v>
      </c>
    </row>
    <row r="22" spans="1:7" x14ac:dyDescent="0.25">
      <c r="A22" s="14" t="str">
        <f t="shared" si="2"/>
        <v>Chi phí biến đổi</v>
      </c>
      <c r="B22" s="15">
        <f t="shared" si="2"/>
        <v>26400000000</v>
      </c>
      <c r="C22" s="15">
        <f t="shared" ref="C22:C24" si="3">D13</f>
        <v>3600000000</v>
      </c>
      <c r="D22" s="15"/>
      <c r="E22" s="50">
        <f>SUM(B22:D22)</f>
        <v>30000000000</v>
      </c>
    </row>
    <row r="23" spans="1:7" x14ac:dyDescent="0.25">
      <c r="A23" s="58" t="str">
        <f t="shared" si="2"/>
        <v xml:space="preserve">Số dư đảm phí </v>
      </c>
      <c r="B23" s="21">
        <f t="shared" si="2"/>
        <v>81600000000</v>
      </c>
      <c r="C23" s="21">
        <f t="shared" si="3"/>
        <v>10800000000</v>
      </c>
      <c r="D23" s="21"/>
      <c r="E23" s="21">
        <f t="shared" ref="E23" si="4">E21-E22</f>
        <v>92400000000</v>
      </c>
    </row>
    <row r="24" spans="1:7" x14ac:dyDescent="0.25">
      <c r="A24" s="14" t="str">
        <f t="shared" si="2"/>
        <v>Chi phí cố định trực tiếp</v>
      </c>
      <c r="B24" s="15">
        <f t="shared" si="2"/>
        <v>14400000000</v>
      </c>
      <c r="C24" s="15">
        <f t="shared" si="3"/>
        <v>3840000000</v>
      </c>
      <c r="D24" s="15"/>
      <c r="E24" s="50">
        <f>SUM(B24:D24)</f>
        <v>18240000000</v>
      </c>
    </row>
    <row r="25" spans="1:7" x14ac:dyDescent="0.25">
      <c r="A25" s="14" t="str">
        <f t="shared" si="2"/>
        <v>Chi phí cố định được phân bổ</v>
      </c>
      <c r="B25" s="15">
        <f>B28</f>
        <v>25411764706</v>
      </c>
      <c r="C25" s="15">
        <f>C28</f>
        <v>3388235294</v>
      </c>
      <c r="D25" s="15"/>
      <c r="E25" s="50">
        <f>SUM(B25:D25)</f>
        <v>28800000000</v>
      </c>
    </row>
    <row r="26" spans="1:7" ht="18.600000000000001" x14ac:dyDescent="0.55000000000000004">
      <c r="A26" s="28" t="str">
        <f t="shared" si="2"/>
        <v>Lợi nhuận</v>
      </c>
      <c r="B26" s="57">
        <f>B23-B24-B25</f>
        <v>41788235294</v>
      </c>
      <c r="C26" s="57">
        <f>C23-C24-C25</f>
        <v>3571764706</v>
      </c>
      <c r="D26" s="57"/>
      <c r="E26" s="57">
        <f t="shared" ref="E26" si="5">E23-E24-E25</f>
        <v>45360000000</v>
      </c>
    </row>
    <row r="27" spans="1:7" x14ac:dyDescent="0.25">
      <c r="E27" s="9">
        <f>E26-C26-B26</f>
        <v>0</v>
      </c>
    </row>
    <row r="28" spans="1:7" x14ac:dyDescent="0.25">
      <c r="A28" s="4" t="s">
        <v>54</v>
      </c>
      <c r="B28" s="15">
        <f>ROUND(B21/$E$21*$E$16,0)</f>
        <v>25411764706</v>
      </c>
      <c r="C28" s="9">
        <f>E16-B28</f>
        <v>3388235294</v>
      </c>
      <c r="D28" s="4" t="s">
        <v>104</v>
      </c>
    </row>
    <row r="31" spans="1:7" x14ac:dyDescent="0.25">
      <c r="A31" s="47" t="s">
        <v>61</v>
      </c>
      <c r="B31" s="55"/>
      <c r="C31" s="55"/>
      <c r="D31" s="56"/>
    </row>
    <row r="32" spans="1:7" x14ac:dyDescent="0.25">
      <c r="A32" s="42" t="str">
        <f t="shared" ref="A32:A38" si="6">A20</f>
        <v>Khoản mục</v>
      </c>
      <c r="B32" s="42" t="s">
        <v>62</v>
      </c>
      <c r="C32" s="42" t="s">
        <v>63</v>
      </c>
      <c r="D32" s="42" t="s">
        <v>6</v>
      </c>
    </row>
    <row r="33" spans="1:4" x14ac:dyDescent="0.25">
      <c r="A33" s="27" t="str">
        <f t="shared" si="6"/>
        <v>Doanh thu bán hàng</v>
      </c>
      <c r="B33" s="13">
        <f t="shared" ref="B33:B38" si="7">E12</f>
        <v>144000000000</v>
      </c>
      <c r="C33" s="13">
        <f t="shared" ref="C33:C38" si="8">E21</f>
        <v>122400000000</v>
      </c>
      <c r="D33" s="59">
        <f>B33-C33</f>
        <v>21600000000</v>
      </c>
    </row>
    <row r="34" spans="1:4" x14ac:dyDescent="0.25">
      <c r="A34" s="14" t="str">
        <f t="shared" si="6"/>
        <v>Chi phí biến đổi</v>
      </c>
      <c r="B34" s="15">
        <f t="shared" si="7"/>
        <v>39600000000</v>
      </c>
      <c r="C34" s="15">
        <f t="shared" si="8"/>
        <v>30000000000</v>
      </c>
      <c r="D34" s="50">
        <f t="shared" ref="D34:D38" si="9">B34-C34</f>
        <v>9600000000</v>
      </c>
    </row>
    <row r="35" spans="1:4" x14ac:dyDescent="0.25">
      <c r="A35" s="58" t="str">
        <f t="shared" si="6"/>
        <v xml:space="preserve">Số dư đảm phí </v>
      </c>
      <c r="B35" s="21">
        <f t="shared" si="7"/>
        <v>104400000000</v>
      </c>
      <c r="C35" s="21">
        <f t="shared" si="8"/>
        <v>92400000000</v>
      </c>
      <c r="D35" s="21">
        <f t="shared" si="9"/>
        <v>12000000000</v>
      </c>
    </row>
    <row r="36" spans="1:4" x14ac:dyDescent="0.25">
      <c r="A36" s="14" t="str">
        <f t="shared" si="6"/>
        <v>Chi phí cố định trực tiếp</v>
      </c>
      <c r="B36" s="15">
        <f t="shared" si="7"/>
        <v>27840000000</v>
      </c>
      <c r="C36" s="15">
        <f t="shared" si="8"/>
        <v>18240000000</v>
      </c>
      <c r="D36" s="50">
        <f t="shared" si="9"/>
        <v>9600000000</v>
      </c>
    </row>
    <row r="37" spans="1:4" x14ac:dyDescent="0.25">
      <c r="A37" s="14" t="str">
        <f t="shared" si="6"/>
        <v>Chi phí cố định được phân bổ</v>
      </c>
      <c r="B37" s="15">
        <f t="shared" si="7"/>
        <v>28800000000</v>
      </c>
      <c r="C37" s="15">
        <f t="shared" si="8"/>
        <v>28800000000</v>
      </c>
      <c r="D37" s="50">
        <f t="shared" si="9"/>
        <v>0</v>
      </c>
    </row>
    <row r="38" spans="1:4" ht="18.600000000000001" x14ac:dyDescent="0.55000000000000004">
      <c r="A38" s="28" t="str">
        <f t="shared" si="6"/>
        <v>Lợi nhuận</v>
      </c>
      <c r="B38" s="57">
        <f t="shared" si="7"/>
        <v>47760000000</v>
      </c>
      <c r="C38" s="57">
        <f t="shared" si="8"/>
        <v>45360000000</v>
      </c>
      <c r="D38" s="57">
        <f t="shared" si="9"/>
        <v>2400000000</v>
      </c>
    </row>
    <row r="42" spans="1:4" x14ac:dyDescent="0.25">
      <c r="A42" s="47" t="s">
        <v>69</v>
      </c>
      <c r="B42" s="56"/>
    </row>
    <row r="43" spans="1:4" x14ac:dyDescent="0.25">
      <c r="A43" s="42" t="s">
        <v>0</v>
      </c>
      <c r="B43" s="42" t="s">
        <v>8</v>
      </c>
    </row>
    <row r="44" spans="1:4" x14ac:dyDescent="0.25">
      <c r="A44" s="27" t="s">
        <v>64</v>
      </c>
      <c r="B44" s="60">
        <f>-D33</f>
        <v>-21600000000</v>
      </c>
    </row>
    <row r="45" spans="1:4" x14ac:dyDescent="0.25">
      <c r="A45" s="14" t="s">
        <v>66</v>
      </c>
      <c r="B45" s="51">
        <f>D34</f>
        <v>9600000000</v>
      </c>
      <c r="C45" s="9"/>
    </row>
    <row r="46" spans="1:4" x14ac:dyDescent="0.25">
      <c r="A46" s="14" t="s">
        <v>65</v>
      </c>
      <c r="B46" s="51">
        <f>-D35</f>
        <v>-12000000000</v>
      </c>
      <c r="C46" s="9"/>
    </row>
    <row r="47" spans="1:4" x14ac:dyDescent="0.25">
      <c r="A47" s="14" t="s">
        <v>67</v>
      </c>
      <c r="B47" s="51">
        <f>D36</f>
        <v>9600000000</v>
      </c>
    </row>
    <row r="48" spans="1:4" ht="16.8" x14ac:dyDescent="0.4">
      <c r="A48" s="22" t="s">
        <v>68</v>
      </c>
      <c r="B48" s="61">
        <f>-D38</f>
        <v>-2400000000</v>
      </c>
    </row>
    <row r="51" spans="1:4" x14ac:dyDescent="0.25">
      <c r="A51" s="47" t="str">
        <f>A42</f>
        <v>Tóm tắt phân tích chênh lệch cho công ty XYZ</v>
      </c>
      <c r="B51" s="56"/>
    </row>
    <row r="52" spans="1:4" x14ac:dyDescent="0.25">
      <c r="A52" s="42" t="str">
        <f>A43</f>
        <v>Khoản mục</v>
      </c>
      <c r="B52" s="42" t="str">
        <f>B43</f>
        <v>Giá trị</v>
      </c>
    </row>
    <row r="53" spans="1:4" x14ac:dyDescent="0.25">
      <c r="A53" s="27" t="str">
        <f>A44</f>
        <v>Doanh thu bán hàng sụt giảm</v>
      </c>
      <c r="B53" s="60">
        <f>B44</f>
        <v>-21600000000</v>
      </c>
    </row>
    <row r="54" spans="1:4" x14ac:dyDescent="0.25">
      <c r="A54" s="14" t="str">
        <f>A45</f>
        <v>Chi phí biến đổi loại trừ</v>
      </c>
      <c r="B54" s="51">
        <f>B45</f>
        <v>9600000000</v>
      </c>
    </row>
    <row r="55" spans="1:4" x14ac:dyDescent="0.25">
      <c r="A55" s="14" t="str">
        <f>A46</f>
        <v>Số dư đảm phí loại trừ</v>
      </c>
      <c r="B55" s="51">
        <f>B46</f>
        <v>-12000000000</v>
      </c>
    </row>
    <row r="56" spans="1:4" x14ac:dyDescent="0.25">
      <c r="A56" s="14" t="str">
        <f>A47</f>
        <v>Chi phí cố định trực tiếp loại trừ</v>
      </c>
      <c r="B56" s="51">
        <f>B47</f>
        <v>9600000000</v>
      </c>
    </row>
    <row r="57" spans="1:4" ht="16.8" x14ac:dyDescent="0.4">
      <c r="A57" s="14" t="str">
        <f>A48</f>
        <v>Lợi nhuận giảm do loại bỏ sản phẩm</v>
      </c>
      <c r="B57" s="63">
        <f>B48</f>
        <v>-2400000000</v>
      </c>
    </row>
    <row r="58" spans="1:4" ht="45" x14ac:dyDescent="0.25">
      <c r="A58" s="64" t="s">
        <v>70</v>
      </c>
      <c r="B58" s="62">
        <f>125000*24000</f>
        <v>3000000000</v>
      </c>
    </row>
    <row r="59" spans="1:4" ht="18.600000000000001" x14ac:dyDescent="0.55000000000000004">
      <c r="A59" s="28" t="s">
        <v>71</v>
      </c>
      <c r="B59" s="65">
        <f>B58+B57</f>
        <v>600000000</v>
      </c>
    </row>
    <row r="62" spans="1:4" x14ac:dyDescent="0.25">
      <c r="A62" s="47" t="str">
        <f>A31</f>
        <v xml:space="preserve">Báo cáo phân tích sự khác biệt </v>
      </c>
      <c r="B62" s="55"/>
      <c r="C62" s="55"/>
      <c r="D62" s="56"/>
    </row>
    <row r="63" spans="1:4" x14ac:dyDescent="0.25">
      <c r="A63" s="42" t="str">
        <f>A32</f>
        <v>Khoản mục</v>
      </c>
      <c r="B63" s="42" t="str">
        <f>B32</f>
        <v>Phương án 1</v>
      </c>
      <c r="C63" s="42" t="str">
        <f>C32</f>
        <v>Phương án 2</v>
      </c>
      <c r="D63" s="42" t="str">
        <f>D32</f>
        <v>Khác biệt</v>
      </c>
    </row>
    <row r="64" spans="1:4" x14ac:dyDescent="0.25">
      <c r="A64" s="27" t="str">
        <f>A33</f>
        <v>Doanh thu bán hàng</v>
      </c>
      <c r="B64" s="13">
        <f>B33</f>
        <v>144000000000</v>
      </c>
      <c r="C64" s="13">
        <f>C33</f>
        <v>122400000000</v>
      </c>
      <c r="D64" s="59">
        <f>D33</f>
        <v>21600000000</v>
      </c>
    </row>
    <row r="65" spans="1:4" x14ac:dyDescent="0.25">
      <c r="A65" s="14" t="str">
        <f>A34</f>
        <v>Chi phí biến đổi</v>
      </c>
      <c r="B65" s="15">
        <f>B34</f>
        <v>39600000000</v>
      </c>
      <c r="C65" s="15">
        <f>C34</f>
        <v>30000000000</v>
      </c>
      <c r="D65" s="50">
        <f>D34</f>
        <v>9600000000</v>
      </c>
    </row>
    <row r="66" spans="1:4" x14ac:dyDescent="0.25">
      <c r="A66" s="58" t="str">
        <f>A35</f>
        <v xml:space="preserve">Số dư đảm phí </v>
      </c>
      <c r="B66" s="21">
        <f>B35</f>
        <v>104400000000</v>
      </c>
      <c r="C66" s="21">
        <f>C35</f>
        <v>92400000000</v>
      </c>
      <c r="D66" s="21">
        <f>D35</f>
        <v>12000000000</v>
      </c>
    </row>
    <row r="67" spans="1:4" x14ac:dyDescent="0.25">
      <c r="A67" s="14" t="str">
        <f>A36</f>
        <v>Chi phí cố định trực tiếp</v>
      </c>
      <c r="B67" s="15">
        <f>B36</f>
        <v>27840000000</v>
      </c>
      <c r="C67" s="15">
        <f>C36</f>
        <v>18240000000</v>
      </c>
      <c r="D67" s="50">
        <f>D36</f>
        <v>9600000000</v>
      </c>
    </row>
    <row r="68" spans="1:4" x14ac:dyDescent="0.25">
      <c r="A68" s="14" t="str">
        <f>A37</f>
        <v>Chi phí cố định được phân bổ</v>
      </c>
      <c r="B68" s="15">
        <f>B37</f>
        <v>28800000000</v>
      </c>
      <c r="C68" s="15">
        <f>C37</f>
        <v>28800000000</v>
      </c>
      <c r="D68" s="50">
        <f>D37</f>
        <v>0</v>
      </c>
    </row>
    <row r="69" spans="1:4" x14ac:dyDescent="0.25">
      <c r="A69" s="14" t="s">
        <v>72</v>
      </c>
      <c r="B69" s="15">
        <f>B58</f>
        <v>3000000000</v>
      </c>
      <c r="C69" s="15"/>
      <c r="D69" s="50">
        <f>B69-C69</f>
        <v>3000000000</v>
      </c>
    </row>
    <row r="70" spans="1:4" ht="18.600000000000001" x14ac:dyDescent="0.55000000000000004">
      <c r="A70" s="28" t="str">
        <f>A38</f>
        <v>Lợi nhuận</v>
      </c>
      <c r="B70" s="57">
        <f>B38-B69</f>
        <v>44760000000</v>
      </c>
      <c r="C70" s="57">
        <f>C38</f>
        <v>45360000000</v>
      </c>
      <c r="D70" s="57">
        <f>D38-D69</f>
        <v>-600000000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B13-EDF0-4394-95FE-BB09F5D9B662}">
  <dimension ref="A1:J31"/>
  <sheetViews>
    <sheetView showGridLines="0" workbookViewId="0"/>
  </sheetViews>
  <sheetFormatPr defaultColWidth="8.77734375" defaultRowHeight="15" x14ac:dyDescent="0.25"/>
  <cols>
    <col min="1" max="1" width="31.88671875" style="4" customWidth="1"/>
    <col min="2" max="2" width="22.88671875" style="4" bestFit="1" customWidth="1"/>
    <col min="3" max="4" width="21.33203125" style="4" bestFit="1" customWidth="1"/>
    <col min="5" max="5" width="22.88671875" style="4" bestFit="1" customWidth="1"/>
    <col min="6" max="6" width="8.77734375" style="4"/>
    <col min="7" max="7" width="12.21875" style="80" customWidth="1"/>
    <col min="8" max="9" width="10.33203125" style="80" customWidth="1"/>
    <col min="10" max="10" width="11.5546875" style="80" customWidth="1"/>
    <col min="11" max="16384" width="8.77734375" style="4"/>
  </cols>
  <sheetData>
    <row r="1" spans="1:10" x14ac:dyDescent="0.25">
      <c r="A1" s="6" t="s">
        <v>105</v>
      </c>
    </row>
    <row r="3" spans="1:10" x14ac:dyDescent="0.25">
      <c r="A3" s="76" t="s">
        <v>76</v>
      </c>
      <c r="B3" s="77"/>
      <c r="C3" s="77"/>
      <c r="D3" s="77"/>
      <c r="E3" s="78"/>
    </row>
    <row r="4" spans="1:10" x14ac:dyDescent="0.25">
      <c r="A4" s="42" t="s">
        <v>0</v>
      </c>
      <c r="B4" s="42" t="s">
        <v>73</v>
      </c>
      <c r="C4" s="42" t="s">
        <v>74</v>
      </c>
      <c r="D4" s="42" t="s">
        <v>75</v>
      </c>
      <c r="E4" s="42" t="s">
        <v>58</v>
      </c>
    </row>
    <row r="5" spans="1:10" x14ac:dyDescent="0.25">
      <c r="A5" s="27" t="s">
        <v>50</v>
      </c>
      <c r="B5" s="13">
        <v>5280000000</v>
      </c>
      <c r="C5" s="13">
        <v>12240000000</v>
      </c>
      <c r="D5" s="13">
        <v>7320000000</v>
      </c>
      <c r="E5" s="59">
        <v>24840000000</v>
      </c>
      <c r="G5" s="36"/>
      <c r="H5" s="36"/>
      <c r="I5" s="36"/>
      <c r="J5" s="36"/>
    </row>
    <row r="6" spans="1:10" x14ac:dyDescent="0.25">
      <c r="A6" s="14" t="s">
        <v>51</v>
      </c>
      <c r="B6" s="15">
        <v>4320000000</v>
      </c>
      <c r="C6" s="15">
        <v>9120000000</v>
      </c>
      <c r="D6" s="15">
        <v>4800000000</v>
      </c>
      <c r="E6" s="50">
        <v>18240000000</v>
      </c>
      <c r="G6" s="36"/>
      <c r="H6" s="36"/>
      <c r="I6" s="36"/>
      <c r="J6" s="36"/>
    </row>
    <row r="7" spans="1:10" x14ac:dyDescent="0.25">
      <c r="A7" s="58" t="s">
        <v>52</v>
      </c>
      <c r="B7" s="21">
        <f>B5-B6</f>
        <v>960000000</v>
      </c>
      <c r="C7" s="21">
        <f t="shared" ref="C7:E7" si="0">C5-C6</f>
        <v>3120000000</v>
      </c>
      <c r="D7" s="21">
        <f t="shared" si="0"/>
        <v>2520000000</v>
      </c>
      <c r="E7" s="21">
        <f t="shared" si="0"/>
        <v>6600000000</v>
      </c>
      <c r="G7" s="36"/>
      <c r="H7" s="36"/>
      <c r="I7" s="36"/>
      <c r="J7" s="36"/>
    </row>
    <row r="8" spans="1:10" x14ac:dyDescent="0.25">
      <c r="A8" s="14" t="s">
        <v>53</v>
      </c>
      <c r="B8" s="15">
        <v>672000000</v>
      </c>
      <c r="C8" s="15">
        <v>960000000</v>
      </c>
      <c r="D8" s="15">
        <v>720000000</v>
      </c>
      <c r="E8" s="50">
        <f>SUM(B8:D8)</f>
        <v>2352000000</v>
      </c>
      <c r="G8" s="36"/>
      <c r="H8" s="36"/>
      <c r="I8" s="36"/>
      <c r="J8" s="36"/>
    </row>
    <row r="9" spans="1:10" x14ac:dyDescent="0.25">
      <c r="A9" s="14" t="s">
        <v>54</v>
      </c>
      <c r="B9" s="15">
        <v>556058000</v>
      </c>
      <c r="C9" s="15">
        <v>1289043000</v>
      </c>
      <c r="D9" s="15">
        <v>770899000</v>
      </c>
      <c r="E9" s="50">
        <f>SUM(B9:D9)</f>
        <v>2616000000</v>
      </c>
      <c r="G9" s="36"/>
      <c r="I9" s="36"/>
    </row>
    <row r="10" spans="1:10" ht="18.600000000000001" x14ac:dyDescent="0.55000000000000004">
      <c r="A10" s="28" t="s">
        <v>21</v>
      </c>
      <c r="B10" s="57">
        <f>B7-B8-B9</f>
        <v>-268058000</v>
      </c>
      <c r="C10" s="57">
        <f t="shared" ref="C10:E10" si="1">C7-C8-C9</f>
        <v>870957000</v>
      </c>
      <c r="D10" s="57">
        <f t="shared" si="1"/>
        <v>1029101000</v>
      </c>
      <c r="E10" s="57">
        <f t="shared" si="1"/>
        <v>1632000000</v>
      </c>
      <c r="G10" s="83"/>
      <c r="H10" s="83"/>
      <c r="I10" s="83"/>
      <c r="J10" s="83"/>
    </row>
    <row r="12" spans="1:10" x14ac:dyDescent="0.25">
      <c r="A12" s="81"/>
      <c r="B12" s="82"/>
      <c r="C12" s="82"/>
      <c r="D12" s="82"/>
      <c r="E12" s="82"/>
    </row>
    <row r="13" spans="1:10" x14ac:dyDescent="0.25">
      <c r="A13" s="76" t="s">
        <v>77</v>
      </c>
      <c r="B13" s="77"/>
      <c r="C13" s="77"/>
      <c r="D13" s="77"/>
      <c r="E13" s="78"/>
    </row>
    <row r="14" spans="1:10" x14ac:dyDescent="0.25">
      <c r="A14" s="42" t="str">
        <f>A4</f>
        <v>Khoản mục</v>
      </c>
      <c r="B14" s="42" t="str">
        <f>B4</f>
        <v>Công ty X</v>
      </c>
      <c r="C14" s="42" t="str">
        <f>C4</f>
        <v>Công ty Y</v>
      </c>
      <c r="D14" s="42" t="str">
        <f>D4</f>
        <v>Công ty Z</v>
      </c>
      <c r="E14" s="42" t="str">
        <f>E4</f>
        <v>Tổng cộng</v>
      </c>
    </row>
    <row r="15" spans="1:10" x14ac:dyDescent="0.25">
      <c r="A15" s="27" t="str">
        <f>A5</f>
        <v>Doanh thu bán hàng</v>
      </c>
      <c r="B15" s="13"/>
      <c r="C15" s="13">
        <f>C5</f>
        <v>12240000000</v>
      </c>
      <c r="D15" s="13">
        <f>D5</f>
        <v>7320000000</v>
      </c>
      <c r="E15" s="59">
        <f>SUM(B15:D15)</f>
        <v>19560000000</v>
      </c>
    </row>
    <row r="16" spans="1:10" x14ac:dyDescent="0.25">
      <c r="A16" s="14" t="str">
        <f>A6</f>
        <v>Chi phí biến đổi</v>
      </c>
      <c r="B16" s="15"/>
      <c r="C16" s="15">
        <f>C6</f>
        <v>9120000000</v>
      </c>
      <c r="D16" s="15">
        <f>D6</f>
        <v>4800000000</v>
      </c>
      <c r="E16" s="50">
        <f>SUM(B16:D16)</f>
        <v>13920000000</v>
      </c>
    </row>
    <row r="17" spans="1:5" x14ac:dyDescent="0.25">
      <c r="A17" s="58" t="str">
        <f>A7</f>
        <v xml:space="preserve">Số dư đảm phí </v>
      </c>
      <c r="B17" s="21"/>
      <c r="C17" s="21">
        <f>C7</f>
        <v>3120000000</v>
      </c>
      <c r="D17" s="21">
        <f>D7</f>
        <v>2520000000</v>
      </c>
      <c r="E17" s="21">
        <f t="shared" ref="E17" si="2">E15-E16</f>
        <v>5640000000</v>
      </c>
    </row>
    <row r="18" spans="1:5" x14ac:dyDescent="0.25">
      <c r="A18" s="14" t="str">
        <f>A8</f>
        <v>Chi phí cố định trực tiếp</v>
      </c>
      <c r="B18" s="15"/>
      <c r="C18" s="15">
        <f>C8</f>
        <v>960000000</v>
      </c>
      <c r="D18" s="15">
        <f>D8</f>
        <v>720000000</v>
      </c>
      <c r="E18" s="50">
        <f>SUM(B18:D18)</f>
        <v>1680000000</v>
      </c>
    </row>
    <row r="19" spans="1:5" x14ac:dyDescent="0.25">
      <c r="A19" s="14" t="str">
        <f>A9</f>
        <v>Chi phí cố định được phân bổ</v>
      </c>
      <c r="B19" s="15"/>
      <c r="C19" s="15">
        <f>ROUND(C15/E15*E9,-3)</f>
        <v>1637006000</v>
      </c>
      <c r="D19" s="15">
        <f>E9-C19</f>
        <v>978994000</v>
      </c>
      <c r="E19" s="50">
        <f>SUM(B19:D19)</f>
        <v>2616000000</v>
      </c>
    </row>
    <row r="20" spans="1:5" ht="18.600000000000001" x14ac:dyDescent="0.55000000000000004">
      <c r="A20" s="28" t="str">
        <f>A10</f>
        <v>Lợi nhuận</v>
      </c>
      <c r="B20" s="57"/>
      <c r="C20" s="57">
        <f>C17-C18-C19</f>
        <v>522994000</v>
      </c>
      <c r="D20" s="57">
        <f>D17-D18-D19</f>
        <v>821006000</v>
      </c>
      <c r="E20" s="57">
        <f t="shared" ref="E20" si="3">E17-E18-E19</f>
        <v>1344000000</v>
      </c>
    </row>
    <row r="21" spans="1:5" x14ac:dyDescent="0.25">
      <c r="E21" s="9">
        <f>E20-D20-C20</f>
        <v>0</v>
      </c>
    </row>
    <row r="24" spans="1:5" x14ac:dyDescent="0.25">
      <c r="A24" s="47" t="s">
        <v>61</v>
      </c>
      <c r="B24" s="55"/>
      <c r="C24" s="55"/>
      <c r="D24" s="56"/>
    </row>
    <row r="25" spans="1:5" x14ac:dyDescent="0.25">
      <c r="A25" s="42" t="s">
        <v>0</v>
      </c>
      <c r="B25" s="42" t="s">
        <v>62</v>
      </c>
      <c r="C25" s="42" t="s">
        <v>63</v>
      </c>
      <c r="D25" s="42" t="s">
        <v>6</v>
      </c>
    </row>
    <row r="26" spans="1:5" x14ac:dyDescent="0.25">
      <c r="A26" s="27" t="s">
        <v>50</v>
      </c>
      <c r="B26" s="13">
        <f>E5</f>
        <v>24840000000</v>
      </c>
      <c r="C26" s="13">
        <f t="shared" ref="C26:C31" si="4">E15</f>
        <v>19560000000</v>
      </c>
      <c r="D26" s="59">
        <f>B26-C26</f>
        <v>5280000000</v>
      </c>
    </row>
    <row r="27" spans="1:5" x14ac:dyDescent="0.25">
      <c r="A27" s="14" t="s">
        <v>51</v>
      </c>
      <c r="B27" s="15">
        <f>E6</f>
        <v>18240000000</v>
      </c>
      <c r="C27" s="15">
        <f t="shared" si="4"/>
        <v>13920000000</v>
      </c>
      <c r="D27" s="50">
        <f t="shared" ref="D27:D31" si="5">B27-C27</f>
        <v>4320000000</v>
      </c>
    </row>
    <row r="28" spans="1:5" x14ac:dyDescent="0.25">
      <c r="A28" s="58" t="s">
        <v>52</v>
      </c>
      <c r="B28" s="21">
        <f>E7</f>
        <v>6600000000</v>
      </c>
      <c r="C28" s="21">
        <f t="shared" si="4"/>
        <v>5640000000</v>
      </c>
      <c r="D28" s="21">
        <f t="shared" si="5"/>
        <v>960000000</v>
      </c>
    </row>
    <row r="29" spans="1:5" x14ac:dyDescent="0.25">
      <c r="A29" s="14" t="s">
        <v>53</v>
      </c>
      <c r="B29" s="15">
        <f>E8</f>
        <v>2352000000</v>
      </c>
      <c r="C29" s="15">
        <f t="shared" si="4"/>
        <v>1680000000</v>
      </c>
      <c r="D29" s="50">
        <f t="shared" si="5"/>
        <v>672000000</v>
      </c>
    </row>
    <row r="30" spans="1:5" x14ac:dyDescent="0.25">
      <c r="A30" s="14" t="s">
        <v>54</v>
      </c>
      <c r="B30" s="15">
        <f>E9</f>
        <v>2616000000</v>
      </c>
      <c r="C30" s="15">
        <f t="shared" si="4"/>
        <v>2616000000</v>
      </c>
      <c r="D30" s="50">
        <f t="shared" si="5"/>
        <v>0</v>
      </c>
    </row>
    <row r="31" spans="1:5" ht="18.600000000000001" x14ac:dyDescent="0.55000000000000004">
      <c r="A31" s="28" t="s">
        <v>21</v>
      </c>
      <c r="B31" s="57">
        <f>E10</f>
        <v>1632000000</v>
      </c>
      <c r="C31" s="57">
        <f t="shared" si="4"/>
        <v>1344000000</v>
      </c>
      <c r="D31" s="57">
        <f t="shared" si="5"/>
        <v>288000000</v>
      </c>
    </row>
  </sheetData>
  <mergeCells count="2">
    <mergeCell ref="A3:E3"/>
    <mergeCell ref="A13:E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D0D0-C9ED-4328-902F-3B2B530F8197}">
  <dimension ref="A1:K36"/>
  <sheetViews>
    <sheetView showGridLines="0" topLeftCell="A25" workbookViewId="0">
      <selection activeCell="E41" sqref="E41"/>
    </sheetView>
  </sheetViews>
  <sheetFormatPr defaultColWidth="8.77734375" defaultRowHeight="15" x14ac:dyDescent="0.25"/>
  <cols>
    <col min="1" max="1" width="35.6640625" style="4" customWidth="1"/>
    <col min="2" max="3" width="17.77734375" style="4" bestFit="1" customWidth="1"/>
    <col min="4" max="4" width="17.21875" style="4" customWidth="1"/>
    <col min="5" max="5" width="19.44140625" style="4" customWidth="1"/>
    <col min="6" max="6" width="45.21875" style="4" customWidth="1"/>
    <col min="7" max="7" width="25.21875" style="4" customWidth="1"/>
    <col min="8" max="10" width="8.77734375" style="4"/>
    <col min="11" max="11" width="17" style="4" bestFit="1" customWidth="1"/>
    <col min="12" max="16384" width="8.77734375" style="4"/>
  </cols>
  <sheetData>
    <row r="1" spans="1:7" x14ac:dyDescent="0.25">
      <c r="A1" s="6" t="s">
        <v>106</v>
      </c>
    </row>
    <row r="4" spans="1:7" x14ac:dyDescent="0.25">
      <c r="A4" s="42" t="s">
        <v>0</v>
      </c>
      <c r="B4" s="71" t="s">
        <v>42</v>
      </c>
      <c r="C4" s="71"/>
      <c r="D4" s="71" t="s">
        <v>83</v>
      </c>
      <c r="E4" s="71"/>
    </row>
    <row r="5" spans="1:7" x14ac:dyDescent="0.25">
      <c r="A5" s="27" t="s">
        <v>50</v>
      </c>
      <c r="B5" s="13"/>
      <c r="C5" s="13">
        <f>G5*24000</f>
        <v>360000</v>
      </c>
      <c r="D5" s="13"/>
      <c r="E5" s="13">
        <f>C5*2000</f>
        <v>720000000</v>
      </c>
      <c r="G5" s="4">
        <v>15</v>
      </c>
    </row>
    <row r="6" spans="1:7" x14ac:dyDescent="0.25">
      <c r="A6" s="14" t="s">
        <v>51</v>
      </c>
      <c r="B6" s="15"/>
      <c r="C6" s="15"/>
      <c r="D6" s="15"/>
      <c r="E6" s="15"/>
    </row>
    <row r="7" spans="1:7" x14ac:dyDescent="0.25">
      <c r="A7" s="14" t="s">
        <v>78</v>
      </c>
      <c r="B7" s="15">
        <f>G7*24000</f>
        <v>144000</v>
      </c>
      <c r="C7" s="15"/>
      <c r="D7" s="15">
        <f>B7*2000</f>
        <v>288000000</v>
      </c>
      <c r="E7" s="15"/>
      <c r="G7" s="4">
        <v>6</v>
      </c>
    </row>
    <row r="8" spans="1:7" x14ac:dyDescent="0.25">
      <c r="A8" s="14" t="s">
        <v>79</v>
      </c>
      <c r="B8" s="15">
        <f t="shared" ref="B8:B9" si="0">G8*24000</f>
        <v>48000</v>
      </c>
      <c r="C8" s="15"/>
      <c r="D8" s="15">
        <f t="shared" ref="D8:D9" si="1">B8*2000</f>
        <v>96000000</v>
      </c>
      <c r="E8" s="15"/>
      <c r="G8" s="4">
        <v>2</v>
      </c>
    </row>
    <row r="9" spans="1:7" x14ac:dyDescent="0.25">
      <c r="A9" s="14" t="s">
        <v>80</v>
      </c>
      <c r="B9" s="15">
        <f t="shared" si="0"/>
        <v>48000</v>
      </c>
      <c r="C9" s="15"/>
      <c r="D9" s="15">
        <f t="shared" si="1"/>
        <v>96000000</v>
      </c>
      <c r="E9" s="15"/>
      <c r="G9" s="4">
        <v>2</v>
      </c>
    </row>
    <row r="10" spans="1:7" x14ac:dyDescent="0.25">
      <c r="A10" s="58" t="s">
        <v>81</v>
      </c>
      <c r="B10" s="21"/>
      <c r="C10" s="21">
        <f>SUM(B7:B9)</f>
        <v>240000</v>
      </c>
      <c r="D10" s="21"/>
      <c r="E10" s="21">
        <f>SUM(D7:D9)</f>
        <v>480000000</v>
      </c>
    </row>
    <row r="11" spans="1:7" x14ac:dyDescent="0.25">
      <c r="A11" s="14" t="s">
        <v>52</v>
      </c>
      <c r="B11" s="15"/>
      <c r="C11" s="15">
        <f>C5-C10</f>
        <v>120000</v>
      </c>
      <c r="D11" s="15"/>
      <c r="E11" s="15">
        <f>E5-E10</f>
        <v>240000000</v>
      </c>
    </row>
    <row r="12" spans="1:7" x14ac:dyDescent="0.25">
      <c r="A12" s="14" t="s">
        <v>82</v>
      </c>
      <c r="B12" s="15"/>
      <c r="C12" s="15"/>
      <c r="D12" s="15"/>
      <c r="E12" s="23">
        <f>G12*24000</f>
        <v>96000000</v>
      </c>
      <c r="G12" s="4">
        <v>4000</v>
      </c>
    </row>
    <row r="13" spans="1:7" x14ac:dyDescent="0.25">
      <c r="A13" s="18" t="s">
        <v>21</v>
      </c>
      <c r="B13" s="19"/>
      <c r="C13" s="19"/>
      <c r="D13" s="19"/>
      <c r="E13" s="19">
        <f>E11-E12</f>
        <v>144000000</v>
      </c>
    </row>
    <row r="14" spans="1:7" x14ac:dyDescent="0.25">
      <c r="B14" s="36"/>
      <c r="C14" s="36"/>
      <c r="D14" s="36"/>
      <c r="E14" s="36"/>
    </row>
    <row r="15" spans="1:7" x14ac:dyDescent="0.25">
      <c r="B15" s="36"/>
      <c r="C15" s="36"/>
      <c r="D15" s="36"/>
      <c r="E15" s="36"/>
    </row>
    <row r="16" spans="1:7" x14ac:dyDescent="0.25">
      <c r="B16" s="36"/>
      <c r="C16" s="36"/>
      <c r="D16" s="36"/>
      <c r="E16" s="36"/>
    </row>
    <row r="17" spans="1:11" x14ac:dyDescent="0.25">
      <c r="B17" s="36"/>
      <c r="C17" s="36"/>
      <c r="D17" s="36"/>
      <c r="E17" s="36"/>
    </row>
    <row r="18" spans="1:11" x14ac:dyDescent="0.25">
      <c r="B18" s="36"/>
      <c r="C18" s="36"/>
      <c r="D18" s="36"/>
      <c r="E18" s="36"/>
      <c r="G18" s="10">
        <f>600*24000</f>
        <v>14400000</v>
      </c>
    </row>
    <row r="19" spans="1:11" x14ac:dyDescent="0.25">
      <c r="A19" s="47" t="s">
        <v>84</v>
      </c>
      <c r="B19" s="25"/>
      <c r="C19" s="25"/>
      <c r="D19" s="26"/>
      <c r="E19" s="36"/>
    </row>
    <row r="20" spans="1:11" x14ac:dyDescent="0.25">
      <c r="A20" s="42" t="s">
        <v>0</v>
      </c>
      <c r="B20" s="42" t="s">
        <v>62</v>
      </c>
      <c r="C20" s="42" t="s">
        <v>63</v>
      </c>
      <c r="D20" s="42" t="s">
        <v>6</v>
      </c>
      <c r="E20" s="36"/>
    </row>
    <row r="21" spans="1:11" x14ac:dyDescent="0.25">
      <c r="A21" s="27" t="s">
        <v>50</v>
      </c>
      <c r="B21" s="13">
        <f>E5</f>
        <v>720000000</v>
      </c>
      <c r="C21" s="13">
        <f>200*320000+B21</f>
        <v>784000000</v>
      </c>
      <c r="D21" s="13">
        <f>B21-C21</f>
        <v>-64000000</v>
      </c>
      <c r="E21" s="36"/>
    </row>
    <row r="22" spans="1:11" ht="16.8" x14ac:dyDescent="0.4">
      <c r="A22" s="14" t="s">
        <v>51</v>
      </c>
      <c r="B22" s="66">
        <f>E10</f>
        <v>480000000</v>
      </c>
      <c r="C22" s="66">
        <f>2200*C10</f>
        <v>528000000</v>
      </c>
      <c r="D22" s="66">
        <f t="shared" ref="D22:D25" si="2">B22-C22</f>
        <v>-48000000</v>
      </c>
      <c r="E22" s="36"/>
    </row>
    <row r="23" spans="1:11" x14ac:dyDescent="0.25">
      <c r="A23" s="14" t="s">
        <v>52</v>
      </c>
      <c r="B23" s="15">
        <f>E11</f>
        <v>240000000</v>
      </c>
      <c r="C23" s="15">
        <f>C21-C22</f>
        <v>256000000</v>
      </c>
      <c r="D23" s="15">
        <f t="shared" si="2"/>
        <v>-16000000</v>
      </c>
      <c r="E23" s="36"/>
      <c r="K23" s="10">
        <v>24000000</v>
      </c>
    </row>
    <row r="24" spans="1:11" ht="16.8" x14ac:dyDescent="0.4">
      <c r="A24" s="14" t="s">
        <v>82</v>
      </c>
      <c r="B24" s="63">
        <f>E12</f>
        <v>96000000</v>
      </c>
      <c r="C24" s="66">
        <f>E12+G18</f>
        <v>110400000</v>
      </c>
      <c r="D24" s="66">
        <f t="shared" si="2"/>
        <v>-14400000</v>
      </c>
      <c r="K24" s="10">
        <f>K23*30%</f>
        <v>7200000</v>
      </c>
    </row>
    <row r="25" spans="1:11" ht="18.600000000000001" x14ac:dyDescent="0.55000000000000004">
      <c r="A25" s="28" t="s">
        <v>21</v>
      </c>
      <c r="B25" s="65">
        <f>E13</f>
        <v>144000000</v>
      </c>
      <c r="C25" s="65">
        <f>C23-C24</f>
        <v>145600000</v>
      </c>
      <c r="D25" s="57">
        <f t="shared" si="2"/>
        <v>-1600000</v>
      </c>
      <c r="K25" s="10">
        <f>K23-K24</f>
        <v>16800000</v>
      </c>
    </row>
    <row r="30" spans="1:11" x14ac:dyDescent="0.25">
      <c r="A30" s="67" t="s">
        <v>85</v>
      </c>
      <c r="B30" s="56"/>
    </row>
    <row r="31" spans="1:11" x14ac:dyDescent="0.25">
      <c r="A31" s="42" t="s">
        <v>0</v>
      </c>
      <c r="B31" s="42" t="s">
        <v>8</v>
      </c>
    </row>
    <row r="32" spans="1:11" x14ac:dyDescent="0.25">
      <c r="A32" s="27" t="s">
        <v>86</v>
      </c>
      <c r="B32" s="60">
        <f>-D21</f>
        <v>64000000</v>
      </c>
    </row>
    <row r="33" spans="1:2" x14ac:dyDescent="0.25">
      <c r="A33" s="14" t="s">
        <v>87</v>
      </c>
      <c r="B33" s="51">
        <f>D22</f>
        <v>-48000000</v>
      </c>
    </row>
    <row r="34" spans="1:2" x14ac:dyDescent="0.25">
      <c r="A34" s="14" t="s">
        <v>88</v>
      </c>
      <c r="B34" s="51">
        <f>-D23</f>
        <v>16000000</v>
      </c>
    </row>
    <row r="35" spans="1:2" x14ac:dyDescent="0.25">
      <c r="A35" s="14" t="s">
        <v>89</v>
      </c>
      <c r="B35" s="51">
        <f>D24</f>
        <v>-14400000</v>
      </c>
    </row>
    <row r="36" spans="1:2" x14ac:dyDescent="0.25">
      <c r="A36" s="28" t="s">
        <v>90</v>
      </c>
      <c r="B36" s="68">
        <f>-D25</f>
        <v>1600000</v>
      </c>
    </row>
  </sheetData>
  <mergeCells count="2">
    <mergeCell ref="B4:C4"/>
    <mergeCell ref="D4:E4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41C3-DDCE-4F76-8860-22B08EE356C0}">
  <dimension ref="A1:D7"/>
  <sheetViews>
    <sheetView showGridLines="0" tabSelected="1" workbookViewId="0">
      <selection activeCell="D33" sqref="D33"/>
    </sheetView>
  </sheetViews>
  <sheetFormatPr defaultColWidth="8.77734375" defaultRowHeight="15" x14ac:dyDescent="0.25"/>
  <cols>
    <col min="1" max="1" width="38.77734375" style="4" customWidth="1"/>
    <col min="2" max="4" width="19.33203125" style="4" customWidth="1"/>
    <col min="5" max="16384" width="8.77734375" style="4"/>
  </cols>
  <sheetData>
    <row r="1" spans="1:4" x14ac:dyDescent="0.25">
      <c r="A1" s="47" t="s">
        <v>102</v>
      </c>
      <c r="B1" s="55"/>
      <c r="C1" s="55"/>
      <c r="D1" s="56"/>
    </row>
    <row r="2" spans="1:4" x14ac:dyDescent="0.25">
      <c r="A2" s="42" t="s">
        <v>0</v>
      </c>
      <c r="B2" s="42" t="s">
        <v>92</v>
      </c>
      <c r="C2" s="42" t="s">
        <v>93</v>
      </c>
      <c r="D2" s="42" t="s">
        <v>94</v>
      </c>
    </row>
    <row r="3" spans="1:4" x14ac:dyDescent="0.25">
      <c r="A3" s="27" t="s">
        <v>91</v>
      </c>
      <c r="B3" s="13">
        <f>600*24000</f>
        <v>14400000</v>
      </c>
      <c r="C3" s="13">
        <f>700*24000</f>
        <v>16800000</v>
      </c>
      <c r="D3" s="13">
        <f>750*24000</f>
        <v>18000000</v>
      </c>
    </row>
    <row r="4" spans="1:4" x14ac:dyDescent="0.25">
      <c r="A4" s="14" t="s">
        <v>95</v>
      </c>
      <c r="B4" s="15">
        <f>500*24000</f>
        <v>12000000</v>
      </c>
      <c r="C4" s="15">
        <f>450*24000</f>
        <v>10800000</v>
      </c>
      <c r="D4" s="15">
        <f>610*24000</f>
        <v>14640000</v>
      </c>
    </row>
    <row r="5" spans="1:4" x14ac:dyDescent="0.25">
      <c r="A5" s="14" t="s">
        <v>96</v>
      </c>
      <c r="B5" s="15">
        <f>B3-B4</f>
        <v>2400000</v>
      </c>
      <c r="C5" s="15">
        <f t="shared" ref="C5:D5" si="0">C3-C4</f>
        <v>6000000</v>
      </c>
      <c r="D5" s="15">
        <f t="shared" si="0"/>
        <v>3360000</v>
      </c>
    </row>
    <row r="6" spans="1:4" ht="15.6" x14ac:dyDescent="0.3">
      <c r="A6" s="14" t="s">
        <v>97</v>
      </c>
      <c r="B6" s="69" t="s">
        <v>99</v>
      </c>
      <c r="C6" s="69" t="s">
        <v>100</v>
      </c>
      <c r="D6" s="69" t="s">
        <v>101</v>
      </c>
    </row>
    <row r="7" spans="1:4" ht="18.600000000000001" x14ac:dyDescent="0.55000000000000004">
      <c r="A7" s="28" t="s">
        <v>98</v>
      </c>
      <c r="B7" s="57">
        <f>B5/0.3</f>
        <v>8000000</v>
      </c>
      <c r="C7" s="57">
        <f>C5/0.5</f>
        <v>12000000</v>
      </c>
      <c r="D7" s="57">
        <f>D5/0.4</f>
        <v>8400000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1F9B-9927-4B43-AC90-50DD07228F1D}">
  <dimension ref="A1:Y111"/>
  <sheetViews>
    <sheetView showGridLines="0" zoomScale="80" zoomScaleNormal="80" workbookViewId="0">
      <selection activeCell="V12" sqref="V12"/>
    </sheetView>
  </sheetViews>
  <sheetFormatPr defaultColWidth="8.77734375" defaultRowHeight="15" x14ac:dyDescent="0.25"/>
  <cols>
    <col min="1" max="1" width="32.44140625" style="4" bestFit="1" customWidth="1"/>
    <col min="2" max="2" width="10.6640625" style="4" bestFit="1" customWidth="1"/>
    <col min="3" max="3" width="12.21875" style="4" bestFit="1" customWidth="1"/>
    <col min="4" max="4" width="16.77734375" style="4" bestFit="1" customWidth="1"/>
    <col min="5" max="5" width="10.6640625" style="4" bestFit="1" customWidth="1"/>
    <col min="6" max="6" width="12.21875" style="4" bestFit="1" customWidth="1"/>
    <col min="7" max="7" width="16.77734375" style="4" bestFit="1" customWidth="1"/>
    <col min="8" max="8" width="16.44140625" style="4" bestFit="1" customWidth="1"/>
    <col min="9" max="9" width="10.77734375" style="4" bestFit="1" customWidth="1"/>
    <col min="10" max="10" width="8.77734375" style="4"/>
    <col min="11" max="12" width="15.21875" style="4" bestFit="1" customWidth="1"/>
    <col min="13" max="13" width="13.109375" style="4" bestFit="1" customWidth="1"/>
    <col min="14" max="14" width="12.21875" style="4" bestFit="1" customWidth="1"/>
    <col min="15" max="15" width="11.21875" style="4" bestFit="1" customWidth="1"/>
    <col min="16" max="19" width="8.77734375" style="4"/>
    <col min="20" max="20" width="23.6640625" style="4" bestFit="1" customWidth="1"/>
    <col min="21" max="21" width="16.88671875" style="4" bestFit="1" customWidth="1"/>
    <col min="22" max="22" width="23.109375" style="4" bestFit="1" customWidth="1"/>
    <col min="23" max="23" width="17.88671875" style="4" bestFit="1" customWidth="1"/>
    <col min="24" max="24" width="23.109375" style="4" bestFit="1" customWidth="1"/>
    <col min="25" max="25" width="23.109375" style="4" customWidth="1"/>
    <col min="26" max="16384" width="8.77734375" style="4"/>
  </cols>
  <sheetData>
    <row r="1" spans="1:25" x14ac:dyDescent="0.25">
      <c r="T1" s="72" t="s">
        <v>0</v>
      </c>
      <c r="U1" s="71" t="s">
        <v>1</v>
      </c>
      <c r="V1" s="71"/>
      <c r="W1" s="71" t="s">
        <v>5</v>
      </c>
      <c r="X1" s="71"/>
      <c r="Y1" s="40"/>
    </row>
    <row r="2" spans="1:25" x14ac:dyDescent="0.25">
      <c r="A2" s="6" t="s">
        <v>24</v>
      </c>
      <c r="H2" s="70" t="s">
        <v>23</v>
      </c>
      <c r="I2" s="70"/>
      <c r="T2" s="72"/>
      <c r="U2" s="37" t="s">
        <v>28</v>
      </c>
      <c r="V2" s="37" t="s">
        <v>29</v>
      </c>
      <c r="W2" s="37" t="s">
        <v>28</v>
      </c>
      <c r="X2" s="37" t="s">
        <v>29</v>
      </c>
      <c r="Y2" s="41"/>
    </row>
    <row r="3" spans="1:25" x14ac:dyDescent="0.25">
      <c r="A3" s="72" t="s">
        <v>0</v>
      </c>
      <c r="B3" s="71" t="s">
        <v>1</v>
      </c>
      <c r="C3" s="71"/>
      <c r="D3" s="71"/>
      <c r="E3" s="71" t="s">
        <v>5</v>
      </c>
      <c r="F3" s="71"/>
      <c r="G3" s="71"/>
      <c r="H3" s="71" t="s">
        <v>6</v>
      </c>
      <c r="I3" s="71"/>
      <c r="T3" s="27" t="s">
        <v>25</v>
      </c>
      <c r="U3" s="13">
        <v>360</v>
      </c>
      <c r="V3" s="13">
        <f>Sheet2!E3</f>
        <v>110399.99999999999</v>
      </c>
      <c r="W3" s="13">
        <v>410</v>
      </c>
      <c r="X3" s="13">
        <f>Sheet2!F3</f>
        <v>122399.99999999999</v>
      </c>
      <c r="Y3" s="36"/>
    </row>
    <row r="4" spans="1:25" x14ac:dyDescent="0.25">
      <c r="A4" s="72"/>
      <c r="B4" s="5" t="s">
        <v>2</v>
      </c>
      <c r="C4" s="5" t="s">
        <v>3</v>
      </c>
      <c r="D4" s="5" t="s">
        <v>4</v>
      </c>
      <c r="E4" s="5" t="s">
        <v>2</v>
      </c>
      <c r="F4" s="5" t="s">
        <v>3</v>
      </c>
      <c r="G4" s="5" t="s">
        <v>4</v>
      </c>
      <c r="H4" s="5" t="s">
        <v>8</v>
      </c>
      <c r="I4" s="5" t="s">
        <v>7</v>
      </c>
      <c r="T4" s="14" t="s">
        <v>26</v>
      </c>
      <c r="U4" s="15">
        <v>760</v>
      </c>
      <c r="V4" s="15">
        <f>Sheet2!E4</f>
        <v>79200</v>
      </c>
      <c r="W4" s="15">
        <v>860</v>
      </c>
      <c r="X4" s="15">
        <f>Sheet2!F4</f>
        <v>72000</v>
      </c>
      <c r="Y4" s="36"/>
    </row>
    <row r="5" spans="1:25" x14ac:dyDescent="0.25">
      <c r="A5" s="12" t="s">
        <v>9</v>
      </c>
      <c r="B5" s="13"/>
      <c r="C5" s="13"/>
      <c r="D5" s="13"/>
      <c r="E5" s="13"/>
      <c r="F5" s="13"/>
      <c r="G5" s="13"/>
      <c r="H5" s="13"/>
      <c r="I5" s="13"/>
      <c r="T5" s="22" t="s">
        <v>27</v>
      </c>
      <c r="U5" s="23">
        <v>260</v>
      </c>
      <c r="V5" s="23">
        <f>Sheet2!E5</f>
        <v>60000</v>
      </c>
      <c r="W5" s="23">
        <v>300</v>
      </c>
      <c r="X5" s="23">
        <f>Sheet2!F5</f>
        <v>74400</v>
      </c>
      <c r="Y5" s="36"/>
    </row>
    <row r="6" spans="1:25" x14ac:dyDescent="0.25">
      <c r="A6" s="14" t="s">
        <v>10</v>
      </c>
      <c r="B6" s="15">
        <v>10000</v>
      </c>
      <c r="C6" s="16">
        <f>K6*24000/1000</f>
        <v>9840</v>
      </c>
      <c r="D6" s="15">
        <f>C6*B6</f>
        <v>98400000</v>
      </c>
      <c r="E6" s="15">
        <v>7000</v>
      </c>
      <c r="F6" s="16">
        <f>L6*24000/1000</f>
        <v>9840</v>
      </c>
      <c r="G6" s="15">
        <f>F6*E6</f>
        <v>68880000</v>
      </c>
      <c r="H6" s="15">
        <f>G6-D6</f>
        <v>-29520000</v>
      </c>
      <c r="I6" s="17">
        <f>H6/D6</f>
        <v>-0.3</v>
      </c>
      <c r="K6" s="4">
        <v>410</v>
      </c>
      <c r="L6" s="4">
        <v>410</v>
      </c>
      <c r="M6" s="9">
        <f>H6/24000</f>
        <v>-1230</v>
      </c>
      <c r="U6" s="36"/>
      <c r="V6" s="36"/>
      <c r="W6" s="36"/>
      <c r="X6" s="36"/>
      <c r="Y6" s="36"/>
    </row>
    <row r="7" spans="1:25" x14ac:dyDescent="0.25">
      <c r="A7" s="14" t="s">
        <v>11</v>
      </c>
      <c r="B7" s="15">
        <f>10000-2000</f>
        <v>8000</v>
      </c>
      <c r="C7" s="16">
        <f>K7*24000/1000</f>
        <v>14472</v>
      </c>
      <c r="D7" s="15">
        <f>C7*B7</f>
        <v>115776000</v>
      </c>
      <c r="E7" s="15">
        <f>10500-2000</f>
        <v>8500</v>
      </c>
      <c r="F7" s="16">
        <f>L7*24000/1000</f>
        <v>14472</v>
      </c>
      <c r="G7" s="15">
        <f>F7*E7</f>
        <v>123012000</v>
      </c>
      <c r="H7" s="15">
        <f>G7-D7</f>
        <v>7236000</v>
      </c>
      <c r="I7" s="17">
        <f>H7/D7</f>
        <v>6.25E-2</v>
      </c>
      <c r="K7" s="4">
        <v>603</v>
      </c>
      <c r="L7" s="4">
        <v>603</v>
      </c>
      <c r="M7" s="9">
        <f>H7/24000</f>
        <v>301.5</v>
      </c>
      <c r="U7" s="36"/>
      <c r="V7" s="36"/>
      <c r="W7" s="36"/>
      <c r="X7" s="36"/>
      <c r="Y7" s="36"/>
    </row>
    <row r="8" spans="1:25" x14ac:dyDescent="0.25">
      <c r="A8" s="18" t="s">
        <v>12</v>
      </c>
      <c r="B8" s="19"/>
      <c r="C8" s="19"/>
      <c r="D8" s="19">
        <f>SUM(D6:D7)</f>
        <v>214176000</v>
      </c>
      <c r="E8" s="19"/>
      <c r="F8" s="19"/>
      <c r="G8" s="19">
        <f>SUM(G6:G7)</f>
        <v>191892000</v>
      </c>
      <c r="H8" s="19">
        <f>SUM(H6:H7)</f>
        <v>-22284000</v>
      </c>
      <c r="I8" s="20">
        <f>SUM(I6:I7)</f>
        <v>-0.23749999999999999</v>
      </c>
      <c r="M8" s="9">
        <f>H8/24000</f>
        <v>-928.5</v>
      </c>
      <c r="U8" s="36"/>
      <c r="V8" s="36"/>
      <c r="W8" s="36"/>
      <c r="X8" s="36"/>
      <c r="Y8" s="36"/>
    </row>
    <row r="9" spans="1:25" x14ac:dyDescent="0.25">
      <c r="A9" s="24"/>
      <c r="B9" s="25"/>
      <c r="C9" s="25"/>
      <c r="D9" s="25"/>
      <c r="E9" s="25"/>
      <c r="F9" s="25"/>
      <c r="G9" s="25"/>
      <c r="H9" s="25"/>
      <c r="I9" s="26"/>
      <c r="T9" s="72" t="s">
        <v>0</v>
      </c>
      <c r="U9" s="71" t="s">
        <v>1</v>
      </c>
      <c r="V9" s="71"/>
      <c r="W9" s="71" t="s">
        <v>5</v>
      </c>
      <c r="X9" s="71"/>
      <c r="Y9" s="73" t="s">
        <v>30</v>
      </c>
    </row>
    <row r="10" spans="1:25" x14ac:dyDescent="0.25">
      <c r="A10" s="12" t="s">
        <v>13</v>
      </c>
      <c r="B10" s="13"/>
      <c r="C10" s="13"/>
      <c r="D10" s="13"/>
      <c r="E10" s="13"/>
      <c r="F10" s="13"/>
      <c r="G10" s="13"/>
      <c r="H10" s="13"/>
      <c r="I10" s="13"/>
      <c r="T10" s="72"/>
      <c r="U10" s="37" t="s">
        <v>28</v>
      </c>
      <c r="V10" s="37" t="s">
        <v>29</v>
      </c>
      <c r="W10" s="37" t="s">
        <v>28</v>
      </c>
      <c r="X10" s="37" t="s">
        <v>29</v>
      </c>
      <c r="Y10" s="74"/>
    </row>
    <row r="11" spans="1:25" x14ac:dyDescent="0.25">
      <c r="A11" s="14" t="s">
        <v>14</v>
      </c>
      <c r="B11" s="15"/>
      <c r="C11" s="15"/>
      <c r="D11" s="21">
        <f>SUM(D12:D13)</f>
        <v>93600000</v>
      </c>
      <c r="E11" s="15"/>
      <c r="F11" s="15"/>
      <c r="G11" s="21">
        <f>SUM(G12:G13)</f>
        <v>101160000</v>
      </c>
      <c r="H11" s="21">
        <f>SUM(H12:H13)</f>
        <v>-7560000</v>
      </c>
      <c r="I11" s="15"/>
      <c r="M11" s="9">
        <f>H11/24000</f>
        <v>-315</v>
      </c>
      <c r="T11" s="27" t="s">
        <v>25</v>
      </c>
      <c r="U11" s="38">
        <f>U3*$T$21</f>
        <v>333.00000000000011</v>
      </c>
      <c r="V11" s="38">
        <f>U11*V3</f>
        <v>36763200.000000007</v>
      </c>
      <c r="W11" s="13">
        <f>W3</f>
        <v>410</v>
      </c>
      <c r="X11" s="13">
        <f>W11*X3</f>
        <v>50183999.999999993</v>
      </c>
      <c r="Y11" s="13">
        <f>-X11+V11</f>
        <v>-13420799.999999985</v>
      </c>
    </row>
    <row r="12" spans="1:25" x14ac:dyDescent="0.25">
      <c r="A12" s="14" t="s">
        <v>15</v>
      </c>
      <c r="B12" s="15">
        <f>$B$6</f>
        <v>10000</v>
      </c>
      <c r="C12" s="16">
        <f>K12*24000/1000</f>
        <v>3600</v>
      </c>
      <c r="D12" s="15">
        <f>C12*B12</f>
        <v>36000000</v>
      </c>
      <c r="E12" s="15">
        <f>$E$6</f>
        <v>7000</v>
      </c>
      <c r="F12" s="16">
        <f>L12*24000/1000</f>
        <v>3960</v>
      </c>
      <c r="G12" s="15">
        <f>F12*E12</f>
        <v>27720000</v>
      </c>
      <c r="H12" s="15">
        <f>D12-G12</f>
        <v>8280000</v>
      </c>
      <c r="I12" s="17">
        <f>H12/D12</f>
        <v>0.23</v>
      </c>
      <c r="K12" s="7">
        <v>150</v>
      </c>
      <c r="L12" s="4">
        <v>165</v>
      </c>
      <c r="M12" s="9">
        <f t="shared" ref="M12:M16" si="0">H12/24000</f>
        <v>345</v>
      </c>
      <c r="T12" s="14" t="s">
        <v>26</v>
      </c>
      <c r="U12" s="16">
        <f t="shared" ref="U12:U13" si="1">U4*$T$21</f>
        <v>703.00000000000023</v>
      </c>
      <c r="V12" s="16">
        <f t="shared" ref="V12:V13" si="2">U12*V4</f>
        <v>55677600.000000015</v>
      </c>
      <c r="W12" s="15">
        <f>W4</f>
        <v>860</v>
      </c>
      <c r="X12" s="15">
        <f t="shared" ref="X12:X13" si="3">W12*X4</f>
        <v>61920000</v>
      </c>
      <c r="Y12" s="15">
        <f t="shared" ref="Y12:Y13" si="4">X12-V12</f>
        <v>6242399.9999999851</v>
      </c>
    </row>
    <row r="13" spans="1:25" x14ac:dyDescent="0.25">
      <c r="A13" s="14" t="s">
        <v>16</v>
      </c>
      <c r="B13" s="15">
        <f>$B$7</f>
        <v>8000</v>
      </c>
      <c r="C13" s="16">
        <f>K13*24000/1000</f>
        <v>7200</v>
      </c>
      <c r="D13" s="15">
        <f>C13*B13</f>
        <v>57600000</v>
      </c>
      <c r="E13" s="15">
        <f>$E$7</f>
        <v>8500</v>
      </c>
      <c r="F13" s="16">
        <f>L13*24000/1000</f>
        <v>8640</v>
      </c>
      <c r="G13" s="15">
        <f>F13*E13</f>
        <v>73440000</v>
      </c>
      <c r="H13" s="15">
        <f>D13-G13</f>
        <v>-15840000</v>
      </c>
      <c r="I13" s="17">
        <f>H13/D13</f>
        <v>-0.27500000000000002</v>
      </c>
      <c r="K13" s="7">
        <v>300</v>
      </c>
      <c r="L13" s="4">
        <v>360</v>
      </c>
      <c r="M13" s="9">
        <f t="shared" si="0"/>
        <v>-660</v>
      </c>
      <c r="T13" s="22" t="s">
        <v>27</v>
      </c>
      <c r="U13" s="39">
        <f t="shared" si="1"/>
        <v>240.50000000000006</v>
      </c>
      <c r="V13" s="39">
        <f t="shared" si="2"/>
        <v>14430000.000000004</v>
      </c>
      <c r="W13" s="23">
        <f>W5</f>
        <v>300</v>
      </c>
      <c r="X13" s="23">
        <f t="shared" si="3"/>
        <v>22320000</v>
      </c>
      <c r="Y13" s="23">
        <f t="shared" si="4"/>
        <v>7889999.9999999963</v>
      </c>
    </row>
    <row r="14" spans="1:25" x14ac:dyDescent="0.25">
      <c r="A14" s="14" t="s">
        <v>17</v>
      </c>
      <c r="B14" s="15"/>
      <c r="C14" s="15"/>
      <c r="D14" s="21">
        <f>SUM(D15:D16)</f>
        <v>31200000</v>
      </c>
      <c r="E14" s="15"/>
      <c r="F14" s="15"/>
      <c r="G14" s="21">
        <f>SUM(G15:G16)</f>
        <v>23700000</v>
      </c>
      <c r="H14" s="21">
        <f>SUM(H15:H16)</f>
        <v>7500000</v>
      </c>
      <c r="I14" s="15"/>
      <c r="U14" s="36"/>
      <c r="V14" s="36"/>
      <c r="W14" s="36"/>
      <c r="X14" s="36"/>
      <c r="Y14" s="36">
        <f>SUM(Y11:Y13)</f>
        <v>711599.99999999627</v>
      </c>
    </row>
    <row r="15" spans="1:25" x14ac:dyDescent="0.25">
      <c r="A15" s="14" t="s">
        <v>15</v>
      </c>
      <c r="B15" s="15">
        <f>$B$6</f>
        <v>10000</v>
      </c>
      <c r="C15" s="16">
        <f>K15*24000/1000</f>
        <v>1200</v>
      </c>
      <c r="D15" s="15">
        <f>C15*B15</f>
        <v>12000000</v>
      </c>
      <c r="E15" s="15">
        <f>$E$6</f>
        <v>7000</v>
      </c>
      <c r="F15" s="16">
        <f>L15*24000/1000</f>
        <v>1200</v>
      </c>
      <c r="G15" s="15">
        <f>F15*E15</f>
        <v>8400000</v>
      </c>
      <c r="H15" s="15">
        <f>D15-G15</f>
        <v>3600000</v>
      </c>
      <c r="I15" s="17">
        <f>H15/D15</f>
        <v>0.3</v>
      </c>
      <c r="K15" s="4">
        <v>50</v>
      </c>
      <c r="L15" s="4">
        <v>50</v>
      </c>
      <c r="M15" s="9">
        <f t="shared" si="0"/>
        <v>150</v>
      </c>
    </row>
    <row r="16" spans="1:25" x14ac:dyDescent="0.25">
      <c r="A16" s="14" t="s">
        <v>16</v>
      </c>
      <c r="B16" s="15">
        <f>$B$7</f>
        <v>8000</v>
      </c>
      <c r="C16" s="16">
        <f>K16*24000/1000</f>
        <v>2400</v>
      </c>
      <c r="D16" s="15">
        <f>C16*B16</f>
        <v>19200000</v>
      </c>
      <c r="E16" s="15">
        <f>$E$7</f>
        <v>8500</v>
      </c>
      <c r="F16" s="16">
        <f>L16*24000/1000</f>
        <v>1800</v>
      </c>
      <c r="G16" s="15">
        <f>F16*E16</f>
        <v>15300000</v>
      </c>
      <c r="H16" s="15">
        <f>D16-G16</f>
        <v>3900000</v>
      </c>
      <c r="I16" s="17">
        <f>H16/D16</f>
        <v>0.203125</v>
      </c>
      <c r="K16" s="4">
        <v>100</v>
      </c>
      <c r="L16" s="4">
        <v>75</v>
      </c>
      <c r="M16" s="9">
        <f t="shared" si="0"/>
        <v>162.5</v>
      </c>
      <c r="X16" s="4">
        <f>21120-15360</f>
        <v>5760</v>
      </c>
    </row>
    <row r="17" spans="1:25" x14ac:dyDescent="0.25">
      <c r="A17" s="14" t="s">
        <v>18</v>
      </c>
      <c r="B17" s="15"/>
      <c r="C17" s="15"/>
      <c r="D17" s="21">
        <f>SUM(D18:D19)</f>
        <v>22080000</v>
      </c>
      <c r="E17" s="15"/>
      <c r="F17" s="15"/>
      <c r="G17" s="21">
        <f>SUM(G18:G19)</f>
        <v>14880000</v>
      </c>
      <c r="H17" s="21">
        <f>SUM(H18:H19)</f>
        <v>7200000</v>
      </c>
      <c r="I17" s="15"/>
    </row>
    <row r="18" spans="1:25" x14ac:dyDescent="0.25">
      <c r="A18" s="14" t="s">
        <v>15</v>
      </c>
      <c r="B18" s="15">
        <f>$B$6</f>
        <v>10000</v>
      </c>
      <c r="C18" s="16">
        <f>K18*24000/1000</f>
        <v>1440</v>
      </c>
      <c r="D18" s="15">
        <f>C18*B18</f>
        <v>14400000</v>
      </c>
      <c r="E18" s="15">
        <f>$E$6</f>
        <v>7000</v>
      </c>
      <c r="F18" s="16">
        <f>L18*24000/1000</f>
        <v>960</v>
      </c>
      <c r="G18" s="15">
        <f>F18*E18</f>
        <v>6720000</v>
      </c>
      <c r="H18" s="15">
        <f>D18-G18</f>
        <v>7680000</v>
      </c>
      <c r="I18" s="17">
        <f>H18/D18</f>
        <v>0.53333333333333333</v>
      </c>
      <c r="K18" s="4">
        <v>60</v>
      </c>
      <c r="L18" s="4">
        <v>40</v>
      </c>
      <c r="M18" s="9">
        <f t="shared" ref="M18:M20" si="5">H18/24000</f>
        <v>320</v>
      </c>
      <c r="Y18" s="4">
        <v>-13420799.999999985</v>
      </c>
    </row>
    <row r="19" spans="1:25" x14ac:dyDescent="0.25">
      <c r="A19" s="14" t="s">
        <v>16</v>
      </c>
      <c r="B19" s="15">
        <f>$B$7</f>
        <v>8000</v>
      </c>
      <c r="C19" s="16">
        <f>K19*24000/1000</f>
        <v>960</v>
      </c>
      <c r="D19" s="15">
        <f>C19*B19</f>
        <v>7680000</v>
      </c>
      <c r="E19" s="15">
        <f>$E$7</f>
        <v>8500</v>
      </c>
      <c r="F19" s="16">
        <f>L19*24000/1000</f>
        <v>960</v>
      </c>
      <c r="G19" s="15">
        <f>F19*E19</f>
        <v>8160000</v>
      </c>
      <c r="H19" s="15">
        <f>D19-G19</f>
        <v>-480000</v>
      </c>
      <c r="I19" s="17">
        <f>H19/D19</f>
        <v>-6.25E-2</v>
      </c>
      <c r="K19" s="4">
        <v>40</v>
      </c>
      <c r="L19" s="4">
        <v>40</v>
      </c>
      <c r="M19" s="9">
        <f t="shared" si="5"/>
        <v>-20</v>
      </c>
      <c r="T19" s="4">
        <v>15725.000000000004</v>
      </c>
      <c r="Y19" s="43">
        <v>624239999999999</v>
      </c>
    </row>
    <row r="20" spans="1:25" x14ac:dyDescent="0.25">
      <c r="A20" s="14" t="s">
        <v>19</v>
      </c>
      <c r="B20" s="15"/>
      <c r="C20" s="15"/>
      <c r="D20" s="15">
        <f>K20*24000/1000</f>
        <v>24000000</v>
      </c>
      <c r="E20" s="15"/>
      <c r="F20" s="15"/>
      <c r="G20" s="15">
        <f>L20*24000/1000</f>
        <v>26400000</v>
      </c>
      <c r="H20" s="15">
        <f>D20-G20</f>
        <v>-2400000</v>
      </c>
      <c r="I20" s="17">
        <f>H20/D20</f>
        <v>-0.1</v>
      </c>
      <c r="K20" s="10">
        <v>1000000</v>
      </c>
      <c r="L20" s="10">
        <v>1100000</v>
      </c>
      <c r="M20" s="4">
        <f t="shared" si="5"/>
        <v>-100</v>
      </c>
      <c r="T20" s="4">
        <v>17000</v>
      </c>
      <c r="Y20" s="4">
        <v>7890000</v>
      </c>
    </row>
    <row r="21" spans="1:25" x14ac:dyDescent="0.25">
      <c r="A21" s="14"/>
      <c r="B21" s="15"/>
      <c r="C21" s="15"/>
      <c r="D21" s="15"/>
      <c r="E21" s="15"/>
      <c r="F21" s="15"/>
      <c r="G21" s="15"/>
      <c r="H21" s="15"/>
      <c r="I21" s="17"/>
      <c r="K21" s="10"/>
      <c r="L21" s="10"/>
      <c r="T21" s="8">
        <f>T19/T20</f>
        <v>0.92500000000000027</v>
      </c>
      <c r="U21" s="4">
        <f>T21-0.925</f>
        <v>0</v>
      </c>
    </row>
    <row r="22" spans="1:25" x14ac:dyDescent="0.25">
      <c r="A22" s="18" t="s">
        <v>20</v>
      </c>
      <c r="B22" s="19"/>
      <c r="C22" s="19"/>
      <c r="D22" s="19">
        <f>D17+D14+D11+D20</f>
        <v>170880000</v>
      </c>
      <c r="E22" s="19"/>
      <c r="F22" s="19"/>
      <c r="G22" s="19">
        <f>G17+G14+G11+G20</f>
        <v>166140000</v>
      </c>
      <c r="H22" s="19">
        <f>H17+H14+H11+H20</f>
        <v>4740000</v>
      </c>
      <c r="I22" s="20">
        <f>SUM(I11:I21)</f>
        <v>0.82895833333333335</v>
      </c>
      <c r="M22" s="9">
        <f>D22/24000</f>
        <v>7120</v>
      </c>
      <c r="N22" s="9">
        <f>G22/24000</f>
        <v>6922.5</v>
      </c>
      <c r="O22" s="9">
        <f>H22/24000</f>
        <v>197.5</v>
      </c>
    </row>
    <row r="23" spans="1:25" x14ac:dyDescent="0.25">
      <c r="A23" s="24"/>
      <c r="B23" s="25"/>
      <c r="C23" s="25"/>
      <c r="D23" s="25"/>
      <c r="E23" s="25"/>
      <c r="F23" s="25"/>
      <c r="G23" s="25"/>
      <c r="H23" s="25"/>
      <c r="I23" s="26"/>
      <c r="Y23" s="4">
        <v>711599.99999999627</v>
      </c>
    </row>
    <row r="24" spans="1:25" x14ac:dyDescent="0.25">
      <c r="A24" s="31" t="s">
        <v>21</v>
      </c>
      <c r="B24" s="32"/>
      <c r="C24" s="32"/>
      <c r="D24" s="32">
        <f>D8-D22</f>
        <v>43296000</v>
      </c>
      <c r="E24" s="32"/>
      <c r="F24" s="32"/>
      <c r="G24" s="32">
        <f>G8-G22</f>
        <v>25752000</v>
      </c>
      <c r="H24" s="32">
        <f>H8+H22</f>
        <v>-17544000</v>
      </c>
      <c r="I24" s="33">
        <f>H24/D24</f>
        <v>-0.40521064301552107</v>
      </c>
      <c r="K24" s="9"/>
      <c r="M24" s="11">
        <f>D24/24000</f>
        <v>1804</v>
      </c>
      <c r="N24" s="11">
        <f>G24/24000</f>
        <v>1073</v>
      </c>
      <c r="O24" s="11">
        <f>H24/24000</f>
        <v>-731</v>
      </c>
    </row>
    <row r="25" spans="1:25" x14ac:dyDescent="0.25">
      <c r="A25" s="28" t="s">
        <v>22</v>
      </c>
      <c r="B25" s="29"/>
      <c r="C25" s="29"/>
      <c r="D25" s="30">
        <f>D24/D8</f>
        <v>0.20215150156880324</v>
      </c>
      <c r="E25" s="29"/>
      <c r="F25" s="29"/>
      <c r="G25" s="30">
        <f>G24/G8</f>
        <v>0.13420048777437307</v>
      </c>
      <c r="H25" s="29"/>
      <c r="I25" s="29"/>
      <c r="U25" s="4">
        <v>50</v>
      </c>
      <c r="V25" s="9">
        <f>U25*V3</f>
        <v>5519999.9999999991</v>
      </c>
    </row>
    <row r="26" spans="1:25" x14ac:dyDescent="0.25">
      <c r="B26" s="7"/>
      <c r="C26" s="7"/>
      <c r="D26" s="7"/>
      <c r="E26" s="7"/>
      <c r="F26" s="7"/>
      <c r="G26" s="7"/>
      <c r="H26" s="7"/>
      <c r="I26" s="7"/>
      <c r="U26" s="4">
        <v>250</v>
      </c>
      <c r="V26" s="9">
        <f>U26*V4</f>
        <v>19800000</v>
      </c>
    </row>
    <row r="27" spans="1:25" x14ac:dyDescent="0.25">
      <c r="B27" s="7"/>
      <c r="C27" s="7"/>
      <c r="D27" s="7"/>
      <c r="E27" s="7"/>
      <c r="F27" s="7"/>
      <c r="G27" s="7"/>
      <c r="H27" s="7"/>
      <c r="I27" s="7"/>
      <c r="U27" s="4">
        <v>50</v>
      </c>
      <c r="V27" s="9">
        <f>U27*V5</f>
        <v>3000000</v>
      </c>
      <c r="W27" s="4">
        <v>26880000</v>
      </c>
    </row>
    <row r="28" spans="1:25" x14ac:dyDescent="0.25">
      <c r="B28" s="7"/>
      <c r="C28" s="7"/>
      <c r="D28" s="7"/>
      <c r="E28" s="7"/>
      <c r="F28" s="7"/>
      <c r="G28" s="7"/>
      <c r="H28" s="7"/>
      <c r="I28" s="7"/>
      <c r="V28" s="9">
        <f>SUM(V25:V27)</f>
        <v>28320000</v>
      </c>
      <c r="W28" s="4">
        <v>28320000</v>
      </c>
    </row>
    <row r="29" spans="1:25" x14ac:dyDescent="0.25">
      <c r="B29" s="7"/>
      <c r="C29" s="7"/>
      <c r="D29" s="7"/>
      <c r="E29" s="7"/>
      <c r="F29" s="7"/>
      <c r="G29" s="7"/>
      <c r="H29" s="7"/>
      <c r="I29" s="7"/>
      <c r="W29" s="4">
        <v>1440000</v>
      </c>
    </row>
    <row r="30" spans="1:25" x14ac:dyDescent="0.25">
      <c r="B30" s="7"/>
      <c r="C30" s="7"/>
      <c r="D30" s="7"/>
      <c r="E30" s="7"/>
      <c r="F30" s="7"/>
      <c r="G30" s="7"/>
      <c r="H30" s="7"/>
      <c r="I30" s="7"/>
    </row>
    <row r="31" spans="1:25" x14ac:dyDescent="0.25">
      <c r="B31" s="7"/>
      <c r="C31" s="7"/>
      <c r="D31" s="7"/>
      <c r="E31" s="7"/>
      <c r="F31" s="7"/>
      <c r="G31" s="7"/>
      <c r="H31" s="7"/>
      <c r="I31" s="7"/>
      <c r="T31" s="10">
        <v>2400000000</v>
      </c>
    </row>
    <row r="32" spans="1:25" x14ac:dyDescent="0.25">
      <c r="B32" s="7"/>
      <c r="C32" s="7"/>
      <c r="D32" s="7"/>
      <c r="E32" s="7"/>
      <c r="F32" s="7"/>
      <c r="G32" s="7"/>
      <c r="H32" s="7"/>
      <c r="I32" s="7"/>
      <c r="T32" s="10">
        <v>40000</v>
      </c>
    </row>
    <row r="33" spans="2:23" x14ac:dyDescent="0.25">
      <c r="B33" s="7"/>
      <c r="C33" s="7"/>
      <c r="D33" s="7"/>
      <c r="E33" s="7"/>
      <c r="F33" s="7"/>
      <c r="G33" s="7"/>
      <c r="H33" s="7"/>
      <c r="I33" s="7"/>
      <c r="T33" s="10">
        <f>T31/T32</f>
        <v>60000</v>
      </c>
      <c r="U33" s="44">
        <f>T33-48000</f>
        <v>12000</v>
      </c>
    </row>
    <row r="34" spans="2:23" x14ac:dyDescent="0.25">
      <c r="B34" s="7"/>
      <c r="C34" s="7"/>
      <c r="D34" s="7"/>
      <c r="E34" s="7"/>
      <c r="F34" s="7"/>
      <c r="G34" s="7"/>
      <c r="H34" s="7"/>
      <c r="I34" s="7"/>
      <c r="U34" s="4">
        <v>480000000</v>
      </c>
    </row>
    <row r="35" spans="2:23" x14ac:dyDescent="0.25">
      <c r="B35" s="7"/>
      <c r="C35" s="7"/>
      <c r="D35" s="7"/>
      <c r="E35" s="7"/>
      <c r="F35" s="7"/>
      <c r="G35" s="7"/>
      <c r="H35" s="7"/>
      <c r="I35" s="7"/>
    </row>
    <row r="36" spans="2:23" x14ac:dyDescent="0.25">
      <c r="B36" s="7"/>
      <c r="C36" s="7"/>
      <c r="D36" s="7"/>
      <c r="E36" s="7"/>
      <c r="F36" s="7"/>
      <c r="G36" s="7"/>
      <c r="H36" s="7"/>
      <c r="I36" s="7"/>
    </row>
    <row r="37" spans="2:23" x14ac:dyDescent="0.25">
      <c r="B37" s="7"/>
      <c r="C37" s="7"/>
      <c r="D37" s="7"/>
      <c r="E37" s="7"/>
      <c r="F37" s="7"/>
      <c r="G37" s="7"/>
      <c r="H37" s="7"/>
      <c r="I37" s="7"/>
    </row>
    <row r="38" spans="2:23" x14ac:dyDescent="0.25">
      <c r="B38" s="7"/>
      <c r="C38" s="7"/>
      <c r="D38" s="7"/>
      <c r="E38" s="7"/>
      <c r="F38" s="7"/>
      <c r="G38" s="7"/>
      <c r="H38" s="7"/>
      <c r="I38" s="7"/>
      <c r="T38" s="4">
        <v>2500</v>
      </c>
      <c r="U38" s="10">
        <f>T38*24000</f>
        <v>60000000</v>
      </c>
      <c r="V38" s="4">
        <v>5000</v>
      </c>
      <c r="W38" s="10">
        <f>U38/V38</f>
        <v>12000</v>
      </c>
    </row>
    <row r="39" spans="2:23" x14ac:dyDescent="0.25">
      <c r="B39" s="7"/>
      <c r="C39" s="7"/>
      <c r="D39" s="7"/>
      <c r="E39" s="7"/>
      <c r="F39" s="7"/>
      <c r="G39" s="7"/>
      <c r="H39" s="7"/>
      <c r="I39" s="7"/>
      <c r="T39" s="4">
        <v>3300</v>
      </c>
      <c r="U39" s="10">
        <f>T39*24000</f>
        <v>79200000</v>
      </c>
      <c r="W39" s="10">
        <f>4000*W38-U39</f>
        <v>-31200000</v>
      </c>
    </row>
    <row r="40" spans="2:23" x14ac:dyDescent="0.25">
      <c r="B40" s="7"/>
      <c r="C40" s="7"/>
      <c r="D40" s="7"/>
      <c r="E40" s="7"/>
      <c r="F40" s="7"/>
      <c r="G40" s="7"/>
      <c r="H40" s="7"/>
      <c r="I40" s="7"/>
    </row>
    <row r="41" spans="2:23" x14ac:dyDescent="0.25">
      <c r="B41" s="7"/>
      <c r="C41" s="7"/>
      <c r="D41" s="7"/>
      <c r="E41" s="7"/>
      <c r="F41" s="7"/>
      <c r="G41" s="7"/>
      <c r="H41" s="7"/>
      <c r="I41" s="7"/>
    </row>
    <row r="42" spans="2:23" x14ac:dyDescent="0.25">
      <c r="B42" s="7"/>
      <c r="C42" s="7"/>
      <c r="D42" s="7"/>
      <c r="E42" s="7"/>
      <c r="F42" s="7"/>
      <c r="G42" s="7"/>
      <c r="H42" s="7"/>
      <c r="I42" s="7"/>
    </row>
    <row r="43" spans="2:23" x14ac:dyDescent="0.25">
      <c r="B43" s="7"/>
      <c r="C43" s="7"/>
      <c r="D43" s="7"/>
      <c r="E43" s="7"/>
      <c r="F43" s="7"/>
      <c r="G43" s="7"/>
      <c r="H43" s="7"/>
      <c r="I43" s="7"/>
    </row>
    <row r="44" spans="2:23" x14ac:dyDescent="0.25">
      <c r="B44" s="7"/>
      <c r="C44" s="7"/>
      <c r="D44" s="7"/>
      <c r="E44" s="7"/>
      <c r="F44" s="7"/>
      <c r="G44" s="7"/>
      <c r="H44" s="7"/>
      <c r="I44" s="7"/>
    </row>
    <row r="45" spans="2:23" x14ac:dyDescent="0.25">
      <c r="B45" s="7"/>
      <c r="C45" s="7"/>
      <c r="D45" s="7"/>
      <c r="E45" s="7"/>
      <c r="F45" s="7"/>
      <c r="G45" s="7"/>
      <c r="H45" s="7"/>
      <c r="I45" s="7"/>
    </row>
    <row r="46" spans="2:23" x14ac:dyDescent="0.25">
      <c r="B46" s="7"/>
      <c r="C46" s="7"/>
      <c r="D46" s="7"/>
      <c r="E46" s="7"/>
      <c r="F46" s="7"/>
      <c r="G46" s="7"/>
      <c r="H46" s="7"/>
      <c r="I46" s="7"/>
    </row>
    <row r="47" spans="2:23" x14ac:dyDescent="0.25">
      <c r="B47" s="7"/>
      <c r="C47" s="7"/>
      <c r="D47" s="7"/>
      <c r="E47" s="7"/>
      <c r="F47" s="7"/>
      <c r="G47" s="7"/>
      <c r="H47" s="7"/>
      <c r="I47" s="7"/>
    </row>
    <row r="48" spans="2:23" x14ac:dyDescent="0.25">
      <c r="B48" s="7"/>
      <c r="C48" s="7"/>
      <c r="D48" s="7"/>
      <c r="E48" s="7"/>
      <c r="F48" s="7"/>
      <c r="G48" s="7"/>
      <c r="H48" s="7"/>
      <c r="I48" s="7"/>
    </row>
    <row r="49" spans="2:9" x14ac:dyDescent="0.25">
      <c r="B49" s="7"/>
      <c r="C49" s="7"/>
      <c r="D49" s="7"/>
      <c r="E49" s="7"/>
      <c r="F49" s="7"/>
      <c r="G49" s="7"/>
      <c r="H49" s="7"/>
      <c r="I49" s="7"/>
    </row>
    <row r="50" spans="2:9" x14ac:dyDescent="0.25">
      <c r="B50" s="7"/>
      <c r="C50" s="7"/>
      <c r="D50" s="7"/>
      <c r="E50" s="7"/>
      <c r="F50" s="7"/>
      <c r="G50" s="7"/>
      <c r="H50" s="7"/>
      <c r="I50" s="7"/>
    </row>
    <row r="51" spans="2:9" x14ac:dyDescent="0.25">
      <c r="B51" s="7"/>
      <c r="C51" s="7"/>
      <c r="D51" s="7"/>
      <c r="E51" s="7"/>
      <c r="F51" s="7"/>
      <c r="G51" s="7"/>
      <c r="H51" s="7"/>
      <c r="I51" s="7"/>
    </row>
    <row r="52" spans="2:9" x14ac:dyDescent="0.25">
      <c r="B52" s="7"/>
      <c r="C52" s="7"/>
      <c r="D52" s="7"/>
      <c r="E52" s="7"/>
      <c r="F52" s="7"/>
      <c r="G52" s="7"/>
      <c r="H52" s="7"/>
      <c r="I52" s="7"/>
    </row>
    <row r="53" spans="2:9" x14ac:dyDescent="0.25">
      <c r="B53" s="7"/>
      <c r="C53" s="7"/>
      <c r="D53" s="7"/>
      <c r="E53" s="7"/>
      <c r="F53" s="7"/>
      <c r="G53" s="7"/>
      <c r="H53" s="7"/>
      <c r="I53" s="7"/>
    </row>
    <row r="54" spans="2:9" x14ac:dyDescent="0.25">
      <c r="B54" s="7"/>
      <c r="C54" s="7"/>
      <c r="D54" s="7"/>
      <c r="E54" s="7"/>
      <c r="F54" s="7"/>
      <c r="G54" s="7"/>
      <c r="H54" s="7"/>
      <c r="I54" s="7"/>
    </row>
    <row r="55" spans="2:9" x14ac:dyDescent="0.25">
      <c r="B55" s="7"/>
      <c r="C55" s="7"/>
      <c r="D55" s="7"/>
      <c r="E55" s="7"/>
      <c r="F55" s="7"/>
      <c r="G55" s="7"/>
      <c r="H55" s="7"/>
      <c r="I55" s="7"/>
    </row>
    <row r="56" spans="2:9" x14ac:dyDescent="0.25">
      <c r="B56" s="7"/>
      <c r="C56" s="7"/>
      <c r="D56" s="7"/>
      <c r="E56" s="7"/>
      <c r="F56" s="7"/>
      <c r="G56" s="7"/>
      <c r="H56" s="7"/>
      <c r="I56" s="7"/>
    </row>
    <row r="57" spans="2:9" x14ac:dyDescent="0.25">
      <c r="D57" s="7"/>
      <c r="E57" s="7"/>
      <c r="F57" s="7"/>
      <c r="G57" s="7"/>
      <c r="H57" s="7"/>
      <c r="I57" s="7"/>
    </row>
    <row r="58" spans="2:9" x14ac:dyDescent="0.25">
      <c r="D58" s="7"/>
      <c r="E58" s="7"/>
      <c r="F58" s="7"/>
      <c r="G58" s="7"/>
      <c r="H58" s="7"/>
      <c r="I58" s="7"/>
    </row>
    <row r="59" spans="2:9" x14ac:dyDescent="0.25">
      <c r="D59" s="7"/>
      <c r="E59" s="7"/>
      <c r="F59" s="7"/>
      <c r="G59" s="7"/>
      <c r="H59" s="7"/>
      <c r="I59" s="7"/>
    </row>
    <row r="60" spans="2:9" x14ac:dyDescent="0.25">
      <c r="D60" s="7"/>
      <c r="E60" s="7"/>
      <c r="F60" s="7"/>
      <c r="G60" s="7"/>
      <c r="H60" s="7"/>
      <c r="I60" s="7"/>
    </row>
    <row r="61" spans="2:9" x14ac:dyDescent="0.25">
      <c r="B61" s="7"/>
      <c r="C61" s="7"/>
      <c r="D61" s="7"/>
      <c r="E61" s="7"/>
      <c r="F61" s="7"/>
      <c r="G61" s="7"/>
      <c r="H61" s="7"/>
      <c r="I61" s="7"/>
    </row>
    <row r="62" spans="2:9" x14ac:dyDescent="0.25">
      <c r="B62" s="7"/>
      <c r="C62" s="7"/>
      <c r="D62" s="7"/>
      <c r="E62" s="7"/>
      <c r="F62" s="7"/>
      <c r="G62" s="7"/>
      <c r="H62" s="7"/>
      <c r="I62" s="7"/>
    </row>
    <row r="63" spans="2:9" x14ac:dyDescent="0.25">
      <c r="B63" s="7"/>
      <c r="C63" s="7"/>
      <c r="D63" s="7"/>
      <c r="E63" s="7"/>
      <c r="F63" s="7"/>
      <c r="G63" s="7"/>
      <c r="H63" s="7"/>
      <c r="I63" s="7"/>
    </row>
    <row r="64" spans="2:9" x14ac:dyDescent="0.25">
      <c r="B64" s="7"/>
      <c r="C64" s="7"/>
      <c r="D64" s="7"/>
      <c r="E64" s="7"/>
      <c r="F64" s="7"/>
      <c r="G64" s="7"/>
      <c r="H64" s="7"/>
      <c r="I64" s="7"/>
    </row>
    <row r="65" spans="2:9" x14ac:dyDescent="0.25">
      <c r="B65" s="7"/>
      <c r="C65" s="7"/>
      <c r="D65" s="7"/>
      <c r="E65" s="7"/>
      <c r="F65" s="7"/>
      <c r="G65" s="7"/>
      <c r="H65" s="7"/>
      <c r="I65" s="7"/>
    </row>
    <row r="66" spans="2:9" x14ac:dyDescent="0.25">
      <c r="B66" s="7"/>
      <c r="C66" s="7"/>
      <c r="D66" s="7"/>
      <c r="E66" s="7"/>
      <c r="F66" s="7"/>
      <c r="G66" s="7"/>
      <c r="H66" s="7"/>
      <c r="I66" s="7"/>
    </row>
    <row r="67" spans="2:9" x14ac:dyDescent="0.25">
      <c r="B67" s="7"/>
      <c r="C67" s="7"/>
      <c r="D67" s="7"/>
      <c r="E67" s="7"/>
      <c r="F67" s="7"/>
      <c r="G67" s="7"/>
      <c r="H67" s="7"/>
      <c r="I67" s="7"/>
    </row>
    <row r="68" spans="2:9" x14ac:dyDescent="0.25">
      <c r="B68" s="7"/>
      <c r="C68" s="7"/>
      <c r="D68" s="7"/>
      <c r="E68" s="7"/>
      <c r="F68" s="7"/>
      <c r="G68" s="7"/>
      <c r="H68" s="7"/>
      <c r="I68" s="7"/>
    </row>
    <row r="69" spans="2:9" x14ac:dyDescent="0.25">
      <c r="B69" s="7"/>
      <c r="C69" s="7"/>
      <c r="D69" s="7"/>
      <c r="E69" s="7"/>
      <c r="F69" s="7"/>
      <c r="G69" s="7"/>
      <c r="H69" s="7"/>
      <c r="I69" s="7"/>
    </row>
    <row r="70" spans="2:9" x14ac:dyDescent="0.25">
      <c r="B70" s="7"/>
      <c r="C70" s="7"/>
      <c r="D70" s="7"/>
      <c r="E70" s="7"/>
      <c r="F70" s="7"/>
      <c r="G70" s="7"/>
      <c r="H70" s="7"/>
      <c r="I70" s="7"/>
    </row>
    <row r="71" spans="2:9" x14ac:dyDescent="0.25">
      <c r="B71" s="7"/>
      <c r="C71" s="7"/>
      <c r="D71" s="7"/>
      <c r="E71" s="7"/>
      <c r="F71" s="7"/>
      <c r="G71" s="7"/>
      <c r="H71" s="7"/>
      <c r="I71" s="7"/>
    </row>
    <row r="72" spans="2:9" x14ac:dyDescent="0.25">
      <c r="B72" s="7"/>
      <c r="C72" s="7"/>
      <c r="D72" s="7"/>
      <c r="E72" s="7"/>
      <c r="F72" s="7"/>
      <c r="G72" s="7"/>
      <c r="H72" s="7"/>
      <c r="I72" s="7"/>
    </row>
    <row r="73" spans="2:9" x14ac:dyDescent="0.25">
      <c r="B73" s="7"/>
      <c r="C73" s="7"/>
      <c r="D73" s="7"/>
      <c r="E73" s="7"/>
      <c r="F73" s="7"/>
      <c r="G73" s="7"/>
      <c r="H73" s="7"/>
      <c r="I73" s="7"/>
    </row>
    <row r="74" spans="2:9" x14ac:dyDescent="0.25">
      <c r="B74" s="7"/>
      <c r="C74" s="7"/>
      <c r="D74" s="7"/>
      <c r="E74" s="7"/>
      <c r="F74" s="7"/>
      <c r="G74" s="7"/>
      <c r="H74" s="7"/>
      <c r="I74" s="7"/>
    </row>
    <row r="75" spans="2:9" x14ac:dyDescent="0.25">
      <c r="B75" s="7"/>
      <c r="C75" s="7"/>
      <c r="D75" s="7"/>
      <c r="E75" s="7"/>
      <c r="F75" s="7"/>
      <c r="G75" s="7"/>
      <c r="H75" s="7"/>
      <c r="I75" s="7"/>
    </row>
    <row r="76" spans="2:9" x14ac:dyDescent="0.25">
      <c r="B76" s="7"/>
      <c r="C76" s="7"/>
      <c r="D76" s="7"/>
      <c r="E76" s="7"/>
      <c r="F76" s="7"/>
      <c r="G76" s="7"/>
      <c r="H76" s="7"/>
      <c r="I76" s="7"/>
    </row>
    <row r="77" spans="2:9" x14ac:dyDescent="0.25">
      <c r="B77" s="7"/>
      <c r="C77" s="7"/>
      <c r="D77" s="7"/>
      <c r="E77" s="7"/>
      <c r="F77" s="7"/>
      <c r="G77" s="7"/>
      <c r="H77" s="7"/>
      <c r="I77" s="7"/>
    </row>
    <row r="78" spans="2:9" x14ac:dyDescent="0.25">
      <c r="B78" s="7"/>
      <c r="C78" s="7"/>
      <c r="D78" s="7"/>
      <c r="E78" s="7"/>
      <c r="F78" s="7"/>
      <c r="G78" s="7"/>
      <c r="H78" s="7"/>
      <c r="I78" s="7"/>
    </row>
    <row r="79" spans="2:9" x14ac:dyDescent="0.25">
      <c r="B79" s="7"/>
      <c r="C79" s="7"/>
      <c r="D79" s="7"/>
      <c r="E79" s="7"/>
      <c r="F79" s="7"/>
      <c r="G79" s="7"/>
      <c r="H79" s="7"/>
      <c r="I79" s="7"/>
    </row>
    <row r="80" spans="2:9" x14ac:dyDescent="0.25">
      <c r="B80" s="7"/>
      <c r="C80" s="7"/>
      <c r="D80" s="7"/>
      <c r="E80" s="7"/>
      <c r="F80" s="7"/>
      <c r="G80" s="7"/>
      <c r="H80" s="7"/>
      <c r="I80" s="7"/>
    </row>
    <row r="81" spans="2:9" x14ac:dyDescent="0.25">
      <c r="B81" s="7"/>
      <c r="C81" s="7"/>
      <c r="D81" s="7"/>
      <c r="E81" s="7"/>
      <c r="F81" s="7"/>
      <c r="G81" s="7"/>
      <c r="H81" s="7"/>
      <c r="I81" s="7"/>
    </row>
    <row r="82" spans="2:9" x14ac:dyDescent="0.25">
      <c r="B82" s="7"/>
      <c r="C82" s="7"/>
      <c r="D82" s="7"/>
      <c r="E82" s="7"/>
      <c r="F82" s="7"/>
      <c r="G82" s="7"/>
      <c r="H82" s="7"/>
      <c r="I82" s="7"/>
    </row>
    <row r="83" spans="2:9" x14ac:dyDescent="0.25">
      <c r="B83" s="7"/>
      <c r="C83" s="7"/>
      <c r="D83" s="7"/>
      <c r="E83" s="7"/>
      <c r="F83" s="7"/>
      <c r="G83" s="7"/>
      <c r="H83" s="7"/>
      <c r="I83" s="7"/>
    </row>
    <row r="84" spans="2:9" x14ac:dyDescent="0.25">
      <c r="B84" s="7"/>
      <c r="C84" s="7"/>
      <c r="D84" s="7"/>
      <c r="E84" s="7"/>
      <c r="F84" s="7"/>
      <c r="G84" s="7"/>
      <c r="H84" s="7"/>
      <c r="I84" s="7"/>
    </row>
    <row r="85" spans="2:9" x14ac:dyDescent="0.25">
      <c r="B85" s="7"/>
      <c r="C85" s="7"/>
      <c r="D85" s="7"/>
      <c r="E85" s="7"/>
      <c r="F85" s="7"/>
      <c r="G85" s="7"/>
      <c r="H85" s="7"/>
      <c r="I85" s="7"/>
    </row>
    <row r="86" spans="2:9" x14ac:dyDescent="0.25">
      <c r="B86" s="7"/>
      <c r="C86" s="7"/>
      <c r="D86" s="7"/>
      <c r="E86" s="7"/>
      <c r="F86" s="7"/>
      <c r="G86" s="7"/>
      <c r="H86" s="7"/>
      <c r="I86" s="7"/>
    </row>
    <row r="87" spans="2:9" x14ac:dyDescent="0.25">
      <c r="B87" s="7"/>
      <c r="C87" s="7"/>
      <c r="D87" s="7"/>
      <c r="E87" s="7"/>
      <c r="F87" s="7"/>
      <c r="G87" s="7"/>
      <c r="H87" s="7"/>
      <c r="I87" s="7"/>
    </row>
    <row r="88" spans="2:9" x14ac:dyDescent="0.25">
      <c r="B88" s="7"/>
      <c r="C88" s="7"/>
      <c r="D88" s="7"/>
      <c r="E88" s="7"/>
      <c r="F88" s="7"/>
      <c r="G88" s="7"/>
      <c r="H88" s="7"/>
      <c r="I88" s="7"/>
    </row>
    <row r="89" spans="2:9" x14ac:dyDescent="0.25">
      <c r="B89" s="7"/>
      <c r="C89" s="7"/>
      <c r="D89" s="7"/>
      <c r="E89" s="7"/>
      <c r="F89" s="7"/>
      <c r="G89" s="7"/>
      <c r="H89" s="7"/>
      <c r="I89" s="7"/>
    </row>
    <row r="90" spans="2:9" x14ac:dyDescent="0.25">
      <c r="B90" s="7"/>
      <c r="C90" s="7"/>
      <c r="D90" s="7"/>
      <c r="E90" s="7"/>
      <c r="F90" s="7"/>
      <c r="G90" s="7"/>
      <c r="H90" s="7"/>
      <c r="I90" s="7"/>
    </row>
    <row r="91" spans="2:9" x14ac:dyDescent="0.25">
      <c r="B91" s="7"/>
      <c r="C91" s="7"/>
      <c r="D91" s="7"/>
      <c r="E91" s="7"/>
      <c r="F91" s="7"/>
      <c r="G91" s="7"/>
      <c r="H91" s="7"/>
      <c r="I91" s="7"/>
    </row>
    <row r="92" spans="2:9" x14ac:dyDescent="0.25">
      <c r="B92" s="7"/>
      <c r="C92" s="7"/>
      <c r="D92" s="7"/>
      <c r="E92" s="7"/>
      <c r="F92" s="7"/>
      <c r="G92" s="7"/>
      <c r="H92" s="7"/>
      <c r="I92" s="7"/>
    </row>
    <row r="93" spans="2:9" x14ac:dyDescent="0.25">
      <c r="B93" s="7"/>
      <c r="C93" s="7"/>
      <c r="D93" s="7"/>
      <c r="E93" s="7"/>
      <c r="F93" s="7"/>
      <c r="G93" s="7"/>
      <c r="H93" s="7"/>
      <c r="I93" s="7"/>
    </row>
    <row r="94" spans="2:9" x14ac:dyDescent="0.25">
      <c r="B94" s="7"/>
      <c r="C94" s="7"/>
      <c r="D94" s="7"/>
      <c r="E94" s="7"/>
      <c r="F94" s="7"/>
      <c r="G94" s="7"/>
      <c r="H94" s="7"/>
      <c r="I94" s="7"/>
    </row>
    <row r="95" spans="2:9" x14ac:dyDescent="0.25">
      <c r="B95" s="7"/>
      <c r="C95" s="7"/>
      <c r="D95" s="7"/>
      <c r="E95" s="7"/>
      <c r="F95" s="7"/>
      <c r="G95" s="7"/>
      <c r="H95" s="7"/>
      <c r="I95" s="7"/>
    </row>
    <row r="96" spans="2:9" x14ac:dyDescent="0.25">
      <c r="B96" s="7"/>
      <c r="C96" s="7"/>
      <c r="D96" s="7"/>
      <c r="E96" s="7"/>
      <c r="F96" s="7"/>
      <c r="G96" s="7"/>
      <c r="H96" s="7"/>
      <c r="I96" s="7"/>
    </row>
    <row r="97" spans="2:9" x14ac:dyDescent="0.25">
      <c r="B97" s="7"/>
      <c r="C97" s="7"/>
      <c r="D97" s="7"/>
      <c r="E97" s="7"/>
      <c r="F97" s="7"/>
      <c r="G97" s="7"/>
      <c r="H97" s="7"/>
      <c r="I97" s="7"/>
    </row>
    <row r="98" spans="2:9" x14ac:dyDescent="0.25">
      <c r="B98" s="7"/>
      <c r="C98" s="7"/>
      <c r="D98" s="7"/>
      <c r="E98" s="7"/>
      <c r="F98" s="7"/>
      <c r="G98" s="7"/>
      <c r="H98" s="7"/>
      <c r="I98" s="7"/>
    </row>
    <row r="99" spans="2:9" x14ac:dyDescent="0.25">
      <c r="B99" s="7"/>
      <c r="C99" s="7"/>
      <c r="D99" s="7"/>
      <c r="E99" s="7"/>
      <c r="F99" s="7"/>
      <c r="G99" s="7"/>
      <c r="H99" s="7"/>
      <c r="I99" s="7"/>
    </row>
    <row r="100" spans="2:9" x14ac:dyDescent="0.25">
      <c r="B100" s="7"/>
      <c r="C100" s="7"/>
      <c r="D100" s="7"/>
      <c r="E100" s="7"/>
      <c r="F100" s="7"/>
      <c r="G100" s="7"/>
      <c r="H100" s="7"/>
      <c r="I100" s="7"/>
    </row>
    <row r="101" spans="2:9" x14ac:dyDescent="0.25">
      <c r="B101" s="7"/>
      <c r="C101" s="7"/>
      <c r="D101" s="7"/>
      <c r="E101" s="7"/>
      <c r="F101" s="7"/>
      <c r="G101" s="7"/>
      <c r="H101" s="7"/>
      <c r="I101" s="7"/>
    </row>
    <row r="102" spans="2:9" x14ac:dyDescent="0.25">
      <c r="B102" s="7"/>
      <c r="C102" s="7"/>
      <c r="D102" s="7"/>
      <c r="E102" s="7"/>
      <c r="F102" s="7"/>
      <c r="G102" s="7"/>
      <c r="H102" s="7"/>
      <c r="I102" s="7"/>
    </row>
    <row r="103" spans="2:9" x14ac:dyDescent="0.25">
      <c r="B103" s="7"/>
      <c r="C103" s="7"/>
      <c r="D103" s="7"/>
      <c r="E103" s="7"/>
      <c r="F103" s="7"/>
      <c r="G103" s="7"/>
      <c r="H103" s="7"/>
      <c r="I103" s="7"/>
    </row>
    <row r="104" spans="2:9" x14ac:dyDescent="0.25">
      <c r="B104" s="7"/>
      <c r="C104" s="7"/>
      <c r="D104" s="7"/>
      <c r="E104" s="7"/>
      <c r="F104" s="7"/>
      <c r="G104" s="7"/>
      <c r="H104" s="7"/>
      <c r="I104" s="7"/>
    </row>
    <row r="105" spans="2:9" x14ac:dyDescent="0.25">
      <c r="B105" s="7"/>
      <c r="C105" s="7"/>
      <c r="D105" s="7"/>
      <c r="E105" s="7"/>
      <c r="F105" s="7"/>
      <c r="G105" s="7"/>
      <c r="H105" s="7"/>
      <c r="I105" s="7"/>
    </row>
    <row r="106" spans="2:9" x14ac:dyDescent="0.25">
      <c r="B106" s="7"/>
      <c r="C106" s="7"/>
      <c r="D106" s="7"/>
      <c r="E106" s="7"/>
      <c r="F106" s="7"/>
      <c r="G106" s="7"/>
      <c r="H106" s="7"/>
      <c r="I106" s="7"/>
    </row>
    <row r="107" spans="2:9" x14ac:dyDescent="0.25">
      <c r="B107" s="7"/>
      <c r="C107" s="7"/>
      <c r="D107" s="7"/>
      <c r="E107" s="7"/>
      <c r="F107" s="7"/>
      <c r="G107" s="7"/>
      <c r="H107" s="7"/>
      <c r="I107" s="7"/>
    </row>
    <row r="108" spans="2:9" x14ac:dyDescent="0.25">
      <c r="B108" s="7"/>
      <c r="C108" s="7"/>
      <c r="D108" s="7"/>
      <c r="E108" s="7"/>
      <c r="F108" s="7"/>
      <c r="G108" s="7"/>
      <c r="H108" s="7"/>
      <c r="I108" s="7"/>
    </row>
    <row r="109" spans="2:9" x14ac:dyDescent="0.25">
      <c r="B109" s="7"/>
      <c r="C109" s="7"/>
      <c r="D109" s="7"/>
      <c r="E109" s="7"/>
      <c r="F109" s="7"/>
      <c r="G109" s="7"/>
      <c r="H109" s="7"/>
      <c r="I109" s="7"/>
    </row>
    <row r="110" spans="2:9" x14ac:dyDescent="0.25">
      <c r="B110" s="7"/>
      <c r="C110" s="7"/>
      <c r="D110" s="7"/>
      <c r="E110" s="7"/>
      <c r="F110" s="7"/>
      <c r="G110" s="7"/>
      <c r="H110" s="7"/>
      <c r="I110" s="7"/>
    </row>
    <row r="111" spans="2:9" x14ac:dyDescent="0.25">
      <c r="B111" s="7"/>
      <c r="C111" s="7"/>
      <c r="D111" s="7"/>
      <c r="E111" s="7"/>
      <c r="F111" s="7"/>
      <c r="G111" s="7"/>
      <c r="H111" s="7"/>
      <c r="I111" s="7"/>
    </row>
  </sheetData>
  <mergeCells count="12">
    <mergeCell ref="Y9:Y10"/>
    <mergeCell ref="B3:D3"/>
    <mergeCell ref="E3:G3"/>
    <mergeCell ref="H3:I3"/>
    <mergeCell ref="A3:A4"/>
    <mergeCell ref="H2:I2"/>
    <mergeCell ref="W1:X1"/>
    <mergeCell ref="T1:T2"/>
    <mergeCell ref="T9:T10"/>
    <mergeCell ref="U9:V9"/>
    <mergeCell ref="W9:X9"/>
    <mergeCell ref="U1:V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351A-D566-4780-B68B-EBA988310F64}">
  <dimension ref="C3:J26"/>
  <sheetViews>
    <sheetView workbookViewId="0">
      <selection activeCell="A5" sqref="A5"/>
    </sheetView>
  </sheetViews>
  <sheetFormatPr defaultRowHeight="14.4" x14ac:dyDescent="0.3"/>
  <cols>
    <col min="3" max="3" width="11.21875" bestFit="1" customWidth="1"/>
    <col min="5" max="6" width="13.77734375" bestFit="1" customWidth="1"/>
    <col min="7" max="8" width="16.33203125" bestFit="1" customWidth="1"/>
    <col min="10" max="10" width="15.21875" bestFit="1" customWidth="1"/>
  </cols>
  <sheetData>
    <row r="3" spans="3:10" x14ac:dyDescent="0.3">
      <c r="C3">
        <v>4.5999999999999996</v>
      </c>
      <c r="D3">
        <v>5.0999999999999996</v>
      </c>
      <c r="E3" s="2">
        <f>C3*24000</f>
        <v>110399.99999999999</v>
      </c>
      <c r="F3" s="2">
        <f>D3*24000</f>
        <v>122399.99999999999</v>
      </c>
      <c r="G3" s="3">
        <f>E3*8</f>
        <v>883199.99999999988</v>
      </c>
      <c r="H3" s="3">
        <f>G3*26</f>
        <v>22963199.999999996</v>
      </c>
    </row>
    <row r="4" spans="3:10" x14ac:dyDescent="0.3">
      <c r="C4">
        <v>3.3</v>
      </c>
      <c r="D4">
        <v>3</v>
      </c>
      <c r="E4" s="2">
        <f t="shared" ref="E4:F5" si="0">C4*24000</f>
        <v>79200</v>
      </c>
      <c r="F4" s="2">
        <f t="shared" si="0"/>
        <v>72000</v>
      </c>
      <c r="G4" s="3">
        <f>E4*8</f>
        <v>633600</v>
      </c>
      <c r="H4" s="3">
        <f t="shared" ref="H4:H5" si="1">G4*26</f>
        <v>16473600</v>
      </c>
    </row>
    <row r="5" spans="3:10" x14ac:dyDescent="0.3">
      <c r="C5">
        <v>2.5</v>
      </c>
      <c r="D5">
        <v>3.1</v>
      </c>
      <c r="E5" s="2">
        <f t="shared" si="0"/>
        <v>60000</v>
      </c>
      <c r="F5" s="2">
        <f t="shared" si="0"/>
        <v>74400</v>
      </c>
      <c r="G5" s="3">
        <f>E5*8</f>
        <v>480000</v>
      </c>
      <c r="H5" s="3">
        <f t="shared" si="1"/>
        <v>12480000</v>
      </c>
    </row>
    <row r="6" spans="3:10" x14ac:dyDescent="0.3">
      <c r="G6" s="3">
        <f>G5*24</f>
        <v>11520000</v>
      </c>
    </row>
    <row r="7" spans="3:10" x14ac:dyDescent="0.3">
      <c r="H7">
        <v>5500</v>
      </c>
      <c r="I7" s="34">
        <f>(55%-70%)</f>
        <v>-0.14999999999999991</v>
      </c>
      <c r="J7" s="1">
        <f>I7*H7*E14</f>
        <v>-59399999.99999997</v>
      </c>
    </row>
    <row r="8" spans="3:10" x14ac:dyDescent="0.3">
      <c r="J8">
        <v>-59399999.99999997</v>
      </c>
    </row>
    <row r="9" spans="3:10" x14ac:dyDescent="0.3">
      <c r="H9">
        <v>4500</v>
      </c>
      <c r="I9" s="34">
        <f>45%-30%</f>
        <v>0.15000000000000002</v>
      </c>
      <c r="J9" s="1">
        <f>I9*H9*E16</f>
        <v>210600000.00000003</v>
      </c>
    </row>
    <row r="10" spans="3:10" x14ac:dyDescent="0.3">
      <c r="C10">
        <v>40</v>
      </c>
      <c r="D10">
        <v>44</v>
      </c>
      <c r="E10" s="2">
        <f>C10*24000</f>
        <v>960000</v>
      </c>
      <c r="F10" s="2">
        <f>D10*24000</f>
        <v>1056000</v>
      </c>
      <c r="J10" s="35">
        <f>J9+J7</f>
        <v>151200000.00000006</v>
      </c>
    </row>
    <row r="11" spans="3:10" x14ac:dyDescent="0.3">
      <c r="C11">
        <v>30</v>
      </c>
      <c r="D11">
        <v>28</v>
      </c>
      <c r="E11" s="2">
        <f t="shared" ref="E11:F16" si="2">C11*24000</f>
        <v>720000</v>
      </c>
      <c r="F11" s="2">
        <f t="shared" si="2"/>
        <v>672000</v>
      </c>
      <c r="G11">
        <f>5500/10000</f>
        <v>0.55000000000000004</v>
      </c>
      <c r="J11">
        <v>151200000.00000006</v>
      </c>
    </row>
    <row r="12" spans="3:10" x14ac:dyDescent="0.3">
      <c r="C12">
        <v>20</v>
      </c>
      <c r="D12">
        <v>24</v>
      </c>
      <c r="E12" s="2">
        <f t="shared" si="2"/>
        <v>480000</v>
      </c>
      <c r="F12" s="2">
        <f t="shared" si="2"/>
        <v>576000</v>
      </c>
    </row>
    <row r="14" spans="3:10" x14ac:dyDescent="0.3">
      <c r="C14">
        <v>3</v>
      </c>
      <c r="E14" s="2">
        <f t="shared" si="2"/>
        <v>72000</v>
      </c>
      <c r="F14">
        <v>3000</v>
      </c>
      <c r="G14" s="3">
        <f>F14*E14</f>
        <v>216000000</v>
      </c>
      <c r="H14">
        <v>576000000</v>
      </c>
    </row>
    <row r="15" spans="3:10" x14ac:dyDescent="0.3">
      <c r="C15">
        <v>11</v>
      </c>
      <c r="E15" s="2">
        <f t="shared" si="2"/>
        <v>264000</v>
      </c>
      <c r="F15">
        <v>2000</v>
      </c>
      <c r="G15" s="3">
        <f>F15*E15</f>
        <v>528000000</v>
      </c>
      <c r="H15">
        <v>480000000</v>
      </c>
    </row>
    <row r="16" spans="3:10" x14ac:dyDescent="0.3">
      <c r="C16">
        <v>13</v>
      </c>
      <c r="E16" s="2">
        <f t="shared" si="2"/>
        <v>312000</v>
      </c>
      <c r="H16">
        <v>1056000000</v>
      </c>
    </row>
    <row r="17" spans="3:8" x14ac:dyDescent="0.3">
      <c r="C17">
        <v>40</v>
      </c>
      <c r="E17" s="2">
        <f t="shared" ref="E17" si="3">C17*24000</f>
        <v>960000</v>
      </c>
    </row>
    <row r="18" spans="3:8" x14ac:dyDescent="0.3">
      <c r="F18" s="3">
        <f>E16-E15</f>
        <v>48000</v>
      </c>
    </row>
    <row r="19" spans="3:8" x14ac:dyDescent="0.3">
      <c r="F19" s="3">
        <f>F18*100000</f>
        <v>4800000000</v>
      </c>
      <c r="G19" s="1">
        <v>7200000000</v>
      </c>
      <c r="H19" s="1">
        <f>15000*(1960000-1860000)</f>
        <v>1500000000</v>
      </c>
    </row>
    <row r="20" spans="3:8" x14ac:dyDescent="0.3">
      <c r="C20">
        <v>600</v>
      </c>
      <c r="E20" s="2">
        <f t="shared" ref="E20" si="4">C20*24000</f>
        <v>14400000</v>
      </c>
    </row>
    <row r="21" spans="3:8" x14ac:dyDescent="0.3">
      <c r="C21">
        <v>750</v>
      </c>
      <c r="E21" s="2">
        <f t="shared" ref="E21" si="5">C21*24000</f>
        <v>18000000</v>
      </c>
    </row>
    <row r="22" spans="3:8" x14ac:dyDescent="0.3">
      <c r="E22" s="3">
        <f>E21-E20</f>
        <v>3600000</v>
      </c>
    </row>
    <row r="24" spans="3:8" x14ac:dyDescent="0.3">
      <c r="C24" s="1">
        <v>100000</v>
      </c>
      <c r="E24" s="2">
        <f t="shared" ref="E24:E25" si="6">C24*24000</f>
        <v>2400000000</v>
      </c>
    </row>
    <row r="25" spans="3:8" x14ac:dyDescent="0.3">
      <c r="C25">
        <v>51000</v>
      </c>
      <c r="E25" s="2">
        <f t="shared" si="6"/>
        <v>1224000000</v>
      </c>
      <c r="F25">
        <v>1224000000</v>
      </c>
    </row>
    <row r="26" spans="3:8" x14ac:dyDescent="0.3">
      <c r="E26" s="3">
        <f>35%*E24</f>
        <v>840000000</v>
      </c>
      <c r="F26">
        <v>840000000</v>
      </c>
      <c r="G26" s="3">
        <f>F26-E25</f>
        <v>-384000000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Trang 145</vt:lpstr>
      <vt:lpstr>Trang 148</vt:lpstr>
      <vt:lpstr>Trang 152</vt:lpstr>
      <vt:lpstr>Trang 154</vt:lpstr>
      <vt:lpstr>Trang 159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Trần</dc:creator>
  <cp:lastModifiedBy>VINACFO</cp:lastModifiedBy>
  <dcterms:created xsi:type="dcterms:W3CDTF">2022-09-05T03:00:54Z</dcterms:created>
  <dcterms:modified xsi:type="dcterms:W3CDTF">2023-02-16T07:50:10Z</dcterms:modified>
</cp:coreProperties>
</file>