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Excel File\"/>
    </mc:Choice>
  </mc:AlternateContent>
  <xr:revisionPtr revIDLastSave="0" documentId="13_ncr:1_{0468179D-627D-43CF-BEEE-48650D772618}" xr6:coauthVersionLast="47" xr6:coauthVersionMax="47" xr10:uidLastSave="{00000000-0000-0000-0000-000000000000}"/>
  <bookViews>
    <workbookView xWindow="-108" yWindow="-108" windowWidth="23256" windowHeight="14016" xr2:uid="{417162B3-33B0-45A1-8C31-0AD6F1F3D55E}"/>
  </bookViews>
  <sheets>
    <sheet name="Note" sheetId="12" r:id="rId1"/>
    <sheet name="PL" sheetId="8" r:id="rId2"/>
    <sheet name="COGS" sheetId="10" r:id="rId3"/>
    <sheet name="Data" sheetId="2" r:id="rId4"/>
    <sheet name="Volume" sheetId="9" r:id="rId5"/>
    <sheet name="Budget" sheetId="13" r:id="rId6"/>
  </sheets>
  <definedNames>
    <definedName name="_xlnm._FilterDatabase" localSheetId="3" hidden="1">Data!$A$1:$Q$75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8" l="1"/>
  <c r="O9" i="8"/>
  <c r="O10" i="8"/>
  <c r="O11" i="8"/>
  <c r="O12" i="8"/>
  <c r="O13" i="8"/>
  <c r="O14" i="8"/>
  <c r="O15" i="8"/>
  <c r="O16" i="8"/>
  <c r="O21" i="8"/>
  <c r="O22" i="8"/>
  <c r="O23" i="8"/>
  <c r="O24" i="8"/>
  <c r="O25" i="8"/>
  <c r="O27" i="8"/>
  <c r="O28" i="8"/>
  <c r="O29" i="8"/>
  <c r="O30" i="8"/>
  <c r="O31" i="8"/>
  <c r="O32" i="8"/>
  <c r="O34" i="8"/>
  <c r="O6" i="8"/>
  <c r="F4" i="10"/>
  <c r="E4" i="10"/>
  <c r="S1" i="2" s="1"/>
  <c r="S77" i="2" s="1"/>
  <c r="T83" i="2" s="1"/>
  <c r="B12" i="9"/>
  <c r="B11" i="9"/>
  <c r="B10" i="9"/>
  <c r="B9" i="9"/>
  <c r="B8" i="9"/>
  <c r="B7" i="9"/>
  <c r="B6" i="9"/>
  <c r="B5" i="9"/>
  <c r="B4" i="9"/>
  <c r="B3" i="9"/>
  <c r="B2" i="9"/>
  <c r="Q9" i="2"/>
  <c r="Q38" i="2"/>
  <c r="Q28" i="2"/>
  <c r="Q43" i="2"/>
  <c r="Q8" i="2"/>
  <c r="Q69" i="2"/>
  <c r="Q7" i="2"/>
  <c r="Q48" i="2"/>
  <c r="Q62" i="2"/>
  <c r="Q71" i="2"/>
  <c r="Q55" i="2"/>
  <c r="Q65" i="2"/>
  <c r="Q11" i="2"/>
  <c r="Q36" i="2"/>
  <c r="Q67" i="2"/>
  <c r="Q24" i="2"/>
  <c r="Q51" i="2"/>
  <c r="Q5" i="2"/>
  <c r="Q40" i="2"/>
  <c r="Q19" i="2"/>
  <c r="Q22" i="2"/>
  <c r="Q58" i="2"/>
  <c r="Q41" i="2"/>
  <c r="Q39" i="2"/>
  <c r="Q29" i="2"/>
  <c r="Q20" i="2"/>
  <c r="Q64" i="2"/>
  <c r="Q26" i="2"/>
  <c r="Q14" i="2"/>
  <c r="Q25" i="2"/>
  <c r="Q27" i="2"/>
  <c r="Q30" i="2"/>
  <c r="Q47" i="2"/>
  <c r="Q56" i="2"/>
  <c r="Q2" i="2"/>
  <c r="Q16" i="2"/>
  <c r="Q10" i="2"/>
  <c r="Q37" i="2"/>
  <c r="Q50" i="2"/>
  <c r="Q23" i="2"/>
  <c r="Q75" i="2"/>
  <c r="Q54" i="2"/>
  <c r="Q57" i="2"/>
  <c r="Q73" i="2"/>
  <c r="Q63" i="2"/>
  <c r="Q15" i="2"/>
  <c r="Q59" i="2"/>
  <c r="Q66" i="2"/>
  <c r="Q53" i="2"/>
  <c r="Q35" i="2"/>
  <c r="Q44" i="2"/>
  <c r="Q61" i="2"/>
  <c r="Q12" i="2"/>
  <c r="Q45" i="2"/>
  <c r="Q60" i="2"/>
  <c r="Q17" i="2"/>
  <c r="Q13" i="2"/>
  <c r="Q34" i="2"/>
  <c r="Q18" i="2"/>
  <c r="Q70" i="2"/>
  <c r="Q68" i="2"/>
  <c r="Q52" i="2"/>
  <c r="Q21" i="2"/>
  <c r="Q32" i="2"/>
  <c r="Q72" i="2"/>
  <c r="Q42" i="2"/>
  <c r="Q49" i="2"/>
  <c r="Q33" i="2"/>
  <c r="Q6" i="2"/>
  <c r="Q4" i="2"/>
  <c r="Q46" i="2"/>
  <c r="Q74" i="2"/>
  <c r="Q31" i="2"/>
  <c r="Q3" i="2"/>
  <c r="O33" i="8" l="1"/>
  <c r="O26" i="8"/>
  <c r="O17" i="8"/>
  <c r="O18" i="8" s="1"/>
  <c r="O7" i="8"/>
  <c r="I14" i="10"/>
  <c r="E14" i="10"/>
  <c r="E14" i="8" s="1"/>
  <c r="Z1" i="2"/>
  <c r="S79" i="2"/>
  <c r="V83" i="2" s="1"/>
  <c r="S81" i="2"/>
  <c r="X83" i="2" s="1"/>
  <c r="S80" i="2"/>
  <c r="W83" i="2" s="1"/>
  <c r="S78" i="2"/>
  <c r="U83" i="2" s="1"/>
  <c r="E8" i="10"/>
  <c r="J32" i="10" s="1"/>
  <c r="A32" i="9"/>
  <c r="D32" i="9" s="1"/>
  <c r="S71" i="2"/>
  <c r="S66" i="2"/>
  <c r="S64" i="2"/>
  <c r="S51" i="2"/>
  <c r="S49" i="2"/>
  <c r="S48" i="2"/>
  <c r="S41" i="2"/>
  <c r="S25" i="2"/>
  <c r="S13" i="2"/>
  <c r="S46" i="2"/>
  <c r="S38" i="2"/>
  <c r="S28" i="2"/>
  <c r="S23" i="2"/>
  <c r="S22" i="2"/>
  <c r="S2" i="2"/>
  <c r="S19" i="2"/>
  <c r="S73" i="2"/>
  <c r="S16" i="2"/>
  <c r="S50" i="2"/>
  <c r="S70" i="2"/>
  <c r="S45" i="2"/>
  <c r="S18" i="2"/>
  <c r="S67" i="2"/>
  <c r="S44" i="2"/>
  <c r="S17" i="2"/>
  <c r="S65" i="2"/>
  <c r="S39" i="2"/>
  <c r="S14" i="2"/>
  <c r="S62" i="2"/>
  <c r="S35" i="2"/>
  <c r="S12" i="2"/>
  <c r="S61" i="2"/>
  <c r="S34" i="2"/>
  <c r="S9" i="2"/>
  <c r="S60" i="2"/>
  <c r="S33" i="2"/>
  <c r="S7" i="2"/>
  <c r="S57" i="2"/>
  <c r="S32" i="2"/>
  <c r="S6" i="2"/>
  <c r="S55" i="2"/>
  <c r="S30" i="2"/>
  <c r="S3" i="2"/>
  <c r="S54" i="2"/>
  <c r="S29" i="2"/>
  <c r="S75" i="2"/>
  <c r="S59" i="2"/>
  <c r="S43" i="2"/>
  <c r="S27" i="2"/>
  <c r="S11" i="2"/>
  <c r="S74" i="2"/>
  <c r="S58" i="2"/>
  <c r="S42" i="2"/>
  <c r="S26" i="2"/>
  <c r="S10" i="2"/>
  <c r="S72" i="2"/>
  <c r="S56" i="2"/>
  <c r="S40" i="2"/>
  <c r="S24" i="2"/>
  <c r="S8" i="2"/>
  <c r="S69" i="2"/>
  <c r="S53" i="2"/>
  <c r="S37" i="2"/>
  <c r="S21" i="2"/>
  <c r="S5" i="2"/>
  <c r="S68" i="2"/>
  <c r="S52" i="2"/>
  <c r="S36" i="2"/>
  <c r="S20" i="2"/>
  <c r="S4" i="2"/>
  <c r="S63" i="2"/>
  <c r="S47" i="2"/>
  <c r="S31" i="2"/>
  <c r="S15" i="2"/>
  <c r="O35" i="8" l="1"/>
  <c r="I8" i="10"/>
  <c r="I6" i="8" s="1"/>
  <c r="M7" i="8"/>
  <c r="M8" i="8"/>
  <c r="M9" i="8"/>
  <c r="N9" i="8" s="1"/>
  <c r="P9" i="8" s="1"/>
  <c r="M10" i="8"/>
  <c r="N10" i="8" s="1"/>
  <c r="P10" i="8" s="1"/>
  <c r="M26" i="8"/>
  <c r="M29" i="8"/>
  <c r="M30" i="8"/>
  <c r="M24" i="8"/>
  <c r="M11" i="8"/>
  <c r="M27" i="8"/>
  <c r="N27" i="8" s="1"/>
  <c r="P27" i="8" s="1"/>
  <c r="M28" i="8"/>
  <c r="N28" i="8" s="1"/>
  <c r="P28" i="8" s="1"/>
  <c r="M31" i="8"/>
  <c r="M12" i="8"/>
  <c r="M13" i="8"/>
  <c r="M14" i="8"/>
  <c r="M15" i="8"/>
  <c r="M16" i="8"/>
  <c r="N16" i="8" s="1"/>
  <c r="P16" i="8" s="1"/>
  <c r="Q16" i="8" s="1"/>
  <c r="M32" i="8"/>
  <c r="M35" i="8"/>
  <c r="M6" i="8"/>
  <c r="M23" i="8"/>
  <c r="M17" i="8"/>
  <c r="M33" i="8"/>
  <c r="M34" i="8"/>
  <c r="N34" i="8" s="1"/>
  <c r="P34" i="8" s="1"/>
  <c r="M18" i="8"/>
  <c r="M19" i="8"/>
  <c r="M20" i="8"/>
  <c r="M21" i="8"/>
  <c r="M22" i="8"/>
  <c r="M25" i="8"/>
  <c r="AA72" i="2"/>
  <c r="AA73" i="2"/>
  <c r="AA74" i="2"/>
  <c r="AA75" i="2"/>
  <c r="AA70" i="2"/>
  <c r="AA71" i="2"/>
  <c r="I14" i="8"/>
  <c r="AA78" i="2"/>
  <c r="AC83" i="2" s="1"/>
  <c r="AA26" i="2"/>
  <c r="AA42" i="2"/>
  <c r="AA58" i="2"/>
  <c r="AA6" i="2"/>
  <c r="AA28" i="2"/>
  <c r="AA44" i="2"/>
  <c r="AA8" i="2"/>
  <c r="AA15" i="2"/>
  <c r="AA11" i="2"/>
  <c r="AA12" i="2"/>
  <c r="AA49" i="2"/>
  <c r="AA50" i="2"/>
  <c r="AA67" i="2"/>
  <c r="AA54" i="2"/>
  <c r="AA55" i="2"/>
  <c r="AA79" i="2"/>
  <c r="AD83" i="2" s="1"/>
  <c r="AA27" i="2"/>
  <c r="AA43" i="2"/>
  <c r="AA59" i="2"/>
  <c r="AA7" i="2"/>
  <c r="AA80" i="2"/>
  <c r="AE83" i="2" s="1"/>
  <c r="AA60" i="2"/>
  <c r="AA10" i="2"/>
  <c r="AA47" i="2"/>
  <c r="AA48" i="2"/>
  <c r="AA33" i="2"/>
  <c r="AA65" i="2"/>
  <c r="AA66" i="2"/>
  <c r="AA2" i="2"/>
  <c r="AA56" i="2"/>
  <c r="AA5" i="2"/>
  <c r="AA81" i="2"/>
  <c r="AF83" i="2" s="1"/>
  <c r="AA29" i="2"/>
  <c r="AA45" i="2"/>
  <c r="AA61" i="2"/>
  <c r="AA9" i="2"/>
  <c r="AA77" i="2"/>
  <c r="AA30" i="2"/>
  <c r="AA46" i="2"/>
  <c r="AA62" i="2"/>
  <c r="AA31" i="2"/>
  <c r="AA63" i="2"/>
  <c r="AA64" i="2"/>
  <c r="AA17" i="2"/>
  <c r="AA13" i="2"/>
  <c r="AA51" i="2"/>
  <c r="AA22" i="2"/>
  <c r="AA24" i="2"/>
  <c r="AA57" i="2"/>
  <c r="AA16" i="2"/>
  <c r="AA32" i="2"/>
  <c r="AA34" i="2"/>
  <c r="AA18" i="2"/>
  <c r="AA14" i="2"/>
  <c r="AA39" i="2"/>
  <c r="AA4" i="2"/>
  <c r="AA19" i="2"/>
  <c r="AA35" i="2"/>
  <c r="AA23" i="2"/>
  <c r="AA25" i="2"/>
  <c r="AA20" i="2"/>
  <c r="AA36" i="2"/>
  <c r="AA52" i="2"/>
  <c r="AA68" i="2"/>
  <c r="AA38" i="2"/>
  <c r="AA3" i="2"/>
  <c r="AA41" i="2"/>
  <c r="AA21" i="2"/>
  <c r="AA37" i="2"/>
  <c r="AA53" i="2"/>
  <c r="AA69" i="2"/>
  <c r="AA40" i="2"/>
  <c r="F32" i="10"/>
  <c r="E6" i="8"/>
  <c r="E42" i="8" s="1"/>
  <c r="S83" i="2"/>
  <c r="E8" i="8" s="1"/>
  <c r="E32" i="9"/>
  <c r="G32" i="9"/>
  <c r="C32" i="9"/>
  <c r="F32" i="9"/>
  <c r="F14" i="10"/>
  <c r="F14" i="8" s="1"/>
  <c r="N14" i="8" l="1"/>
  <c r="P14" i="8" s="1"/>
  <c r="Q14" i="8" s="1"/>
  <c r="I42" i="8"/>
  <c r="N6" i="8"/>
  <c r="P6" i="8" s="1"/>
  <c r="Q6" i="8" s="1"/>
  <c r="E7" i="8"/>
  <c r="E43" i="8" s="1"/>
  <c r="E44" i="8" s="1"/>
  <c r="F44" i="8" s="1"/>
  <c r="J14" i="10"/>
  <c r="J14" i="8" s="1"/>
  <c r="AA83" i="2"/>
  <c r="AB83" i="2"/>
  <c r="F8" i="8"/>
  <c r="F36" i="9"/>
  <c r="D35" i="9"/>
  <c r="C35" i="9"/>
  <c r="G42" i="9"/>
  <c r="E35" i="9"/>
  <c r="E36" i="9"/>
  <c r="C39" i="9"/>
  <c r="E37" i="9"/>
  <c r="C44" i="9"/>
  <c r="T34" i="2" s="1"/>
  <c r="C36" i="9"/>
  <c r="T3" i="2" s="1"/>
  <c r="E42" i="9"/>
  <c r="V31" i="2" s="1"/>
  <c r="D42" i="9"/>
  <c r="G36" i="9"/>
  <c r="C42" i="9"/>
  <c r="C43" i="9"/>
  <c r="T32" i="2" s="1"/>
  <c r="F35" i="9"/>
  <c r="F42" i="9"/>
  <c r="F40" i="9"/>
  <c r="G44" i="9"/>
  <c r="G43" i="9"/>
  <c r="F43" i="9"/>
  <c r="D43" i="9"/>
  <c r="G37" i="9"/>
  <c r="F39" i="9"/>
  <c r="H32" i="9"/>
  <c r="D45" i="9" s="1"/>
  <c r="F41" i="9"/>
  <c r="G38" i="9"/>
  <c r="G39" i="9"/>
  <c r="F37" i="9"/>
  <c r="E40" i="9"/>
  <c r="V9" i="2" s="1"/>
  <c r="G40" i="9"/>
  <c r="D37" i="9"/>
  <c r="E38" i="9"/>
  <c r="G41" i="9"/>
  <c r="F44" i="9"/>
  <c r="E41" i="9"/>
  <c r="E39" i="9"/>
  <c r="V8" i="2" s="1"/>
  <c r="D39" i="9"/>
  <c r="F38" i="9"/>
  <c r="C37" i="9"/>
  <c r="T4" i="2" s="1"/>
  <c r="G35" i="9"/>
  <c r="X2" i="2" s="1"/>
  <c r="D36" i="9"/>
  <c r="E43" i="9"/>
  <c r="D41" i="9"/>
  <c r="D44" i="9"/>
  <c r="C41" i="9"/>
  <c r="T30" i="2" s="1"/>
  <c r="D38" i="9"/>
  <c r="E44" i="9"/>
  <c r="C38" i="9"/>
  <c r="T5" i="2" s="1"/>
  <c r="D40" i="9"/>
  <c r="C40" i="9"/>
  <c r="F7" i="8" l="1"/>
  <c r="I8" i="8"/>
  <c r="G14" i="8"/>
  <c r="K34" i="8"/>
  <c r="K14" i="8"/>
  <c r="G8" i="8"/>
  <c r="G34" i="8"/>
  <c r="AB32" i="2"/>
  <c r="AD31" i="2"/>
  <c r="W5" i="2"/>
  <c r="AE5" i="2"/>
  <c r="X4" i="2"/>
  <c r="AF4" i="2"/>
  <c r="T8" i="2"/>
  <c r="AB8" i="2"/>
  <c r="U6" i="2"/>
  <c r="AC6" i="2"/>
  <c r="V30" i="2"/>
  <c r="AD30" i="2"/>
  <c r="X32" i="2"/>
  <c r="AF32" i="2"/>
  <c r="X31" i="2"/>
  <c r="AF31" i="2"/>
  <c r="W32" i="2"/>
  <c r="AE32" i="2"/>
  <c r="V2" i="2"/>
  <c r="AD2" i="2"/>
  <c r="T9" i="2"/>
  <c r="AB9" i="2"/>
  <c r="T2" i="2"/>
  <c r="AB2" i="2"/>
  <c r="W8" i="2"/>
  <c r="AE8" i="2"/>
  <c r="V4" i="2"/>
  <c r="AD4" i="2"/>
  <c r="U8" i="2"/>
  <c r="AC8" i="2"/>
  <c r="U32" i="2"/>
  <c r="AC32" i="2"/>
  <c r="V3" i="2"/>
  <c r="AD3" i="2"/>
  <c r="W34" i="2"/>
  <c r="AE34" i="2"/>
  <c r="X34" i="2"/>
  <c r="AF34" i="2"/>
  <c r="U9" i="2"/>
  <c r="AC9" i="2"/>
  <c r="X30" i="2"/>
  <c r="AF30" i="2"/>
  <c r="W9" i="2"/>
  <c r="AE9" i="2"/>
  <c r="U2" i="2"/>
  <c r="AC2" i="2"/>
  <c r="W31" i="2"/>
  <c r="AE31" i="2"/>
  <c r="V5" i="2"/>
  <c r="AD5" i="2"/>
  <c r="W3" i="2"/>
  <c r="AE3" i="2"/>
  <c r="V34" i="2"/>
  <c r="AD34" i="2"/>
  <c r="U4" i="2"/>
  <c r="AC4" i="2"/>
  <c r="W2" i="2"/>
  <c r="AE2" i="2"/>
  <c r="U5" i="2"/>
  <c r="AC5" i="2"/>
  <c r="X9" i="2"/>
  <c r="AF9" i="2"/>
  <c r="AD9" i="2"/>
  <c r="AB4" i="2"/>
  <c r="AF2" i="2"/>
  <c r="W4" i="2"/>
  <c r="AE4" i="2"/>
  <c r="T31" i="2"/>
  <c r="AB31" i="2"/>
  <c r="U34" i="2"/>
  <c r="AC34" i="2"/>
  <c r="X3" i="2"/>
  <c r="AF3" i="2"/>
  <c r="U30" i="2"/>
  <c r="AC30" i="2"/>
  <c r="X8" i="2"/>
  <c r="AF8" i="2"/>
  <c r="U31" i="2"/>
  <c r="AC31" i="2"/>
  <c r="X5" i="2"/>
  <c r="AF5" i="2"/>
  <c r="AB34" i="2"/>
  <c r="AB5" i="2"/>
  <c r="V32" i="2"/>
  <c r="AD32" i="2"/>
  <c r="AD8" i="2"/>
  <c r="U3" i="2"/>
  <c r="AC3" i="2"/>
  <c r="W30" i="2"/>
  <c r="AE30" i="2"/>
  <c r="AB3" i="2"/>
  <c r="AB30" i="2"/>
  <c r="D46" i="9"/>
  <c r="E45" i="9"/>
  <c r="F45" i="9"/>
  <c r="G45" i="9"/>
  <c r="X6" i="2" s="1"/>
  <c r="C45" i="9"/>
  <c r="AB6" i="2" s="1"/>
  <c r="C46" i="9"/>
  <c r="AB7" i="2" s="1"/>
  <c r="I7" i="8" l="1"/>
  <c r="N8" i="8"/>
  <c r="I12" i="10"/>
  <c r="J12" i="10" s="1"/>
  <c r="J12" i="8" s="1"/>
  <c r="K12" i="8" s="1"/>
  <c r="E12" i="10"/>
  <c r="E12" i="8" s="1"/>
  <c r="I13" i="10"/>
  <c r="J13" i="10" s="1"/>
  <c r="E13" i="10"/>
  <c r="E13" i="8" s="1"/>
  <c r="E15" i="10"/>
  <c r="E15" i="8" s="1"/>
  <c r="E11" i="10"/>
  <c r="I15" i="10"/>
  <c r="J15" i="10" s="1"/>
  <c r="I11" i="10"/>
  <c r="J11" i="10" s="1"/>
  <c r="J8" i="8"/>
  <c r="T6" i="2"/>
  <c r="D47" i="9"/>
  <c r="AC10" i="2" s="1"/>
  <c r="AC7" i="2"/>
  <c r="U7" i="2"/>
  <c r="G46" i="9"/>
  <c r="AF7" i="2" s="1"/>
  <c r="AF6" i="2"/>
  <c r="F46" i="9"/>
  <c r="AE7" i="2" s="1"/>
  <c r="AE6" i="2"/>
  <c r="E46" i="9"/>
  <c r="AD7" i="2" s="1"/>
  <c r="AD6" i="2"/>
  <c r="W6" i="2"/>
  <c r="V6" i="2"/>
  <c r="C47" i="9"/>
  <c r="AB10" i="2" s="1"/>
  <c r="T7" i="2"/>
  <c r="K8" i="8" l="1"/>
  <c r="N7" i="8"/>
  <c r="P7" i="8" s="1"/>
  <c r="Q7" i="8" s="1"/>
  <c r="P8" i="8"/>
  <c r="Q8" i="8" s="1"/>
  <c r="J7" i="8"/>
  <c r="I43" i="8"/>
  <c r="I44" i="8" s="1"/>
  <c r="J44" i="8" s="1"/>
  <c r="W7" i="2"/>
  <c r="X7" i="2"/>
  <c r="F47" i="9"/>
  <c r="AE10" i="2" s="1"/>
  <c r="F12" i="10"/>
  <c r="F12" i="8" s="1"/>
  <c r="G12" i="8" s="1"/>
  <c r="I12" i="8"/>
  <c r="N12" i="8" s="1"/>
  <c r="P12" i="8" s="1"/>
  <c r="Q12" i="8" s="1"/>
  <c r="J16" i="10"/>
  <c r="I11" i="8"/>
  <c r="N11" i="8" s="1"/>
  <c r="P11" i="8" s="1"/>
  <c r="Q11" i="8" s="1"/>
  <c r="J13" i="8"/>
  <c r="K13" i="8" s="1"/>
  <c r="I13" i="8"/>
  <c r="N13" i="8" s="1"/>
  <c r="P13" i="8" s="1"/>
  <c r="Q13" i="8" s="1"/>
  <c r="J15" i="8"/>
  <c r="K15" i="8" s="1"/>
  <c r="I15" i="8"/>
  <c r="N15" i="8" s="1"/>
  <c r="P15" i="8" s="1"/>
  <c r="Q15" i="8" s="1"/>
  <c r="E11" i="8"/>
  <c r="E17" i="8" s="1"/>
  <c r="G47" i="9"/>
  <c r="AF10" i="2" s="1"/>
  <c r="I16" i="10"/>
  <c r="J11" i="8"/>
  <c r="U10" i="2"/>
  <c r="F13" i="10"/>
  <c r="F13" i="8" s="1"/>
  <c r="G13" i="8" s="1"/>
  <c r="F11" i="10"/>
  <c r="F11" i="8" s="1"/>
  <c r="G11" i="8" s="1"/>
  <c r="E16" i="10"/>
  <c r="F15" i="10"/>
  <c r="F15" i="8" s="1"/>
  <c r="G15" i="8" s="1"/>
  <c r="D48" i="9"/>
  <c r="AC11" i="2" s="1"/>
  <c r="V7" i="2"/>
  <c r="E47" i="9"/>
  <c r="AD10" i="2" s="1"/>
  <c r="V10" i="2"/>
  <c r="C48" i="9"/>
  <c r="AB11" i="2" s="1"/>
  <c r="T10" i="2"/>
  <c r="E45" i="8" l="1"/>
  <c r="E46" i="8" s="1"/>
  <c r="F46" i="8" s="1"/>
  <c r="E18" i="8"/>
  <c r="N17" i="8"/>
  <c r="G48" i="9"/>
  <c r="AF11" i="2" s="1"/>
  <c r="U11" i="2"/>
  <c r="W10" i="2"/>
  <c r="F48" i="9"/>
  <c r="AE11" i="2" s="1"/>
  <c r="J17" i="8"/>
  <c r="J18" i="8" s="1"/>
  <c r="K11" i="8"/>
  <c r="I17" i="8"/>
  <c r="I18" i="8" s="1"/>
  <c r="D49" i="9"/>
  <c r="AC12" i="2" s="1"/>
  <c r="X10" i="2"/>
  <c r="F17" i="8"/>
  <c r="F16" i="10"/>
  <c r="E48" i="9"/>
  <c r="AD11" i="2" s="1"/>
  <c r="X11" i="2"/>
  <c r="C49" i="9"/>
  <c r="AB12" i="2" s="1"/>
  <c r="T11" i="2"/>
  <c r="P17" i="8" l="1"/>
  <c r="Q17" i="8" s="1"/>
  <c r="N18" i="8"/>
  <c r="P18" i="8" s="1"/>
  <c r="Q18" i="8" s="1"/>
  <c r="E47" i="8"/>
  <c r="F45" i="8"/>
  <c r="G17" i="8"/>
  <c r="F18" i="8"/>
  <c r="I45" i="8"/>
  <c r="I46" i="8" s="1"/>
  <c r="G49" i="9"/>
  <c r="AF12" i="2" s="1"/>
  <c r="W11" i="2"/>
  <c r="F49" i="9"/>
  <c r="AE12" i="2" s="1"/>
  <c r="U12" i="2"/>
  <c r="K17" i="8"/>
  <c r="D50" i="9"/>
  <c r="AC13" i="2" s="1"/>
  <c r="V11" i="2"/>
  <c r="E49" i="9"/>
  <c r="AD12" i="2" s="1"/>
  <c r="U13" i="2"/>
  <c r="C50" i="9"/>
  <c r="AB13" i="2" s="1"/>
  <c r="T12" i="2"/>
  <c r="X12" i="2"/>
  <c r="J45" i="8" l="1"/>
  <c r="G50" i="9"/>
  <c r="AF13" i="2" s="1"/>
  <c r="F50" i="9"/>
  <c r="AE13" i="2" s="1"/>
  <c r="W12" i="2"/>
  <c r="I47" i="8"/>
  <c r="J46" i="8"/>
  <c r="D51" i="9"/>
  <c r="AC14" i="2" s="1"/>
  <c r="V12" i="2"/>
  <c r="E50" i="9"/>
  <c r="AD13" i="2" s="1"/>
  <c r="C51" i="9"/>
  <c r="AB14" i="2" s="1"/>
  <c r="T13" i="2"/>
  <c r="X13" i="2" l="1"/>
  <c r="G51" i="9"/>
  <c r="AF14" i="2" s="1"/>
  <c r="U14" i="2"/>
  <c r="W13" i="2"/>
  <c r="F51" i="9"/>
  <c r="AE14" i="2" s="1"/>
  <c r="V13" i="2"/>
  <c r="D52" i="9"/>
  <c r="AC15" i="2" s="1"/>
  <c r="E51" i="9"/>
  <c r="AD14" i="2" s="1"/>
  <c r="C52" i="9"/>
  <c r="AB15" i="2" s="1"/>
  <c r="T14" i="2"/>
  <c r="X14" i="2"/>
  <c r="V14" i="2"/>
  <c r="U15" i="2"/>
  <c r="G52" i="9" l="1"/>
  <c r="AF15" i="2" s="1"/>
  <c r="W14" i="2"/>
  <c r="F52" i="9"/>
  <c r="AE15" i="2" s="1"/>
  <c r="D53" i="9"/>
  <c r="AC16" i="2" s="1"/>
  <c r="E52" i="9"/>
  <c r="AD15" i="2" s="1"/>
  <c r="C53" i="9"/>
  <c r="AB16" i="2" s="1"/>
  <c r="T15" i="2"/>
  <c r="X15" i="2"/>
  <c r="U16" i="2"/>
  <c r="V15" i="2"/>
  <c r="W15" i="2" l="1"/>
  <c r="G53" i="9"/>
  <c r="AF16" i="2" s="1"/>
  <c r="F53" i="9"/>
  <c r="AE16" i="2" s="1"/>
  <c r="D54" i="9"/>
  <c r="AC17" i="2" s="1"/>
  <c r="E53" i="9"/>
  <c r="AD16" i="2" s="1"/>
  <c r="C54" i="9"/>
  <c r="AB17" i="2" s="1"/>
  <c r="T16" i="2"/>
  <c r="X16" i="2"/>
  <c r="G54" i="9" l="1"/>
  <c r="AF17" i="2" s="1"/>
  <c r="W16" i="2"/>
  <c r="U17" i="2"/>
  <c r="V16" i="2"/>
  <c r="F54" i="9"/>
  <c r="AE17" i="2" s="1"/>
  <c r="D55" i="9"/>
  <c r="AC18" i="2" s="1"/>
  <c r="E54" i="9"/>
  <c r="AD17" i="2" s="1"/>
  <c r="C55" i="9"/>
  <c r="AB18" i="2" s="1"/>
  <c r="T17" i="2"/>
  <c r="U18" i="2"/>
  <c r="V17" i="2"/>
  <c r="W17" i="2"/>
  <c r="X17" i="2" l="1"/>
  <c r="G55" i="9"/>
  <c r="AF18" i="2" s="1"/>
  <c r="F55" i="9"/>
  <c r="AE18" i="2" s="1"/>
  <c r="D56" i="9"/>
  <c r="AC19" i="2" s="1"/>
  <c r="E55" i="9"/>
  <c r="AD18" i="2" s="1"/>
  <c r="F56" i="9"/>
  <c r="AE19" i="2" s="1"/>
  <c r="W18" i="2"/>
  <c r="C56" i="9"/>
  <c r="AB19" i="2" s="1"/>
  <c r="T18" i="2"/>
  <c r="U19" i="2"/>
  <c r="X18" i="2"/>
  <c r="G56" i="9" l="1"/>
  <c r="AF19" i="2" s="1"/>
  <c r="V18" i="2"/>
  <c r="D57" i="9"/>
  <c r="AC20" i="2" s="1"/>
  <c r="E56" i="9"/>
  <c r="AD19" i="2" s="1"/>
  <c r="X19" i="2"/>
  <c r="V19" i="2"/>
  <c r="C57" i="9"/>
  <c r="AB20" i="2" s="1"/>
  <c r="T19" i="2"/>
  <c r="F57" i="9"/>
  <c r="AE20" i="2" s="1"/>
  <c r="W19" i="2"/>
  <c r="G57" i="9" l="1"/>
  <c r="AF20" i="2" s="1"/>
  <c r="U20" i="2"/>
  <c r="D58" i="9"/>
  <c r="AC21" i="2" s="1"/>
  <c r="E57" i="9"/>
  <c r="AD20" i="2" s="1"/>
  <c r="F58" i="9"/>
  <c r="AE21" i="2" s="1"/>
  <c r="W20" i="2"/>
  <c r="C58" i="9"/>
  <c r="AB21" i="2" s="1"/>
  <c r="T20" i="2"/>
  <c r="U21" i="2"/>
  <c r="G58" i="9"/>
  <c r="AF21" i="2" s="1"/>
  <c r="X20" i="2"/>
  <c r="V20" i="2" l="1"/>
  <c r="D59" i="9"/>
  <c r="AC22" i="2" s="1"/>
  <c r="E58" i="9"/>
  <c r="AD21" i="2" s="1"/>
  <c r="U22" i="2"/>
  <c r="C59" i="9"/>
  <c r="AB22" i="2" s="1"/>
  <c r="T21" i="2"/>
  <c r="G59" i="9"/>
  <c r="AF22" i="2" s="1"/>
  <c r="X21" i="2"/>
  <c r="F59" i="9"/>
  <c r="AE22" i="2" s="1"/>
  <c r="W21" i="2"/>
  <c r="V21" i="2" l="1"/>
  <c r="D60" i="9"/>
  <c r="AC23" i="2" s="1"/>
  <c r="E59" i="9"/>
  <c r="AD22" i="2" s="1"/>
  <c r="G60" i="9"/>
  <c r="AF23" i="2" s="1"/>
  <c r="X22" i="2"/>
  <c r="C60" i="9"/>
  <c r="AB23" i="2" s="1"/>
  <c r="T22" i="2"/>
  <c r="V22" i="2"/>
  <c r="F60" i="9"/>
  <c r="AE23" i="2" s="1"/>
  <c r="W22" i="2"/>
  <c r="U23" i="2"/>
  <c r="D61" i="9" l="1"/>
  <c r="AC24" i="2" s="1"/>
  <c r="E60" i="9"/>
  <c r="AD23" i="2" s="1"/>
  <c r="F61" i="9"/>
  <c r="AE24" i="2" s="1"/>
  <c r="W23" i="2"/>
  <c r="V23" i="2"/>
  <c r="C61" i="9"/>
  <c r="AB24" i="2" s="1"/>
  <c r="T23" i="2"/>
  <c r="U24" i="2"/>
  <c r="G61" i="9"/>
  <c r="AF24" i="2" s="1"/>
  <c r="X23" i="2"/>
  <c r="D62" i="9" l="1"/>
  <c r="AC25" i="2" s="1"/>
  <c r="E61" i="9"/>
  <c r="AD24" i="2" s="1"/>
  <c r="G62" i="9"/>
  <c r="AF25" i="2" s="1"/>
  <c r="X24" i="2"/>
  <c r="U25" i="2"/>
  <c r="C62" i="9"/>
  <c r="AB25" i="2" s="1"/>
  <c r="T24" i="2"/>
  <c r="V24" i="2"/>
  <c r="F62" i="9"/>
  <c r="AE25" i="2" s="1"/>
  <c r="W24" i="2"/>
  <c r="D63" i="9" l="1"/>
  <c r="AC26" i="2" s="1"/>
  <c r="E62" i="9"/>
  <c r="AD25" i="2" s="1"/>
  <c r="F63" i="9"/>
  <c r="AE26" i="2" s="1"/>
  <c r="W25" i="2"/>
  <c r="V25" i="2"/>
  <c r="C63" i="9"/>
  <c r="AB26" i="2" s="1"/>
  <c r="T25" i="2"/>
  <c r="U26" i="2"/>
  <c r="G63" i="9"/>
  <c r="AF26" i="2" s="1"/>
  <c r="X25" i="2"/>
  <c r="D64" i="9" l="1"/>
  <c r="AC27" i="2" s="1"/>
  <c r="E63" i="9"/>
  <c r="AD26" i="2" s="1"/>
  <c r="G64" i="9"/>
  <c r="AF27" i="2" s="1"/>
  <c r="X26" i="2"/>
  <c r="D65" i="9"/>
  <c r="AC28" i="2" s="1"/>
  <c r="U27" i="2"/>
  <c r="C64" i="9"/>
  <c r="AB27" i="2" s="1"/>
  <c r="T26" i="2"/>
  <c r="V26" i="2"/>
  <c r="F64" i="9"/>
  <c r="AE27" i="2" s="1"/>
  <c r="W26" i="2"/>
  <c r="E64" i="9" l="1"/>
  <c r="AD27" i="2" s="1"/>
  <c r="V27" i="2"/>
  <c r="C65" i="9"/>
  <c r="AB28" i="2" s="1"/>
  <c r="T27" i="2"/>
  <c r="D66" i="9"/>
  <c r="AC29" i="2" s="1"/>
  <c r="U28" i="2"/>
  <c r="F65" i="9"/>
  <c r="AE28" i="2" s="1"/>
  <c r="W27" i="2"/>
  <c r="G65" i="9"/>
  <c r="AF28" i="2" s="1"/>
  <c r="X27" i="2"/>
  <c r="E65" i="9" l="1"/>
  <c r="AD28" i="2" s="1"/>
  <c r="G66" i="9"/>
  <c r="AF29" i="2" s="1"/>
  <c r="X28" i="2"/>
  <c r="F66" i="9"/>
  <c r="AE29" i="2" s="1"/>
  <c r="W28" i="2"/>
  <c r="D67" i="9"/>
  <c r="AC33" i="2" s="1"/>
  <c r="U29" i="2"/>
  <c r="C66" i="9"/>
  <c r="AB29" i="2" s="1"/>
  <c r="T28" i="2"/>
  <c r="E66" i="9"/>
  <c r="AD29" i="2" s="1"/>
  <c r="V28" i="2"/>
  <c r="E67" i="9" l="1"/>
  <c r="AD33" i="2" s="1"/>
  <c r="V29" i="2"/>
  <c r="C67" i="9"/>
  <c r="AB33" i="2" s="1"/>
  <c r="T29" i="2"/>
  <c r="D68" i="9"/>
  <c r="AC35" i="2" s="1"/>
  <c r="U33" i="2"/>
  <c r="F67" i="9"/>
  <c r="AE33" i="2" s="1"/>
  <c r="W29" i="2"/>
  <c r="G67" i="9"/>
  <c r="AF33" i="2" s="1"/>
  <c r="I23" i="10" s="1"/>
  <c r="X29" i="2"/>
  <c r="J23" i="10" l="1"/>
  <c r="J25" i="8" s="1"/>
  <c r="K25" i="8" s="1"/>
  <c r="I25" i="8"/>
  <c r="N25" i="8" s="1"/>
  <c r="P25" i="8" s="1"/>
  <c r="Q25" i="8" s="1"/>
  <c r="G68" i="9"/>
  <c r="AF35" i="2" s="1"/>
  <c r="X33" i="2"/>
  <c r="F68" i="9"/>
  <c r="AE35" i="2" s="1"/>
  <c r="W33" i="2"/>
  <c r="D69" i="9"/>
  <c r="AC36" i="2" s="1"/>
  <c r="U35" i="2"/>
  <c r="C68" i="9"/>
  <c r="AB35" i="2" s="1"/>
  <c r="T33" i="2"/>
  <c r="E68" i="9"/>
  <c r="AD35" i="2" s="1"/>
  <c r="V33" i="2"/>
  <c r="E23" i="10" l="1"/>
  <c r="E25" i="8" s="1"/>
  <c r="E69" i="9"/>
  <c r="AD36" i="2" s="1"/>
  <c r="V35" i="2"/>
  <c r="C69" i="9"/>
  <c r="AB36" i="2" s="1"/>
  <c r="T35" i="2"/>
  <c r="D70" i="9"/>
  <c r="AC37" i="2" s="1"/>
  <c r="U36" i="2"/>
  <c r="F69" i="9"/>
  <c r="AE36" i="2" s="1"/>
  <c r="W35" i="2"/>
  <c r="G69" i="9"/>
  <c r="AF36" i="2" s="1"/>
  <c r="X35" i="2"/>
  <c r="F23" i="10" l="1"/>
  <c r="F25" i="8" s="1"/>
  <c r="G25" i="8" s="1"/>
  <c r="G70" i="9"/>
  <c r="AF37" i="2" s="1"/>
  <c r="X36" i="2"/>
  <c r="F70" i="9"/>
  <c r="AE37" i="2" s="1"/>
  <c r="W36" i="2"/>
  <c r="D71" i="9"/>
  <c r="AC38" i="2" s="1"/>
  <c r="U37" i="2"/>
  <c r="C70" i="9"/>
  <c r="AB37" i="2" s="1"/>
  <c r="T36" i="2"/>
  <c r="E70" i="9"/>
  <c r="AD37" i="2" s="1"/>
  <c r="V36" i="2"/>
  <c r="E71" i="9" l="1"/>
  <c r="AD38" i="2" s="1"/>
  <c r="V37" i="2"/>
  <c r="C71" i="9"/>
  <c r="AB38" i="2" s="1"/>
  <c r="T37" i="2"/>
  <c r="D72" i="9"/>
  <c r="AC39" i="2" s="1"/>
  <c r="U38" i="2"/>
  <c r="F71" i="9"/>
  <c r="AE38" i="2" s="1"/>
  <c r="W37" i="2"/>
  <c r="G71" i="9"/>
  <c r="AF38" i="2" s="1"/>
  <c r="X37" i="2"/>
  <c r="G72" i="9" l="1"/>
  <c r="AF39" i="2" s="1"/>
  <c r="X38" i="2"/>
  <c r="D73" i="9"/>
  <c r="AC40" i="2" s="1"/>
  <c r="U39" i="2"/>
  <c r="C72" i="9"/>
  <c r="AB39" i="2" s="1"/>
  <c r="T38" i="2"/>
  <c r="F72" i="9"/>
  <c r="AE39" i="2" s="1"/>
  <c r="W38" i="2"/>
  <c r="E72" i="9"/>
  <c r="AD39" i="2" s="1"/>
  <c r="V38" i="2"/>
  <c r="E73" i="9" l="1"/>
  <c r="AD40" i="2" s="1"/>
  <c r="V39" i="2"/>
  <c r="F73" i="9"/>
  <c r="AE40" i="2" s="1"/>
  <c r="W39" i="2"/>
  <c r="C73" i="9"/>
  <c r="AB40" i="2" s="1"/>
  <c r="T39" i="2"/>
  <c r="D74" i="9"/>
  <c r="AC41" i="2" s="1"/>
  <c r="U40" i="2"/>
  <c r="G73" i="9"/>
  <c r="AF40" i="2" s="1"/>
  <c r="X39" i="2"/>
  <c r="G74" i="9" l="1"/>
  <c r="AF41" i="2" s="1"/>
  <c r="X40" i="2"/>
  <c r="D75" i="9"/>
  <c r="AC42" i="2" s="1"/>
  <c r="U41" i="2"/>
  <c r="C74" i="9"/>
  <c r="AB41" i="2" s="1"/>
  <c r="T40" i="2"/>
  <c r="F74" i="9"/>
  <c r="AE41" i="2" s="1"/>
  <c r="W40" i="2"/>
  <c r="E74" i="9"/>
  <c r="AD41" i="2" s="1"/>
  <c r="V40" i="2"/>
  <c r="E75" i="9" l="1"/>
  <c r="AD42" i="2" s="1"/>
  <c r="V41" i="2"/>
  <c r="F75" i="9"/>
  <c r="AE42" i="2" s="1"/>
  <c r="W41" i="2"/>
  <c r="C75" i="9"/>
  <c r="AB42" i="2" s="1"/>
  <c r="T41" i="2"/>
  <c r="D76" i="9"/>
  <c r="AC43" i="2" s="1"/>
  <c r="U42" i="2"/>
  <c r="G75" i="9"/>
  <c r="AF42" i="2" s="1"/>
  <c r="X41" i="2"/>
  <c r="G76" i="9" l="1"/>
  <c r="AF43" i="2" s="1"/>
  <c r="X42" i="2"/>
  <c r="D77" i="9"/>
  <c r="AC44" i="2" s="1"/>
  <c r="U43" i="2"/>
  <c r="C76" i="9"/>
  <c r="AB43" i="2" s="1"/>
  <c r="T42" i="2"/>
  <c r="F76" i="9"/>
  <c r="AE43" i="2" s="1"/>
  <c r="W42" i="2"/>
  <c r="E76" i="9"/>
  <c r="AD43" i="2" s="1"/>
  <c r="V42" i="2"/>
  <c r="E77" i="9" l="1"/>
  <c r="AD44" i="2" s="1"/>
  <c r="V43" i="2"/>
  <c r="F77" i="9"/>
  <c r="AE44" i="2" s="1"/>
  <c r="W43" i="2"/>
  <c r="C77" i="9"/>
  <c r="AB44" i="2" s="1"/>
  <c r="T43" i="2"/>
  <c r="D78" i="9"/>
  <c r="AC45" i="2" s="1"/>
  <c r="U44" i="2"/>
  <c r="G77" i="9"/>
  <c r="AF44" i="2" s="1"/>
  <c r="X43" i="2"/>
  <c r="G78" i="9" l="1"/>
  <c r="AF45" i="2" s="1"/>
  <c r="X44" i="2"/>
  <c r="D79" i="9"/>
  <c r="AC46" i="2" s="1"/>
  <c r="U45" i="2"/>
  <c r="C78" i="9"/>
  <c r="AB45" i="2" s="1"/>
  <c r="T44" i="2"/>
  <c r="F78" i="9"/>
  <c r="AE45" i="2" s="1"/>
  <c r="W44" i="2"/>
  <c r="E78" i="9"/>
  <c r="AD45" i="2" s="1"/>
  <c r="V44" i="2"/>
  <c r="E79" i="9" l="1"/>
  <c r="AD46" i="2" s="1"/>
  <c r="V45" i="2"/>
  <c r="F79" i="9"/>
  <c r="AE46" i="2" s="1"/>
  <c r="W45" i="2"/>
  <c r="D80" i="9"/>
  <c r="AC47" i="2" s="1"/>
  <c r="U46" i="2"/>
  <c r="C79" i="9"/>
  <c r="AB46" i="2" s="1"/>
  <c r="T45" i="2"/>
  <c r="G79" i="9"/>
  <c r="AF46" i="2" s="1"/>
  <c r="X45" i="2"/>
  <c r="G80" i="9" l="1"/>
  <c r="AF47" i="2" s="1"/>
  <c r="X46" i="2"/>
  <c r="C80" i="9"/>
  <c r="AB47" i="2" s="1"/>
  <c r="T46" i="2"/>
  <c r="D81" i="9"/>
  <c r="AC48" i="2" s="1"/>
  <c r="U47" i="2"/>
  <c r="F80" i="9"/>
  <c r="AE47" i="2" s="1"/>
  <c r="W46" i="2"/>
  <c r="E80" i="9"/>
  <c r="AD47" i="2" s="1"/>
  <c r="V46" i="2"/>
  <c r="E81" i="9" l="1"/>
  <c r="AD48" i="2" s="1"/>
  <c r="V47" i="2"/>
  <c r="F81" i="9"/>
  <c r="AE48" i="2" s="1"/>
  <c r="W47" i="2"/>
  <c r="D82" i="9"/>
  <c r="AC49" i="2" s="1"/>
  <c r="U48" i="2"/>
  <c r="C81" i="9"/>
  <c r="AB48" i="2" s="1"/>
  <c r="T47" i="2"/>
  <c r="G81" i="9"/>
  <c r="AF48" i="2" s="1"/>
  <c r="X47" i="2"/>
  <c r="G82" i="9" l="1"/>
  <c r="AF49" i="2" s="1"/>
  <c r="X48" i="2"/>
  <c r="C82" i="9"/>
  <c r="AB49" i="2" s="1"/>
  <c r="T48" i="2"/>
  <c r="D83" i="9"/>
  <c r="AC50" i="2" s="1"/>
  <c r="U49" i="2"/>
  <c r="F82" i="9"/>
  <c r="AE49" i="2" s="1"/>
  <c r="W48" i="2"/>
  <c r="E82" i="9"/>
  <c r="AD49" i="2" s="1"/>
  <c r="V48" i="2"/>
  <c r="E83" i="9" l="1"/>
  <c r="AD50" i="2" s="1"/>
  <c r="V49" i="2"/>
  <c r="F83" i="9"/>
  <c r="AE50" i="2" s="1"/>
  <c r="W49" i="2"/>
  <c r="D84" i="9"/>
  <c r="AC51" i="2" s="1"/>
  <c r="U50" i="2"/>
  <c r="C83" i="9"/>
  <c r="AB50" i="2" s="1"/>
  <c r="T49" i="2"/>
  <c r="G83" i="9"/>
  <c r="AF50" i="2" s="1"/>
  <c r="X49" i="2"/>
  <c r="G84" i="9" l="1"/>
  <c r="AF51" i="2" s="1"/>
  <c r="X50" i="2"/>
  <c r="C84" i="9"/>
  <c r="AB51" i="2" s="1"/>
  <c r="T50" i="2"/>
  <c r="D85" i="9"/>
  <c r="AC52" i="2" s="1"/>
  <c r="U51" i="2"/>
  <c r="F84" i="9"/>
  <c r="AE51" i="2" s="1"/>
  <c r="W50" i="2"/>
  <c r="E84" i="9"/>
  <c r="AD51" i="2" s="1"/>
  <c r="V50" i="2"/>
  <c r="E85" i="9" l="1"/>
  <c r="AD52" i="2" s="1"/>
  <c r="V51" i="2"/>
  <c r="F85" i="9"/>
  <c r="AE52" i="2" s="1"/>
  <c r="W51" i="2"/>
  <c r="D86" i="9"/>
  <c r="AC53" i="2" s="1"/>
  <c r="U52" i="2"/>
  <c r="C85" i="9"/>
  <c r="AB52" i="2" s="1"/>
  <c r="T51" i="2"/>
  <c r="G85" i="9"/>
  <c r="AF52" i="2" s="1"/>
  <c r="X51" i="2"/>
  <c r="G86" i="9" l="1"/>
  <c r="AF53" i="2" s="1"/>
  <c r="X52" i="2"/>
  <c r="C86" i="9"/>
  <c r="AB53" i="2" s="1"/>
  <c r="T52" i="2"/>
  <c r="D87" i="9"/>
  <c r="AC54" i="2" s="1"/>
  <c r="U53" i="2"/>
  <c r="F86" i="9"/>
  <c r="AE53" i="2" s="1"/>
  <c r="W52" i="2"/>
  <c r="E86" i="9"/>
  <c r="AD53" i="2" s="1"/>
  <c r="V52" i="2"/>
  <c r="E87" i="9" l="1"/>
  <c r="AD54" i="2" s="1"/>
  <c r="V53" i="2"/>
  <c r="F87" i="9"/>
  <c r="AE54" i="2" s="1"/>
  <c r="W53" i="2"/>
  <c r="D88" i="9"/>
  <c r="AC55" i="2" s="1"/>
  <c r="U54" i="2"/>
  <c r="C87" i="9"/>
  <c r="AB54" i="2" s="1"/>
  <c r="T53" i="2"/>
  <c r="G87" i="9"/>
  <c r="AF54" i="2" s="1"/>
  <c r="X53" i="2"/>
  <c r="G88" i="9" l="1"/>
  <c r="AF55" i="2" s="1"/>
  <c r="X54" i="2"/>
  <c r="C88" i="9"/>
  <c r="AB55" i="2" s="1"/>
  <c r="T54" i="2"/>
  <c r="D89" i="9"/>
  <c r="AC56" i="2" s="1"/>
  <c r="U55" i="2"/>
  <c r="F88" i="9"/>
  <c r="AE55" i="2" s="1"/>
  <c r="W54" i="2"/>
  <c r="E88" i="9"/>
  <c r="AD55" i="2" s="1"/>
  <c r="V54" i="2"/>
  <c r="E89" i="9" l="1"/>
  <c r="AD56" i="2" s="1"/>
  <c r="V55" i="2"/>
  <c r="F89" i="9"/>
  <c r="AE56" i="2" s="1"/>
  <c r="W55" i="2"/>
  <c r="D90" i="9"/>
  <c r="AC57" i="2" s="1"/>
  <c r="U56" i="2"/>
  <c r="C89" i="9"/>
  <c r="AB56" i="2" s="1"/>
  <c r="T55" i="2"/>
  <c r="G89" i="9"/>
  <c r="AF56" i="2" s="1"/>
  <c r="X55" i="2"/>
  <c r="G90" i="9" l="1"/>
  <c r="AF57" i="2" s="1"/>
  <c r="X56" i="2"/>
  <c r="C90" i="9"/>
  <c r="AB57" i="2" s="1"/>
  <c r="T56" i="2"/>
  <c r="D91" i="9"/>
  <c r="AC58" i="2" s="1"/>
  <c r="U57" i="2"/>
  <c r="F90" i="9"/>
  <c r="AE57" i="2" s="1"/>
  <c r="W56" i="2"/>
  <c r="E90" i="9"/>
  <c r="AD57" i="2" s="1"/>
  <c r="V56" i="2"/>
  <c r="E91" i="9" l="1"/>
  <c r="AD58" i="2" s="1"/>
  <c r="V57" i="2"/>
  <c r="F91" i="9"/>
  <c r="AE58" i="2" s="1"/>
  <c r="W57" i="2"/>
  <c r="D92" i="9"/>
  <c r="AC59" i="2" s="1"/>
  <c r="U58" i="2"/>
  <c r="C91" i="9"/>
  <c r="AB58" i="2" s="1"/>
  <c r="T57" i="2"/>
  <c r="G91" i="9"/>
  <c r="AF58" i="2" s="1"/>
  <c r="X57" i="2"/>
  <c r="G92" i="9" l="1"/>
  <c r="AF59" i="2" s="1"/>
  <c r="X58" i="2"/>
  <c r="C92" i="9"/>
  <c r="AB59" i="2" s="1"/>
  <c r="T58" i="2"/>
  <c r="D93" i="9"/>
  <c r="AC60" i="2" s="1"/>
  <c r="U59" i="2"/>
  <c r="F92" i="9"/>
  <c r="AE59" i="2" s="1"/>
  <c r="W58" i="2"/>
  <c r="E92" i="9"/>
  <c r="AD59" i="2" s="1"/>
  <c r="V58" i="2"/>
  <c r="E93" i="9" l="1"/>
  <c r="AD60" i="2" s="1"/>
  <c r="V59" i="2"/>
  <c r="F93" i="9"/>
  <c r="AE60" i="2" s="1"/>
  <c r="W59" i="2"/>
  <c r="D94" i="9"/>
  <c r="AC61" i="2" s="1"/>
  <c r="U60" i="2"/>
  <c r="C93" i="9"/>
  <c r="AB60" i="2" s="1"/>
  <c r="T59" i="2"/>
  <c r="G93" i="9"/>
  <c r="AF60" i="2" s="1"/>
  <c r="X59" i="2"/>
  <c r="G94" i="9" l="1"/>
  <c r="AF61" i="2" s="1"/>
  <c r="X60" i="2"/>
  <c r="C94" i="9"/>
  <c r="AB61" i="2" s="1"/>
  <c r="T60" i="2"/>
  <c r="D95" i="9"/>
  <c r="AC62" i="2" s="1"/>
  <c r="U61" i="2"/>
  <c r="F94" i="9"/>
  <c r="AE61" i="2" s="1"/>
  <c r="W60" i="2"/>
  <c r="E94" i="9"/>
  <c r="AD61" i="2" s="1"/>
  <c r="V60" i="2"/>
  <c r="E95" i="9" l="1"/>
  <c r="AD62" i="2" s="1"/>
  <c r="V61" i="2"/>
  <c r="F95" i="9"/>
  <c r="AE62" i="2" s="1"/>
  <c r="W61" i="2"/>
  <c r="D96" i="9"/>
  <c r="AC63" i="2" s="1"/>
  <c r="U62" i="2"/>
  <c r="C95" i="9"/>
  <c r="AB62" i="2" s="1"/>
  <c r="T61" i="2"/>
  <c r="G95" i="9"/>
  <c r="AF62" i="2" s="1"/>
  <c r="X61" i="2"/>
  <c r="G96" i="9" l="1"/>
  <c r="AF63" i="2" s="1"/>
  <c r="I20" i="10" s="1"/>
  <c r="X62" i="2"/>
  <c r="C96" i="9"/>
  <c r="AB63" i="2" s="1"/>
  <c r="T62" i="2"/>
  <c r="D97" i="9"/>
  <c r="AC64" i="2" s="1"/>
  <c r="U63" i="2"/>
  <c r="F96" i="9"/>
  <c r="AE63" i="2" s="1"/>
  <c r="W62" i="2"/>
  <c r="E96" i="9"/>
  <c r="AD63" i="2" s="1"/>
  <c r="V62" i="2"/>
  <c r="J20" i="10" l="1"/>
  <c r="J22" i="8" s="1"/>
  <c r="K22" i="8" s="1"/>
  <c r="I22" i="8"/>
  <c r="N22" i="8" s="1"/>
  <c r="P22" i="8" s="1"/>
  <c r="Q22" i="8" s="1"/>
  <c r="E97" i="9"/>
  <c r="AD64" i="2" s="1"/>
  <c r="V63" i="2"/>
  <c r="F97" i="9"/>
  <c r="AE64" i="2" s="1"/>
  <c r="W63" i="2"/>
  <c r="D98" i="9"/>
  <c r="AC65" i="2" s="1"/>
  <c r="U64" i="2"/>
  <c r="C97" i="9"/>
  <c r="AB64" i="2" s="1"/>
  <c r="T63" i="2"/>
  <c r="G97" i="9"/>
  <c r="AF64" i="2" s="1"/>
  <c r="X63" i="2"/>
  <c r="E20" i="10" s="1"/>
  <c r="F20" i="10" l="1"/>
  <c r="F22" i="8" s="1"/>
  <c r="G22" i="8" s="1"/>
  <c r="G98" i="9"/>
  <c r="AF65" i="2" s="1"/>
  <c r="X64" i="2"/>
  <c r="C98" i="9"/>
  <c r="AB65" i="2" s="1"/>
  <c r="T64" i="2"/>
  <c r="D99" i="9"/>
  <c r="AC66" i="2" s="1"/>
  <c r="U65" i="2"/>
  <c r="F98" i="9"/>
  <c r="AE65" i="2" s="1"/>
  <c r="W64" i="2"/>
  <c r="E98" i="9"/>
  <c r="AD65" i="2" s="1"/>
  <c r="V64" i="2"/>
  <c r="E22" i="8" l="1"/>
  <c r="E99" i="9"/>
  <c r="AD66" i="2" s="1"/>
  <c r="V65" i="2"/>
  <c r="F99" i="9"/>
  <c r="AE66" i="2" s="1"/>
  <c r="W65" i="2"/>
  <c r="D100" i="9"/>
  <c r="AC67" i="2" s="1"/>
  <c r="U66" i="2"/>
  <c r="C99" i="9"/>
  <c r="AB66" i="2" s="1"/>
  <c r="T65" i="2"/>
  <c r="G99" i="9"/>
  <c r="AF66" i="2" s="1"/>
  <c r="X65" i="2"/>
  <c r="G100" i="9" l="1"/>
  <c r="AF67" i="2" s="1"/>
  <c r="X66" i="2"/>
  <c r="C100" i="9"/>
  <c r="AB67" i="2" s="1"/>
  <c r="T66" i="2"/>
  <c r="D101" i="9"/>
  <c r="AC68" i="2" s="1"/>
  <c r="U67" i="2"/>
  <c r="F100" i="9"/>
  <c r="AE67" i="2" s="1"/>
  <c r="W66" i="2"/>
  <c r="E100" i="9"/>
  <c r="AD67" i="2" s="1"/>
  <c r="V66" i="2"/>
  <c r="F101" i="9" l="1"/>
  <c r="AE68" i="2" s="1"/>
  <c r="W67" i="2"/>
  <c r="D102" i="9"/>
  <c r="AC69" i="2" s="1"/>
  <c r="U68" i="2"/>
  <c r="E101" i="9"/>
  <c r="AD68" i="2" s="1"/>
  <c r="V67" i="2"/>
  <c r="C101" i="9"/>
  <c r="AB68" i="2" s="1"/>
  <c r="T67" i="2"/>
  <c r="G101" i="9"/>
  <c r="AF68" i="2" s="1"/>
  <c r="I21" i="10" s="1"/>
  <c r="X67" i="2"/>
  <c r="J21" i="10" l="1"/>
  <c r="J23" i="8" s="1"/>
  <c r="K23" i="8" s="1"/>
  <c r="I23" i="8"/>
  <c r="N23" i="8" s="1"/>
  <c r="P23" i="8" s="1"/>
  <c r="Q23" i="8" s="1"/>
  <c r="G102" i="9"/>
  <c r="AF69" i="2" s="1"/>
  <c r="X68" i="2"/>
  <c r="E21" i="10" s="1"/>
  <c r="C102" i="9"/>
  <c r="AB69" i="2" s="1"/>
  <c r="T68" i="2"/>
  <c r="E102" i="9"/>
  <c r="AD69" i="2" s="1"/>
  <c r="V68" i="2"/>
  <c r="D103" i="9"/>
  <c r="AC70" i="2" s="1"/>
  <c r="U69" i="2"/>
  <c r="F102" i="9"/>
  <c r="AE69" i="2" s="1"/>
  <c r="W68" i="2"/>
  <c r="E23" i="8" l="1"/>
  <c r="F103" i="9"/>
  <c r="AE70" i="2" s="1"/>
  <c r="W69" i="2"/>
  <c r="D104" i="9"/>
  <c r="AC71" i="2" s="1"/>
  <c r="U70" i="2"/>
  <c r="E103" i="9"/>
  <c r="AD70" i="2" s="1"/>
  <c r="V69" i="2"/>
  <c r="C103" i="9"/>
  <c r="AB70" i="2" s="1"/>
  <c r="T69" i="2"/>
  <c r="G103" i="9"/>
  <c r="AF70" i="2" s="1"/>
  <c r="X69" i="2"/>
  <c r="F21" i="10" l="1"/>
  <c r="F23" i="8" s="1"/>
  <c r="G23" i="8" s="1"/>
  <c r="G104" i="9"/>
  <c r="AF71" i="2" s="1"/>
  <c r="I28" i="10" s="1"/>
  <c r="X70" i="2"/>
  <c r="C104" i="9"/>
  <c r="AB71" i="2" s="1"/>
  <c r="T70" i="2"/>
  <c r="E104" i="9"/>
  <c r="AD71" i="2" s="1"/>
  <c r="V70" i="2"/>
  <c r="D105" i="9"/>
  <c r="AC72" i="2" s="1"/>
  <c r="U71" i="2"/>
  <c r="F104" i="9"/>
  <c r="AE71" i="2" s="1"/>
  <c r="W70" i="2"/>
  <c r="J28" i="10" l="1"/>
  <c r="J30" i="8" s="1"/>
  <c r="K30" i="8" s="1"/>
  <c r="I30" i="8"/>
  <c r="N30" i="8" s="1"/>
  <c r="P30" i="8" s="1"/>
  <c r="Q30" i="8" s="1"/>
  <c r="F105" i="9"/>
  <c r="AE72" i="2" s="1"/>
  <c r="W71" i="2"/>
  <c r="D106" i="9"/>
  <c r="AC73" i="2" s="1"/>
  <c r="U72" i="2"/>
  <c r="E105" i="9"/>
  <c r="AD72" i="2" s="1"/>
  <c r="V71" i="2"/>
  <c r="C105" i="9"/>
  <c r="AB72" i="2" s="1"/>
  <c r="T71" i="2"/>
  <c r="G105" i="9"/>
  <c r="AF72" i="2" s="1"/>
  <c r="X71" i="2"/>
  <c r="I29" i="10" l="1"/>
  <c r="I31" i="8" s="1"/>
  <c r="N31" i="8" s="1"/>
  <c r="P31" i="8" s="1"/>
  <c r="Q31" i="8" s="1"/>
  <c r="G106" i="9"/>
  <c r="AF73" i="2" s="1"/>
  <c r="X72" i="2"/>
  <c r="C106" i="9"/>
  <c r="AB73" i="2" s="1"/>
  <c r="T72" i="2"/>
  <c r="E106" i="9"/>
  <c r="AD73" i="2" s="1"/>
  <c r="V72" i="2"/>
  <c r="D107" i="9"/>
  <c r="AC74" i="2" s="1"/>
  <c r="U73" i="2"/>
  <c r="F106" i="9"/>
  <c r="AE73" i="2" s="1"/>
  <c r="W72" i="2"/>
  <c r="I22" i="10" l="1"/>
  <c r="J22" i="10" s="1"/>
  <c r="J24" i="8" s="1"/>
  <c r="J29" i="10"/>
  <c r="J31" i="8" s="1"/>
  <c r="K31" i="8" s="1"/>
  <c r="E29" i="10"/>
  <c r="E31" i="8" s="1"/>
  <c r="F107" i="9"/>
  <c r="AE74" i="2" s="1"/>
  <c r="W73" i="2"/>
  <c r="D108" i="9"/>
  <c r="U74" i="2"/>
  <c r="E107" i="9"/>
  <c r="AD74" i="2" s="1"/>
  <c r="V73" i="2"/>
  <c r="C107" i="9"/>
  <c r="AB74" i="2" s="1"/>
  <c r="T73" i="2"/>
  <c r="G107" i="9"/>
  <c r="AF74" i="2" s="1"/>
  <c r="X73" i="2"/>
  <c r="E22" i="10" s="1"/>
  <c r="I24" i="8" l="1"/>
  <c r="N24" i="8" s="1"/>
  <c r="P24" i="8" s="1"/>
  <c r="Q24" i="8" s="1"/>
  <c r="F29" i="10"/>
  <c r="F31" i="8" s="1"/>
  <c r="G31" i="8" s="1"/>
  <c r="E24" i="8"/>
  <c r="U75" i="2"/>
  <c r="AC75" i="2"/>
  <c r="K24" i="8"/>
  <c r="G108" i="9"/>
  <c r="X74" i="2"/>
  <c r="C108" i="9"/>
  <c r="T74" i="2"/>
  <c r="E108" i="9"/>
  <c r="V74" i="2"/>
  <c r="F108" i="9"/>
  <c r="W74" i="2"/>
  <c r="F22" i="10" l="1"/>
  <c r="F24" i="8" s="1"/>
  <c r="G24" i="8" s="1"/>
  <c r="V75" i="2"/>
  <c r="AD75" i="2"/>
  <c r="T75" i="2"/>
  <c r="AB75" i="2"/>
  <c r="X75" i="2"/>
  <c r="AF75" i="2"/>
  <c r="W75" i="2"/>
  <c r="AE75" i="2"/>
  <c r="I19" i="10" l="1"/>
  <c r="I21" i="8" s="1"/>
  <c r="I27" i="10"/>
  <c r="I30" i="10"/>
  <c r="E19" i="10"/>
  <c r="E27" i="10"/>
  <c r="E28" i="10"/>
  <c r="E30" i="10"/>
  <c r="F30" i="10" s="1"/>
  <c r="F32" i="8" s="1"/>
  <c r="G32" i="8" s="1"/>
  <c r="I26" i="8" l="1"/>
  <c r="N21" i="8"/>
  <c r="I31" i="10"/>
  <c r="I24" i="10"/>
  <c r="J19" i="10"/>
  <c r="J24" i="10" s="1"/>
  <c r="I29" i="8"/>
  <c r="N29" i="8" s="1"/>
  <c r="J27" i="10"/>
  <c r="J29" i="8" s="1"/>
  <c r="K29" i="8" s="1"/>
  <c r="E31" i="10"/>
  <c r="E32" i="8"/>
  <c r="F28" i="10"/>
  <c r="F30" i="8" s="1"/>
  <c r="G30" i="8" s="1"/>
  <c r="E30" i="8"/>
  <c r="E29" i="8"/>
  <c r="F27" i="10"/>
  <c r="E21" i="8"/>
  <c r="E26" i="8" s="1"/>
  <c r="E24" i="10"/>
  <c r="F19" i="10"/>
  <c r="J30" i="10"/>
  <c r="J32" i="8" s="1"/>
  <c r="I32" i="8"/>
  <c r="N32" i="8" s="1"/>
  <c r="P32" i="8" s="1"/>
  <c r="Q32" i="8" s="1"/>
  <c r="N26" i="8" l="1"/>
  <c r="P26" i="8" s="1"/>
  <c r="Q26" i="8" s="1"/>
  <c r="P21" i="8"/>
  <c r="Q21" i="8" s="1"/>
  <c r="N33" i="8"/>
  <c r="P33" i="8" s="1"/>
  <c r="Q33" i="8" s="1"/>
  <c r="P29" i="8"/>
  <c r="Q29" i="8" s="1"/>
  <c r="E33" i="10"/>
  <c r="J21" i="8"/>
  <c r="K21" i="8" s="1"/>
  <c r="I33" i="10"/>
  <c r="I33" i="8"/>
  <c r="J33" i="8"/>
  <c r="K33" i="8" s="1"/>
  <c r="E33" i="8"/>
  <c r="E49" i="8" s="1"/>
  <c r="E50" i="8" s="1"/>
  <c r="F50" i="8" s="1"/>
  <c r="F21" i="8"/>
  <c r="F24" i="10"/>
  <c r="F29" i="8"/>
  <c r="F31" i="10"/>
  <c r="J31" i="10"/>
  <c r="J33" i="10" s="1"/>
  <c r="K15" i="10" s="1"/>
  <c r="K32" i="8"/>
  <c r="N35" i="8" l="1"/>
  <c r="P35" i="8" s="1"/>
  <c r="Q35" i="8" s="1"/>
  <c r="I35" i="8"/>
  <c r="E35" i="8"/>
  <c r="I49" i="8"/>
  <c r="I50" i="8" s="1"/>
  <c r="J50" i="8" s="1"/>
  <c r="J26" i="8"/>
  <c r="K26" i="8" s="1"/>
  <c r="K27" i="10"/>
  <c r="K28" i="10"/>
  <c r="K20" i="10"/>
  <c r="K19" i="10"/>
  <c r="K33" i="10"/>
  <c r="K31" i="10"/>
  <c r="G29" i="8"/>
  <c r="F33" i="8"/>
  <c r="G33" i="8" s="1"/>
  <c r="K30" i="10"/>
  <c r="K12" i="10"/>
  <c r="F33" i="10"/>
  <c r="K29" i="10"/>
  <c r="F26" i="8"/>
  <c r="G21" i="8"/>
  <c r="K23" i="10"/>
  <c r="K16" i="10"/>
  <c r="K13" i="10"/>
  <c r="K21" i="10"/>
  <c r="K14" i="10"/>
  <c r="K11" i="10"/>
  <c r="K32" i="10"/>
  <c r="K22" i="10"/>
  <c r="K24" i="10"/>
  <c r="J35" i="8" l="1"/>
  <c r="K35" i="8" s="1"/>
  <c r="G20" i="10"/>
  <c r="G22" i="10"/>
  <c r="G21" i="10"/>
  <c r="G23" i="10"/>
  <c r="G12" i="10"/>
  <c r="G13" i="10"/>
  <c r="G27" i="10"/>
  <c r="G14" i="10"/>
  <c r="G11" i="10"/>
  <c r="G28" i="10"/>
  <c r="G30" i="10"/>
  <c r="G15" i="10"/>
  <c r="G19" i="10"/>
  <c r="G29" i="10"/>
  <c r="G26" i="8"/>
  <c r="F35" i="8"/>
  <c r="G35" i="8" s="1"/>
  <c r="G24" i="10" l="1"/>
  <c r="G16" i="10"/>
  <c r="G31" i="10"/>
  <c r="G3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6B0618-3FAF-4551-8B61-BF76D0F28606}" keepAlive="1" name="Query - Data Actual" description="Connection to the 'Data Actual' query in the workbook." type="5" refreshedVersion="8" background="1" saveData="1">
    <dbPr connection="Provider=Microsoft.Mashup.OleDb.1;Data Source=$Workbook$;Location=&quot;Data Actual&quot;;Extended Properties=&quot;&quot;" command="SELECT * FROM [Data Actual]"/>
  </connection>
</connections>
</file>

<file path=xl/sharedStrings.xml><?xml version="1.0" encoding="utf-8"?>
<sst xmlns="http://schemas.openxmlformats.org/spreadsheetml/2006/main" count="1003" uniqueCount="222">
  <si>
    <t>Chi phí NVL trực tiếp SX</t>
  </si>
  <si>
    <t>2101</t>
  </si>
  <si>
    <t>Chi phí Nguyên liệu trực tiếp</t>
  </si>
  <si>
    <t>2102</t>
  </si>
  <si>
    <t>Chi phí Vật liệu phụ trực tiếp</t>
  </si>
  <si>
    <t>2103</t>
  </si>
  <si>
    <t>Chi phí bao bì</t>
  </si>
  <si>
    <t>2104</t>
  </si>
  <si>
    <t>Chi phí mua hàng phân bổ</t>
  </si>
  <si>
    <t>Chi phí nhân công trực tiếp SX</t>
  </si>
  <si>
    <t>2201</t>
  </si>
  <si>
    <t>Lương giờ hành chánh</t>
  </si>
  <si>
    <t>2202</t>
  </si>
  <si>
    <t>Lương giờ tăng ca</t>
  </si>
  <si>
    <t>2203</t>
  </si>
  <si>
    <t>Lương thời vụ</t>
  </si>
  <si>
    <t>2204</t>
  </si>
  <si>
    <t>Thu nhập theo KQCV</t>
  </si>
  <si>
    <t>2205</t>
  </si>
  <si>
    <t>Lương tháng 13</t>
  </si>
  <si>
    <t>2206</t>
  </si>
  <si>
    <t>Chi phí thưởng</t>
  </si>
  <si>
    <t>2207</t>
  </si>
  <si>
    <t>Phụ cấp độc hại</t>
  </si>
  <si>
    <t>2208</t>
  </si>
  <si>
    <t>Phụ cấp thâm niên</t>
  </si>
  <si>
    <t>2209</t>
  </si>
  <si>
    <t>Phụ cấp trách nhiệm</t>
  </si>
  <si>
    <t>2210</t>
  </si>
  <si>
    <t>Phụ cấp kiêm nhiệm</t>
  </si>
  <si>
    <t>2211</t>
  </si>
  <si>
    <t>Phụ cấp chuyên cần</t>
  </si>
  <si>
    <t>2212</t>
  </si>
  <si>
    <t>Phụ cấp ngoài giờ</t>
  </si>
  <si>
    <t>2213</t>
  </si>
  <si>
    <t>Phụ cấp xa nhà</t>
  </si>
  <si>
    <t>2214</t>
  </si>
  <si>
    <t>Chi phí BHXH, BHYT, BHTN</t>
  </si>
  <si>
    <t>2215</t>
  </si>
  <si>
    <t>Kinh phí công đoàn</t>
  </si>
  <si>
    <t>2216</t>
  </si>
  <si>
    <t>Tiền cơm giờ hành chánh</t>
  </si>
  <si>
    <t>2217</t>
  </si>
  <si>
    <t>Tiền cơm tăng ca, ăn đêm</t>
  </si>
  <si>
    <t>2218</t>
  </si>
  <si>
    <t>Trợ cấp thôi việc, mất việc</t>
  </si>
  <si>
    <t>2219</t>
  </si>
  <si>
    <t>Trợ cấp thai sản, ốm đau</t>
  </si>
  <si>
    <t>2220</t>
  </si>
  <si>
    <t>Trợ cấp tai nạn lao động, tử tuất</t>
  </si>
  <si>
    <t>2221</t>
  </si>
  <si>
    <t>CP hỗ trợ đám cưới, ốm đau…</t>
  </si>
  <si>
    <t>2222</t>
  </si>
  <si>
    <t>Chi phí đồng phục &amp; BHLĐ</t>
  </si>
  <si>
    <t>2223</t>
  </si>
  <si>
    <t>Chi phí bảo hiểm NV khác</t>
  </si>
  <si>
    <t>2224</t>
  </si>
  <si>
    <t>Chi phí khám sức khỏe</t>
  </si>
  <si>
    <t>Chi phí năng lượng SX</t>
  </si>
  <si>
    <t>2301</t>
  </si>
  <si>
    <t>Chi phí dầu FO</t>
  </si>
  <si>
    <t>2302</t>
  </si>
  <si>
    <t>Chi phí dầu DO</t>
  </si>
  <si>
    <t>2303</t>
  </si>
  <si>
    <t>Chi phí điện SX</t>
  </si>
  <si>
    <t>2304</t>
  </si>
  <si>
    <t>Chi phí nước SX</t>
  </si>
  <si>
    <t>2305</t>
  </si>
  <si>
    <t>Chi phí than</t>
  </si>
  <si>
    <t>Chi phí nhân công quản lý SX</t>
  </si>
  <si>
    <t>2401</t>
  </si>
  <si>
    <t>2402</t>
  </si>
  <si>
    <t>2403</t>
  </si>
  <si>
    <t>2404</t>
  </si>
  <si>
    <t>2405</t>
  </si>
  <si>
    <t>2406</t>
  </si>
  <si>
    <t>2407</t>
  </si>
  <si>
    <t>Phụ cấp điện thoại</t>
  </si>
  <si>
    <t>2408</t>
  </si>
  <si>
    <t>Phụ cấp chi phí đi lại</t>
  </si>
  <si>
    <t>2409</t>
  </si>
  <si>
    <t>2410</t>
  </si>
  <si>
    <t>2411</t>
  </si>
  <si>
    <t>2412</t>
  </si>
  <si>
    <t>2413</t>
  </si>
  <si>
    <t>2414</t>
  </si>
  <si>
    <t>2415</t>
  </si>
  <si>
    <t>2416</t>
  </si>
  <si>
    <t>Phụ cấp nhà ở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</si>
  <si>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</si>
  <si>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</si>
  <si>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</si>
  <si>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</si>
  <si>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</si>
  <si>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</si>
  <si>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</si>
  <si>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</si>
  <si>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</si>
  <si>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</si>
  <si>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</si>
  <si>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Chi phí khấu hao SX</t>
  </si>
  <si>
    <t>2501</t>
  </si>
  <si>
    <t>Chi phí khấu hao nhà xưởng, kho</t>
  </si>
  <si>
    <t>2502</t>
  </si>
  <si>
    <t>Chi phí khấu hao MMTB tại xưởng</t>
  </si>
  <si>
    <t>2503</t>
  </si>
  <si>
    <t>Chi phí khấu hao vật kiến trúc tại NM</t>
  </si>
  <si>
    <t>2504</t>
  </si>
  <si>
    <t>Chi phí khấu hao MMTB quản lý tại NM</t>
  </si>
  <si>
    <t>2505</t>
  </si>
  <si>
    <t>Chi phí khấu hao phương tiện vận tải tại NM</t>
  </si>
  <si>
    <t>Chi phí bảo trì bảo dưỡng SX</t>
  </si>
  <si>
    <t>2601</t>
  </si>
  <si>
    <t>Chi phí bảo dưỡng nhà xưởng SX</t>
  </si>
  <si>
    <t>2602</t>
  </si>
  <si>
    <t>Chi phí bảo dưỡng MMTB SX</t>
  </si>
  <si>
    <t>2603</t>
  </si>
  <si>
    <t>Chi phí bảo dưỡng nhà điều hành SX</t>
  </si>
  <si>
    <t>2604</t>
  </si>
  <si>
    <t>Chi phí bảo dưỡng MMTB quản lý SX</t>
  </si>
  <si>
    <t>2605</t>
  </si>
  <si>
    <t>Chi phí bảo dưỡng phương tiện vận tải</t>
  </si>
  <si>
    <t>Chi phí mặt bằng SX</t>
  </si>
  <si>
    <t>2701</t>
  </si>
  <si>
    <t>Chi phí thuê kho trữ hàng</t>
  </si>
  <si>
    <t>Chi phí công cụ dụng cụ SX</t>
  </si>
  <si>
    <t>2801</t>
  </si>
  <si>
    <t>Chi phí định phí khác SX</t>
  </si>
  <si>
    <t>2901</t>
  </si>
  <si>
    <t>Chi phí vệ sinh môi trường</t>
  </si>
  <si>
    <t>2902</t>
  </si>
  <si>
    <t>Chi phí sản xuất chung khác</t>
  </si>
  <si>
    <t>Số lượng bán</t>
  </si>
  <si>
    <t>Giá bán</t>
  </si>
  <si>
    <t>Doanh thu thuần</t>
  </si>
  <si>
    <t>Chi phí trực tiếp - Biến phí</t>
  </si>
  <si>
    <t>Chi phí đóng gói</t>
  </si>
  <si>
    <t>Chi phí nguyên liệu</t>
  </si>
  <si>
    <t>Chi phí nhân công</t>
  </si>
  <si>
    <t>Chi phí gia công</t>
  </si>
  <si>
    <t>Chi phí năng lượng</t>
  </si>
  <si>
    <t>Hoa hồng đại lý</t>
  </si>
  <si>
    <t>Số dư đảm phí</t>
  </si>
  <si>
    <t>Chi phí trực tiếp - định phí</t>
  </si>
  <si>
    <t>Chi phí khấu hao</t>
  </si>
  <si>
    <t>Chi phí bảo trì bảo dưỡng</t>
  </si>
  <si>
    <t>Chi phí công cụ dụng cụ</t>
  </si>
  <si>
    <t>Chi phí trực tiếp khác</t>
  </si>
  <si>
    <t>Chi phí phân bổ chung</t>
  </si>
  <si>
    <t>Lợi nhuận từ hoạt động bán hàng</t>
  </si>
  <si>
    <t>Mã số</t>
  </si>
  <si>
    <t>TTBP-01</t>
  </si>
  <si>
    <t>TTBP-02</t>
  </si>
  <si>
    <t>TTBP-03</t>
  </si>
  <si>
    <t>TTBP-04</t>
  </si>
  <si>
    <t>TTBP-05</t>
  </si>
  <si>
    <t>TTBP-06</t>
  </si>
  <si>
    <t>TTDP-01</t>
  </si>
  <si>
    <t>TTDP-02</t>
  </si>
  <si>
    <t>TTDP-03</t>
  </si>
  <si>
    <t>TTDP-04</t>
  </si>
  <si>
    <t>TTDP-05</t>
  </si>
  <si>
    <t>GTDP-01</t>
  </si>
  <si>
    <t>GTDP-02</t>
  </si>
  <si>
    <t>GTDP-03</t>
  </si>
  <si>
    <t>GTDP-04</t>
  </si>
  <si>
    <t>Nhóm mít</t>
  </si>
  <si>
    <t>Sản lượng</t>
  </si>
  <si>
    <t>Nhóm chuối</t>
  </si>
  <si>
    <t>Nhóm lang</t>
  </si>
  <si>
    <t>Nhóm thơm</t>
  </si>
  <si>
    <t>Nhóm thập cẩm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</si>
  <si>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</si>
  <si>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</si>
  <si>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</si>
  <si>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</si>
  <si>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</si>
  <si>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</si>
  <si>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</si>
  <si>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</si>
  <si>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</si>
  <si>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</si>
  <si>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</si>
  <si>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</si>
  <si>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621</t>
  </si>
  <si>
    <t>622</t>
  </si>
  <si>
    <t>623</t>
  </si>
  <si>
    <t>627</t>
  </si>
  <si>
    <t>TK</t>
  </si>
  <si>
    <t>Tên</t>
  </si>
  <si>
    <t>Mã CP</t>
  </si>
  <si>
    <t>Tên mã CP</t>
  </si>
  <si>
    <t>Phân loại</t>
  </si>
  <si>
    <t>Toàn Cty</t>
  </si>
  <si>
    <t>Định mức</t>
  </si>
  <si>
    <t>Cộng giá thành sản phẩm</t>
  </si>
  <si>
    <t>Tổng chi phí</t>
  </si>
  <si>
    <t>Cộng chi phí TT-Biến phí</t>
  </si>
  <si>
    <t>Cộng chi phí TT-Định phí</t>
  </si>
  <si>
    <t>Cộng chi phí gián tiếp - Định phí</t>
  </si>
  <si>
    <t>%</t>
  </si>
  <si>
    <t>Phát sinh</t>
  </si>
  <si>
    <t>/ tấn SP</t>
  </si>
  <si>
    <t>Chi phí/ tấn</t>
  </si>
  <si>
    <t>Mô phỏng phân bổ chi phí</t>
  </si>
  <si>
    <t>Giả định</t>
  </si>
  <si>
    <t>+ Chi phí nguyên liệu phân bổ theo định mức</t>
  </si>
  <si>
    <t>+ Chi phí khác phân bổ theo sản lượng</t>
  </si>
  <si>
    <t>Doanh thu</t>
  </si>
  <si>
    <t>Cộng doanh thu</t>
  </si>
  <si>
    <t>BÁO CÁO LÃI LỖ THEO SỐ DƯ ĐẢM PHÍ</t>
  </si>
  <si>
    <t>Tổng biến phí</t>
  </si>
  <si>
    <t>% Số dư đảm phí/ doanh thu</t>
  </si>
  <si>
    <t>Tổng định phí</t>
  </si>
  <si>
    <t>Lũy kế</t>
  </si>
  <si>
    <t>THÁNG HIỆN HÀNH</t>
  </si>
  <si>
    <t>LŨY KẾ PHÁT SINH</t>
  </si>
  <si>
    <t>Ngân sách</t>
  </si>
  <si>
    <t>Lũy kế dự báo</t>
  </si>
  <si>
    <t>Ngân sách cập nhật</t>
  </si>
  <si>
    <t>Chênh lệch</t>
  </si>
  <si>
    <t>Video hướng dẫn: https://www.youtube.com/watch?v=QQZ5_keMFWU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</si>
</sst>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4" fontId="2" fillId="0" borderId="2" xfId="1" applyNumberFormat="1" applyFont="1" applyBorder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3" applyNumberFormat="1" applyFont="1"/>
    <xf numFmtId="9" fontId="2" fillId="0" borderId="2" xfId="3" applyFont="1" applyBorder="1"/>
    <xf numFmtId="164" fontId="2" fillId="0" borderId="0" xfId="0" applyNumberFormat="1" applyFont="1"/>
    <xf numFmtId="9" fontId="2" fillId="0" borderId="0" xfId="3" applyFont="1"/>
    <xf numFmtId="0" fontId="5" fillId="0" borderId="0" xfId="0" applyFont="1"/>
    <xf numFmtId="0" fontId="6" fillId="0" borderId="0" xfId="0" applyFont="1"/>
    <xf numFmtId="43" fontId="5" fillId="0" borderId="0" xfId="1" applyFont="1" applyFill="1" applyBorder="1"/>
    <xf numFmtId="43" fontId="6" fillId="0" borderId="0" xfId="1" applyFont="1" applyFill="1" applyBorder="1"/>
    <xf numFmtId="0" fontId="7" fillId="0" borderId="0" xfId="2" applyFont="1"/>
    <xf numFmtId="49" fontId="7" fillId="0" borderId="0" xfId="2" quotePrefix="1" applyNumberFormat="1" applyFont="1"/>
    <xf numFmtId="164" fontId="6" fillId="0" borderId="0" xfId="1" applyNumberFormat="1" applyFont="1" applyFill="1" applyBorder="1"/>
    <xf numFmtId="49" fontId="7" fillId="0" borderId="0" xfId="2" applyNumberFormat="1" applyFont="1"/>
    <xf numFmtId="0" fontId="6" fillId="0" borderId="0" xfId="0" quotePrefix="1" applyFont="1"/>
    <xf numFmtId="0" fontId="0" fillId="0" borderId="0" xfId="0" quotePrefix="1"/>
    <xf numFmtId="43" fontId="6" fillId="0" borderId="0" xfId="1" applyFont="1"/>
    <xf numFmtId="164" fontId="6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 applyBorder="1"/>
    <xf numFmtId="10" fontId="0" fillId="0" borderId="0" xfId="3" applyNumberFormat="1" applyFont="1" applyBorder="1"/>
    <xf numFmtId="164" fontId="2" fillId="0" borderId="0" xfId="1" applyNumberFormat="1" applyFont="1" applyBorder="1"/>
    <xf numFmtId="0" fontId="8" fillId="0" borderId="0" xfId="0" applyFont="1" applyAlignment="1">
      <alignment horizontal="right"/>
    </xf>
    <xf numFmtId="164" fontId="0" fillId="0" borderId="1" xfId="0" applyNumberFormat="1" applyBorder="1"/>
    <xf numFmtId="0" fontId="6" fillId="2" borderId="0" xfId="0" applyFont="1" applyFill="1"/>
    <xf numFmtId="43" fontId="6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9" fontId="0" fillId="0" borderId="0" xfId="3" applyFont="1"/>
    <xf numFmtId="9" fontId="0" fillId="0" borderId="1" xfId="3" applyFont="1" applyBorder="1"/>
    <xf numFmtId="0" fontId="2" fillId="0" borderId="0" xfId="0" applyFont="1" applyAlignment="1">
      <alignment horizontal="center" vertical="center"/>
    </xf>
    <xf numFmtId="0" fontId="2" fillId="4" borderId="0" xfId="0" applyFont="1" applyFill="1"/>
    <xf numFmtId="0" fontId="2" fillId="6" borderId="0" xfId="0" applyFont="1" applyFill="1" applyAlignment="1">
      <alignment horizontal="right"/>
    </xf>
    <xf numFmtId="9" fontId="2" fillId="6" borderId="0" xfId="3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2" fillId="2" borderId="0" xfId="0" applyFont="1" applyFill="1"/>
  </cellXfs>
  <cellStyles count="4">
    <cellStyle name="Comma" xfId="1" builtinId="3"/>
    <cellStyle name="Normal" xfId="0" builtinId="0"/>
    <cellStyle name="Normal 7" xfId="2" xr:uid="{91081170-726C-465D-91CF-B7799EB96B1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0</xdr:row>
      <xdr:rowOff>114300</xdr:rowOff>
    </xdr:from>
    <xdr:to>
      <xdr:col>12</xdr:col>
      <xdr:colOff>376737</xdr:colOff>
      <xdr:row>19</xdr:row>
      <xdr:rowOff>67220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796D67A-7319-45EB-8501-2F066CAF7124}"/>
            </a:ext>
          </a:extLst>
        </xdr:cNvPr>
        <xdr:cNvGrpSpPr/>
      </xdr:nvGrpSpPr>
      <xdr:grpSpPr>
        <a:xfrm>
          <a:off x="167640" y="114300"/>
          <a:ext cx="7524297" cy="3427640"/>
          <a:chOff x="7773489" y="627289"/>
          <a:chExt cx="7524297" cy="3427640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79D9644A-90B7-24D8-6FB2-CB9235CA5D61}"/>
              </a:ext>
            </a:extLst>
          </xdr:cNvPr>
          <xdr:cNvCxnSpPr/>
        </xdr:nvCxnSpPr>
        <xdr:spPr>
          <a:xfrm>
            <a:off x="14585224" y="879566"/>
            <a:ext cx="0" cy="1217295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C4754878-D03E-9BAD-BB70-2DAC6C718668}"/>
              </a:ext>
            </a:extLst>
          </xdr:cNvPr>
          <xdr:cNvGrpSpPr/>
        </xdr:nvGrpSpPr>
        <xdr:grpSpPr>
          <a:xfrm>
            <a:off x="7773489" y="627289"/>
            <a:ext cx="7524297" cy="3427640"/>
            <a:chOff x="7773489" y="627289"/>
            <a:chExt cx="7524297" cy="342764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67B0467E-CCD7-B79D-3292-4B1C020436E0}"/>
                </a:ext>
              </a:extLst>
            </xdr:cNvPr>
            <xdr:cNvGrpSpPr/>
          </xdr:nvGrpSpPr>
          <xdr:grpSpPr>
            <a:xfrm>
              <a:off x="7773489" y="627289"/>
              <a:ext cx="7524297" cy="3427640"/>
              <a:chOff x="7773489" y="627289"/>
              <a:chExt cx="7524297" cy="3427640"/>
            </a:xfrm>
          </xdr:grpSpPr>
          <xdr:sp macro="" textlink="">
            <xdr:nvSpPr>
              <xdr:cNvPr id="29" name="TextBox 28">
                <a:extLst>
                  <a:ext uri="{FF2B5EF4-FFF2-40B4-BE49-F238E27FC236}">
                    <a16:creationId xmlns:a16="http://schemas.microsoft.com/office/drawing/2014/main" id="{8126DA0F-DF19-A954-35EF-96B56C19E63A}"/>
                  </a:ext>
                </a:extLst>
              </xdr:cNvPr>
              <xdr:cNvSpPr txBox="1"/>
            </xdr:nvSpPr>
            <xdr:spPr>
              <a:xfrm>
                <a:off x="7773489" y="627289"/>
                <a:ext cx="1156062" cy="482510"/>
              </a:xfrm>
              <a:prstGeom prst="rect">
                <a:avLst/>
              </a:prstGeom>
              <a:ln/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TRUNG TÂM</a:t>
                </a:r>
                <a:r>
                  <a:rPr lang="en-US" sz="1100" b="1" baseline="0"/>
                  <a:t> DOANH THU</a:t>
                </a:r>
                <a:endParaRPr lang="en-US" sz="1100" b="1"/>
              </a:p>
            </xdr:txBody>
          </xdr:sp>
          <xdr:sp macro="" textlink="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EFCEF072-7FB1-9E45-AF10-A8CC56C6EED9}"/>
                  </a:ext>
                </a:extLst>
              </xdr:cNvPr>
              <xdr:cNvSpPr txBox="1"/>
            </xdr:nvSpPr>
            <xdr:spPr>
              <a:xfrm>
                <a:off x="7773489" y="1400175"/>
                <a:ext cx="1156062" cy="482509"/>
              </a:xfrm>
              <a:prstGeom prst="rect">
                <a:avLst/>
              </a:prstGeom>
              <a:ln/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r>
                  <a:rPr lang="en-US" sz="110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CÁC NGUỒN LỰC SỬ DỤNG</a:t>
                </a:r>
              </a:p>
            </xdr:txBody>
          </xdr:sp>
          <xdr:sp macro="" textlink="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C595B54A-E777-3EC0-27B3-7DD43727E68F}"/>
                  </a:ext>
                </a:extLst>
              </xdr:cNvPr>
              <xdr:cNvSpPr txBox="1"/>
            </xdr:nvSpPr>
            <xdr:spPr>
              <a:xfrm>
                <a:off x="9087666" y="2204357"/>
                <a:ext cx="1453243" cy="48087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CHI PHÍ</a:t>
                </a:r>
                <a:r>
                  <a:rPr lang="en-US" sz="1100" b="1" baseline="0"/>
                  <a:t> TRỰC TIẾP VÀ GIÁN TIẾP</a:t>
                </a:r>
                <a:endParaRPr lang="en-US" sz="1100" b="1"/>
              </a:p>
            </xdr:txBody>
          </xdr:sp>
          <xdr:sp macro="" textlink="">
            <xdr:nvSpPr>
              <xdr:cNvPr id="32" name="TextBox 31">
                <a:extLst>
                  <a:ext uri="{FF2B5EF4-FFF2-40B4-BE49-F238E27FC236}">
                    <a16:creationId xmlns:a16="http://schemas.microsoft.com/office/drawing/2014/main" id="{D02BC47D-29A6-BE2C-409D-7EB5E9CA4B44}"/>
                  </a:ext>
                </a:extLst>
              </xdr:cNvPr>
              <xdr:cNvSpPr txBox="1"/>
            </xdr:nvSpPr>
            <xdr:spPr>
              <a:xfrm>
                <a:off x="10755086" y="2204357"/>
                <a:ext cx="1338943" cy="48087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TIÊU</a:t>
                </a:r>
                <a:r>
                  <a:rPr lang="en-US" sz="1100" b="1" baseline="0"/>
                  <a:t> THỨC &amp; PHÂN BỔ CHI PHÍ</a:t>
                </a:r>
                <a:endParaRPr lang="en-US" sz="1100" b="1"/>
              </a:p>
            </xdr:txBody>
          </xdr:sp>
          <xdr:sp macro="" textlink="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A3FA358B-E5B5-3F5C-B2AC-F825A7917020}"/>
                  </a:ext>
                </a:extLst>
              </xdr:cNvPr>
              <xdr:cNvSpPr txBox="1"/>
            </xdr:nvSpPr>
            <xdr:spPr>
              <a:xfrm>
                <a:off x="12305484" y="2204357"/>
                <a:ext cx="1387384" cy="480877"/>
              </a:xfrm>
              <a:prstGeom prst="rect">
                <a:avLst/>
              </a:prstGeom>
              <a:ln/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r>
                  <a:rPr lang="en-US" sz="110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PHÂN TÍCH TRUNG TÂM LỢI NHUẬN</a:t>
                </a:r>
              </a:p>
            </xdr:txBody>
          </xdr:sp>
          <xdr:sp macro="" textlink="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7C151256-D177-3AA4-6567-36E5686BCDA4}"/>
                  </a:ext>
                </a:extLst>
              </xdr:cNvPr>
              <xdr:cNvSpPr txBox="1"/>
            </xdr:nvSpPr>
            <xdr:spPr>
              <a:xfrm>
                <a:off x="13904323" y="2204357"/>
                <a:ext cx="1384663" cy="480877"/>
              </a:xfrm>
              <a:prstGeom prst="rect">
                <a:avLst/>
              </a:prstGeom>
              <a:ln/>
            </xdr:spPr>
            <xdr:style>
              <a:lnRef idx="1">
                <a:schemeClr val="accent6"/>
              </a:lnRef>
              <a:fillRef idx="3">
                <a:schemeClr val="accent6"/>
              </a:fillRef>
              <a:effectRef idx="2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PHÂN</a:t>
                </a:r>
                <a:r>
                  <a:rPr lang="en-US" sz="1100" b="1" baseline="0"/>
                  <a:t> TÍCH C.V.P (HÒA VỐN)</a:t>
                </a:r>
                <a:endParaRPr lang="en-US" sz="1100" b="1"/>
              </a:p>
            </xdr:txBody>
          </xdr: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CBCB895E-883C-3EBB-D344-E8BF08530FD4}"/>
                  </a:ext>
                </a:extLst>
              </xdr:cNvPr>
              <xdr:cNvSpPr txBox="1"/>
            </xdr:nvSpPr>
            <xdr:spPr>
              <a:xfrm>
                <a:off x="9081951" y="3006906"/>
                <a:ext cx="1463585" cy="4816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PHÂN</a:t>
                </a:r>
                <a:r>
                  <a:rPr lang="en-US" sz="1100" b="1" baseline="0"/>
                  <a:t> BỔ CHI PHÍ HOẠT ĐỘNG</a:t>
                </a:r>
                <a:endParaRPr lang="en-US" sz="1100" b="1"/>
              </a:p>
            </xdr:txBody>
          </xdr:sp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5B2CB1F5-15B4-CBF7-0E9C-5629B23FE07F}"/>
                  </a:ext>
                </a:extLst>
              </xdr:cNvPr>
              <xdr:cNvSpPr txBox="1"/>
            </xdr:nvSpPr>
            <xdr:spPr>
              <a:xfrm>
                <a:off x="9074331" y="3573236"/>
                <a:ext cx="1486445" cy="4816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PHÂN</a:t>
                </a:r>
                <a:r>
                  <a:rPr lang="en-US" sz="1100" b="1" baseline="0"/>
                  <a:t> LOẠI </a:t>
                </a:r>
                <a:r>
                  <a:rPr lang="en-US" sz="1100" b="1"/>
                  <a:t>BIẾN</a:t>
                </a:r>
                <a:r>
                  <a:rPr lang="en-US" sz="1100" b="1" baseline="0"/>
                  <a:t> PHÍ VÀ ĐỊNH PHÍ</a:t>
                </a:r>
                <a:endParaRPr lang="en-US" sz="1100" b="1"/>
              </a:p>
            </xdr:txBody>
          </xdr:sp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339EB93E-E883-1E7B-F66B-F15AD2C5430A}"/>
                  </a:ext>
                </a:extLst>
              </xdr:cNvPr>
              <xdr:cNvSpPr txBox="1"/>
            </xdr:nvSpPr>
            <xdr:spPr>
              <a:xfrm>
                <a:off x="13913123" y="3566433"/>
                <a:ext cx="1384663" cy="4816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XÁC</a:t>
                </a:r>
                <a:r>
                  <a:rPr lang="en-US" sz="1100" b="1" baseline="0"/>
                  <a:t> ĐỊNH TỶ LỆ SỐ DƯ ĐẢM PHÍ</a:t>
                </a:r>
                <a:endParaRPr lang="en-US" sz="1100" b="1"/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4A73DF39-CCE4-13E8-EED5-D71846413EB7}"/>
                  </a:ext>
                </a:extLst>
              </xdr:cNvPr>
              <xdr:cNvSpPr txBox="1"/>
            </xdr:nvSpPr>
            <xdr:spPr>
              <a:xfrm>
                <a:off x="10792007" y="3573235"/>
                <a:ext cx="1284332" cy="4816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TỔNG</a:t>
                </a:r>
                <a:r>
                  <a:rPr lang="en-US" sz="1100" b="1" baseline="0"/>
                  <a:t> BIẾN PHÍ PHÁT SINH</a:t>
                </a:r>
                <a:endParaRPr lang="en-US" sz="1100" b="1"/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BD720D3D-00C1-FDB3-F21D-1AE56F609F39}"/>
                  </a:ext>
                </a:extLst>
              </xdr:cNvPr>
              <xdr:cNvSpPr txBox="1"/>
            </xdr:nvSpPr>
            <xdr:spPr>
              <a:xfrm>
                <a:off x="12347665" y="3559629"/>
                <a:ext cx="1384663" cy="4816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/>
                  <a:t>PHÂN</a:t>
                </a:r>
                <a:r>
                  <a:rPr lang="en-US" sz="1100" b="1" baseline="0"/>
                  <a:t> BỔ ĐỊNH PHÍ THEO TIÊU THỨC</a:t>
                </a:r>
                <a:endParaRPr lang="en-US" sz="1100" b="1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1EABD12-58B7-5A72-CC95-2507F0D7C8A6}"/>
                </a:ext>
              </a:extLst>
            </xdr:cNvPr>
            <xdr:cNvGrpSpPr/>
          </xdr:nvGrpSpPr>
          <xdr:grpSpPr>
            <a:xfrm>
              <a:off x="8340090" y="864326"/>
              <a:ext cx="6396446" cy="2941591"/>
              <a:chOff x="8340090" y="864326"/>
              <a:chExt cx="6396446" cy="2941591"/>
            </a:xfrm>
          </xdr:grpSpPr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7F3AB47A-F823-5FF8-396D-D113FE7307A7}"/>
                  </a:ext>
                </a:extLst>
              </xdr:cNvPr>
              <xdr:cNvCxnSpPr>
                <a:stCxn id="29" idx="3"/>
              </xdr:cNvCxnSpPr>
            </xdr:nvCxnSpPr>
            <xdr:spPr>
              <a:xfrm>
                <a:off x="8929551" y="868136"/>
                <a:ext cx="5678533" cy="11430"/>
              </a:xfrm>
              <a:prstGeom prst="line">
                <a:avLst/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83CB31CD-D136-CA66-BC27-124118AEC57D}"/>
                  </a:ext>
                </a:extLst>
              </xdr:cNvPr>
              <xdr:cNvCxnSpPr/>
            </xdr:nvCxnSpPr>
            <xdr:spPr>
              <a:xfrm>
                <a:off x="8937171" y="1641021"/>
                <a:ext cx="5678533" cy="12247"/>
              </a:xfrm>
              <a:prstGeom prst="line">
                <a:avLst/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Straight Arrow Connector 8">
                <a:extLst>
                  <a:ext uri="{FF2B5EF4-FFF2-40B4-BE49-F238E27FC236}">
                    <a16:creationId xmlns:a16="http://schemas.microsoft.com/office/drawing/2014/main" id="{BE339082-663B-350C-410A-F8D896FE1435}"/>
                  </a:ext>
                </a:extLst>
              </xdr:cNvPr>
              <xdr:cNvCxnSpPr/>
            </xdr:nvCxnSpPr>
            <xdr:spPr>
              <a:xfrm>
                <a:off x="9778093" y="879566"/>
                <a:ext cx="0" cy="1217295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Straight Arrow Connector 9">
                <a:extLst>
                  <a:ext uri="{FF2B5EF4-FFF2-40B4-BE49-F238E27FC236}">
                    <a16:creationId xmlns:a16="http://schemas.microsoft.com/office/drawing/2014/main" id="{1ACD13A7-483B-1A0E-C024-7E1E4B2DD029}"/>
                  </a:ext>
                </a:extLst>
              </xdr:cNvPr>
              <xdr:cNvCxnSpPr/>
            </xdr:nvCxnSpPr>
            <xdr:spPr>
              <a:xfrm>
                <a:off x="11340737" y="864326"/>
                <a:ext cx="0" cy="1217295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" name="Straight Arrow Connector 10">
                <a:extLst>
                  <a:ext uri="{FF2B5EF4-FFF2-40B4-BE49-F238E27FC236}">
                    <a16:creationId xmlns:a16="http://schemas.microsoft.com/office/drawing/2014/main" id="{AD71A723-3D05-014F-F0BD-8CA8F1355798}"/>
                  </a:ext>
                </a:extLst>
              </xdr:cNvPr>
              <xdr:cNvCxnSpPr/>
            </xdr:nvCxnSpPr>
            <xdr:spPr>
              <a:xfrm>
                <a:off x="12893040" y="864326"/>
                <a:ext cx="0" cy="1217295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>
                <a:extLst>
                  <a:ext uri="{FF2B5EF4-FFF2-40B4-BE49-F238E27FC236}">
                    <a16:creationId xmlns:a16="http://schemas.microsoft.com/office/drawing/2014/main" id="{9E0D62A5-F12F-6012-C500-BAD440F23444}"/>
                  </a:ext>
                </a:extLst>
              </xdr:cNvPr>
              <xdr:cNvCxnSpPr>
                <a:stCxn id="30" idx="2"/>
              </xdr:cNvCxnSpPr>
            </xdr:nvCxnSpPr>
            <xdr:spPr>
              <a:xfrm>
                <a:off x="8351520" y="1882684"/>
                <a:ext cx="0" cy="1897108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>
                <a:extLst>
                  <a:ext uri="{FF2B5EF4-FFF2-40B4-BE49-F238E27FC236}">
                    <a16:creationId xmlns:a16="http://schemas.microsoft.com/office/drawing/2014/main" id="{E04885B8-988C-BF61-3E9A-81089D27E9E3}"/>
                  </a:ext>
                </a:extLst>
              </xdr:cNvPr>
              <xdr:cNvCxnSpPr/>
            </xdr:nvCxnSpPr>
            <xdr:spPr>
              <a:xfrm>
                <a:off x="8340090" y="3772172"/>
                <a:ext cx="711381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5603F6DA-7A9D-AE84-72CD-6C41017635AF}"/>
                  </a:ext>
                </a:extLst>
              </xdr:cNvPr>
              <xdr:cNvCxnSpPr/>
            </xdr:nvCxnSpPr>
            <xdr:spPr>
              <a:xfrm>
                <a:off x="9922873" y="2830830"/>
                <a:ext cx="1555024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Connector 14">
                <a:extLst>
                  <a:ext uri="{FF2B5EF4-FFF2-40B4-BE49-F238E27FC236}">
                    <a16:creationId xmlns:a16="http://schemas.microsoft.com/office/drawing/2014/main" id="{C4E35202-1CF8-85FE-7281-9AB9684C7C05}"/>
                  </a:ext>
                </a:extLst>
              </xdr:cNvPr>
              <xdr:cNvCxnSpPr/>
            </xdr:nvCxnSpPr>
            <xdr:spPr>
              <a:xfrm>
                <a:off x="10697936" y="2830830"/>
                <a:ext cx="0" cy="375013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Arrow Connector 15">
                <a:extLst>
                  <a:ext uri="{FF2B5EF4-FFF2-40B4-BE49-F238E27FC236}">
                    <a16:creationId xmlns:a16="http://schemas.microsoft.com/office/drawing/2014/main" id="{7A1BE33F-5464-AA0B-0433-517CC4E0DBB4}"/>
                  </a:ext>
                </a:extLst>
              </xdr:cNvPr>
              <xdr:cNvCxnSpPr>
                <a:endCxn id="35" idx="3"/>
              </xdr:cNvCxnSpPr>
            </xdr:nvCxnSpPr>
            <xdr:spPr>
              <a:xfrm flipH="1">
                <a:off x="10545536" y="3201001"/>
                <a:ext cx="152909" cy="46753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0417B2DD-C362-D738-32F3-F7513517B3E2}"/>
                  </a:ext>
                </a:extLst>
              </xdr:cNvPr>
              <xdr:cNvCxnSpPr/>
            </xdr:nvCxnSpPr>
            <xdr:spPr>
              <a:xfrm flipH="1" flipV="1">
                <a:off x="11422091" y="2687700"/>
                <a:ext cx="212016" cy="55080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Connector 17">
                <a:extLst>
                  <a:ext uri="{FF2B5EF4-FFF2-40B4-BE49-F238E27FC236}">
                    <a16:creationId xmlns:a16="http://schemas.microsoft.com/office/drawing/2014/main" id="{5A6EB361-C06F-54FE-11B4-E950E960058C}"/>
                  </a:ext>
                </a:extLst>
              </xdr:cNvPr>
              <xdr:cNvCxnSpPr/>
            </xdr:nvCxnSpPr>
            <xdr:spPr>
              <a:xfrm>
                <a:off x="11634107" y="3231697"/>
                <a:ext cx="1245054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D9C720BF-0AA0-A7A8-C21E-B8E982193070}"/>
                  </a:ext>
                </a:extLst>
              </xdr:cNvPr>
              <xdr:cNvCxnSpPr/>
            </xdr:nvCxnSpPr>
            <xdr:spPr>
              <a:xfrm>
                <a:off x="12865554" y="3218089"/>
                <a:ext cx="0" cy="326572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Connector 19">
                <a:extLst>
                  <a:ext uri="{FF2B5EF4-FFF2-40B4-BE49-F238E27FC236}">
                    <a16:creationId xmlns:a16="http://schemas.microsoft.com/office/drawing/2014/main" id="{88DB7343-B5DC-4E0A-BF1F-14518E03CDCC}"/>
                  </a:ext>
                </a:extLst>
              </xdr:cNvPr>
              <xdr:cNvCxnSpPr>
                <a:stCxn id="37" idx="0"/>
              </xdr:cNvCxnSpPr>
            </xdr:nvCxnSpPr>
            <xdr:spPr>
              <a:xfrm flipH="1" flipV="1">
                <a:off x="14600464" y="3272518"/>
                <a:ext cx="4991" cy="293915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Arrow Connector 20">
                <a:extLst>
                  <a:ext uri="{FF2B5EF4-FFF2-40B4-BE49-F238E27FC236}">
                    <a16:creationId xmlns:a16="http://schemas.microsoft.com/office/drawing/2014/main" id="{9F14DD53-C7AF-5993-2BB8-DD43E4C2964D}"/>
                  </a:ext>
                </a:extLst>
              </xdr:cNvPr>
              <xdr:cNvCxnSpPr/>
            </xdr:nvCxnSpPr>
            <xdr:spPr>
              <a:xfrm flipV="1">
                <a:off x="14600464" y="2694214"/>
                <a:ext cx="136072" cy="578304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29271BC2-B52A-C4D1-AADB-B7F3EF294064}"/>
                  </a:ext>
                </a:extLst>
              </xdr:cNvPr>
              <xdr:cNvCxnSpPr/>
            </xdr:nvCxnSpPr>
            <xdr:spPr>
              <a:xfrm flipH="1" flipV="1">
                <a:off x="13103678" y="2748642"/>
                <a:ext cx="1489983" cy="517072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Arrow Connector 22">
                <a:extLst>
                  <a:ext uri="{FF2B5EF4-FFF2-40B4-BE49-F238E27FC236}">
                    <a16:creationId xmlns:a16="http://schemas.microsoft.com/office/drawing/2014/main" id="{43CDE6CD-DC4E-32BD-290D-FB1886FCE587}"/>
                  </a:ext>
                </a:extLst>
              </xdr:cNvPr>
              <xdr:cNvCxnSpPr/>
            </xdr:nvCxnSpPr>
            <xdr:spPr>
              <a:xfrm>
                <a:off x="10586357" y="3803196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Arrow Connector 23">
                <a:extLst>
                  <a:ext uri="{FF2B5EF4-FFF2-40B4-BE49-F238E27FC236}">
                    <a16:creationId xmlns:a16="http://schemas.microsoft.com/office/drawing/2014/main" id="{D625552A-1051-3B05-2575-E50CB6C3CBE1}"/>
                  </a:ext>
                </a:extLst>
              </xdr:cNvPr>
              <xdr:cNvCxnSpPr/>
            </xdr:nvCxnSpPr>
            <xdr:spPr>
              <a:xfrm>
                <a:off x="12160703" y="3805917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Arrow Connector 24">
                <a:extLst>
                  <a:ext uri="{FF2B5EF4-FFF2-40B4-BE49-F238E27FC236}">
                    <a16:creationId xmlns:a16="http://schemas.microsoft.com/office/drawing/2014/main" id="{7B887EBA-685F-1192-3D4F-C94F698AE9DC}"/>
                  </a:ext>
                </a:extLst>
              </xdr:cNvPr>
              <xdr:cNvCxnSpPr/>
            </xdr:nvCxnSpPr>
            <xdr:spPr>
              <a:xfrm>
                <a:off x="13735049" y="3795030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" name="Straight Arrow Connector 25">
                <a:extLst>
                  <a:ext uri="{FF2B5EF4-FFF2-40B4-BE49-F238E27FC236}">
                    <a16:creationId xmlns:a16="http://schemas.microsoft.com/office/drawing/2014/main" id="{707C49F8-D7F5-C4DE-6758-271B6B5B5193}"/>
                  </a:ext>
                </a:extLst>
              </xdr:cNvPr>
              <xdr:cNvCxnSpPr/>
            </xdr:nvCxnSpPr>
            <xdr:spPr>
              <a:xfrm>
                <a:off x="10586357" y="2428875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Straight Arrow Connector 26">
                <a:extLst>
                  <a:ext uri="{FF2B5EF4-FFF2-40B4-BE49-F238E27FC236}">
                    <a16:creationId xmlns:a16="http://schemas.microsoft.com/office/drawing/2014/main" id="{277F19C1-C07A-2797-2159-23796DF5EF2A}"/>
                  </a:ext>
                </a:extLst>
              </xdr:cNvPr>
              <xdr:cNvCxnSpPr/>
            </xdr:nvCxnSpPr>
            <xdr:spPr>
              <a:xfrm>
                <a:off x="12140293" y="2438400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Straight Arrow Connector 27">
                <a:extLst>
                  <a:ext uri="{FF2B5EF4-FFF2-40B4-BE49-F238E27FC236}">
                    <a16:creationId xmlns:a16="http://schemas.microsoft.com/office/drawing/2014/main" id="{16A81174-9163-6911-18DB-6FA636FCF1A9}"/>
                  </a:ext>
                </a:extLst>
              </xdr:cNvPr>
              <xdr:cNvCxnSpPr/>
            </xdr:nvCxnSpPr>
            <xdr:spPr>
              <a:xfrm>
                <a:off x="13735050" y="2427514"/>
                <a:ext cx="163286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404949</xdr:colOff>
      <xdr:row>14</xdr:row>
      <xdr:rowOff>133896</xdr:rowOff>
    </xdr:from>
    <xdr:to>
      <xdr:col>11</xdr:col>
      <xdr:colOff>518195</xdr:colOff>
      <xdr:row>15</xdr:row>
      <xdr:rowOff>96264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9DF9E11B-572C-1C49-F8F5-CB3332B1642E}"/>
            </a:ext>
          </a:extLst>
        </xdr:cNvPr>
        <xdr:cNvCxnSpPr>
          <a:endCxn id="4" idx="2"/>
        </xdr:cNvCxnSpPr>
      </xdr:nvCxnSpPr>
      <xdr:spPr>
        <a:xfrm flipH="1" flipV="1">
          <a:off x="9725842" y="2154557"/>
          <a:ext cx="113246" cy="14606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674F-AFE9-4C15-80BE-98C9ED5DDCAD}">
  <dimension ref="B24"/>
  <sheetViews>
    <sheetView showGridLines="0" tabSelected="1" workbookViewId="0">
      <selection activeCell="B24" sqref="B24"/>
    </sheetView>
  </sheetViews>
  <sheetFormatPr defaultRowHeight="14.4" x14ac:dyDescent="0.3"/>
  <sheetData>
    <row r="24" spans="2:2" x14ac:dyDescent="0.3">
      <c r="B24" s="48" t="s">
        <v>221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8DAD-CE48-4A20-83D7-DE44CAE73899}">
  <dimension ref="B2:Q51"/>
  <sheetViews>
    <sheetView showGridLines="0" workbookViewId="0">
      <selection activeCell="C5" sqref="C5"/>
    </sheetView>
  </sheetViews>
  <sheetFormatPr defaultRowHeight="14.4" x14ac:dyDescent="0.3"/>
  <cols>
    <col min="1" max="1" width="4.5546875" customWidth="1"/>
    <col min="2" max="2" width="2.5546875" customWidth="1"/>
    <col min="3" max="3" width="35.6640625" customWidth="1"/>
    <col min="5" max="5" width="17.21875" bestFit="1" customWidth="1"/>
    <col min="6" max="6" width="11.6640625" customWidth="1"/>
    <col min="8" max="8" width="1.88671875" customWidth="1"/>
    <col min="9" max="9" width="17.5546875" customWidth="1"/>
    <col min="10" max="10" width="12" bestFit="1" customWidth="1"/>
    <col min="11" max="11" width="11.33203125" customWidth="1"/>
    <col min="12" max="12" width="3.6640625" customWidth="1"/>
    <col min="13" max="13" width="14.5546875" hidden="1" customWidth="1"/>
    <col min="14" max="14" width="18.109375" customWidth="1"/>
    <col min="15" max="15" width="16.109375" bestFit="1" customWidth="1"/>
    <col min="16" max="16" width="16.77734375" bestFit="1" customWidth="1"/>
    <col min="17" max="17" width="7.109375" style="40" customWidth="1"/>
  </cols>
  <sheetData>
    <row r="2" spans="2:17" x14ac:dyDescent="0.3">
      <c r="D2" t="s">
        <v>150</v>
      </c>
      <c r="E2" s="9" t="s">
        <v>182</v>
      </c>
      <c r="F2" s="10" t="s">
        <v>170</v>
      </c>
    </row>
    <row r="4" spans="2:17" x14ac:dyDescent="0.3">
      <c r="E4" s="46" t="s">
        <v>215</v>
      </c>
      <c r="F4" s="46"/>
      <c r="G4" s="46"/>
      <c r="I4" s="46" t="s">
        <v>216</v>
      </c>
      <c r="J4" s="46"/>
      <c r="K4" s="46"/>
      <c r="M4" t="s">
        <v>218</v>
      </c>
      <c r="N4" s="43" t="s">
        <v>219</v>
      </c>
      <c r="O4" s="44" t="s">
        <v>217</v>
      </c>
      <c r="P4" s="44" t="s">
        <v>220</v>
      </c>
      <c r="Q4" s="45" t="s">
        <v>200</v>
      </c>
    </row>
    <row r="5" spans="2:17" x14ac:dyDescent="0.3">
      <c r="E5" s="42" t="s">
        <v>201</v>
      </c>
      <c r="F5" s="4" t="s">
        <v>202</v>
      </c>
      <c r="G5" s="17" t="s">
        <v>200</v>
      </c>
      <c r="I5" s="42" t="s">
        <v>201</v>
      </c>
      <c r="J5" s="4" t="s">
        <v>202</v>
      </c>
      <c r="K5" s="17" t="s">
        <v>200</v>
      </c>
    </row>
    <row r="6" spans="2:17" x14ac:dyDescent="0.3">
      <c r="C6" t="s">
        <v>132</v>
      </c>
      <c r="E6" s="2">
        <f>COGS!E8</f>
        <v>358.27991097867567</v>
      </c>
      <c r="F6" s="2">
        <v>1</v>
      </c>
      <c r="G6" s="40"/>
      <c r="I6" s="2">
        <f ca="1">COGS!I8</f>
        <v>4428.150880724892</v>
      </c>
      <c r="J6" s="2">
        <v>1</v>
      </c>
      <c r="K6" s="40"/>
      <c r="M6" s="2">
        <f ca="1">SUM(OFFSET(Budget!D2,MATCH(PL!$F$2,Budget!$A$2:$A$186,0)-1,0,1,Data!$Z$1))</f>
        <v>4556.5501954688643</v>
      </c>
      <c r="N6" s="2">
        <f ca="1">I6+(O6-M6)</f>
        <v>4873.2845940487687</v>
      </c>
      <c r="O6" s="2">
        <f ca="1">SUM(OFFSET(Budget!D2,MATCH(PL!$F$2,Budget!$A$2:$A$186,0)-1,0,1,12))</f>
        <v>5001.683908792741</v>
      </c>
      <c r="P6" s="2">
        <f t="shared" ref="P6:P7" ca="1" si="0">N6-O6</f>
        <v>-128.39931474397235</v>
      </c>
      <c r="Q6" s="40">
        <f t="shared" ref="Q6:Q7" ca="1" si="1">IFERROR(P6/O6,"")</f>
        <v>-2.5671217351070905E-2</v>
      </c>
    </row>
    <row r="7" spans="2:17" ht="15" thickBot="1" x14ac:dyDescent="0.35">
      <c r="B7" s="1"/>
      <c r="C7" s="1" t="s">
        <v>133</v>
      </c>
      <c r="D7" s="1"/>
      <c r="E7" s="3">
        <f ca="1">E8/E6</f>
        <v>16984709.799377698</v>
      </c>
      <c r="F7" s="3">
        <f ca="1">E7</f>
        <v>16984709.799377698</v>
      </c>
      <c r="G7" s="41"/>
      <c r="I7" s="3">
        <f ca="1">I8/I6</f>
        <v>16864399.935614362</v>
      </c>
      <c r="J7" s="3">
        <f ca="1">I7</f>
        <v>16864399.935614362</v>
      </c>
      <c r="K7" s="41"/>
      <c r="M7" s="3">
        <f ca="1">SUM(OFFSET(Budget!D3,MATCH(PL!$F$2,Budget!$A$2:$A$186,0)-1,0,1,Data!$Z$1))</f>
        <v>227295381.13873103</v>
      </c>
      <c r="N7" s="3">
        <f ca="1">N8/N6</f>
        <v>17211389.994636748</v>
      </c>
      <c r="O7" s="3">
        <f ca="1">O8/O6</f>
        <v>20663216.467157371</v>
      </c>
      <c r="P7" s="3">
        <f t="shared" ca="1" si="0"/>
        <v>-3451826.4725206234</v>
      </c>
      <c r="Q7" s="41">
        <f t="shared" ca="1" si="1"/>
        <v>-0.1670517500509682</v>
      </c>
    </row>
    <row r="8" spans="2:17" s="4" customFormat="1" x14ac:dyDescent="0.3">
      <c r="B8" s="4" t="s">
        <v>134</v>
      </c>
      <c r="E8" s="30">
        <f ca="1">HLOOKUP($F$2,Data!$S$82:$X$83,2,0)</f>
        <v>6085280314.9196825</v>
      </c>
      <c r="F8" s="30">
        <f ca="1">E8/E6</f>
        <v>16984709.799377698</v>
      </c>
      <c r="G8" s="17">
        <f ca="1">F8/$F$8</f>
        <v>1</v>
      </c>
      <c r="I8" s="30">
        <f ca="1">HLOOKUP($F$2,Data!$AA$82:$AF$83,2,0)</f>
        <v>74678107427.787552</v>
      </c>
      <c r="J8" s="30">
        <f ca="1">I8/I6</f>
        <v>16864399.935614362</v>
      </c>
      <c r="K8" s="17">
        <f ca="1">J8/$F$8</f>
        <v>0.99291657819389156</v>
      </c>
      <c r="M8" s="30">
        <f ca="1">SUM(OFFSET(Budget!D4,MATCH(PL!$F$2,Budget!$A$2:$A$186,0)-1,0,1,Data!$Z$1))</f>
        <v>94152983032.441376</v>
      </c>
      <c r="N8" s="30">
        <f t="shared" ref="N8:N34" ca="1" si="2">I8+(O8-M8)</f>
        <v>83876001703.028381</v>
      </c>
      <c r="O8" s="30">
        <f ca="1">SUM(OFFSET(Budget!D4,MATCH(PL!$F$2,Budget!$A$2:$A$186,0)-1,0,1,12))</f>
        <v>103350877307.68221</v>
      </c>
      <c r="P8" s="30">
        <f ca="1">N8-O8</f>
        <v>-19474875604.653824</v>
      </c>
      <c r="Q8" s="17">
        <f ca="1">IFERROR(P8/O8,"")</f>
        <v>-0.18843454561760387</v>
      </c>
    </row>
    <row r="9" spans="2:17" x14ac:dyDescent="0.3">
      <c r="E9" s="2"/>
      <c r="F9" s="2"/>
      <c r="G9" s="40"/>
      <c r="I9" s="2"/>
      <c r="J9" s="2"/>
      <c r="K9" s="40"/>
      <c r="M9" s="2">
        <f ca="1">SUM(OFFSET(Budget!D5,MATCH(PL!$F$2,Budget!$A$2:$A$186,0)-1,0,1,Data!$Z$1))</f>
        <v>0</v>
      </c>
      <c r="N9" s="2">
        <f t="shared" ca="1" si="2"/>
        <v>0</v>
      </c>
      <c r="O9" s="2">
        <f ca="1">SUM(OFFSET(Budget!D5,MATCH(PL!$F$2,Budget!$A$2:$A$186,0)-1,0,1,12))</f>
        <v>0</v>
      </c>
      <c r="P9" s="2">
        <f t="shared" ref="P9:P35" ca="1" si="3">N9-O9</f>
        <v>0</v>
      </c>
    </row>
    <row r="10" spans="2:17" x14ac:dyDescent="0.3">
      <c r="B10" s="4" t="s">
        <v>135</v>
      </c>
      <c r="E10" s="2"/>
      <c r="F10" s="2"/>
      <c r="G10" s="40"/>
      <c r="I10" s="2"/>
      <c r="J10" s="2"/>
      <c r="K10" s="40"/>
      <c r="M10" s="2">
        <f ca="1">SUM(OFFSET(Budget!D6,MATCH(PL!$F$2,Budget!$A$2:$A$186,0)-1,0,1,Data!$Z$1))</f>
        <v>0</v>
      </c>
      <c r="N10" s="2">
        <f t="shared" ca="1" si="2"/>
        <v>0</v>
      </c>
      <c r="O10" s="2">
        <f ca="1">SUM(OFFSET(Budget!D6,MATCH(PL!$F$2,Budget!$A$2:$A$186,0)-1,0,1,12))</f>
        <v>0</v>
      </c>
      <c r="P10" s="2">
        <f t="shared" ca="1" si="3"/>
        <v>0</v>
      </c>
    </row>
    <row r="11" spans="2:17" x14ac:dyDescent="0.3">
      <c r="C11" t="s">
        <v>137</v>
      </c>
      <c r="D11" t="s">
        <v>151</v>
      </c>
      <c r="E11" s="2">
        <f ca="1">VLOOKUP(D11,COGS!$D$11:$F$34,2,0)</f>
        <v>4071197931.2716551</v>
      </c>
      <c r="F11" s="2">
        <f ca="1">VLOOKUP(D11,COGS!$D$11:$F$34,3,0)</f>
        <v>11363176.685376499</v>
      </c>
      <c r="G11" s="40">
        <f ca="1">F11/$F$8</f>
        <v>0.66902389381965377</v>
      </c>
      <c r="I11" s="2">
        <f ca="1">VLOOKUP(D11,COGS!$D$11:$K$34,6,0)</f>
        <v>77005599870.785583</v>
      </c>
      <c r="J11" s="2">
        <f ca="1">VLOOKUP(D11,COGS!$D$11:$K$34,7,0)</f>
        <v>17390012.658778172</v>
      </c>
      <c r="K11" s="40">
        <f ca="1">J11/$F$8</f>
        <v>1.0238628074419807</v>
      </c>
      <c r="M11" s="2">
        <f ca="1">SUM(OFFSET(Budget!D7,MATCH(PL!$F$2,Budget!$A$2:$A$186,0)-1,0,1,Data!$Z$1))</f>
        <v>51225010096.450951</v>
      </c>
      <c r="N11" s="2">
        <f t="shared" ca="1" si="2"/>
        <v>82009819725.964844</v>
      </c>
      <c r="O11" s="2">
        <f ca="1">SUM(OFFSET(Budget!D7,MATCH(PL!$F$2,Budget!$A$2:$A$186,0)-1,0,1,12))</f>
        <v>56229229951.630219</v>
      </c>
      <c r="P11" s="2">
        <f t="shared" ca="1" si="3"/>
        <v>25780589774.334625</v>
      </c>
      <c r="Q11" s="40">
        <f t="shared" ref="Q11:Q16" ca="1" si="4">IFERROR(P11/O11,"")</f>
        <v>0.45849089159698131</v>
      </c>
    </row>
    <row r="12" spans="2:17" x14ac:dyDescent="0.3">
      <c r="C12" t="s">
        <v>136</v>
      </c>
      <c r="D12" t="s">
        <v>152</v>
      </c>
      <c r="E12" s="2">
        <f ca="1">VLOOKUP(D12,COGS!$D$11:$F$34,2,0)</f>
        <v>80752020.50926286</v>
      </c>
      <c r="F12" s="2">
        <f ca="1">VLOOKUP(D12,COGS!$D$11:$F$34,3,0)</f>
        <v>225388.07796585924</v>
      </c>
      <c r="G12" s="40">
        <f ca="1">F12/$F$8</f>
        <v>1.3270057635845931E-2</v>
      </c>
      <c r="I12" s="2">
        <f ca="1">VLOOKUP(D12,COGS!$D$11:$K$34,6,0)</f>
        <v>1770988227.892015</v>
      </c>
      <c r="J12" s="2">
        <f ca="1">VLOOKUP(D12,COGS!$D$11:$K$34,7,0)</f>
        <v>399938.54671955144</v>
      </c>
      <c r="K12" s="40">
        <f ca="1">J12/$F$8</f>
        <v>2.3546975570592602E-2</v>
      </c>
      <c r="M12" s="2">
        <f ca="1">SUM(OFFSET(Budget!D8,MATCH(PL!$F$2,Budget!$A$2:$A$186,0)-1,0,1,Data!$Z$1))</f>
        <v>516501746.90030199</v>
      </c>
      <c r="N12" s="2">
        <f t="shared" ca="1" si="2"/>
        <v>1821445773.770612</v>
      </c>
      <c r="O12" s="2">
        <f ca="1">SUM(OFFSET(Budget!D8,MATCH(PL!$F$2,Budget!$A$2:$A$186,0)-1,0,1,12))</f>
        <v>566959292.77889895</v>
      </c>
      <c r="P12" s="2">
        <f t="shared" ca="1" si="3"/>
        <v>1254486480.991713</v>
      </c>
      <c r="Q12" s="40">
        <f t="shared" ca="1" si="4"/>
        <v>2.2126570583982539</v>
      </c>
    </row>
    <row r="13" spans="2:17" x14ac:dyDescent="0.3">
      <c r="C13" t="s">
        <v>138</v>
      </c>
      <c r="D13" t="s">
        <v>153</v>
      </c>
      <c r="E13" s="2">
        <f ca="1">VLOOKUP(D13,COGS!$D$11:$F$34,2,0)</f>
        <v>114857922.85642853</v>
      </c>
      <c r="F13" s="2">
        <f ca="1">VLOOKUP(D13,COGS!$D$11:$F$34,3,0)</f>
        <v>320581.53230719297</v>
      </c>
      <c r="G13" s="40">
        <f ca="1">F13/$F$8</f>
        <v>1.8874713556715508E-2</v>
      </c>
      <c r="I13" s="2">
        <f ca="1">VLOOKUP(D13,COGS!$D$11:$K$34,6,0)</f>
        <v>1704581304.7962492</v>
      </c>
      <c r="J13" s="2">
        <f ca="1">VLOOKUP(D13,COGS!$D$11:$K$34,7,0)</f>
        <v>384942.01094548247</v>
      </c>
      <c r="K13" s="40">
        <f ca="1">J13/$F$8</f>
        <v>2.2664032267397723E-2</v>
      </c>
      <c r="M13" s="2">
        <f ca="1">SUM(OFFSET(Budget!D9,MATCH(PL!$F$2,Budget!$A$2:$A$186,0)-1,0,1,Data!$Z$1))</f>
        <v>509650594.59035945</v>
      </c>
      <c r="N13" s="2">
        <f t="shared" ca="1" si="2"/>
        <v>1754369555.1030989</v>
      </c>
      <c r="O13" s="2">
        <f ca="1">SUM(OFFSET(Budget!D9,MATCH(PL!$F$2,Budget!$A$2:$A$186,0)-1,0,1,12))</f>
        <v>559438844.89720905</v>
      </c>
      <c r="P13" s="2">
        <f t="shared" ca="1" si="3"/>
        <v>1194930710.2058897</v>
      </c>
      <c r="Q13" s="40">
        <f t="shared" ca="1" si="4"/>
        <v>2.1359451906230174</v>
      </c>
    </row>
    <row r="14" spans="2:17" x14ac:dyDescent="0.3">
      <c r="C14" t="s">
        <v>139</v>
      </c>
      <c r="D14" t="s">
        <v>154</v>
      </c>
      <c r="E14" s="2">
        <f ca="1">VLOOKUP(D14,COGS!$D$11:$F$34,2,0)</f>
        <v>0</v>
      </c>
      <c r="F14" s="2">
        <f ca="1">VLOOKUP(D14,COGS!$D$11:$F$34,3,0)</f>
        <v>0</v>
      </c>
      <c r="G14" s="40">
        <f ca="1">F14/$F$8</f>
        <v>0</v>
      </c>
      <c r="I14" s="2">
        <f ca="1">VLOOKUP(D14,COGS!$D$11:$K$34,6,0)</f>
        <v>0</v>
      </c>
      <c r="J14" s="2">
        <f ca="1">VLOOKUP(D14,COGS!$D$11:$K$34,7,0)</f>
        <v>0</v>
      </c>
      <c r="K14" s="40">
        <f ca="1">J14/$F$8</f>
        <v>0</v>
      </c>
      <c r="M14" s="2">
        <f ca="1">SUM(OFFSET(Budget!D10,MATCH(PL!$F$2,Budget!$A$2:$A$186,0)-1,0,1,Data!$Z$1))</f>
        <v>0</v>
      </c>
      <c r="N14" s="2">
        <f t="shared" ca="1" si="2"/>
        <v>0</v>
      </c>
      <c r="O14" s="2">
        <f ca="1">SUM(OFFSET(Budget!D10,MATCH(PL!$F$2,Budget!$A$2:$A$186,0)-1,0,1,12))</f>
        <v>0</v>
      </c>
      <c r="P14" s="2">
        <f t="shared" ca="1" si="3"/>
        <v>0</v>
      </c>
      <c r="Q14" s="40" t="str">
        <f t="shared" ca="1" si="4"/>
        <v/>
      </c>
    </row>
    <row r="15" spans="2:17" x14ac:dyDescent="0.3">
      <c r="C15" t="s">
        <v>140</v>
      </c>
      <c r="D15" t="s">
        <v>155</v>
      </c>
      <c r="E15" s="2">
        <f ca="1">VLOOKUP(D15,COGS!$D$11:$F$34,2,0)</f>
        <v>318478639.31385064</v>
      </c>
      <c r="F15" s="2">
        <f ca="1">VLOOKUP(D15,COGS!$D$11:$F$34,3,0)</f>
        <v>888910.12182038324</v>
      </c>
      <c r="G15" s="40">
        <f ca="1">F15/$F$8</f>
        <v>5.2335902839679482E-2</v>
      </c>
      <c r="I15" s="2">
        <f ca="1">VLOOKUP(D15,COGS!$D$11:$K$34,6,0)</f>
        <v>4551963085.5374718</v>
      </c>
      <c r="J15" s="2">
        <f ca="1">VLOOKUP(D15,COGS!$D$11:$K$34,7,0)</f>
        <v>1027960.2498079992</v>
      </c>
      <c r="K15" s="40">
        <f ca="1">J15/$F$8</f>
        <v>6.0522685518339711E-2</v>
      </c>
      <c r="M15" s="2">
        <f ca="1">SUM(OFFSET(Budget!D11,MATCH(PL!$F$2,Budget!$A$2:$A$186,0)-1,0,1,Data!$Z$1))</f>
        <v>4654486647.5998688</v>
      </c>
      <c r="N15" s="2">
        <f t="shared" ca="1" si="2"/>
        <v>5006664303.8238068</v>
      </c>
      <c r="O15" s="2">
        <f ca="1">SUM(OFFSET(Budget!D11,MATCH(PL!$F$2,Budget!$A$2:$A$186,0)-1,0,1,12))</f>
        <v>5109187865.8862038</v>
      </c>
      <c r="P15" s="2">
        <f t="shared" ca="1" si="3"/>
        <v>-102523562.062397</v>
      </c>
      <c r="Q15" s="40">
        <f t="shared" ca="1" si="4"/>
        <v>-2.0066508563316255E-2</v>
      </c>
    </row>
    <row r="16" spans="2:17" x14ac:dyDescent="0.3">
      <c r="C16" t="s">
        <v>141</v>
      </c>
      <c r="D16" t="s">
        <v>156</v>
      </c>
      <c r="E16" s="2"/>
      <c r="F16" s="2"/>
      <c r="G16" s="40"/>
      <c r="I16" s="2"/>
      <c r="J16" s="2"/>
      <c r="K16" s="40"/>
      <c r="M16" s="2">
        <f ca="1">SUM(OFFSET(Budget!D12,MATCH(PL!$F$2,Budget!$A$2:$A$186,0)-1,0,1,Data!$Z$1))</f>
        <v>0</v>
      </c>
      <c r="N16" s="2">
        <f t="shared" ca="1" si="2"/>
        <v>0</v>
      </c>
      <c r="O16" s="2">
        <f ca="1">SUM(OFFSET(Budget!D12,MATCH(PL!$F$2,Budget!$A$2:$A$186,0)-1,0,1,12))</f>
        <v>0</v>
      </c>
      <c r="P16" s="2">
        <f t="shared" ca="1" si="3"/>
        <v>0</v>
      </c>
      <c r="Q16" s="40" t="str">
        <f t="shared" ca="1" si="4"/>
        <v/>
      </c>
    </row>
    <row r="17" spans="2:17" ht="15" thickBot="1" x14ac:dyDescent="0.35">
      <c r="B17" s="1"/>
      <c r="C17" s="5" t="s">
        <v>197</v>
      </c>
      <c r="D17" s="5"/>
      <c r="E17" s="5">
        <f ca="1">SUM(E11:E16)</f>
        <v>4585286513.9511976</v>
      </c>
      <c r="F17" s="5">
        <f ca="1">SUM(F11:F16)</f>
        <v>12798056.417469934</v>
      </c>
      <c r="G17" s="15">
        <f ca="1">F17/$F$8</f>
        <v>0.75350456785189468</v>
      </c>
      <c r="I17" s="5">
        <f ca="1">SUM(I11:I16)</f>
        <v>85033132489.011322</v>
      </c>
      <c r="J17" s="5">
        <f ca="1">SUM(J11:J16)</f>
        <v>19202853.466251206</v>
      </c>
      <c r="K17" s="15">
        <f ca="1">J17/$F$8</f>
        <v>1.1305965007983108</v>
      </c>
      <c r="M17" s="5">
        <f ca="1">SUM(OFFSET(Budget!D13,MATCH(PL!$F$2,Budget!$A$2:$A$186,0)-1,0,1,Data!$Z$1))</f>
        <v>56905649085.541473</v>
      </c>
      <c r="N17" s="5">
        <f ca="1">SUM(N11:N16)</f>
        <v>90592299358.662369</v>
      </c>
      <c r="O17" s="5">
        <f ca="1">SUM(O11:O16)</f>
        <v>62464815955.192535</v>
      </c>
      <c r="P17" s="5">
        <f t="shared" ca="1" si="3"/>
        <v>28127483403.469833</v>
      </c>
      <c r="Q17" s="15">
        <f t="shared" ref="Q17:Q35" ca="1" si="5">P17/O17</f>
        <v>0.45029322464739718</v>
      </c>
    </row>
    <row r="18" spans="2:17" x14ac:dyDescent="0.3">
      <c r="B18" s="4" t="s">
        <v>142</v>
      </c>
      <c r="E18" s="2">
        <f ca="1">E8-E17</f>
        <v>1499993800.9684849</v>
      </c>
      <c r="F18" s="2">
        <f ca="1">F8-F17</f>
        <v>4186653.3819077648</v>
      </c>
      <c r="G18" s="40"/>
      <c r="I18" s="2">
        <f ca="1">I8-I17</f>
        <v>-10355025061.22377</v>
      </c>
      <c r="J18" s="2">
        <f ca="1">J8-J17</f>
        <v>-2338453.5306368433</v>
      </c>
      <c r="K18" s="40"/>
      <c r="M18" s="2">
        <f ca="1">SUM(OFFSET(Budget!D14,MATCH(PL!$F$2,Budget!$A$2:$A$186,0)-1,0,1,Data!$Z$1))</f>
        <v>0</v>
      </c>
      <c r="N18" s="2">
        <f ca="1">N8-N17</f>
        <v>-6716297655.6339874</v>
      </c>
      <c r="O18" s="2">
        <f ca="1">O8-O17</f>
        <v>40886061352.48967</v>
      </c>
      <c r="P18" s="2">
        <f t="shared" ca="1" si="3"/>
        <v>-47602359008.123657</v>
      </c>
      <c r="Q18" s="40">
        <f t="shared" ca="1" si="5"/>
        <v>-1.1642686390780219</v>
      </c>
    </row>
    <row r="19" spans="2:17" x14ac:dyDescent="0.3">
      <c r="E19" s="2"/>
      <c r="F19" s="2"/>
      <c r="G19" s="40"/>
      <c r="I19" s="2"/>
      <c r="J19" s="2"/>
      <c r="K19" s="40"/>
      <c r="M19" s="2">
        <f ca="1">SUM(OFFSET(Budget!D15,MATCH(PL!$F$2,Budget!$A$2:$A$186,0)-1,0,1,Data!$Z$1))</f>
        <v>0</v>
      </c>
      <c r="N19" s="2"/>
      <c r="O19" s="2"/>
      <c r="P19" s="2"/>
    </row>
    <row r="20" spans="2:17" x14ac:dyDescent="0.3">
      <c r="B20" s="4" t="s">
        <v>143</v>
      </c>
      <c r="E20" s="2"/>
      <c r="F20" s="2"/>
      <c r="G20" s="40"/>
      <c r="I20" s="2"/>
      <c r="J20" s="2"/>
      <c r="K20" s="40"/>
      <c r="M20" s="2">
        <f ca="1">SUM(OFFSET(Budget!D16,MATCH(PL!$F$2,Budget!$A$2:$A$186,0)-1,0,1,Data!$Z$1))</f>
        <v>0</v>
      </c>
      <c r="N20" s="2"/>
      <c r="O20" s="2"/>
      <c r="P20" s="2"/>
    </row>
    <row r="21" spans="2:17" x14ac:dyDescent="0.3">
      <c r="C21" t="s">
        <v>138</v>
      </c>
      <c r="D21" t="s">
        <v>157</v>
      </c>
      <c r="E21" s="2">
        <f ca="1">VLOOKUP(D21,COGS!$D$11:$F$34,2,0)</f>
        <v>322310432.70055407</v>
      </c>
      <c r="F21" s="2">
        <f ca="1">VLOOKUP(D21,COGS!$D$11:$F$34,3,0)</f>
        <v>899605.09318016865</v>
      </c>
      <c r="G21" s="40">
        <f t="shared" ref="G21:G26" ca="1" si="6">F21/$F$8</f>
        <v>5.2965585153131628E-2</v>
      </c>
      <c r="I21" s="2">
        <f ca="1">VLOOKUP(D21,COGS!$D$11:$K$34,6,0)</f>
        <v>2812699002.2500057</v>
      </c>
      <c r="J21" s="2">
        <f ca="1">VLOOKUP(D21,COGS!$D$11:$K$34,7,0)</f>
        <v>635185.89994150435</v>
      </c>
      <c r="K21" s="40">
        <f t="shared" ref="K21:K26" ca="1" si="7">J21/$F$8</f>
        <v>3.7397512671354376E-2</v>
      </c>
      <c r="M21" s="2">
        <f ca="1">SUM(OFFSET(Budget!D17,MATCH(PL!$F$2,Budget!$A$2:$A$186,0)-1,0,1,Data!$Z$1))</f>
        <v>2149361956.9108357</v>
      </c>
      <c r="N21" s="2">
        <f t="shared" ca="1" si="2"/>
        <v>3022672211.8304052</v>
      </c>
      <c r="O21" s="2">
        <f ca="1">SUM(OFFSET(Budget!D17,MATCH(PL!$F$2,Budget!$A$2:$A$186,0)-1,0,1,12))</f>
        <v>2359335166.4912353</v>
      </c>
      <c r="P21" s="2">
        <f t="shared" ca="1" si="3"/>
        <v>663337045.33916998</v>
      </c>
      <c r="Q21" s="40">
        <f t="shared" ref="Q21:Q25" ca="1" si="8">IFERROR(P21/O21,"")</f>
        <v>0.28115422291851566</v>
      </c>
    </row>
    <row r="22" spans="2:17" x14ac:dyDescent="0.3">
      <c r="C22" t="s">
        <v>144</v>
      </c>
      <c r="D22" t="s">
        <v>158</v>
      </c>
      <c r="E22" s="2">
        <f ca="1">VLOOKUP(D22,COGS!$D$11:$F$34,2,0)</f>
        <v>46600681.007648617</v>
      </c>
      <c r="F22" s="2">
        <f ca="1">VLOOKUP(D22,COGS!$D$11:$F$34,3,0)</f>
        <v>130067.80335619272</v>
      </c>
      <c r="G22" s="40">
        <f t="shared" ca="1" si="6"/>
        <v>7.657934983437766E-3</v>
      </c>
      <c r="I22" s="2">
        <f ca="1">VLOOKUP(D22,COGS!$D$11:$K$34,6,0)</f>
        <v>269408647.23689783</v>
      </c>
      <c r="J22" s="2">
        <f ca="1">VLOOKUP(D22,COGS!$D$11:$K$34,7,0)</f>
        <v>60839.988178721542</v>
      </c>
      <c r="K22" s="40">
        <f t="shared" ca="1" si="7"/>
        <v>3.5820446093786456E-3</v>
      </c>
      <c r="M22" s="2">
        <f ca="1">SUM(OFFSET(Budget!D18,MATCH(PL!$F$2,Budget!$A$2:$A$186,0)-1,0,1,Data!$Z$1))</f>
        <v>1190595212.455519</v>
      </c>
      <c r="N22" s="2">
        <f t="shared" ca="1" si="2"/>
        <v>385719023.56348217</v>
      </c>
      <c r="O22" s="2">
        <f ca="1">SUM(OFFSET(Budget!D18,MATCH(PL!$F$2,Budget!$A$2:$A$186,0)-1,0,1,12))</f>
        <v>1306905588.7821033</v>
      </c>
      <c r="P22" s="2">
        <f t="shared" ca="1" si="3"/>
        <v>-921186565.21862113</v>
      </c>
      <c r="Q22" s="40">
        <f t="shared" ca="1" si="8"/>
        <v>-0.70486083549238532</v>
      </c>
    </row>
    <row r="23" spans="2:17" x14ac:dyDescent="0.3">
      <c r="C23" t="s">
        <v>145</v>
      </c>
      <c r="D23" t="s">
        <v>159</v>
      </c>
      <c r="E23" s="2">
        <f ca="1">VLOOKUP(D23,COGS!$D$11:$F$34,2,0)</f>
        <v>7934805.3755992427</v>
      </c>
      <c r="F23" s="2">
        <f ca="1">VLOOKUP(D23,COGS!$D$11:$F$34,3,0)</f>
        <v>22146.944700093754</v>
      </c>
      <c r="G23" s="40">
        <f t="shared" ca="1" si="6"/>
        <v>1.3039342421326029E-3</v>
      </c>
      <c r="I23" s="2">
        <f ca="1">VLOOKUP(D23,COGS!$D$11:$K$34,6,0)</f>
        <v>75083208.852369115</v>
      </c>
      <c r="J23" s="2">
        <f ca="1">VLOOKUP(D23,COGS!$D$11:$K$34,7,0)</f>
        <v>16955.883138308498</v>
      </c>
      <c r="K23" s="40">
        <f t="shared" ca="1" si="7"/>
        <v>9.9830278754187152E-4</v>
      </c>
      <c r="M23" s="2">
        <f ca="1">SUM(OFFSET(Budget!D19,MATCH(PL!$F$2,Budget!$A$2:$A$186,0)-1,0,1,Data!$Z$1))</f>
        <v>159944205.7596491</v>
      </c>
      <c r="N23" s="2">
        <f t="shared" ca="1" si="2"/>
        <v>90708310.119821444</v>
      </c>
      <c r="O23" s="2">
        <f ca="1">SUM(OFFSET(Budget!D19,MATCH(PL!$F$2,Budget!$A$2:$A$186,0)-1,0,1,12))</f>
        <v>175569307.02710143</v>
      </c>
      <c r="P23" s="2">
        <f t="shared" ca="1" si="3"/>
        <v>-84860996.907279983</v>
      </c>
      <c r="Q23" s="40">
        <f t="shared" ca="1" si="8"/>
        <v>-0.4833475642424252</v>
      </c>
    </row>
    <row r="24" spans="2:17" x14ac:dyDescent="0.3">
      <c r="C24" t="s">
        <v>146</v>
      </c>
      <c r="D24" t="s">
        <v>160</v>
      </c>
      <c r="E24" s="2">
        <f ca="1">VLOOKUP(D24,COGS!$D$11:$F$34,2,0)</f>
        <v>100927608.74456508</v>
      </c>
      <c r="F24" s="2">
        <f ca="1">VLOOKUP(D24,COGS!$D$11:$F$34,3,0)</f>
        <v>281700.44049880363</v>
      </c>
      <c r="G24" s="40">
        <f t="shared" ca="1" si="6"/>
        <v>1.6585531564932879E-2</v>
      </c>
      <c r="I24" s="2">
        <f ca="1">VLOOKUP(D24,COGS!$D$11:$K$34,6,0)</f>
        <v>814650268.02448487</v>
      </c>
      <c r="J24" s="2">
        <f ca="1">VLOOKUP(D24,COGS!$D$11:$K$34,7,0)</f>
        <v>183970.75663580955</v>
      </c>
      <c r="K24" s="40">
        <f t="shared" ca="1" si="7"/>
        <v>1.0831551366426646E-2</v>
      </c>
      <c r="M24" s="2">
        <f ca="1">SUM(OFFSET(Budget!D20,MATCH(PL!$F$2,Budget!$A$2:$A$186,0)-1,0,1,Data!$Z$1))</f>
        <v>222339017.80763471</v>
      </c>
      <c r="N24" s="2">
        <f t="shared" ca="1" si="2"/>
        <v>836370777.7012825</v>
      </c>
      <c r="O24" s="2">
        <f ca="1">SUM(OFFSET(Budget!D20,MATCH(PL!$F$2,Budget!$A$2:$A$186,0)-1,0,1,12))</f>
        <v>244059527.4844324</v>
      </c>
      <c r="P24" s="2">
        <f t="shared" ca="1" si="3"/>
        <v>592311250.21685004</v>
      </c>
      <c r="Q24" s="40">
        <f t="shared" ca="1" si="8"/>
        <v>2.4269130417563036</v>
      </c>
    </row>
    <row r="25" spans="2:17" x14ac:dyDescent="0.3">
      <c r="C25" t="s">
        <v>147</v>
      </c>
      <c r="D25" t="s">
        <v>161</v>
      </c>
      <c r="E25" s="2">
        <f ca="1">VLOOKUP(D25,COGS!$D$11:$F$34,2,0)</f>
        <v>0</v>
      </c>
      <c r="F25" s="2">
        <f ca="1">VLOOKUP(D25,COGS!$D$11:$F$34,3,0)</f>
        <v>0</v>
      </c>
      <c r="G25" s="40">
        <f t="shared" ca="1" si="6"/>
        <v>0</v>
      </c>
      <c r="I25" s="2">
        <f ca="1">VLOOKUP(D25,COGS!$D$11:$K$34,6,0)</f>
        <v>985564.77064165194</v>
      </c>
      <c r="J25" s="2">
        <f ca="1">VLOOKUP(D25,COGS!$D$11:$K$34,7,0)</f>
        <v>222.56801929032602</v>
      </c>
      <c r="K25" s="40">
        <f t="shared" ca="1" si="7"/>
        <v>1.3104022495484772E-5</v>
      </c>
      <c r="M25" s="2">
        <f ca="1">SUM(OFFSET(Budget!D21,MATCH(PL!$F$2,Budget!$A$2:$A$186,0)-1,0,1,Data!$Z$1))</f>
        <v>0</v>
      </c>
      <c r="N25" s="2">
        <f t="shared" ca="1" si="2"/>
        <v>985564.77064165194</v>
      </c>
      <c r="O25" s="2">
        <f ca="1">SUM(OFFSET(Budget!D21,MATCH(PL!$F$2,Budget!$A$2:$A$186,0)-1,0,1,12))</f>
        <v>0</v>
      </c>
      <c r="P25" s="2">
        <f t="shared" ca="1" si="3"/>
        <v>985564.77064165194</v>
      </c>
      <c r="Q25" s="40" t="str">
        <f t="shared" ca="1" si="8"/>
        <v/>
      </c>
    </row>
    <row r="26" spans="2:17" ht="15" thickBot="1" x14ac:dyDescent="0.35">
      <c r="B26" s="1"/>
      <c r="C26" s="5" t="s">
        <v>198</v>
      </c>
      <c r="D26" s="5"/>
      <c r="E26" s="5">
        <f ca="1">SUM(E21:E25)</f>
        <v>477773527.82836705</v>
      </c>
      <c r="F26" s="5">
        <f ca="1">SUM(F21:F25)</f>
        <v>1333520.2817352586</v>
      </c>
      <c r="G26" s="15">
        <f t="shared" ca="1" si="6"/>
        <v>7.8512985943634872E-2</v>
      </c>
      <c r="I26" s="5">
        <f ca="1">SUM(I21:I25)</f>
        <v>3972826691.1343999</v>
      </c>
      <c r="J26" s="5">
        <f ca="1">SUM(J21:J25)</f>
        <v>897175.09591363429</v>
      </c>
      <c r="K26" s="15">
        <f t="shared" ca="1" si="7"/>
        <v>5.2822515457197024E-2</v>
      </c>
      <c r="M26" s="5">
        <f ca="1">SUM(OFFSET(Budget!D22,MATCH(PL!$F$2,Budget!$A$2:$A$186,0)-1,0,1,Data!$Z$1))</f>
        <v>3722240392.933639</v>
      </c>
      <c r="N26" s="5">
        <f ca="1">SUM(N21:N25)</f>
        <v>4336455887.9856329</v>
      </c>
      <c r="O26" s="5">
        <f ca="1">SUM(O21:O25)</f>
        <v>4085869589.7848721</v>
      </c>
      <c r="P26" s="5">
        <f t="shared" ca="1" si="3"/>
        <v>250586298.20076084</v>
      </c>
      <c r="Q26" s="15">
        <f t="shared" ca="1" si="5"/>
        <v>6.1329979504792423E-2</v>
      </c>
    </row>
    <row r="27" spans="2:17" x14ac:dyDescent="0.3">
      <c r="E27" s="2"/>
      <c r="F27" s="2"/>
      <c r="G27" s="40"/>
      <c r="I27" s="2"/>
      <c r="J27" s="2"/>
      <c r="K27" s="40"/>
      <c r="M27" s="2">
        <f ca="1">SUM(OFFSET(Budget!D23,MATCH(PL!$F$2,Budget!$A$2:$A$186,0)-1,0,1,Data!$Z$1))</f>
        <v>0</v>
      </c>
      <c r="N27" s="2">
        <f t="shared" ca="1" si="2"/>
        <v>0</v>
      </c>
      <c r="O27" s="2">
        <f ca="1">SUM(OFFSET(Budget!D23,MATCH(PL!$F$2,Budget!$A$2:$A$186,0)-1,0,1,12))</f>
        <v>0</v>
      </c>
      <c r="P27" s="2">
        <f t="shared" ca="1" si="3"/>
        <v>0</v>
      </c>
    </row>
    <row r="28" spans="2:17" x14ac:dyDescent="0.3">
      <c r="B28" s="4" t="s">
        <v>148</v>
      </c>
      <c r="E28" s="2"/>
      <c r="F28" s="2"/>
      <c r="G28" s="40"/>
      <c r="I28" s="2"/>
      <c r="J28" s="2"/>
      <c r="K28" s="40"/>
      <c r="M28" s="2">
        <f ca="1">SUM(OFFSET(Budget!D24,MATCH(PL!$F$2,Budget!$A$2:$A$186,0)-1,0,1,Data!$Z$1))</f>
        <v>0</v>
      </c>
      <c r="N28" s="2">
        <f t="shared" ca="1" si="2"/>
        <v>0</v>
      </c>
      <c r="O28" s="2">
        <f ca="1">SUM(OFFSET(Budget!D24,MATCH(PL!$F$2,Budget!$A$2:$A$186,0)-1,0,1,12))</f>
        <v>0</v>
      </c>
      <c r="P28" s="2">
        <f t="shared" ca="1" si="3"/>
        <v>0</v>
      </c>
    </row>
    <row r="29" spans="2:17" x14ac:dyDescent="0.3">
      <c r="C29" t="s">
        <v>69</v>
      </c>
      <c r="D29" t="s">
        <v>162</v>
      </c>
      <c r="E29" s="2">
        <f ca="1">VLOOKUP(D29,COGS!$D$11:$F$34,2,0)</f>
        <v>15128111.240358531</v>
      </c>
      <c r="F29" s="2">
        <f ca="1">VLOOKUP(D29,COGS!$D$11:$F$34,3,0)</f>
        <v>42224.27989064376</v>
      </c>
      <c r="G29" s="40">
        <f t="shared" ref="G29:G35" ca="1" si="9">F29/$F$8</f>
        <v>2.4860171524503064E-3</v>
      </c>
      <c r="I29" s="2">
        <f ca="1">VLOOKUP(D29,COGS!$D$11:$K$34,6,0)</f>
        <v>568687843.0589534</v>
      </c>
      <c r="J29" s="2">
        <f ca="1">VLOOKUP(D29,COGS!$D$11:$K$34,7,0)</f>
        <v>128425.57951996855</v>
      </c>
      <c r="K29" s="40">
        <f t="shared" ref="K29:K35" ca="1" si="10">J29/$F$8</f>
        <v>7.5612466175120595E-3</v>
      </c>
      <c r="M29" s="2">
        <f ca="1">SUM(OFFSET(Budget!D25,MATCH(PL!$F$2,Budget!$A$2:$A$186,0)-1,0,1,Data!$Z$1))</f>
        <v>8704033.2219823692</v>
      </c>
      <c r="N29" s="2">
        <f t="shared" ca="1" si="2"/>
        <v>569538148.32561064</v>
      </c>
      <c r="O29" s="2">
        <f ca="1">SUM(OFFSET(Budget!D25,MATCH(PL!$F$2,Budget!$A$2:$A$186,0)-1,0,1,12))</f>
        <v>9554338.4886396416</v>
      </c>
      <c r="P29" s="2">
        <f t="shared" ca="1" si="3"/>
        <v>559983809.83697104</v>
      </c>
      <c r="Q29" s="40">
        <f t="shared" ref="Q29:Q32" ca="1" si="11">IFERROR(P29/O29,"")</f>
        <v>58.610421904437075</v>
      </c>
    </row>
    <row r="30" spans="2:17" x14ac:dyDescent="0.3">
      <c r="C30" t="s">
        <v>111</v>
      </c>
      <c r="D30" t="s">
        <v>163</v>
      </c>
      <c r="E30" s="2">
        <f ca="1">VLOOKUP(D30,COGS!$D$11:$F$34,2,0)</f>
        <v>1055786.2605498696</v>
      </c>
      <c r="F30" s="2">
        <f ca="1">VLOOKUP(D30,COGS!$D$11:$F$34,3,0)</f>
        <v>2946.8195904869158</v>
      </c>
      <c r="G30" s="40">
        <f t="shared" ca="1" si="9"/>
        <v>1.7349837738145422E-4</v>
      </c>
      <c r="I30" s="2">
        <f ca="1">VLOOKUP(D30,COGS!$D$11:$K$34,6,0)</f>
        <v>15205067.422866134</v>
      </c>
      <c r="J30" s="2">
        <f ca="1">VLOOKUP(D30,COGS!$D$11:$K$34,7,0)</f>
        <v>3433.7283964400626</v>
      </c>
      <c r="K30" s="40">
        <f t="shared" ca="1" si="10"/>
        <v>2.0216585605518388E-4</v>
      </c>
      <c r="M30" s="2">
        <f ca="1">SUM(OFFSET(Budget!D26,MATCH(PL!$F$2,Budget!$A$2:$A$186,0)-1,0,1,Data!$Z$1))</f>
        <v>32270895.901436176</v>
      </c>
      <c r="N30" s="2">
        <f t="shared" ca="1" si="2"/>
        <v>18357641.872540645</v>
      </c>
      <c r="O30" s="2">
        <f ca="1">SUM(OFFSET(Budget!D26,MATCH(PL!$F$2,Budget!$A$2:$A$186,0)-1,0,1,12))</f>
        <v>35423470.351110689</v>
      </c>
      <c r="P30" s="2">
        <f t="shared" ca="1" si="3"/>
        <v>-17065828.478570044</v>
      </c>
      <c r="Q30" s="40">
        <f t="shared" ca="1" si="11"/>
        <v>-0.48176613723660622</v>
      </c>
    </row>
    <row r="31" spans="2:17" x14ac:dyDescent="0.3">
      <c r="C31" t="s">
        <v>122</v>
      </c>
      <c r="D31" t="s">
        <v>164</v>
      </c>
      <c r="E31" s="2">
        <f ca="1">VLOOKUP(D31,COGS!$D$11:$F$34,2,0)</f>
        <v>18684665.648740645</v>
      </c>
      <c r="F31" s="2">
        <f ca="1">VLOOKUP(D31,COGS!$D$11:$F$34,3,0)</f>
        <v>52151.0279426544</v>
      </c>
      <c r="G31" s="40">
        <f t="shared" ca="1" si="9"/>
        <v>3.0704691783762571E-3</v>
      </c>
      <c r="I31" s="2">
        <f ca="1">VLOOKUP(D31,COGS!$D$11:$K$34,6,0)</f>
        <v>84053734.800439954</v>
      </c>
      <c r="J31" s="2">
        <f ca="1">VLOOKUP(D31,COGS!$D$11:$K$34,7,0)</f>
        <v>18981.678146134054</v>
      </c>
      <c r="K31" s="40">
        <f t="shared" ca="1" si="10"/>
        <v>1.1175744755338429E-3</v>
      </c>
      <c r="M31" s="2">
        <f ca="1">SUM(OFFSET(Budget!D27,MATCH(PL!$F$2,Budget!$A$2:$A$186,0)-1,0,1,Data!$Z$1))</f>
        <v>1162342.1396128379</v>
      </c>
      <c r="N31" s="2">
        <f t="shared" ca="1" si="2"/>
        <v>84167285.107264876</v>
      </c>
      <c r="O31" s="2">
        <f ca="1">SUM(OFFSET(Budget!D27,MATCH(PL!$F$2,Budget!$A$2:$A$186,0)-1,0,1,12))</f>
        <v>1275892.4464377675</v>
      </c>
      <c r="P31" s="2">
        <f t="shared" ca="1" si="3"/>
        <v>82891392.660827115</v>
      </c>
      <c r="Q31" s="40">
        <f t="shared" ca="1" si="11"/>
        <v>64.967382550352141</v>
      </c>
    </row>
    <row r="32" spans="2:17" x14ac:dyDescent="0.3">
      <c r="C32" t="s">
        <v>127</v>
      </c>
      <c r="D32" t="s">
        <v>165</v>
      </c>
      <c r="E32" s="2">
        <f ca="1">VLOOKUP(D32,COGS!$D$11:$F$34,2,0)</f>
        <v>46270549.456316687</v>
      </c>
      <c r="F32" s="2">
        <f ca="1">VLOOKUP(D32,COGS!$D$11:$F$34,3,0)</f>
        <v>129146.36863095193</v>
      </c>
      <c r="G32" s="40">
        <f t="shared" ca="1" si="9"/>
        <v>7.6036841462951404E-3</v>
      </c>
      <c r="I32" s="2">
        <f ca="1">VLOOKUP(D32,COGS!$D$11:$K$34,6,0)</f>
        <v>878581793.22303021</v>
      </c>
      <c r="J32" s="2">
        <f ca="1">VLOOKUP(D32,COGS!$D$11:$K$34,7,0)</f>
        <v>198408.27850906597</v>
      </c>
      <c r="K32" s="40">
        <f t="shared" ca="1" si="10"/>
        <v>1.168158189646169E-2</v>
      </c>
      <c r="M32" s="2">
        <f ca="1">SUM(OFFSET(Budget!D28,MATCH(PL!$F$2,Budget!$A$2:$A$186,0)-1,0,1,Data!$Z$1))</f>
        <v>701829427.30575156</v>
      </c>
      <c r="N32" s="2">
        <f t="shared" ca="1" si="2"/>
        <v>947144176.09927809</v>
      </c>
      <c r="O32" s="2">
        <f ca="1">SUM(OFFSET(Budget!D28,MATCH(PL!$F$2,Budget!$A$2:$A$186,0)-1,0,1,12))</f>
        <v>770391810.18199944</v>
      </c>
      <c r="P32" s="2">
        <f t="shared" ca="1" si="3"/>
        <v>176752365.91727865</v>
      </c>
      <c r="Q32" s="40">
        <f t="shared" ca="1" si="11"/>
        <v>0.22943178208958659</v>
      </c>
    </row>
    <row r="33" spans="2:17" ht="15" thickBot="1" x14ac:dyDescent="0.35">
      <c r="B33" s="1"/>
      <c r="C33" s="5" t="s">
        <v>199</v>
      </c>
      <c r="D33" s="5"/>
      <c r="E33" s="5">
        <f ca="1">SUM(E29:E32)</f>
        <v>81139112.605965734</v>
      </c>
      <c r="F33" s="5">
        <f ca="1">SUM(F29:F32)</f>
        <v>226468.49605473701</v>
      </c>
      <c r="G33" s="15">
        <f t="shared" ca="1" si="9"/>
        <v>1.3333668854503159E-2</v>
      </c>
      <c r="I33" s="5">
        <f ca="1">SUM(I29:I32)</f>
        <v>1546528438.5052896</v>
      </c>
      <c r="J33" s="5">
        <f ca="1">SUM(J29:J32)</f>
        <v>349249.26457160863</v>
      </c>
      <c r="K33" s="15">
        <f t="shared" ca="1" si="10"/>
        <v>2.0562568845562776E-2</v>
      </c>
      <c r="M33" s="5">
        <f ca="1">SUM(OFFSET(Budget!D29,MATCH(PL!$F$2,Budget!$A$2:$A$186,0)-1,0,1,Data!$Z$1))</f>
        <v>743966698.56878304</v>
      </c>
      <c r="N33" s="5">
        <f ca="1">SUM(N29:N32)</f>
        <v>1619207251.4046941</v>
      </c>
      <c r="O33" s="5">
        <f ca="1">SUM(O29:O32)</f>
        <v>816645511.46818757</v>
      </c>
      <c r="P33" s="5">
        <f t="shared" ca="1" si="3"/>
        <v>802561739.93650651</v>
      </c>
      <c r="Q33" s="15">
        <f t="shared" ca="1" si="5"/>
        <v>0.98275411872850327</v>
      </c>
    </row>
    <row r="34" spans="2:17" x14ac:dyDescent="0.3">
      <c r="E34" s="2"/>
      <c r="F34" s="2"/>
      <c r="G34" s="40">
        <f t="shared" ca="1" si="9"/>
        <v>0</v>
      </c>
      <c r="I34" s="2"/>
      <c r="J34" s="2"/>
      <c r="K34" s="40">
        <f t="shared" ca="1" si="10"/>
        <v>0</v>
      </c>
      <c r="M34" s="2">
        <f ca="1">SUM(OFFSET(Budget!D30,MATCH(PL!$F$2,Budget!$A$2:$A$186,0)-1,0,1,Data!$Z$1))</f>
        <v>0</v>
      </c>
      <c r="N34" s="2">
        <f t="shared" ca="1" si="2"/>
        <v>0</v>
      </c>
      <c r="O34" s="2">
        <f ca="1">SUM(OFFSET(Budget!D30,MATCH(PL!$F$2,Budget!$A$2:$A$186,0)-1,0,1,12))</f>
        <v>0</v>
      </c>
      <c r="P34" s="2">
        <f t="shared" ca="1" si="3"/>
        <v>0</v>
      </c>
    </row>
    <row r="35" spans="2:17" x14ac:dyDescent="0.3">
      <c r="B35" s="4" t="s">
        <v>149</v>
      </c>
      <c r="E35" s="30">
        <f ca="1">E8-E17-E26-E33</f>
        <v>941081160.53415215</v>
      </c>
      <c r="F35" s="30">
        <f ca="1">F8-F17-F26-F33</f>
        <v>2626664.6041177693</v>
      </c>
      <c r="G35" s="17">
        <f t="shared" ca="1" si="9"/>
        <v>0.15464877734996729</v>
      </c>
      <c r="I35" s="30">
        <f ca="1">I8-I17-I26-I33</f>
        <v>-15874380190.863459</v>
      </c>
      <c r="J35" s="30">
        <f ca="1">J8-J17-J26-J33</f>
        <v>-3584877.891122086</v>
      </c>
      <c r="K35" s="17">
        <f t="shared" ca="1" si="10"/>
        <v>-0.21106500690717908</v>
      </c>
      <c r="M35" s="30">
        <f ca="1">SUM(OFFSET(Budget!D31,MATCH(PL!$F$2,Budget!$A$2:$A$186,0)-1,0,1,Data!$Z$1))</f>
        <v>32781126855.397469</v>
      </c>
      <c r="N35" s="30">
        <f ca="1">N8-N17-N26-N33</f>
        <v>-12671960795.024315</v>
      </c>
      <c r="O35" s="30">
        <f ca="1">O8-O17-O26-O33</f>
        <v>35983546251.23661</v>
      </c>
      <c r="P35" s="30">
        <f t="shared" ca="1" si="3"/>
        <v>-48655507046.260925</v>
      </c>
      <c r="Q35" s="17">
        <f t="shared" ca="1" si="5"/>
        <v>-1.3521598651380513</v>
      </c>
    </row>
    <row r="36" spans="2:17" x14ac:dyDescent="0.3">
      <c r="E36" s="2"/>
      <c r="F36" s="2"/>
      <c r="G36" s="2"/>
    </row>
    <row r="39" spans="2:17" x14ac:dyDescent="0.3">
      <c r="B39" s="4" t="s">
        <v>210</v>
      </c>
    </row>
    <row r="41" spans="2:17" x14ac:dyDescent="0.3">
      <c r="E41" t="s">
        <v>201</v>
      </c>
      <c r="F41" t="s">
        <v>202</v>
      </c>
      <c r="I41" t="s">
        <v>201</v>
      </c>
      <c r="J41" t="s">
        <v>202</v>
      </c>
    </row>
    <row r="42" spans="2:17" x14ac:dyDescent="0.3">
      <c r="C42" s="31" t="s">
        <v>132</v>
      </c>
      <c r="D42" s="31"/>
      <c r="E42" s="31">
        <f>E6</f>
        <v>358.27991097867567</v>
      </c>
      <c r="F42" s="31"/>
      <c r="I42" s="31">
        <f ca="1">I6</f>
        <v>4428.150880724892</v>
      </c>
      <c r="J42" s="31"/>
    </row>
    <row r="43" spans="2:17" ht="15" thickBot="1" x14ac:dyDescent="0.35">
      <c r="C43" s="3" t="s">
        <v>133</v>
      </c>
      <c r="D43" s="3"/>
      <c r="E43" s="3">
        <f ca="1">E7</f>
        <v>16984709.799377698</v>
      </c>
      <c r="F43" s="3"/>
      <c r="I43" s="3">
        <f ca="1">I7</f>
        <v>16864399.935614362</v>
      </c>
      <c r="J43" s="3"/>
    </row>
    <row r="44" spans="2:17" x14ac:dyDescent="0.3">
      <c r="C44" s="33" t="s">
        <v>134</v>
      </c>
      <c r="D44" s="31"/>
      <c r="E44" s="31">
        <f ca="1">E42*E43</f>
        <v>6085280314.9196825</v>
      </c>
      <c r="F44" s="31">
        <f ca="1">E44/E42</f>
        <v>16984709.799377698</v>
      </c>
      <c r="I44" s="31">
        <f ca="1">I42*I43</f>
        <v>74678107427.787552</v>
      </c>
      <c r="J44" s="31">
        <f ca="1">I44/I42</f>
        <v>16864399.935614362</v>
      </c>
    </row>
    <row r="45" spans="2:17" ht="15" thickBot="1" x14ac:dyDescent="0.35">
      <c r="C45" s="3" t="s">
        <v>211</v>
      </c>
      <c r="D45" s="3"/>
      <c r="E45" s="3">
        <f ca="1">E17</f>
        <v>4585286513.9511976</v>
      </c>
      <c r="F45" s="3">
        <f ca="1">E45/$E$42</f>
        <v>12798056.417469935</v>
      </c>
      <c r="I45" s="3">
        <f ca="1">I17</f>
        <v>85033132489.011322</v>
      </c>
      <c r="J45" s="3">
        <f ca="1">I45/$E$42</f>
        <v>237337148.64652956</v>
      </c>
    </row>
    <row r="46" spans="2:17" x14ac:dyDescent="0.3">
      <c r="C46" s="33" t="s">
        <v>142</v>
      </c>
      <c r="D46" s="33"/>
      <c r="E46" s="33">
        <f ca="1">E44-E45</f>
        <v>1499993800.9684849</v>
      </c>
      <c r="F46" s="33">
        <f ca="1">E46/$E$42</f>
        <v>4186653.3819077634</v>
      </c>
      <c r="I46" s="33">
        <f ca="1">I44-I45</f>
        <v>-10355025061.22377</v>
      </c>
      <c r="J46" s="33">
        <f ca="1">I46/$E$42</f>
        <v>-28902053.23803401</v>
      </c>
    </row>
    <row r="47" spans="2:17" x14ac:dyDescent="0.3">
      <c r="C47" s="34" t="s">
        <v>212</v>
      </c>
      <c r="E47" s="32">
        <f ca="1">E46/E44</f>
        <v>0.24649543214810521</v>
      </c>
      <c r="I47" s="32">
        <f ca="1">I46/I44</f>
        <v>-0.13866212492378574</v>
      </c>
    </row>
    <row r="49" spans="3:10" ht="15" thickBot="1" x14ac:dyDescent="0.35">
      <c r="C49" s="1" t="s">
        <v>213</v>
      </c>
      <c r="D49" s="1"/>
      <c r="E49" s="35">
        <f ca="1">E26+E33</f>
        <v>558912640.43433285</v>
      </c>
      <c r="F49" s="3"/>
      <c r="I49" s="35">
        <f ca="1">I26+I33</f>
        <v>5519355129.6396894</v>
      </c>
      <c r="J49" s="3"/>
    </row>
    <row r="50" spans="3:10" x14ac:dyDescent="0.3">
      <c r="C50" s="4" t="s">
        <v>149</v>
      </c>
      <c r="D50" s="4"/>
      <c r="E50" s="16">
        <f ca="1">E46-E49</f>
        <v>941081160.53415203</v>
      </c>
      <c r="F50" s="33">
        <f ca="1">E50/$E$42</f>
        <v>2626664.6041177674</v>
      </c>
      <c r="I50" s="16">
        <f ca="1">I46-I49</f>
        <v>-15874380190.863461</v>
      </c>
      <c r="J50" s="33">
        <f ca="1">I50/$E$42</f>
        <v>-44307201.449004158</v>
      </c>
    </row>
    <row r="51" spans="3:10" x14ac:dyDescent="0.3">
      <c r="F51" s="31"/>
    </row>
  </sheetData>
  <mergeCells count="2">
    <mergeCell ref="E4:G4"/>
    <mergeCell ref="I4:K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E676F1-3EFD-45A1-A0C4-B4E2C4B14717}">
          <x14:formula1>
            <xm:f>Volume!$B$1:$G$1</xm:f>
          </x14:formula1>
          <xm:sqref>F2</xm:sqref>
        </x14:dataValidation>
        <x14:dataValidation type="list" allowBlank="1" showInputMessage="1" showErrorMessage="1" xr:uid="{0BF9CAA1-02FC-4F64-A0F1-0669B92DAE93}">
          <x14:formula1>
            <xm:f>Volume!$A$2:$A$13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AD6B-F081-4D2F-8B06-3376A213BBCA}">
  <dimension ref="B2:K33"/>
  <sheetViews>
    <sheetView showGridLines="0" zoomScale="112" zoomScaleNormal="112" workbookViewId="0">
      <selection activeCell="I11" sqref="I11"/>
    </sheetView>
  </sheetViews>
  <sheetFormatPr defaultRowHeight="14.4" x14ac:dyDescent="0.3"/>
  <cols>
    <col min="1" max="1" width="4.5546875" customWidth="1"/>
    <col min="2" max="2" width="2.5546875" customWidth="1"/>
    <col min="3" max="3" width="35.44140625" customWidth="1"/>
    <col min="5" max="5" width="16.6640625" bestFit="1" customWidth="1"/>
    <col min="6" max="6" width="14.109375" bestFit="1" customWidth="1"/>
    <col min="7" max="7" width="9" bestFit="1" customWidth="1"/>
    <col min="8" max="8" width="2.109375" customWidth="1"/>
    <col min="9" max="9" width="19.77734375" customWidth="1"/>
    <col min="10" max="10" width="12.5546875" customWidth="1"/>
    <col min="11" max="11" width="10.6640625" customWidth="1"/>
  </cols>
  <sheetData>
    <row r="2" spans="2:11" s="38" customFormat="1" ht="20.399999999999999" customHeight="1" x14ac:dyDescent="0.3">
      <c r="D2" s="47" t="s">
        <v>215</v>
      </c>
      <c r="E2" s="47"/>
      <c r="F2" s="47"/>
      <c r="G2" s="47"/>
      <c r="I2" s="47" t="s">
        <v>216</v>
      </c>
      <c r="J2" s="47"/>
      <c r="K2" s="47"/>
    </row>
    <row r="4" spans="2:11" x14ac:dyDescent="0.3">
      <c r="D4" t="s">
        <v>150</v>
      </c>
      <c r="E4" s="9" t="str">
        <f>PL!E2</f>
        <v>T11</v>
      </c>
      <c r="F4" s="10" t="str">
        <f>PL!F2</f>
        <v>Nhóm thơm</v>
      </c>
    </row>
    <row r="5" spans="2:11" x14ac:dyDescent="0.3">
      <c r="E5" s="12"/>
    </row>
    <row r="6" spans="2:11" x14ac:dyDescent="0.3">
      <c r="E6" s="13" t="s">
        <v>196</v>
      </c>
      <c r="F6" s="13" t="s">
        <v>203</v>
      </c>
      <c r="G6" s="4" t="s">
        <v>200</v>
      </c>
      <c r="I6" s="39" t="s">
        <v>196</v>
      </c>
      <c r="J6" s="13" t="s">
        <v>203</v>
      </c>
      <c r="K6" s="39" t="s">
        <v>200</v>
      </c>
    </row>
    <row r="7" spans="2:11" ht="6.6" customHeight="1" x14ac:dyDescent="0.3">
      <c r="E7" s="13"/>
      <c r="F7" s="13"/>
      <c r="G7" s="4"/>
      <c r="I7" s="39"/>
      <c r="J7" s="13"/>
      <c r="K7" s="39"/>
    </row>
    <row r="8" spans="2:11" x14ac:dyDescent="0.3">
      <c r="B8" s="4" t="s">
        <v>167</v>
      </c>
      <c r="E8" s="11">
        <f>VLOOKUP($E$4,Volume!$A$1:$G$13,MATCH(COGS!$F$4,Volume!$A$1:$G$1,0),0)</f>
        <v>358.27991097867567</v>
      </c>
      <c r="I8" s="7">
        <f ca="1">SUM(OFFSET(Volume!A2,0,MATCH(COGS!$F$4,Volume!$B$1:$G$1,0),Data!$Z$1,1))</f>
        <v>4428.150880724892</v>
      </c>
    </row>
    <row r="10" spans="2:11" x14ac:dyDescent="0.3">
      <c r="B10" s="4" t="s">
        <v>135</v>
      </c>
    </row>
    <row r="11" spans="2:11" x14ac:dyDescent="0.3">
      <c r="C11" t="s">
        <v>137</v>
      </c>
      <c r="D11" t="s">
        <v>151</v>
      </c>
      <c r="E11" s="2">
        <f ca="1">SUMIF(Data!$E:$E,COGS!$D11,OFFSET(Data!$R:$R,0,IFERROR(MATCH(COGS!$F$4,Data!$S$1:$X$1,0),1)))</f>
        <v>4071197931.2716551</v>
      </c>
      <c r="F11" s="2">
        <f ca="1">E11/$E$8</f>
        <v>11363176.685376499</v>
      </c>
      <c r="G11" s="14">
        <f ca="1">F11/$F$33</f>
        <v>0.7914153027689218</v>
      </c>
      <c r="I11" s="2">
        <f ca="1">SUMIF(Data!$E:$E,COGS!$D11,OFFSET(Data!$Z:$Z,0,IFERROR(MATCH(COGS!$F$4,Data!$S$1:$X$1,0),1)))</f>
        <v>77005599870.785583</v>
      </c>
      <c r="J11" s="2">
        <f ca="1">I11/$I$8</f>
        <v>17390012.658778172</v>
      </c>
      <c r="K11" s="14">
        <f ca="1">J11/$J$33</f>
        <v>0.85039739819278937</v>
      </c>
    </row>
    <row r="12" spans="2:11" x14ac:dyDescent="0.3">
      <c r="C12" t="s">
        <v>136</v>
      </c>
      <c r="D12" t="s">
        <v>152</v>
      </c>
      <c r="E12" s="2">
        <f ca="1">SUMIF(Data!$E:$E,COGS!$D12,OFFSET(Data!$R:$R,0,IFERROR(MATCH(COGS!$F$4,Data!$S$1:$X$1,0),1)))</f>
        <v>80752020.50926286</v>
      </c>
      <c r="F12" s="2">
        <f ca="1">E12/$E$8</f>
        <v>225388.07796585924</v>
      </c>
      <c r="G12" s="14">
        <f ca="1">F12/$F$33</f>
        <v>1.5697685506677984E-2</v>
      </c>
      <c r="I12" s="2">
        <f ca="1">SUMIF(Data!$E:$E,COGS!$D12,OFFSET(Data!$Z:$Z,0,IFERROR(MATCH(COGS!$F$4,Data!$S$1:$X$1,0),1)))</f>
        <v>1770988227.892015</v>
      </c>
      <c r="J12" s="2">
        <f t="shared" ref="J12:J15" ca="1" si="0">I12/$I$8</f>
        <v>399938.54671955144</v>
      </c>
      <c r="K12" s="14">
        <f t="shared" ref="K12:K33" ca="1" si="1">J12/$J$33</f>
        <v>1.9557587808634057E-2</v>
      </c>
    </row>
    <row r="13" spans="2:11" x14ac:dyDescent="0.3">
      <c r="C13" t="s">
        <v>138</v>
      </c>
      <c r="D13" t="s">
        <v>153</v>
      </c>
      <c r="E13" s="2">
        <f ca="1">SUMIF(Data!$E:$E,COGS!$D13,OFFSET(Data!$R:$R,0,IFERROR(MATCH(COGS!$F$4,Data!$S$1:$X$1,0),1)))</f>
        <v>114857922.85642853</v>
      </c>
      <c r="F13" s="2">
        <f ca="1">E13/$E$8</f>
        <v>320581.53230719297</v>
      </c>
      <c r="G13" s="14">
        <f ca="1">F13/$F$33</f>
        <v>2.2327658671323008E-2</v>
      </c>
      <c r="I13" s="2">
        <f ca="1">SUMIF(Data!$E:$E,COGS!$D13,OFFSET(Data!$Z:$Z,0,IFERROR(MATCH(COGS!$F$4,Data!$S$1:$X$1,0),1)))</f>
        <v>1704581304.7962492</v>
      </c>
      <c r="J13" s="2">
        <f t="shared" ca="1" si="0"/>
        <v>384942.01094548247</v>
      </c>
      <c r="K13" s="14">
        <f t="shared" ca="1" si="1"/>
        <v>1.8824234978224479E-2</v>
      </c>
    </row>
    <row r="14" spans="2:11" x14ac:dyDescent="0.3">
      <c r="C14" t="s">
        <v>139</v>
      </c>
      <c r="D14" t="s">
        <v>154</v>
      </c>
      <c r="E14" s="2">
        <f ca="1">SUMIF(Data!$E:$E,COGS!$D14,OFFSET(Data!$R:$R,0,IFERROR(MATCH(COGS!$F$4,Data!$S$1:$X$1,0),1)))</f>
        <v>0</v>
      </c>
      <c r="F14" s="2">
        <f ca="1">E14/$E$8</f>
        <v>0</v>
      </c>
      <c r="G14" s="14">
        <f ca="1">F14/$F$33</f>
        <v>0</v>
      </c>
      <c r="I14" s="2">
        <f ca="1">SUMIF(Data!$E:$E,COGS!$D14,OFFSET(Data!$Z:$Z,0,IFERROR(MATCH(COGS!$F$4,Data!$S$1:$X$1,0),1)))</f>
        <v>0</v>
      </c>
      <c r="J14" s="2">
        <f t="shared" ca="1" si="0"/>
        <v>0</v>
      </c>
      <c r="K14" s="14">
        <f t="shared" ca="1" si="1"/>
        <v>0</v>
      </c>
    </row>
    <row r="15" spans="2:11" x14ac:dyDescent="0.3">
      <c r="C15" t="s">
        <v>140</v>
      </c>
      <c r="D15" t="s">
        <v>155</v>
      </c>
      <c r="E15" s="2">
        <f ca="1">SUMIF(Data!$E:$E,COGS!$D15,OFFSET(Data!$R:$R,0,IFERROR(MATCH(COGS!$F$4,Data!$S$1:$X$1,0),1)))</f>
        <v>318478639.31385064</v>
      </c>
      <c r="F15" s="2">
        <f ca="1">E15/$E$8</f>
        <v>888910.12182038324</v>
      </c>
      <c r="G15" s="14">
        <f ca="1">F15/$F$33</f>
        <v>6.191024681506381E-2</v>
      </c>
      <c r="I15" s="2">
        <f ca="1">SUMIF(Data!$E:$E,COGS!$D15,OFFSET(Data!$Z:$Z,0,IFERROR(MATCH(COGS!$F$4,Data!$S$1:$X$1,0),1)))</f>
        <v>4551963085.5374718</v>
      </c>
      <c r="J15" s="2">
        <f t="shared" ca="1" si="0"/>
        <v>1027960.2498079992</v>
      </c>
      <c r="K15" s="14">
        <f t="shared" ca="1" si="1"/>
        <v>5.0268780077113072E-2</v>
      </c>
    </row>
    <row r="16" spans="2:11" ht="15" thickBot="1" x14ac:dyDescent="0.35">
      <c r="B16" s="1"/>
      <c r="C16" s="5" t="s">
        <v>197</v>
      </c>
      <c r="D16" s="5"/>
      <c r="E16" s="5">
        <f ca="1">SUM(E11:E15)</f>
        <v>4585286513.9511976</v>
      </c>
      <c r="F16" s="5">
        <f t="shared" ref="F16" ca="1" si="2">SUM(F11:F15)</f>
        <v>12798056.417469934</v>
      </c>
      <c r="G16" s="15">
        <f ca="1">SUM(G11:G15)</f>
        <v>0.89135089376198662</v>
      </c>
      <c r="I16" s="5">
        <f ca="1">SUM(I11:I15)</f>
        <v>85033132489.011322</v>
      </c>
      <c r="J16" s="5">
        <f ca="1">SUM(J11:J15)</f>
        <v>19202853.466251206</v>
      </c>
      <c r="K16" s="15">
        <f t="shared" ca="1" si="1"/>
        <v>0.93904800105676101</v>
      </c>
    </row>
    <row r="17" spans="2:11" x14ac:dyDescent="0.3">
      <c r="E17" s="2"/>
      <c r="F17" s="2"/>
      <c r="G17" s="14"/>
      <c r="J17" s="2"/>
      <c r="K17" s="14"/>
    </row>
    <row r="18" spans="2:11" x14ac:dyDescent="0.3">
      <c r="B18" s="4" t="s">
        <v>143</v>
      </c>
      <c r="E18" s="2"/>
      <c r="F18" s="2"/>
      <c r="G18" s="14"/>
      <c r="J18" s="2"/>
      <c r="K18" s="14"/>
    </row>
    <row r="19" spans="2:11" x14ac:dyDescent="0.3">
      <c r="C19" t="s">
        <v>138</v>
      </c>
      <c r="D19" t="s">
        <v>157</v>
      </c>
      <c r="E19" s="2">
        <f ca="1">SUMIF(Data!$E:$E,COGS!$D19,OFFSET(Data!$R:$R,0,IFERROR(MATCH(COGS!$F$4,Data!$S$1:$X$1,0),1)))</f>
        <v>322310432.70055407</v>
      </c>
      <c r="F19" s="2">
        <f ca="1">E19/$E$8</f>
        <v>899605.09318016865</v>
      </c>
      <c r="G19" s="14">
        <f ca="1">F19/$F$33</f>
        <v>6.265512337829654E-2</v>
      </c>
      <c r="I19" s="2">
        <f ca="1">SUMIF(Data!$E:$E,COGS!$D19,OFFSET(Data!$Z:$Z,0,IFERROR(MATCH(COGS!$F$4,Data!$S$1:$X$1,0),1)))</f>
        <v>2812699002.2500057</v>
      </c>
      <c r="J19" s="2">
        <f t="shared" ref="J19:J23" ca="1" si="3">I19/$I$8</f>
        <v>635185.89994150435</v>
      </c>
      <c r="K19" s="14">
        <f t="shared" ca="1" si="1"/>
        <v>3.1061532114891086E-2</v>
      </c>
    </row>
    <row r="20" spans="2:11" x14ac:dyDescent="0.3">
      <c r="C20" t="s">
        <v>144</v>
      </c>
      <c r="D20" t="s">
        <v>158</v>
      </c>
      <c r="E20" s="2">
        <f ca="1">SUMIF(Data!$E:$E,COGS!$D20,OFFSET(Data!$R:$R,0,IFERROR(MATCH(COGS!$F$4,Data!$S$1:$X$1,0),1)))</f>
        <v>46600681.007648617</v>
      </c>
      <c r="F20" s="2">
        <f ca="1">E20/$E$8</f>
        <v>130067.80335619272</v>
      </c>
      <c r="G20" s="14">
        <f ca="1">F20/$F$33</f>
        <v>9.0588796446421857E-3</v>
      </c>
      <c r="I20" s="2">
        <f ca="1">SUMIF(Data!$E:$E,COGS!$D20,OFFSET(Data!$Z:$Z,0,IFERROR(MATCH(COGS!$F$4,Data!$S$1:$X$1,0),1)))</f>
        <v>269408647.23689783</v>
      </c>
      <c r="J20" s="2">
        <f t="shared" ca="1" si="3"/>
        <v>60839.988178721542</v>
      </c>
      <c r="K20" s="14">
        <f t="shared" ca="1" si="1"/>
        <v>2.975165611920837E-3</v>
      </c>
    </row>
    <row r="21" spans="2:11" x14ac:dyDescent="0.3">
      <c r="C21" t="s">
        <v>145</v>
      </c>
      <c r="D21" t="s">
        <v>159</v>
      </c>
      <c r="E21" s="2">
        <f ca="1">SUMIF(Data!$E:$E,COGS!$D21,OFFSET(Data!$R:$R,0,IFERROR(MATCH(COGS!$F$4,Data!$S$1:$X$1,0),1)))</f>
        <v>7934805.3755992427</v>
      </c>
      <c r="F21" s="2">
        <f ca="1">E21/$E$8</f>
        <v>22146.944700093754</v>
      </c>
      <c r="G21" s="14">
        <f ca="1">F21/$F$33</f>
        <v>1.5424763189494069E-3</v>
      </c>
      <c r="I21" s="2">
        <f ca="1">SUMIF(Data!$E:$E,COGS!$D21,OFFSET(Data!$Z:$Z,0,IFERROR(MATCH(COGS!$F$4,Data!$S$1:$X$1,0),1)))</f>
        <v>75083208.852369115</v>
      </c>
      <c r="J21" s="2">
        <f t="shared" ca="1" si="3"/>
        <v>16955.883138308498</v>
      </c>
      <c r="K21" s="14">
        <f t="shared" ca="1" si="1"/>
        <v>8.2916782108263484E-4</v>
      </c>
    </row>
    <row r="22" spans="2:11" x14ac:dyDescent="0.3">
      <c r="C22" t="s">
        <v>146</v>
      </c>
      <c r="D22" t="s">
        <v>160</v>
      </c>
      <c r="E22" s="2">
        <f ca="1">SUMIF(Data!$E:$E,COGS!$D22,OFFSET(Data!$R:$R,0,IFERROR(MATCH(COGS!$F$4,Data!$S$1:$X$1,0),1)))</f>
        <v>100927608.74456508</v>
      </c>
      <c r="F22" s="2">
        <f ca="1">E22/$E$8</f>
        <v>281700.44049880363</v>
      </c>
      <c r="G22" s="14">
        <f ca="1">F22/$F$33</f>
        <v>1.9619693117542379E-2</v>
      </c>
      <c r="I22" s="2">
        <f ca="1">SUMIF(Data!$E:$E,COGS!$D22,OFFSET(Data!$Z:$Z,0,IFERROR(MATCH(COGS!$F$4,Data!$S$1:$X$1,0),1)))</f>
        <v>814650268.02448487</v>
      </c>
      <c r="J22" s="2">
        <f t="shared" ca="1" si="3"/>
        <v>183970.75663580955</v>
      </c>
      <c r="K22" s="14">
        <f t="shared" ca="1" si="1"/>
        <v>8.9964427201080239E-3</v>
      </c>
    </row>
    <row r="23" spans="2:11" x14ac:dyDescent="0.3">
      <c r="C23" t="s">
        <v>147</v>
      </c>
      <c r="D23" t="s">
        <v>161</v>
      </c>
      <c r="E23" s="2">
        <f ca="1">SUMIF(Data!$E:$E,COGS!$D23,OFFSET(Data!$R:$R,0,IFERROR(MATCH(COGS!$F$4,Data!$S$1:$X$1,0),1)))</f>
        <v>0</v>
      </c>
      <c r="F23" s="2">
        <f ca="1">E23/$E$8</f>
        <v>0</v>
      </c>
      <c r="G23" s="14">
        <f ca="1">F23/$F$33</f>
        <v>0</v>
      </c>
      <c r="I23" s="2">
        <f ca="1">SUMIF(Data!$E:$E,COGS!$D23,OFFSET(Data!$Z:$Z,0,IFERROR(MATCH(COGS!$F$4,Data!$S$1:$X$1,0),1)))</f>
        <v>985564.77064165194</v>
      </c>
      <c r="J23" s="2">
        <f t="shared" ca="1" si="3"/>
        <v>222.56801929032602</v>
      </c>
      <c r="K23" s="14">
        <f t="shared" ca="1" si="1"/>
        <v>1.0883906080992702E-5</v>
      </c>
    </row>
    <row r="24" spans="2:11" ht="15" thickBot="1" x14ac:dyDescent="0.35">
      <c r="B24" s="1"/>
      <c r="C24" s="5" t="s">
        <v>198</v>
      </c>
      <c r="D24" s="5"/>
      <c r="E24" s="5">
        <f ca="1">SUM(E19:E23)</f>
        <v>477773527.82836705</v>
      </c>
      <c r="F24" s="5">
        <f t="shared" ref="F24:G24" ca="1" si="4">SUM(F19:F23)</f>
        <v>1333520.2817352586</v>
      </c>
      <c r="G24" s="15">
        <f t="shared" ca="1" si="4"/>
        <v>9.2876172459430528E-2</v>
      </c>
      <c r="I24" s="5">
        <f ca="1">SUM(I19:I23)</f>
        <v>3972826691.1343999</v>
      </c>
      <c r="J24" s="5">
        <f t="shared" ref="J24" ca="1" si="5">SUM(J19:J23)</f>
        <v>897175.09591363429</v>
      </c>
      <c r="K24" s="15">
        <f t="shared" ca="1" si="1"/>
        <v>4.3873192174083579E-2</v>
      </c>
    </row>
    <row r="25" spans="2:11" x14ac:dyDescent="0.3">
      <c r="E25" s="2"/>
      <c r="F25" s="2"/>
      <c r="G25" s="14"/>
      <c r="J25" s="2"/>
      <c r="K25" s="14"/>
    </row>
    <row r="26" spans="2:11" x14ac:dyDescent="0.3">
      <c r="B26" s="4" t="s">
        <v>148</v>
      </c>
      <c r="E26" s="2"/>
      <c r="F26" s="2"/>
      <c r="G26" s="14"/>
      <c r="J26" s="2"/>
      <c r="K26" s="14"/>
    </row>
    <row r="27" spans="2:11" x14ac:dyDescent="0.3">
      <c r="C27" t="s">
        <v>69</v>
      </c>
      <c r="D27" t="s">
        <v>162</v>
      </c>
      <c r="E27" s="2">
        <f ca="1">SUMIF(Data!$E:$E,COGS!$D27,OFFSET(Data!$R:$R,0,IFERROR(MATCH(COGS!$F$4,Data!$S$1:$X$1,0),1)))</f>
        <v>15128111.240358531</v>
      </c>
      <c r="F27" s="2">
        <f ca="1">E27/$E$8</f>
        <v>42224.27989064376</v>
      </c>
      <c r="G27" s="14">
        <f ca="1">F27/$F$33</f>
        <v>2.9408097910559169E-3</v>
      </c>
      <c r="I27" s="2">
        <f ca="1">SUMIF(Data!$E:$E,COGS!$D27,OFFSET(Data!$Z:$Z,0,IFERROR(MATCH(COGS!$F$4,Data!$S$1:$X$1,0),1)))</f>
        <v>568687843.0589534</v>
      </c>
      <c r="J27" s="2">
        <f ca="1">I27/$I$8</f>
        <v>128425.57951996855</v>
      </c>
      <c r="K27" s="14">
        <f t="shared" ca="1" si="1"/>
        <v>6.2802012182580982E-3</v>
      </c>
    </row>
    <row r="28" spans="2:11" x14ac:dyDescent="0.3">
      <c r="C28" t="s">
        <v>111</v>
      </c>
      <c r="D28" t="s">
        <v>163</v>
      </c>
      <c r="E28" s="2">
        <f ca="1">SUMIF(Data!$E:$E,COGS!$D28,OFFSET(Data!$R:$R,0,IFERROR(MATCH(COGS!$F$4,Data!$S$1:$X$1,0),1)))</f>
        <v>1055786.2605498696</v>
      </c>
      <c r="F28" s="2">
        <f ca="1">E28/$E$8</f>
        <v>2946.8195904869158</v>
      </c>
      <c r="G28" s="14">
        <f ca="1">F28/$F$33</f>
        <v>2.0523821665220551E-4</v>
      </c>
      <c r="I28" s="2">
        <f ca="1">SUMIF(Data!$E:$E,COGS!$D28,OFFSET(Data!$Z:$Z,0,IFERROR(MATCH(COGS!$F$4,Data!$S$1:$X$1,0),1)))</f>
        <v>15205067.422866134</v>
      </c>
      <c r="J28" s="2">
        <f t="shared" ref="J28:J30" ca="1" si="6">I28/$I$8</f>
        <v>3433.7283964400626</v>
      </c>
      <c r="K28" s="14">
        <f t="shared" ca="1" si="1"/>
        <v>1.6791440878907851E-4</v>
      </c>
    </row>
    <row r="29" spans="2:11" x14ac:dyDescent="0.3">
      <c r="C29" t="s">
        <v>122</v>
      </c>
      <c r="D29" t="s">
        <v>164</v>
      </c>
      <c r="E29" s="2">
        <f ca="1">SUMIF(Data!$E:$E,COGS!$D29,OFFSET(Data!$R:$R,0,IFERROR(MATCH(COGS!$F$4,Data!$S$1:$X$1,0),1)))</f>
        <v>18684665.648740645</v>
      </c>
      <c r="F29" s="2">
        <f ca="1">E29/$E$8</f>
        <v>52151.0279426544</v>
      </c>
      <c r="G29" s="14">
        <f ca="1">F29/$F$33</f>
        <v>3.6321816259410576E-3</v>
      </c>
      <c r="I29" s="2">
        <f ca="1">SUMIF(Data!$E:$E,COGS!$D29,OFFSET(Data!$Z:$Z,0,IFERROR(MATCH(COGS!$F$4,Data!$S$1:$X$1,0),1)))</f>
        <v>84053734.800439954</v>
      </c>
      <c r="J29" s="2">
        <f t="shared" ca="1" si="6"/>
        <v>18981.678146134054</v>
      </c>
      <c r="K29" s="14">
        <f t="shared" ca="1" si="1"/>
        <v>9.2823220002989171E-4</v>
      </c>
    </row>
    <row r="30" spans="2:11" x14ac:dyDescent="0.3">
      <c r="C30" t="s">
        <v>127</v>
      </c>
      <c r="D30" t="s">
        <v>165</v>
      </c>
      <c r="E30" s="2">
        <f ca="1">SUMIF(Data!$E:$E,COGS!$D30,OFFSET(Data!$R:$R,0,IFERROR(MATCH(COGS!$F$4,Data!$S$1:$X$1,0),1)))</f>
        <v>46270549.456316687</v>
      </c>
      <c r="F30" s="2">
        <f ca="1">E30/$E$8</f>
        <v>129146.36863095193</v>
      </c>
      <c r="G30" s="14">
        <f ca="1">F30/$F$33</f>
        <v>8.9947041449338419E-3</v>
      </c>
      <c r="I30" s="2">
        <f ca="1">SUMIF(Data!$E:$E,COGS!$D30,OFFSET(Data!$Z:$Z,0,IFERROR(MATCH(COGS!$F$4,Data!$S$1:$X$1,0),1)))</f>
        <v>878581793.22303021</v>
      </c>
      <c r="J30" s="2">
        <f t="shared" ca="1" si="6"/>
        <v>198408.27850906597</v>
      </c>
      <c r="K30" s="14">
        <f t="shared" ca="1" si="1"/>
        <v>9.7024589420784679E-3</v>
      </c>
    </row>
    <row r="31" spans="2:11" ht="15" thickBot="1" x14ac:dyDescent="0.35">
      <c r="B31" s="1"/>
      <c r="C31" s="5" t="s">
        <v>199</v>
      </c>
      <c r="D31" s="5"/>
      <c r="E31" s="5">
        <f ca="1">SUM(E27:E30)</f>
        <v>81139112.605965734</v>
      </c>
      <c r="F31" s="5">
        <f t="shared" ref="F31:G31" ca="1" si="7">SUM(F27:F30)</f>
        <v>226468.49605473701</v>
      </c>
      <c r="G31" s="15">
        <f t="shared" ca="1" si="7"/>
        <v>1.577293377858302E-2</v>
      </c>
      <c r="I31" s="5">
        <f ca="1">SUM(I27:I30)</f>
        <v>1546528438.5052896</v>
      </c>
      <c r="J31" s="5">
        <f t="shared" ref="J31" ca="1" si="8">SUM(J27:J30)</f>
        <v>349249.26457160863</v>
      </c>
      <c r="K31" s="15">
        <f t="shared" ca="1" si="1"/>
        <v>1.7078806769155536E-2</v>
      </c>
    </row>
    <row r="32" spans="2:11" x14ac:dyDescent="0.3">
      <c r="F32" s="2">
        <f>E32/$E$8</f>
        <v>0</v>
      </c>
      <c r="J32" s="2">
        <f t="shared" ref="J32" si="9">I32/$E$8</f>
        <v>0</v>
      </c>
      <c r="K32">
        <f t="shared" ca="1" si="1"/>
        <v>0</v>
      </c>
    </row>
    <row r="33" spans="2:11" x14ac:dyDescent="0.3">
      <c r="B33" s="4" t="s">
        <v>195</v>
      </c>
      <c r="E33" s="16">
        <f ca="1">E16+E24+E31</f>
        <v>5144199154.3855305</v>
      </c>
      <c r="F33" s="16">
        <f ca="1">F16+F24+F31</f>
        <v>14358045.195259929</v>
      </c>
      <c r="G33" s="17">
        <f ca="1">G16+G24+G31</f>
        <v>1.0000000000000002</v>
      </c>
      <c r="I33" s="16">
        <f ca="1">I16+I24+I31</f>
        <v>90552487618.651016</v>
      </c>
      <c r="J33" s="16">
        <f ca="1">J16+J24+J31</f>
        <v>20449277.826736446</v>
      </c>
      <c r="K33" s="17">
        <f t="shared" ca="1" si="1"/>
        <v>1</v>
      </c>
    </row>
  </sheetData>
  <mergeCells count="2">
    <mergeCell ref="D2:G2"/>
    <mergeCell ref="I2:K2"/>
  </mergeCells>
  <pageMargins left="0.7" right="0.7" top="0.75" bottom="0.75" header="0.3" footer="0.3"/>
  <pageSetup orientation="portrait" r:id="rId1"/>
  <ignoredErrors>
    <ignoredError sqref="F24:G24 F31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C93395-E0CE-43A3-8520-8555D72D6A2E}">
          <x14:formula1>
            <xm:f>Volume!$A$2:$A$13</xm:f>
          </x14:formula1>
          <xm:sqref>E4</xm:sqref>
        </x14:dataValidation>
        <x14:dataValidation type="list" allowBlank="1" showInputMessage="1" showErrorMessage="1" xr:uid="{0C0306BA-534C-42B2-8499-85E2166E9224}">
          <x14:formula1>
            <xm:f>Volume!$B$1:$G$1</xm:f>
          </x14:formula1>
          <xm:sqref>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27C4-B1DF-414B-9E08-C441C41FFC2B}">
  <dimension ref="A1:AG83"/>
  <sheetViews>
    <sheetView workbookViewId="0">
      <selection activeCell="U3" sqref="U3"/>
    </sheetView>
  </sheetViews>
  <sheetFormatPr defaultRowHeight="14.4" x14ac:dyDescent="0.3"/>
  <cols>
    <col min="1" max="1" width="8.88671875" style="19"/>
    <col min="2" max="2" width="27.5546875" style="19" customWidth="1"/>
    <col min="3" max="3" width="8.88671875" style="19"/>
    <col min="4" max="4" width="37.5546875" style="19" bestFit="1" customWidth="1"/>
    <col min="5" max="5" width="8.88671875" style="19"/>
    <col min="6" max="6" width="17.21875" style="19" bestFit="1" customWidth="1"/>
    <col min="7" max="7" width="16.109375" style="19" bestFit="1" customWidth="1"/>
    <col min="8" max="13" width="17.21875" style="19" bestFit="1" customWidth="1"/>
    <col min="14" max="16" width="16.109375" style="19" bestFit="1" customWidth="1"/>
    <col min="17" max="17" width="11.6640625" style="19" customWidth="1"/>
    <col min="18" max="18" width="8.88671875" style="19"/>
    <col min="19" max="19" width="17.21875" style="21" bestFit="1" customWidth="1"/>
    <col min="20" max="20" width="17.33203125" style="21" bestFit="1" customWidth="1"/>
    <col min="21" max="21" width="16.109375" style="21" bestFit="1" customWidth="1"/>
    <col min="22" max="24" width="16.21875" style="21" bestFit="1" customWidth="1"/>
    <col min="25" max="26" width="8.88671875" style="19"/>
    <col min="27" max="28" width="18.21875" style="19" bestFit="1" customWidth="1"/>
    <col min="29" max="29" width="16.109375" style="19" bestFit="1" customWidth="1"/>
    <col min="30" max="32" width="17.21875" style="19" bestFit="1" customWidth="1"/>
    <col min="33" max="33" width="9" style="19" bestFit="1" customWidth="1"/>
    <col min="34" max="16384" width="8.88671875" style="19"/>
  </cols>
  <sheetData>
    <row r="1" spans="1:33" x14ac:dyDescent="0.3">
      <c r="A1" s="18" t="s">
        <v>188</v>
      </c>
      <c r="B1" s="18" t="s">
        <v>189</v>
      </c>
      <c r="C1" s="18" t="s">
        <v>190</v>
      </c>
      <c r="D1" s="18" t="s">
        <v>191</v>
      </c>
      <c r="E1" s="18" t="s">
        <v>192</v>
      </c>
      <c r="F1" s="18" t="s">
        <v>172</v>
      </c>
      <c r="G1" s="18" t="s">
        <v>173</v>
      </c>
      <c r="H1" s="18" t="s">
        <v>174</v>
      </c>
      <c r="I1" s="18" t="s">
        <v>175</v>
      </c>
      <c r="J1" s="18" t="s">
        <v>176</v>
      </c>
      <c r="K1" s="18" t="s">
        <v>177</v>
      </c>
      <c r="L1" s="18" t="s">
        <v>178</v>
      </c>
      <c r="M1" s="18" t="s">
        <v>179</v>
      </c>
      <c r="N1" s="18" t="s">
        <v>180</v>
      </c>
      <c r="O1" s="18" t="s">
        <v>181</v>
      </c>
      <c r="P1" s="18" t="s">
        <v>182</v>
      </c>
      <c r="Q1" s="18" t="s">
        <v>183</v>
      </c>
      <c r="S1" s="20" t="str">
        <f>COGS!E4</f>
        <v>T11</v>
      </c>
      <c r="T1" s="21" t="s">
        <v>166</v>
      </c>
      <c r="U1" s="21" t="s">
        <v>168</v>
      </c>
      <c r="V1" s="21" t="s">
        <v>169</v>
      </c>
      <c r="W1" s="21" t="s">
        <v>170</v>
      </c>
      <c r="X1" s="21" t="s">
        <v>171</v>
      </c>
      <c r="Z1" s="36">
        <f>MATCH(S1,Volume!$A$2:$A$13,0)</f>
        <v>11</v>
      </c>
      <c r="AA1" s="19" t="s">
        <v>214</v>
      </c>
      <c r="AB1" s="21" t="s">
        <v>166</v>
      </c>
      <c r="AC1" s="21" t="s">
        <v>168</v>
      </c>
      <c r="AD1" s="21" t="s">
        <v>169</v>
      </c>
      <c r="AE1" s="21" t="s">
        <v>170</v>
      </c>
      <c r="AF1" s="21" t="s">
        <v>171</v>
      </c>
    </row>
    <row r="2" spans="1:33" x14ac:dyDescent="0.3">
      <c r="A2" s="19" t="s">
        <v>184</v>
      </c>
      <c r="B2" s="22" t="s">
        <v>0</v>
      </c>
      <c r="C2" s="23" t="s">
        <v>1</v>
      </c>
      <c r="D2" s="22" t="s">
        <v>2</v>
      </c>
      <c r="E2" s="19" t="s">
        <v>151</v>
      </c>
      <c r="F2" s="24">
        <v>24305209099.341183</v>
      </c>
      <c r="G2" s="24">
        <v>9568738520.3152828</v>
      </c>
      <c r="H2" s="24">
        <v>20075855584.552341</v>
      </c>
      <c r="I2" s="24">
        <v>33400547607.23975</v>
      </c>
      <c r="J2" s="24">
        <v>57576604315.759171</v>
      </c>
      <c r="K2" s="24">
        <v>62947794833.83683</v>
      </c>
      <c r="L2" s="24">
        <v>42130184877.22438</v>
      </c>
      <c r="M2" s="24">
        <v>26404380525.327232</v>
      </c>
      <c r="N2" s="24">
        <v>17021953445.00491</v>
      </c>
      <c r="O2" s="24">
        <v>15027727479.813381</v>
      </c>
      <c r="P2" s="24">
        <v>17288874811.693718</v>
      </c>
      <c r="Q2" s="24">
        <f>IFERROR(GETPIVOTDATA("Số tiền",#REF!,"khoản mục phí",$C2,"THÁNG",Q$1),0)</f>
        <v>0</v>
      </c>
      <c r="S2" s="21">
        <f ca="1">OFFSET(E2,0,MATCH($S$1,$F$1:$Q$1,0))</f>
        <v>17288874811.693718</v>
      </c>
      <c r="T2" s="21">
        <f ca="1">VLOOKUP($C2,Volume!$A$35:$G$109,MATCH(Data!T$1,Volume!$A$34:$G$34,0),0)*$S2</f>
        <v>5564171416.548461</v>
      </c>
      <c r="U2" s="21">
        <f ca="1">VLOOKUP($C2,Volume!$A$35:$G$109,MATCH(Data!U$1,Volume!$A$34:$G$34,0),0)*$S2</f>
        <v>978843326.40784717</v>
      </c>
      <c r="V2" s="21">
        <f ca="1">VLOOKUP($C2,Volume!$A$35:$G$109,MATCH(Data!V$1,Volume!$A$34:$G$34,0),0)*$S2</f>
        <v>3591511138.1705303</v>
      </c>
      <c r="W2" s="21">
        <f ca="1">VLOOKUP($C2,Volume!$A$35:$G$109,MATCH(Data!W$1,Volume!$A$34:$G$34,0),0)*$S2</f>
        <v>3941079020.7654357</v>
      </c>
      <c r="X2" s="21">
        <f ca="1">VLOOKUP($C2,Volume!$A$35:$G$109,MATCH(Data!X$1,Volume!$A$34:$G$34,0),0)*$S2</f>
        <v>3213269909.8014426</v>
      </c>
      <c r="Z2" s="37"/>
      <c r="AA2" s="28">
        <f ca="1">SUM(OFFSET(F2,0,0,1,$Z$1))</f>
        <v>325747871100.10809</v>
      </c>
      <c r="AB2" s="29">
        <f ca="1">VLOOKUP($C2,Volume!$A$35:$G$109,MATCH(Data!T$1,Volume!$A$34:$G$34,0),0)*$AA2</f>
        <v>104837186521.28809</v>
      </c>
      <c r="AC2" s="29">
        <f ca="1">VLOOKUP($C2,Volume!$A$35:$G$109,MATCH(Data!U$1,Volume!$A$34:$G$34,0),0)*$AA2</f>
        <v>18442850283.249142</v>
      </c>
      <c r="AD2" s="29">
        <f ca="1">VLOOKUP($C2,Volume!$A$35:$G$109,MATCH(Data!V$1,Volume!$A$34:$G$34,0),0)*$AA2</f>
        <v>67669360790.331474</v>
      </c>
      <c r="AE2" s="29">
        <f ca="1">VLOOKUP($C2,Volume!$A$35:$G$109,MATCH(Data!W$1,Volume!$A$34:$G$34,0),0)*$AA2</f>
        <v>74255734675.301926</v>
      </c>
      <c r="AF2" s="29">
        <f ca="1">VLOOKUP($C2,Volume!$A$35:$G$109,MATCH(Data!X$1,Volume!$A$34:$G$34,0),0)*$AA2</f>
        <v>60542738829.937424</v>
      </c>
      <c r="AG2" s="29"/>
    </row>
    <row r="3" spans="1:33" x14ac:dyDescent="0.3">
      <c r="A3" s="19" t="s">
        <v>184</v>
      </c>
      <c r="B3" s="22" t="s">
        <v>0</v>
      </c>
      <c r="C3" s="23" t="s">
        <v>3</v>
      </c>
      <c r="D3" s="22" t="s">
        <v>4</v>
      </c>
      <c r="E3" s="19" t="s">
        <v>151</v>
      </c>
      <c r="F3" s="24">
        <v>533341886</v>
      </c>
      <c r="G3" s="24">
        <v>7915348</v>
      </c>
      <c r="H3" s="24">
        <v>70609984</v>
      </c>
      <c r="I3" s="24">
        <v>163609877</v>
      </c>
      <c r="J3" s="24">
        <v>1218550767</v>
      </c>
      <c r="K3" s="24">
        <v>2055052833</v>
      </c>
      <c r="L3" s="24">
        <v>1903995158</v>
      </c>
      <c r="M3" s="24">
        <v>1999723558</v>
      </c>
      <c r="N3" s="24">
        <v>1690764928</v>
      </c>
      <c r="O3" s="24">
        <v>1797231947</v>
      </c>
      <c r="P3" s="24">
        <v>597825746</v>
      </c>
      <c r="Q3" s="24">
        <f>IFERROR(GETPIVOTDATA("Số tiền",#REF!,"khoản mục phí",$C3,"THÁNG",Q$1),0)</f>
        <v>0</v>
      </c>
      <c r="S3" s="21">
        <f t="shared" ref="S3:S66" ca="1" si="0">OFFSET(E3,0,MATCH($S$1,$F$1:$Q$1,0))</f>
        <v>597825746</v>
      </c>
      <c r="T3" s="21">
        <f ca="1">VLOOKUP($C3,Volume!$A$35:$G$109,MATCH(Data!T$1,Volume!$A$34:$G$34,0),0)*$S3</f>
        <v>192401469.97420979</v>
      </c>
      <c r="U3" s="21">
        <f ca="1">VLOOKUP($C3,Volume!$A$35:$G$109,MATCH(Data!U$1,Volume!$A$34:$G$34,0),0)*$S3</f>
        <v>33847069.181800932</v>
      </c>
      <c r="V3" s="21">
        <f ca="1">VLOOKUP($C3,Volume!$A$35:$G$109,MATCH(Data!V$1,Volume!$A$34:$G$34,0),0)*$S3</f>
        <v>124189564.030614</v>
      </c>
      <c r="W3" s="21">
        <f ca="1">VLOOKUP($C3,Volume!$A$35:$G$109,MATCH(Data!W$1,Volume!$A$34:$G$34,0),0)*$S3</f>
        <v>136277145.34901136</v>
      </c>
      <c r="X3" s="21">
        <f ca="1">VLOOKUP($C3,Volume!$A$35:$G$109,MATCH(Data!X$1,Volume!$A$34:$G$34,0),0)*$S3</f>
        <v>111110497.46436393</v>
      </c>
      <c r="Z3" s="37"/>
      <c r="AA3" s="28">
        <f t="shared" ref="AA3:AA66" ca="1" si="1">SUM(OFFSET(F3,0,0,1,$Z$1))</f>
        <v>12038622032</v>
      </c>
      <c r="AB3" s="29">
        <f ca="1">VLOOKUP($C3,Volume!$A$35:$G$109,MATCH(Data!T$1,Volume!$A$34:$G$34,0),0)*$AA3</f>
        <v>3874454372.2289076</v>
      </c>
      <c r="AC3" s="29">
        <f ca="1">VLOOKUP($C3,Volume!$A$35:$G$109,MATCH(Data!U$1,Volume!$A$34:$G$34,0),0)*$AA3</f>
        <v>681590037.72757709</v>
      </c>
      <c r="AD3" s="29">
        <f ca="1">VLOOKUP($C3,Volume!$A$35:$G$109,MATCH(Data!V$1,Volume!$A$34:$G$34,0),0)*$AA3</f>
        <v>2500847833.4812708</v>
      </c>
      <c r="AE3" s="29">
        <f ca="1">VLOOKUP($C3,Volume!$A$35:$G$109,MATCH(Data!W$1,Volume!$A$34:$G$34,0),0)*$AA3</f>
        <v>2744259603.1263504</v>
      </c>
      <c r="AF3" s="29">
        <f ca="1">VLOOKUP($C3,Volume!$A$35:$G$109,MATCH(Data!X$1,Volume!$A$34:$G$34,0),0)*$AA3</f>
        <v>2237470185.435894</v>
      </c>
    </row>
    <row r="4" spans="1:33" x14ac:dyDescent="0.3">
      <c r="A4" s="19" t="s">
        <v>184</v>
      </c>
      <c r="B4" s="22" t="s">
        <v>0</v>
      </c>
      <c r="C4" s="23" t="s">
        <v>5</v>
      </c>
      <c r="D4" s="22" t="s">
        <v>6</v>
      </c>
      <c r="E4" s="19" t="s">
        <v>152</v>
      </c>
      <c r="F4" s="24">
        <v>250462270</v>
      </c>
      <c r="G4" s="24">
        <v>76698304</v>
      </c>
      <c r="H4" s="24">
        <v>92532736</v>
      </c>
      <c r="I4" s="24">
        <v>236073874</v>
      </c>
      <c r="J4" s="24">
        <v>811623204</v>
      </c>
      <c r="K4" s="24">
        <v>1381209839</v>
      </c>
      <c r="L4" s="24">
        <v>1336858422</v>
      </c>
      <c r="M4" s="24">
        <v>1335687810</v>
      </c>
      <c r="N4" s="24">
        <v>1072172155</v>
      </c>
      <c r="O4" s="24">
        <v>821473639</v>
      </c>
      <c r="P4" s="24">
        <v>354246024</v>
      </c>
      <c r="Q4" s="24">
        <f>IFERROR(GETPIVOTDATA("Số tiền",#REF!,"khoản mục phí",$C4,"THÁNG",Q$1),0)</f>
        <v>0</v>
      </c>
      <c r="S4" s="21">
        <f t="shared" ca="1" si="0"/>
        <v>354246024</v>
      </c>
      <c r="T4" s="21">
        <f ca="1">VLOOKUP($C4,Volume!$A$35:$G$109,MATCH(Data!T$1,Volume!$A$34:$G$34,0),0)*$S4</f>
        <v>114008900.0953117</v>
      </c>
      <c r="U4" s="21">
        <f ca="1">VLOOKUP($C4,Volume!$A$35:$G$109,MATCH(Data!U$1,Volume!$A$34:$G$34,0),0)*$S4</f>
        <v>20056328.724433884</v>
      </c>
      <c r="V4" s="21">
        <f ca="1">VLOOKUP($C4,Volume!$A$35:$G$109,MATCH(Data!V$1,Volume!$A$34:$G$34,0),0)*$S4</f>
        <v>73589435.675020963</v>
      </c>
      <c r="W4" s="21">
        <f ca="1">VLOOKUP($C4,Volume!$A$35:$G$109,MATCH(Data!W$1,Volume!$A$34:$G$34,0),0)*$S4</f>
        <v>80752020.50926286</v>
      </c>
      <c r="X4" s="21">
        <f ca="1">VLOOKUP($C4,Volume!$A$35:$G$109,MATCH(Data!X$1,Volume!$A$34:$G$34,0),0)*$S4</f>
        <v>65839338.995970577</v>
      </c>
      <c r="Z4" s="37"/>
      <c r="AA4" s="28">
        <f t="shared" ca="1" si="1"/>
        <v>7769038277</v>
      </c>
      <c r="AB4" s="29">
        <f ca="1">VLOOKUP($C4,Volume!$A$35:$G$109,MATCH(Data!T$1,Volume!$A$34:$G$34,0),0)*$AA4</f>
        <v>2500351306.0153513</v>
      </c>
      <c r="AC4" s="29">
        <f ca="1">VLOOKUP($C4,Volume!$A$35:$G$109,MATCH(Data!U$1,Volume!$A$34:$G$34,0),0)*$AA4</f>
        <v>439859236.23583543</v>
      </c>
      <c r="AD4" s="29">
        <f ca="1">VLOOKUP($C4,Volume!$A$35:$G$109,MATCH(Data!V$1,Volume!$A$34:$G$34,0),0)*$AA4</f>
        <v>1613904190.3320479</v>
      </c>
      <c r="AE4" s="29">
        <f ca="1">VLOOKUP($C4,Volume!$A$35:$G$109,MATCH(Data!W$1,Volume!$A$34:$G$34,0),0)*$AA4</f>
        <v>1770988227.892015</v>
      </c>
      <c r="AF4" s="29">
        <f ca="1">VLOOKUP($C4,Volume!$A$35:$G$109,MATCH(Data!X$1,Volume!$A$34:$G$34,0),0)*$AA4</f>
        <v>1443935316.52475</v>
      </c>
    </row>
    <row r="5" spans="1:33" x14ac:dyDescent="0.3">
      <c r="A5" s="19" t="s">
        <v>184</v>
      </c>
      <c r="B5" s="22" t="s">
        <v>0</v>
      </c>
      <c r="C5" s="23" t="s">
        <v>7</v>
      </c>
      <c r="D5" s="22" t="s">
        <v>8</v>
      </c>
      <c r="E5" s="19" t="s">
        <v>151</v>
      </c>
      <c r="F5" s="24">
        <v>1505000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28857143</v>
      </c>
      <c r="M5" s="24">
        <v>6914000</v>
      </c>
      <c r="N5" s="24">
        <v>0</v>
      </c>
      <c r="O5" s="24">
        <v>14329860</v>
      </c>
      <c r="P5" s="24">
        <v>-27015178</v>
      </c>
      <c r="Q5" s="24">
        <f>IFERROR(GETPIVOTDATA("Số tiền",#REF!,"khoản mục phí",$C5,"THÁNG",Q$1),0)</f>
        <v>0</v>
      </c>
      <c r="S5" s="21">
        <f t="shared" ca="1" si="0"/>
        <v>-27015178</v>
      </c>
      <c r="T5" s="21">
        <f ca="1">VLOOKUP($C5,Volume!$A$35:$G$109,MATCH(Data!T$1,Volume!$A$34:$G$34,0),0)*$S5</f>
        <v>-8694439.7988756616</v>
      </c>
      <c r="U5" s="21">
        <f ca="1">VLOOKUP($C5,Volume!$A$35:$G$109,MATCH(Data!U$1,Volume!$A$34:$G$34,0),0)*$S5</f>
        <v>-1529516.9283737517</v>
      </c>
      <c r="V5" s="21">
        <f ca="1">VLOOKUP($C5,Volume!$A$35:$G$109,MATCH(Data!V$1,Volume!$A$34:$G$34,0),0)*$S5</f>
        <v>-5612008.5166580211</v>
      </c>
      <c r="W5" s="21">
        <f ca="1">VLOOKUP($C5,Volume!$A$35:$G$109,MATCH(Data!W$1,Volume!$A$34:$G$34,0),0)*$S5</f>
        <v>-6158234.8427921571</v>
      </c>
      <c r="X5" s="21">
        <f ca="1">VLOOKUP($C5,Volume!$A$35:$G$109,MATCH(Data!X$1,Volume!$A$34:$G$34,0),0)*$S5</f>
        <v>-5020977.913300409</v>
      </c>
      <c r="Z5" s="37"/>
      <c r="AA5" s="28">
        <f t="shared" ca="1" si="1"/>
        <v>24590825</v>
      </c>
      <c r="AB5" s="29">
        <f ca="1">VLOOKUP($C5,Volume!$A$35:$G$109,MATCH(Data!T$1,Volume!$A$34:$G$34,0),0)*$AA5</f>
        <v>7914197.2548611974</v>
      </c>
      <c r="AC5" s="29">
        <f ca="1">VLOOKUP($C5,Volume!$A$35:$G$109,MATCH(Data!U$1,Volume!$A$34:$G$34,0),0)*$AA5</f>
        <v>1392257.4606088647</v>
      </c>
      <c r="AD5" s="29">
        <f ca="1">VLOOKUP($C5,Volume!$A$35:$G$109,MATCH(Data!V$1,Volume!$A$34:$G$34,0),0)*$AA5</f>
        <v>5108384.6025981018</v>
      </c>
      <c r="AE5" s="29">
        <f ca="1">VLOOKUP($C5,Volume!$A$35:$G$109,MATCH(Data!W$1,Volume!$A$34:$G$34,0),0)*$AA5</f>
        <v>5605592.3573038997</v>
      </c>
      <c r="AF5" s="29">
        <f ca="1">VLOOKUP($C5,Volume!$A$35:$G$109,MATCH(Data!X$1,Volume!$A$34:$G$34,0),0)*$AA5</f>
        <v>4570393.3246279377</v>
      </c>
    </row>
    <row r="6" spans="1:33" x14ac:dyDescent="0.3">
      <c r="A6" s="19" t="s">
        <v>185</v>
      </c>
      <c r="B6" s="22" t="s">
        <v>9</v>
      </c>
      <c r="C6" s="25" t="s">
        <v>10</v>
      </c>
      <c r="D6" s="22" t="s">
        <v>11</v>
      </c>
      <c r="E6" s="19" t="s">
        <v>157</v>
      </c>
      <c r="F6" s="24">
        <v>914637934.84192908</v>
      </c>
      <c r="G6" s="24">
        <v>336645374</v>
      </c>
      <c r="H6" s="24">
        <v>221368159</v>
      </c>
      <c r="I6" s="24">
        <v>438465021</v>
      </c>
      <c r="J6" s="24">
        <v>247011628</v>
      </c>
      <c r="K6" s="24">
        <v>1200642917</v>
      </c>
      <c r="L6" s="24">
        <v>1098512296</v>
      </c>
      <c r="M6" s="24">
        <v>1355014078</v>
      </c>
      <c r="N6" s="24">
        <v>1348212554</v>
      </c>
      <c r="O6" s="24">
        <v>467448990</v>
      </c>
      <c r="P6" s="24">
        <v>1430049025</v>
      </c>
      <c r="Q6" s="24">
        <f>IFERROR(GETPIVOTDATA("Số tiền",#REF!,"khoản mục phí",$C6,"THÁNG",Q$1),0)</f>
        <v>0</v>
      </c>
      <c r="S6" s="21">
        <f t="shared" ca="1" si="0"/>
        <v>1430049025</v>
      </c>
      <c r="T6" s="21">
        <f ca="1">VLOOKUP($C6,Volume!$A$35:$G$109,MATCH(Data!T$1,Volume!$A$34:$G$34,0),0)*$S6</f>
        <v>325720331.06883466</v>
      </c>
      <c r="U6" s="21">
        <f ca="1">VLOOKUP($C6,Volume!$A$35:$G$109,MATCH(Data!U$1,Volume!$A$34:$G$34,0),0)*$S6</f>
        <v>89133934.449768782</v>
      </c>
      <c r="V6" s="21">
        <f ca="1">VLOOKUP($C6,Volume!$A$35:$G$109,MATCH(Data!V$1,Volume!$A$34:$G$34,0),0)*$S6</f>
        <v>490567044.38099557</v>
      </c>
      <c r="W6" s="21">
        <f ca="1">VLOOKUP($C6,Volume!$A$35:$G$109,MATCH(Data!W$1,Volume!$A$34:$G$34,0),0)*$S6</f>
        <v>293626237.36050892</v>
      </c>
      <c r="X6" s="21">
        <f ca="1">VLOOKUP($C6,Volume!$A$35:$G$109,MATCH(Data!X$1,Volume!$A$34:$G$34,0),0)*$S6</f>
        <v>231001477.73989221</v>
      </c>
      <c r="Z6" s="37"/>
      <c r="AA6" s="28">
        <f t="shared" ca="1" si="1"/>
        <v>9058007976.8419285</v>
      </c>
      <c r="AB6" s="29">
        <f ca="1">VLOOKUP($C6,Volume!$A$35:$G$109,MATCH(Data!T$1,Volume!$A$34:$G$34,0),0)*$AA6</f>
        <v>2063130218.239265</v>
      </c>
      <c r="AC6" s="29">
        <f ca="1">VLOOKUP($C6,Volume!$A$35:$G$109,MATCH(Data!U$1,Volume!$A$34:$G$34,0),0)*$AA6</f>
        <v>564579168.36334419</v>
      </c>
      <c r="AD6" s="29">
        <f ca="1">VLOOKUP($C6,Volume!$A$35:$G$109,MATCH(Data!V$1,Volume!$A$34:$G$34,0),0)*$AA6</f>
        <v>3107278228.5759931</v>
      </c>
      <c r="AE6" s="29">
        <f ca="1">VLOOKUP($C6,Volume!$A$35:$G$109,MATCH(Data!W$1,Volume!$A$34:$G$34,0),0)*$AA6</f>
        <v>1859844490.4513476</v>
      </c>
      <c r="AF6" s="29">
        <f ca="1">VLOOKUP($C6,Volume!$A$35:$G$109,MATCH(Data!X$1,Volume!$A$34:$G$34,0),0)*$AA6</f>
        <v>1463175871.2119796</v>
      </c>
    </row>
    <row r="7" spans="1:33" x14ac:dyDescent="0.3">
      <c r="A7" s="19" t="s">
        <v>185</v>
      </c>
      <c r="B7" s="22" t="s">
        <v>9</v>
      </c>
      <c r="C7" s="25" t="s">
        <v>12</v>
      </c>
      <c r="D7" s="22" t="s">
        <v>13</v>
      </c>
      <c r="E7" s="19" t="s">
        <v>157</v>
      </c>
      <c r="F7" s="24">
        <v>0</v>
      </c>
      <c r="G7" s="24">
        <v>55303682</v>
      </c>
      <c r="H7" s="24">
        <v>241875466</v>
      </c>
      <c r="I7" s="24">
        <v>320592771</v>
      </c>
      <c r="J7" s="24">
        <v>439624681</v>
      </c>
      <c r="K7" s="24">
        <v>347350986</v>
      </c>
      <c r="L7" s="24">
        <v>234792902</v>
      </c>
      <c r="M7" s="24">
        <v>0</v>
      </c>
      <c r="N7" s="24">
        <v>0</v>
      </c>
      <c r="O7" s="24">
        <v>0</v>
      </c>
      <c r="P7" s="24">
        <v>0</v>
      </c>
      <c r="Q7" s="24">
        <f>IFERROR(GETPIVOTDATA("Số tiền",#REF!,"khoản mục phí",$C7,"THÁNG",Q$1),0)</f>
        <v>0</v>
      </c>
      <c r="S7" s="21">
        <f t="shared" ca="1" si="0"/>
        <v>0</v>
      </c>
      <c r="T7" s="21">
        <f ca="1">VLOOKUP($C7,Volume!$A$35:$G$109,MATCH(Data!T$1,Volume!$A$34:$G$34,0),0)*$S7</f>
        <v>0</v>
      </c>
      <c r="U7" s="21">
        <f ca="1">VLOOKUP($C7,Volume!$A$35:$G$109,MATCH(Data!U$1,Volume!$A$34:$G$34,0),0)*$S7</f>
        <v>0</v>
      </c>
      <c r="V7" s="21">
        <f ca="1">VLOOKUP($C7,Volume!$A$35:$G$109,MATCH(Data!V$1,Volume!$A$34:$G$34,0),0)*$S7</f>
        <v>0</v>
      </c>
      <c r="W7" s="21">
        <f ca="1">VLOOKUP($C7,Volume!$A$35:$G$109,MATCH(Data!W$1,Volume!$A$34:$G$34,0),0)*$S7</f>
        <v>0</v>
      </c>
      <c r="X7" s="21">
        <f ca="1">VLOOKUP($C7,Volume!$A$35:$G$109,MATCH(Data!X$1,Volume!$A$34:$G$34,0),0)*$S7</f>
        <v>0</v>
      </c>
      <c r="Z7" s="37"/>
      <c r="AA7" s="28">
        <f t="shared" ca="1" si="1"/>
        <v>1639540488</v>
      </c>
      <c r="AB7" s="29">
        <f ca="1">VLOOKUP($C7,Volume!$A$35:$G$109,MATCH(Data!T$1,Volume!$A$34:$G$34,0),0)*$AA7</f>
        <v>373435918.08128303</v>
      </c>
      <c r="AC7" s="29">
        <f ca="1">VLOOKUP($C7,Volume!$A$35:$G$109,MATCH(Data!U$1,Volume!$A$34:$G$34,0),0)*$AA7</f>
        <v>102191387.72891644</v>
      </c>
      <c r="AD7" s="29">
        <f ca="1">VLOOKUP($C7,Volume!$A$35:$G$109,MATCH(Data!V$1,Volume!$A$34:$G$34,0),0)*$AA7</f>
        <v>562431439.25861919</v>
      </c>
      <c r="AE7" s="29">
        <f ca="1">VLOOKUP($C7,Volume!$A$35:$G$109,MATCH(Data!W$1,Volume!$A$34:$G$34,0),0)*$AA7</f>
        <v>336640280.21112961</v>
      </c>
      <c r="AF7" s="29">
        <f ca="1">VLOOKUP($C7,Volume!$A$35:$G$109,MATCH(Data!X$1,Volume!$A$34:$G$34,0),0)*$AA7</f>
        <v>264841462.72005185</v>
      </c>
    </row>
    <row r="8" spans="1:33" x14ac:dyDescent="0.3">
      <c r="A8" s="19" t="s">
        <v>185</v>
      </c>
      <c r="B8" s="22" t="s">
        <v>9</v>
      </c>
      <c r="C8" s="25" t="s">
        <v>14</v>
      </c>
      <c r="D8" s="22" t="s">
        <v>15</v>
      </c>
      <c r="E8" s="19" t="s">
        <v>153</v>
      </c>
      <c r="F8" s="24">
        <v>247140006</v>
      </c>
      <c r="G8" s="24">
        <v>503292591</v>
      </c>
      <c r="H8" s="24">
        <v>292664930</v>
      </c>
      <c r="I8" s="24">
        <v>444833150</v>
      </c>
      <c r="J8" s="24">
        <v>1147179682</v>
      </c>
      <c r="K8" s="24">
        <v>1459911438</v>
      </c>
      <c r="L8" s="24">
        <v>1158529145</v>
      </c>
      <c r="M8" s="24">
        <v>754097388</v>
      </c>
      <c r="N8" s="24">
        <v>371570730</v>
      </c>
      <c r="O8" s="24">
        <v>594639721</v>
      </c>
      <c r="P8" s="24">
        <v>503863089</v>
      </c>
      <c r="Q8" s="24">
        <f>IFERROR(GETPIVOTDATA("Số tiền",#REF!,"khoản mục phí",$C8,"THÁNG",Q$1),0)</f>
        <v>0</v>
      </c>
      <c r="S8" s="21">
        <f t="shared" ca="1" si="0"/>
        <v>503863089</v>
      </c>
      <c r="T8" s="21">
        <f ca="1">VLOOKUP($C8,Volume!$A$35:$G$109,MATCH(Data!T$1,Volume!$A$34:$G$34,0),0)*$S8</f>
        <v>162160963.52154443</v>
      </c>
      <c r="U8" s="21">
        <f ca="1">VLOOKUP($C8,Volume!$A$35:$G$109,MATCH(Data!U$1,Volume!$A$34:$G$34,0),0)*$S8</f>
        <v>28527190.315317933</v>
      </c>
      <c r="V8" s="21">
        <f ca="1">VLOOKUP($C8,Volume!$A$35:$G$109,MATCH(Data!V$1,Volume!$A$34:$G$34,0),0)*$S8</f>
        <v>104670194.90664166</v>
      </c>
      <c r="W8" s="21">
        <f ca="1">VLOOKUP($C8,Volume!$A$35:$G$109,MATCH(Data!W$1,Volume!$A$34:$G$34,0),0)*$S8</f>
        <v>114857922.85642853</v>
      </c>
      <c r="X8" s="21">
        <f ca="1">VLOOKUP($C8,Volume!$A$35:$G$109,MATCH(Data!X$1,Volume!$A$34:$G$34,0),0)*$S8</f>
        <v>93646817.400067404</v>
      </c>
      <c r="Z8" s="37"/>
      <c r="AA8" s="28">
        <f t="shared" ca="1" si="1"/>
        <v>7477721870</v>
      </c>
      <c r="AB8" s="29">
        <f ca="1">VLOOKUP($C8,Volume!$A$35:$G$109,MATCH(Data!T$1,Volume!$A$34:$G$34,0),0)*$AA8</f>
        <v>2406595382.4716954</v>
      </c>
      <c r="AC8" s="29">
        <f ca="1">VLOOKUP($C8,Volume!$A$35:$G$109,MATCH(Data!U$1,Volume!$A$34:$G$34,0),0)*$AA8</f>
        <v>423365790.36553538</v>
      </c>
      <c r="AD8" s="29">
        <f ca="1">VLOOKUP($C8,Volume!$A$35:$G$109,MATCH(Data!V$1,Volume!$A$34:$G$34,0),0)*$AA8</f>
        <v>1553387463.1379418</v>
      </c>
      <c r="AE8" s="29">
        <f ca="1">VLOOKUP($C8,Volume!$A$35:$G$109,MATCH(Data!W$1,Volume!$A$34:$G$34,0),0)*$AA8</f>
        <v>1704581304.7962492</v>
      </c>
      <c r="AF8" s="29">
        <f ca="1">VLOOKUP($C8,Volume!$A$35:$G$109,MATCH(Data!X$1,Volume!$A$34:$G$34,0),0)*$AA8</f>
        <v>1389791929.2285776</v>
      </c>
    </row>
    <row r="9" spans="1:33" x14ac:dyDescent="0.3">
      <c r="A9" s="19" t="s">
        <v>185</v>
      </c>
      <c r="B9" s="22" t="s">
        <v>9</v>
      </c>
      <c r="C9" s="25" t="s">
        <v>16</v>
      </c>
      <c r="D9" s="22" t="s">
        <v>17</v>
      </c>
      <c r="E9" s="19" t="s">
        <v>153</v>
      </c>
      <c r="F9" s="24">
        <v>0</v>
      </c>
      <c r="G9" s="24">
        <v>328646450</v>
      </c>
      <c r="H9" s="24">
        <v>261051800</v>
      </c>
      <c r="I9" s="24">
        <v>395237000</v>
      </c>
      <c r="J9" s="24">
        <v>398815961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f>IFERROR(GETPIVOTDATA("Số tiền",#REF!,"khoản mục phí",$C9,"THÁNG",Q$1),0)</f>
        <v>0</v>
      </c>
      <c r="S9" s="21">
        <f t="shared" ca="1" si="0"/>
        <v>0</v>
      </c>
      <c r="T9" s="21">
        <f ca="1">VLOOKUP($C9,Volume!$A$35:$G$109,MATCH(Data!T$1,Volume!$A$34:$G$34,0),0)*$S9</f>
        <v>0</v>
      </c>
      <c r="U9" s="21">
        <f ca="1">VLOOKUP($C9,Volume!$A$35:$G$109,MATCH(Data!U$1,Volume!$A$34:$G$34,0),0)*$S9</f>
        <v>0</v>
      </c>
      <c r="V9" s="21">
        <f ca="1">VLOOKUP($C9,Volume!$A$35:$G$109,MATCH(Data!V$1,Volume!$A$34:$G$34,0),0)*$S9</f>
        <v>0</v>
      </c>
      <c r="W9" s="21">
        <f ca="1">VLOOKUP($C9,Volume!$A$35:$G$109,MATCH(Data!W$1,Volume!$A$34:$G$34,0),0)*$S9</f>
        <v>0</v>
      </c>
      <c r="X9" s="21">
        <f ca="1">VLOOKUP($C9,Volume!$A$35:$G$109,MATCH(Data!X$1,Volume!$A$34:$G$34,0),0)*$S9</f>
        <v>0</v>
      </c>
      <c r="Z9" s="37"/>
      <c r="AA9" s="28">
        <f t="shared" ca="1" si="1"/>
        <v>1383751211</v>
      </c>
      <c r="AB9" s="29">
        <f ca="1">VLOOKUP($C9,Volume!$A$35:$G$109,MATCH(Data!T$1,Volume!$A$34:$G$34,0),0)*$AA9</f>
        <v>0</v>
      </c>
      <c r="AC9" s="29">
        <f ca="1">VLOOKUP($C9,Volume!$A$35:$G$109,MATCH(Data!U$1,Volume!$A$34:$G$34,0),0)*$AA9</f>
        <v>0</v>
      </c>
      <c r="AD9" s="29">
        <f ca="1">VLOOKUP($C9,Volume!$A$35:$G$109,MATCH(Data!V$1,Volume!$A$34:$G$34,0),0)*$AA9</f>
        <v>0</v>
      </c>
      <c r="AE9" s="29">
        <f ca="1">VLOOKUP($C9,Volume!$A$35:$G$109,MATCH(Data!W$1,Volume!$A$34:$G$34,0),0)*$AA9</f>
        <v>0</v>
      </c>
      <c r="AF9" s="29">
        <f ca="1">VLOOKUP($C9,Volume!$A$35:$G$109,MATCH(Data!X$1,Volume!$A$34:$G$34,0),0)*$AA9</f>
        <v>0</v>
      </c>
    </row>
    <row r="10" spans="1:33" x14ac:dyDescent="0.3">
      <c r="A10" s="19" t="s">
        <v>185</v>
      </c>
      <c r="B10" s="22" t="s">
        <v>9</v>
      </c>
      <c r="C10" s="25" t="s">
        <v>18</v>
      </c>
      <c r="D10" s="22" t="s">
        <v>19</v>
      </c>
      <c r="E10" s="19" t="s">
        <v>157</v>
      </c>
      <c r="F10" s="24">
        <v>91174250</v>
      </c>
      <c r="G10" s="24">
        <v>0</v>
      </c>
      <c r="H10" s="24">
        <v>0</v>
      </c>
      <c r="I10" s="24">
        <v>62133556</v>
      </c>
      <c r="J10" s="24">
        <v>0</v>
      </c>
      <c r="K10" s="24">
        <v>120550962</v>
      </c>
      <c r="L10" s="24">
        <v>56055038</v>
      </c>
      <c r="M10" s="24">
        <v>120675552</v>
      </c>
      <c r="N10" s="24">
        <v>60337777</v>
      </c>
      <c r="O10" s="24">
        <v>1252466</v>
      </c>
      <c r="P10" s="24">
        <v>32887498</v>
      </c>
      <c r="Q10" s="24">
        <f>IFERROR(GETPIVOTDATA("Số tiền",#REF!,"khoản mục phí",$C10,"THÁNG",Q$1),0)</f>
        <v>0</v>
      </c>
      <c r="S10" s="21">
        <f t="shared" ca="1" si="0"/>
        <v>32887498</v>
      </c>
      <c r="T10" s="21">
        <f ca="1">VLOOKUP($C10,Volume!$A$35:$G$109,MATCH(Data!T$1,Volume!$A$34:$G$34,0),0)*$S10</f>
        <v>7490740.9111975282</v>
      </c>
      <c r="U10" s="21">
        <f ca="1">VLOOKUP($C10,Volume!$A$35:$G$109,MATCH(Data!U$1,Volume!$A$34:$G$34,0),0)*$S10</f>
        <v>2049854.2635270157</v>
      </c>
      <c r="V10" s="21">
        <f ca="1">VLOOKUP($C10,Volume!$A$35:$G$109,MATCH(Data!V$1,Volume!$A$34:$G$34,0),0)*$S10</f>
        <v>11281796.923672531</v>
      </c>
      <c r="W10" s="21">
        <f ca="1">VLOOKUP($C10,Volume!$A$35:$G$109,MATCH(Data!W$1,Volume!$A$34:$G$34,0),0)*$S10</f>
        <v>6752658.2131974548</v>
      </c>
      <c r="X10" s="21">
        <f ca="1">VLOOKUP($C10,Volume!$A$35:$G$109,MATCH(Data!X$1,Volume!$A$34:$G$34,0),0)*$S10</f>
        <v>5312447.6884054728</v>
      </c>
      <c r="Z10" s="37"/>
      <c r="AA10" s="28">
        <f t="shared" ca="1" si="1"/>
        <v>545067099</v>
      </c>
      <c r="AB10" s="29">
        <f ca="1">VLOOKUP($C10,Volume!$A$35:$G$109,MATCH(Data!T$1,Volume!$A$34:$G$34,0),0)*$AA10</f>
        <v>124149195.47321762</v>
      </c>
      <c r="AC10" s="29">
        <f ca="1">VLOOKUP($C10,Volume!$A$35:$G$109,MATCH(Data!U$1,Volume!$A$34:$G$34,0),0)*$AA10</f>
        <v>33973643.017582305</v>
      </c>
      <c r="AD10" s="29">
        <f ca="1">VLOOKUP($C10,Volume!$A$35:$G$109,MATCH(Data!V$1,Volume!$A$34:$G$34,0),0)*$AA10</f>
        <v>186980971.33121258</v>
      </c>
      <c r="AE10" s="29">
        <f ca="1">VLOOKUP($C10,Volume!$A$35:$G$109,MATCH(Data!W$1,Volume!$A$34:$G$34,0),0)*$AA10</f>
        <v>111916443.83546783</v>
      </c>
      <c r="AF10" s="29">
        <f ca="1">VLOOKUP($C10,Volume!$A$35:$G$109,MATCH(Data!X$1,Volume!$A$34:$G$34,0),0)*$AA10</f>
        <v>88046845.34251973</v>
      </c>
    </row>
    <row r="11" spans="1:33" x14ac:dyDescent="0.3">
      <c r="A11" s="19" t="s">
        <v>185</v>
      </c>
      <c r="B11" s="22" t="s">
        <v>9</v>
      </c>
      <c r="C11" s="25" t="s">
        <v>20</v>
      </c>
      <c r="D11" s="22" t="s">
        <v>21</v>
      </c>
      <c r="E11" s="19" t="s">
        <v>157</v>
      </c>
      <c r="F11" s="24">
        <v>10597480</v>
      </c>
      <c r="G11" s="24">
        <v>0</v>
      </c>
      <c r="H11" s="24">
        <v>0</v>
      </c>
      <c r="I11" s="24">
        <v>124267108</v>
      </c>
      <c r="J11" s="24">
        <v>122344136</v>
      </c>
      <c r="K11" s="24">
        <v>241101922</v>
      </c>
      <c r="L11" s="24">
        <v>224220150</v>
      </c>
      <c r="M11" s="24">
        <v>147375555</v>
      </c>
      <c r="N11" s="24">
        <v>120675553</v>
      </c>
      <c r="O11" s="24">
        <v>2504933</v>
      </c>
      <c r="P11" s="24">
        <v>65775002</v>
      </c>
      <c r="Q11" s="24">
        <f>IFERROR(GETPIVOTDATA("Số tiền",#REF!,"khoản mục phí",$C11,"THÁNG",Q$1),0)</f>
        <v>0</v>
      </c>
      <c r="S11" s="21">
        <f t="shared" ca="1" si="0"/>
        <v>65775002</v>
      </c>
      <c r="T11" s="21">
        <f ca="1">VLOOKUP($C11,Volume!$A$35:$G$109,MATCH(Data!T$1,Volume!$A$34:$G$34,0),0)*$S11</f>
        <v>14981483.189006936</v>
      </c>
      <c r="U11" s="21">
        <f ca="1">VLOOKUP($C11,Volume!$A$35:$G$109,MATCH(Data!U$1,Volume!$A$34:$G$34,0),0)*$S11</f>
        <v>4099708.9010297465</v>
      </c>
      <c r="V11" s="21">
        <f ca="1">VLOOKUP($C11,Volume!$A$35:$G$109,MATCH(Data!V$1,Volume!$A$34:$G$34,0),0)*$S11</f>
        <v>22563595.905597761</v>
      </c>
      <c r="W11" s="21">
        <f ca="1">VLOOKUP($C11,Volume!$A$35:$G$109,MATCH(Data!W$1,Volume!$A$34:$G$34,0),0)*$S11</f>
        <v>13505317.658350874</v>
      </c>
      <c r="X11" s="21">
        <f ca="1">VLOOKUP($C11,Volume!$A$35:$G$109,MATCH(Data!X$1,Volume!$A$34:$G$34,0),0)*$S11</f>
        <v>10624896.346014688</v>
      </c>
      <c r="Z11" s="37"/>
      <c r="AA11" s="28">
        <f t="shared" ca="1" si="1"/>
        <v>1058861839</v>
      </c>
      <c r="AB11" s="29">
        <f ca="1">VLOOKUP($C11,Volume!$A$35:$G$109,MATCH(Data!T$1,Volume!$A$34:$G$34,0),0)*$AA11</f>
        <v>241175528.05942094</v>
      </c>
      <c r="AC11" s="29">
        <f ca="1">VLOOKUP($C11,Volume!$A$35:$G$109,MATCH(Data!U$1,Volume!$A$34:$G$34,0),0)*$AA11</f>
        <v>65998102.232045941</v>
      </c>
      <c r="AD11" s="29">
        <f ca="1">VLOOKUP($C11,Volume!$A$35:$G$109,MATCH(Data!V$1,Volume!$A$34:$G$34,0),0)*$AA11</f>
        <v>363234206.43991947</v>
      </c>
      <c r="AE11" s="29">
        <f ca="1">VLOOKUP($C11,Volume!$A$35:$G$109,MATCH(Data!W$1,Volume!$A$34:$G$34,0),0)*$AA11</f>
        <v>217411859.47817349</v>
      </c>
      <c r="AF11" s="29">
        <f ca="1">VLOOKUP($C11,Volume!$A$35:$G$109,MATCH(Data!X$1,Volume!$A$34:$G$34,0),0)*$AA11</f>
        <v>171042142.79044023</v>
      </c>
    </row>
    <row r="12" spans="1:33" x14ac:dyDescent="0.3">
      <c r="A12" s="19" t="s">
        <v>185</v>
      </c>
      <c r="B12" s="22" t="s">
        <v>9</v>
      </c>
      <c r="C12" s="25" t="s">
        <v>22</v>
      </c>
      <c r="D12" s="22" t="s">
        <v>23</v>
      </c>
      <c r="E12" s="19" t="s">
        <v>157</v>
      </c>
      <c r="F12" s="24">
        <v>0</v>
      </c>
      <c r="G12" s="24">
        <v>3600000</v>
      </c>
      <c r="H12" s="24">
        <v>7900000</v>
      </c>
      <c r="I12" s="24">
        <v>8818935</v>
      </c>
      <c r="J12" s="24">
        <v>0</v>
      </c>
      <c r="K12" s="24">
        <v>0</v>
      </c>
      <c r="L12" s="24">
        <v>9000000</v>
      </c>
      <c r="M12" s="24">
        <v>8216000</v>
      </c>
      <c r="N12" s="24">
        <v>0</v>
      </c>
      <c r="O12" s="24">
        <v>0</v>
      </c>
      <c r="P12" s="24">
        <v>0</v>
      </c>
      <c r="Q12" s="24">
        <f>IFERROR(GETPIVOTDATA("Số tiền",#REF!,"khoản mục phí",$C12,"THÁNG",Q$1),0)</f>
        <v>0</v>
      </c>
      <c r="S12" s="21">
        <f t="shared" ca="1" si="0"/>
        <v>0</v>
      </c>
      <c r="T12" s="21">
        <f ca="1">VLOOKUP($C12,Volume!$A$35:$G$109,MATCH(Data!T$1,Volume!$A$34:$G$34,0),0)*$S12</f>
        <v>0</v>
      </c>
      <c r="U12" s="21">
        <f ca="1">VLOOKUP($C12,Volume!$A$35:$G$109,MATCH(Data!U$1,Volume!$A$34:$G$34,0),0)*$S12</f>
        <v>0</v>
      </c>
      <c r="V12" s="21">
        <f ca="1">VLOOKUP($C12,Volume!$A$35:$G$109,MATCH(Data!V$1,Volume!$A$34:$G$34,0),0)*$S12</f>
        <v>0</v>
      </c>
      <c r="W12" s="21">
        <f ca="1">VLOOKUP($C12,Volume!$A$35:$G$109,MATCH(Data!W$1,Volume!$A$34:$G$34,0),0)*$S12</f>
        <v>0</v>
      </c>
      <c r="X12" s="21">
        <f ca="1">VLOOKUP($C12,Volume!$A$35:$G$109,MATCH(Data!X$1,Volume!$A$34:$G$34,0),0)*$S12</f>
        <v>0</v>
      </c>
      <c r="Z12" s="37"/>
      <c r="AA12" s="28">
        <f t="shared" ca="1" si="1"/>
        <v>37534935</v>
      </c>
      <c r="AB12" s="29">
        <f ca="1">VLOOKUP($C12,Volume!$A$35:$G$109,MATCH(Data!T$1,Volume!$A$34:$G$34,0),0)*$AA12</f>
        <v>8549281.3470833208</v>
      </c>
      <c r="AC12" s="29">
        <f ca="1">VLOOKUP($C12,Volume!$A$35:$G$109,MATCH(Data!U$1,Volume!$A$34:$G$34,0),0)*$AA12</f>
        <v>2339525.6927407309</v>
      </c>
      <c r="AD12" s="29">
        <f ca="1">VLOOKUP($C12,Volume!$A$35:$G$109,MATCH(Data!V$1,Volume!$A$34:$G$34,0),0)*$AA12</f>
        <v>12876063.548928181</v>
      </c>
      <c r="AE12" s="29">
        <f ca="1">VLOOKUP($C12,Volume!$A$35:$G$109,MATCH(Data!W$1,Volume!$A$34:$G$34,0),0)*$AA12</f>
        <v>7706897.8342342321</v>
      </c>
      <c r="AF12" s="29">
        <f ca="1">VLOOKUP($C12,Volume!$A$35:$G$109,MATCH(Data!X$1,Volume!$A$34:$G$34,0),0)*$AA12</f>
        <v>6063166.577013541</v>
      </c>
    </row>
    <row r="13" spans="1:33" x14ac:dyDescent="0.3">
      <c r="A13" s="19" t="s">
        <v>185</v>
      </c>
      <c r="B13" s="22" t="s">
        <v>9</v>
      </c>
      <c r="C13" s="25" t="s">
        <v>24</v>
      </c>
      <c r="D13" s="22" t="s">
        <v>25</v>
      </c>
      <c r="E13" s="19" t="s">
        <v>157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f>IFERROR(GETPIVOTDATA("Số tiền",#REF!,"khoản mục phí",$C13,"THÁNG",Q$1),0)</f>
        <v>0</v>
      </c>
      <c r="S13" s="21">
        <f t="shared" ca="1" si="0"/>
        <v>0</v>
      </c>
      <c r="T13" s="21">
        <f ca="1">VLOOKUP($C13,Volume!$A$35:$G$109,MATCH(Data!T$1,Volume!$A$34:$G$34,0),0)*$S13</f>
        <v>0</v>
      </c>
      <c r="U13" s="21">
        <f ca="1">VLOOKUP($C13,Volume!$A$35:$G$109,MATCH(Data!U$1,Volume!$A$34:$G$34,0),0)*$S13</f>
        <v>0</v>
      </c>
      <c r="V13" s="21">
        <f ca="1">VLOOKUP($C13,Volume!$A$35:$G$109,MATCH(Data!V$1,Volume!$A$34:$G$34,0),0)*$S13</f>
        <v>0</v>
      </c>
      <c r="W13" s="21">
        <f ca="1">VLOOKUP($C13,Volume!$A$35:$G$109,MATCH(Data!W$1,Volume!$A$34:$G$34,0),0)*$S13</f>
        <v>0</v>
      </c>
      <c r="X13" s="21">
        <f ca="1">VLOOKUP($C13,Volume!$A$35:$G$109,MATCH(Data!X$1,Volume!$A$34:$G$34,0),0)*$S13</f>
        <v>0</v>
      </c>
      <c r="AA13" s="28">
        <f t="shared" ca="1" si="1"/>
        <v>0</v>
      </c>
      <c r="AB13" s="29">
        <f ca="1">VLOOKUP($C13,Volume!$A$35:$G$109,MATCH(Data!T$1,Volume!$A$34:$G$34,0),0)*$AA13</f>
        <v>0</v>
      </c>
      <c r="AC13" s="29">
        <f ca="1">VLOOKUP($C13,Volume!$A$35:$G$109,MATCH(Data!U$1,Volume!$A$34:$G$34,0),0)*$AA13</f>
        <v>0</v>
      </c>
      <c r="AD13" s="29">
        <f ca="1">VLOOKUP($C13,Volume!$A$35:$G$109,MATCH(Data!V$1,Volume!$A$34:$G$34,0),0)*$AA13</f>
        <v>0</v>
      </c>
      <c r="AE13" s="29">
        <f ca="1">VLOOKUP($C13,Volume!$A$35:$G$109,MATCH(Data!W$1,Volume!$A$34:$G$34,0),0)*$AA13</f>
        <v>0</v>
      </c>
      <c r="AF13" s="29">
        <f ca="1">VLOOKUP($C13,Volume!$A$35:$G$109,MATCH(Data!X$1,Volume!$A$34:$G$34,0),0)*$AA13</f>
        <v>0</v>
      </c>
    </row>
    <row r="14" spans="1:33" x14ac:dyDescent="0.3">
      <c r="A14" s="19" t="s">
        <v>185</v>
      </c>
      <c r="B14" s="22" t="s">
        <v>9</v>
      </c>
      <c r="C14" s="25" t="s">
        <v>26</v>
      </c>
      <c r="D14" s="22" t="s">
        <v>27</v>
      </c>
      <c r="E14" s="19" t="s">
        <v>157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f>IFERROR(GETPIVOTDATA("Số tiền",#REF!,"khoản mục phí",$C14,"THÁNG",Q$1),0)</f>
        <v>0</v>
      </c>
      <c r="S14" s="21">
        <f t="shared" ca="1" si="0"/>
        <v>0</v>
      </c>
      <c r="T14" s="21">
        <f ca="1">VLOOKUP($C14,Volume!$A$35:$G$109,MATCH(Data!T$1,Volume!$A$34:$G$34,0),0)*$S14</f>
        <v>0</v>
      </c>
      <c r="U14" s="21">
        <f ca="1">VLOOKUP($C14,Volume!$A$35:$G$109,MATCH(Data!U$1,Volume!$A$34:$G$34,0),0)*$S14</f>
        <v>0</v>
      </c>
      <c r="V14" s="21">
        <f ca="1">VLOOKUP($C14,Volume!$A$35:$G$109,MATCH(Data!V$1,Volume!$A$34:$G$34,0),0)*$S14</f>
        <v>0</v>
      </c>
      <c r="W14" s="21">
        <f ca="1">VLOOKUP($C14,Volume!$A$35:$G$109,MATCH(Data!W$1,Volume!$A$34:$G$34,0),0)*$S14</f>
        <v>0</v>
      </c>
      <c r="X14" s="21">
        <f ca="1">VLOOKUP($C14,Volume!$A$35:$G$109,MATCH(Data!X$1,Volume!$A$34:$G$34,0),0)*$S14</f>
        <v>0</v>
      </c>
      <c r="AA14" s="28">
        <f t="shared" ca="1" si="1"/>
        <v>0</v>
      </c>
      <c r="AB14" s="29">
        <f ca="1">VLOOKUP($C14,Volume!$A$35:$G$109,MATCH(Data!T$1,Volume!$A$34:$G$34,0),0)*$AA14</f>
        <v>0</v>
      </c>
      <c r="AC14" s="29">
        <f ca="1">VLOOKUP($C14,Volume!$A$35:$G$109,MATCH(Data!U$1,Volume!$A$34:$G$34,0),0)*$AA14</f>
        <v>0</v>
      </c>
      <c r="AD14" s="29">
        <f ca="1">VLOOKUP($C14,Volume!$A$35:$G$109,MATCH(Data!V$1,Volume!$A$34:$G$34,0),0)*$AA14</f>
        <v>0</v>
      </c>
      <c r="AE14" s="29">
        <f ca="1">VLOOKUP($C14,Volume!$A$35:$G$109,MATCH(Data!W$1,Volume!$A$34:$G$34,0),0)*$AA14</f>
        <v>0</v>
      </c>
      <c r="AF14" s="29">
        <f ca="1">VLOOKUP($C14,Volume!$A$35:$G$109,MATCH(Data!X$1,Volume!$A$34:$G$34,0),0)*$AA14</f>
        <v>0</v>
      </c>
    </row>
    <row r="15" spans="1:33" x14ac:dyDescent="0.3">
      <c r="A15" s="19" t="s">
        <v>185</v>
      </c>
      <c r="B15" s="22" t="s">
        <v>9</v>
      </c>
      <c r="C15" s="25" t="s">
        <v>28</v>
      </c>
      <c r="D15" s="22" t="s">
        <v>29</v>
      </c>
      <c r="E15" s="19" t="s">
        <v>157</v>
      </c>
      <c r="F15" s="24">
        <v>1528472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f>IFERROR(GETPIVOTDATA("Số tiền",#REF!,"khoản mục phí",$C15,"THÁNG",Q$1),0)</f>
        <v>0</v>
      </c>
      <c r="S15" s="21">
        <f t="shared" ca="1" si="0"/>
        <v>0</v>
      </c>
      <c r="T15" s="21">
        <f ca="1">VLOOKUP($C15,Volume!$A$35:$G$109,MATCH(Data!T$1,Volume!$A$34:$G$34,0),0)*$S15</f>
        <v>0</v>
      </c>
      <c r="U15" s="21">
        <f ca="1">VLOOKUP($C15,Volume!$A$35:$G$109,MATCH(Data!U$1,Volume!$A$34:$G$34,0),0)*$S15</f>
        <v>0</v>
      </c>
      <c r="V15" s="21">
        <f ca="1">VLOOKUP($C15,Volume!$A$35:$G$109,MATCH(Data!V$1,Volume!$A$34:$G$34,0),0)*$S15</f>
        <v>0</v>
      </c>
      <c r="W15" s="21">
        <f ca="1">VLOOKUP($C15,Volume!$A$35:$G$109,MATCH(Data!W$1,Volume!$A$34:$G$34,0),0)*$S15</f>
        <v>0</v>
      </c>
      <c r="X15" s="21">
        <f ca="1">VLOOKUP($C15,Volume!$A$35:$G$109,MATCH(Data!X$1,Volume!$A$34:$G$34,0),0)*$S15</f>
        <v>0</v>
      </c>
      <c r="AA15" s="28">
        <f t="shared" ca="1" si="1"/>
        <v>1528472</v>
      </c>
      <c r="AB15" s="29">
        <f ca="1">VLOOKUP($C15,Volume!$A$35:$G$109,MATCH(Data!T$1,Volume!$A$34:$G$34,0),0)*$AA15</f>
        <v>348137.99888395</v>
      </c>
      <c r="AC15" s="29">
        <f ca="1">VLOOKUP($C15,Volume!$A$35:$G$109,MATCH(Data!U$1,Volume!$A$34:$G$34,0),0)*$AA15</f>
        <v>95268.568192133826</v>
      </c>
      <c r="AD15" s="29">
        <f ca="1">VLOOKUP($C15,Volume!$A$35:$G$109,MATCH(Data!V$1,Volume!$A$34:$G$34,0),0)*$AA15</f>
        <v>524330.27004728676</v>
      </c>
      <c r="AE15" s="29">
        <f ca="1">VLOOKUP($C15,Volume!$A$35:$G$109,MATCH(Data!W$1,Volume!$A$34:$G$34,0),0)*$AA15</f>
        <v>313835.03252337227</v>
      </c>
      <c r="AF15" s="29">
        <f ca="1">VLOOKUP($C15,Volume!$A$35:$G$109,MATCH(Data!X$1,Volume!$A$34:$G$34,0),0)*$AA15</f>
        <v>246900.13035325732</v>
      </c>
    </row>
    <row r="16" spans="1:33" x14ac:dyDescent="0.3">
      <c r="A16" s="19" t="s">
        <v>185</v>
      </c>
      <c r="B16" s="22" t="s">
        <v>9</v>
      </c>
      <c r="C16" s="25" t="s">
        <v>30</v>
      </c>
      <c r="D16" s="22" t="s">
        <v>31</v>
      </c>
      <c r="E16" s="19" t="s">
        <v>157</v>
      </c>
      <c r="F16" s="24">
        <v>0</v>
      </c>
      <c r="G16" s="24">
        <v>10884857</v>
      </c>
      <c r="H16" s="24">
        <v>10040000</v>
      </c>
      <c r="I16" s="24">
        <v>10206642</v>
      </c>
      <c r="J16" s="24">
        <v>11091546</v>
      </c>
      <c r="K16" s="24">
        <v>7636218</v>
      </c>
      <c r="L16" s="24">
        <v>11033900</v>
      </c>
      <c r="M16" s="24">
        <v>0</v>
      </c>
      <c r="N16" s="24">
        <v>0</v>
      </c>
      <c r="O16" s="24">
        <v>0</v>
      </c>
      <c r="P16" s="24">
        <v>0</v>
      </c>
      <c r="Q16" s="24">
        <f>IFERROR(GETPIVOTDATA("Số tiền",#REF!,"khoản mục phí",$C16,"THÁNG",Q$1),0)</f>
        <v>0</v>
      </c>
      <c r="S16" s="21">
        <f t="shared" ca="1" si="0"/>
        <v>0</v>
      </c>
      <c r="T16" s="21">
        <f ca="1">VLOOKUP($C16,Volume!$A$35:$G$109,MATCH(Data!T$1,Volume!$A$34:$G$34,0),0)*$S16</f>
        <v>0</v>
      </c>
      <c r="U16" s="21">
        <f ca="1">VLOOKUP($C16,Volume!$A$35:$G$109,MATCH(Data!U$1,Volume!$A$34:$G$34,0),0)*$S16</f>
        <v>0</v>
      </c>
      <c r="V16" s="21">
        <f ca="1">VLOOKUP($C16,Volume!$A$35:$G$109,MATCH(Data!V$1,Volume!$A$34:$G$34,0),0)*$S16</f>
        <v>0</v>
      </c>
      <c r="W16" s="21">
        <f ca="1">VLOOKUP($C16,Volume!$A$35:$G$109,MATCH(Data!W$1,Volume!$A$34:$G$34,0),0)*$S16</f>
        <v>0</v>
      </c>
      <c r="X16" s="21">
        <f ca="1">VLOOKUP($C16,Volume!$A$35:$G$109,MATCH(Data!X$1,Volume!$A$34:$G$34,0),0)*$S16</f>
        <v>0</v>
      </c>
      <c r="AA16" s="28">
        <f t="shared" ca="1" si="1"/>
        <v>60893163</v>
      </c>
      <c r="AB16" s="29">
        <f ca="1">VLOOKUP($C16,Volume!$A$35:$G$109,MATCH(Data!T$1,Volume!$A$34:$G$34,0),0)*$AA16</f>
        <v>13869553.326808857</v>
      </c>
      <c r="AC16" s="29">
        <f ca="1">VLOOKUP($C16,Volume!$A$35:$G$109,MATCH(Data!U$1,Volume!$A$34:$G$34,0),0)*$AA16</f>
        <v>3795427.3625556896</v>
      </c>
      <c r="AD16" s="29">
        <f ca="1">VLOOKUP($C16,Volume!$A$35:$G$109,MATCH(Data!V$1,Volume!$A$34:$G$34,0),0)*$AA16</f>
        <v>20888919.52212631</v>
      </c>
      <c r="AE16" s="29">
        <f ca="1">VLOOKUP($C16,Volume!$A$35:$G$109,MATCH(Data!W$1,Volume!$A$34:$G$34,0),0)*$AA16</f>
        <v>12502949.213695776</v>
      </c>
      <c r="AF16" s="29">
        <f ca="1">VLOOKUP($C16,Volume!$A$35:$G$109,MATCH(Data!X$1,Volume!$A$34:$G$34,0),0)*$AA16</f>
        <v>9836313.5748133734</v>
      </c>
    </row>
    <row r="17" spans="1:32" x14ac:dyDescent="0.3">
      <c r="A17" s="19" t="s">
        <v>185</v>
      </c>
      <c r="B17" s="22" t="s">
        <v>9</v>
      </c>
      <c r="C17" s="25" t="s">
        <v>32</v>
      </c>
      <c r="D17" s="22" t="s">
        <v>33</v>
      </c>
      <c r="E17" s="19" t="s">
        <v>157</v>
      </c>
      <c r="F17" s="24">
        <v>0</v>
      </c>
      <c r="G17" s="24">
        <v>0</v>
      </c>
      <c r="H17" s="24">
        <v>3181538</v>
      </c>
      <c r="I17" s="24">
        <v>100000</v>
      </c>
      <c r="J17" s="24">
        <v>1100000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f>IFERROR(GETPIVOTDATA("Số tiền",#REF!,"khoản mục phí",$C17,"THÁNG",Q$1),0)</f>
        <v>0</v>
      </c>
      <c r="S17" s="21">
        <f t="shared" ca="1" si="0"/>
        <v>0</v>
      </c>
      <c r="T17" s="21">
        <f ca="1">VLOOKUP($C17,Volume!$A$35:$G$109,MATCH(Data!T$1,Volume!$A$34:$G$34,0),0)*$S17</f>
        <v>0</v>
      </c>
      <c r="U17" s="21">
        <f ca="1">VLOOKUP($C17,Volume!$A$35:$G$109,MATCH(Data!U$1,Volume!$A$34:$G$34,0),0)*$S17</f>
        <v>0</v>
      </c>
      <c r="V17" s="21">
        <f ca="1">VLOOKUP($C17,Volume!$A$35:$G$109,MATCH(Data!V$1,Volume!$A$34:$G$34,0),0)*$S17</f>
        <v>0</v>
      </c>
      <c r="W17" s="21">
        <f ca="1">VLOOKUP($C17,Volume!$A$35:$G$109,MATCH(Data!W$1,Volume!$A$34:$G$34,0),0)*$S17</f>
        <v>0</v>
      </c>
      <c r="X17" s="21">
        <f ca="1">VLOOKUP($C17,Volume!$A$35:$G$109,MATCH(Data!X$1,Volume!$A$34:$G$34,0),0)*$S17</f>
        <v>0</v>
      </c>
      <c r="AA17" s="28">
        <f t="shared" ca="1" si="1"/>
        <v>4381538</v>
      </c>
      <c r="AB17" s="29">
        <f ca="1">VLOOKUP($C17,Volume!$A$35:$G$109,MATCH(Data!T$1,Volume!$A$34:$G$34,0),0)*$AA17</f>
        <v>997976.98050993716</v>
      </c>
      <c r="AC17" s="29">
        <f ca="1">VLOOKUP($C17,Volume!$A$35:$G$109,MATCH(Data!U$1,Volume!$A$34:$G$34,0),0)*$AA17</f>
        <v>273098.13443715399</v>
      </c>
      <c r="AD17" s="29">
        <f ca="1">VLOOKUP($C17,Volume!$A$35:$G$109,MATCH(Data!V$1,Volume!$A$34:$G$34,0),0)*$AA17</f>
        <v>1503052.0694932248</v>
      </c>
      <c r="AE17" s="29">
        <f ca="1">VLOOKUP($C17,Volume!$A$35:$G$109,MATCH(Data!W$1,Volume!$A$34:$G$34,0),0)*$AA17</f>
        <v>899643.6445891005</v>
      </c>
      <c r="AF17" s="29">
        <f ca="1">VLOOKUP($C17,Volume!$A$35:$G$109,MATCH(Data!X$1,Volume!$A$34:$G$34,0),0)*$AA17</f>
        <v>707767.17097058392</v>
      </c>
    </row>
    <row r="18" spans="1:32" x14ac:dyDescent="0.3">
      <c r="A18" s="19" t="s">
        <v>185</v>
      </c>
      <c r="B18" s="22" t="s">
        <v>9</v>
      </c>
      <c r="C18" s="25" t="s">
        <v>34</v>
      </c>
      <c r="D18" s="22" t="s">
        <v>35</v>
      </c>
      <c r="E18" s="19" t="s">
        <v>157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f>IFERROR(GETPIVOTDATA("Số tiền",#REF!,"khoản mục phí",$C18,"THÁNG",Q$1),0)</f>
        <v>0</v>
      </c>
      <c r="S18" s="21">
        <f t="shared" ca="1" si="0"/>
        <v>0</v>
      </c>
      <c r="T18" s="21">
        <f ca="1">VLOOKUP($C18,Volume!$A$35:$G$109,MATCH(Data!T$1,Volume!$A$34:$G$34,0),0)*$S18</f>
        <v>0</v>
      </c>
      <c r="U18" s="21">
        <f ca="1">VLOOKUP($C18,Volume!$A$35:$G$109,MATCH(Data!U$1,Volume!$A$34:$G$34,0),0)*$S18</f>
        <v>0</v>
      </c>
      <c r="V18" s="21">
        <f ca="1">VLOOKUP($C18,Volume!$A$35:$G$109,MATCH(Data!V$1,Volume!$A$34:$G$34,0),0)*$S18</f>
        <v>0</v>
      </c>
      <c r="W18" s="21">
        <f ca="1">VLOOKUP($C18,Volume!$A$35:$G$109,MATCH(Data!W$1,Volume!$A$34:$G$34,0),0)*$S18</f>
        <v>0</v>
      </c>
      <c r="X18" s="21">
        <f ca="1">VLOOKUP($C18,Volume!$A$35:$G$109,MATCH(Data!X$1,Volume!$A$34:$G$34,0),0)*$S18</f>
        <v>0</v>
      </c>
      <c r="AA18" s="28">
        <f t="shared" ca="1" si="1"/>
        <v>0</v>
      </c>
      <c r="AB18" s="29">
        <f ca="1">VLOOKUP($C18,Volume!$A$35:$G$109,MATCH(Data!T$1,Volume!$A$34:$G$34,0),0)*$AA18</f>
        <v>0</v>
      </c>
      <c r="AC18" s="29">
        <f ca="1">VLOOKUP($C18,Volume!$A$35:$G$109,MATCH(Data!U$1,Volume!$A$34:$G$34,0),0)*$AA18</f>
        <v>0</v>
      </c>
      <c r="AD18" s="29">
        <f ca="1">VLOOKUP($C18,Volume!$A$35:$G$109,MATCH(Data!V$1,Volume!$A$34:$G$34,0),0)*$AA18</f>
        <v>0</v>
      </c>
      <c r="AE18" s="29">
        <f ca="1">VLOOKUP($C18,Volume!$A$35:$G$109,MATCH(Data!W$1,Volume!$A$34:$G$34,0),0)*$AA18</f>
        <v>0</v>
      </c>
      <c r="AF18" s="29">
        <f ca="1">VLOOKUP($C18,Volume!$A$35:$G$109,MATCH(Data!X$1,Volume!$A$34:$G$34,0),0)*$AA18</f>
        <v>0</v>
      </c>
    </row>
    <row r="19" spans="1:32" x14ac:dyDescent="0.3">
      <c r="A19" s="19" t="s">
        <v>185</v>
      </c>
      <c r="B19" s="22" t="s">
        <v>9</v>
      </c>
      <c r="C19" s="25" t="s">
        <v>36</v>
      </c>
      <c r="D19" s="22" t="s">
        <v>37</v>
      </c>
      <c r="E19" s="19" t="s">
        <v>157</v>
      </c>
      <c r="F19" s="24">
        <v>36090000</v>
      </c>
      <c r="G19" s="24">
        <v>40410000</v>
      </c>
      <c r="H19" s="24">
        <v>60240000</v>
      </c>
      <c r="I19" s="24">
        <v>71210000</v>
      </c>
      <c r="J19" s="24">
        <v>72860000</v>
      </c>
      <c r="K19" s="24">
        <v>72860000</v>
      </c>
      <c r="L19" s="24">
        <v>75020000</v>
      </c>
      <c r="M19" s="24">
        <v>86239000</v>
      </c>
      <c r="N19" s="24">
        <v>73240000</v>
      </c>
      <c r="O19" s="24">
        <v>92593750</v>
      </c>
      <c r="P19" s="24">
        <v>41038250</v>
      </c>
      <c r="Q19" s="24">
        <f>IFERROR(GETPIVOTDATA("Số tiền",#REF!,"khoản mục phí",$C19,"THÁNG",Q$1),0)</f>
        <v>0</v>
      </c>
      <c r="S19" s="21">
        <f t="shared" ca="1" si="0"/>
        <v>41038250</v>
      </c>
      <c r="T19" s="21">
        <f ca="1">VLOOKUP($C19,Volume!$A$35:$G$109,MATCH(Data!T$1,Volume!$A$34:$G$34,0),0)*$S19</f>
        <v>9347226.6634254754</v>
      </c>
      <c r="U19" s="21">
        <f ca="1">VLOOKUP($C19,Volume!$A$35:$G$109,MATCH(Data!U$1,Volume!$A$34:$G$34,0),0)*$S19</f>
        <v>2557884.8147763489</v>
      </c>
      <c r="V19" s="21">
        <f ca="1">VLOOKUP($C19,Volume!$A$35:$G$109,MATCH(Data!V$1,Volume!$A$34:$G$34,0),0)*$S19</f>
        <v>14077848.141652619</v>
      </c>
      <c r="W19" s="21">
        <f ca="1">VLOOKUP($C19,Volume!$A$35:$G$109,MATCH(Data!W$1,Volume!$A$34:$G$34,0),0)*$S19</f>
        <v>8426219.4684968274</v>
      </c>
      <c r="X19" s="21">
        <f ca="1">VLOOKUP($C19,Volume!$A$35:$G$109,MATCH(Data!X$1,Volume!$A$34:$G$34,0),0)*$S19</f>
        <v>6629070.9116487326</v>
      </c>
      <c r="AA19" s="28">
        <f t="shared" ca="1" si="1"/>
        <v>721801000</v>
      </c>
      <c r="AB19" s="29">
        <f ca="1">VLOOKUP($C19,Volume!$A$35:$G$109,MATCH(Data!T$1,Volume!$A$34:$G$34,0),0)*$AA19</f>
        <v>164403636.92133975</v>
      </c>
      <c r="AC19" s="29">
        <f ca="1">VLOOKUP($C19,Volume!$A$35:$G$109,MATCH(Data!U$1,Volume!$A$34:$G$34,0),0)*$AA19</f>
        <v>44989340.851288334</v>
      </c>
      <c r="AD19" s="29">
        <f ca="1">VLOOKUP($C19,Volume!$A$35:$G$109,MATCH(Data!V$1,Volume!$A$34:$G$34,0),0)*$AA19</f>
        <v>247608142.80562654</v>
      </c>
      <c r="AE19" s="29">
        <f ca="1">VLOOKUP($C19,Volume!$A$35:$G$109,MATCH(Data!W$1,Volume!$A$34:$G$34,0),0)*$AA19</f>
        <v>148204507.71123227</v>
      </c>
      <c r="AF19" s="29">
        <f ca="1">VLOOKUP($C19,Volume!$A$35:$G$109,MATCH(Data!X$1,Volume!$A$34:$G$34,0),0)*$AA19</f>
        <v>116595371.71051317</v>
      </c>
    </row>
    <row r="20" spans="1:32" x14ac:dyDescent="0.3">
      <c r="A20" s="19" t="s">
        <v>185</v>
      </c>
      <c r="B20" s="22" t="s">
        <v>9</v>
      </c>
      <c r="C20" s="25" t="s">
        <v>38</v>
      </c>
      <c r="D20" s="22" t="s">
        <v>39</v>
      </c>
      <c r="E20" s="19" t="s">
        <v>157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878639</v>
      </c>
      <c r="P20" s="24">
        <v>0</v>
      </c>
      <c r="Q20" s="24">
        <f>IFERROR(GETPIVOTDATA("Số tiền",#REF!,"khoản mục phí",$C20,"THÁNG",Q$1),0)</f>
        <v>0</v>
      </c>
      <c r="S20" s="21">
        <f t="shared" ca="1" si="0"/>
        <v>0</v>
      </c>
      <c r="T20" s="21">
        <f ca="1">VLOOKUP($C20,Volume!$A$35:$G$109,MATCH(Data!T$1,Volume!$A$34:$G$34,0),0)*$S20</f>
        <v>0</v>
      </c>
      <c r="U20" s="21">
        <f ca="1">VLOOKUP($C20,Volume!$A$35:$G$109,MATCH(Data!U$1,Volume!$A$34:$G$34,0),0)*$S20</f>
        <v>0</v>
      </c>
      <c r="V20" s="21">
        <f ca="1">VLOOKUP($C20,Volume!$A$35:$G$109,MATCH(Data!V$1,Volume!$A$34:$G$34,0),0)*$S20</f>
        <v>0</v>
      </c>
      <c r="W20" s="21">
        <f ca="1">VLOOKUP($C20,Volume!$A$35:$G$109,MATCH(Data!W$1,Volume!$A$34:$G$34,0),0)*$S20</f>
        <v>0</v>
      </c>
      <c r="X20" s="21">
        <f ca="1">VLOOKUP($C20,Volume!$A$35:$G$109,MATCH(Data!X$1,Volume!$A$34:$G$34,0),0)*$S20</f>
        <v>0</v>
      </c>
      <c r="AA20" s="28">
        <f t="shared" ca="1" si="1"/>
        <v>878639</v>
      </c>
      <c r="AB20" s="29">
        <f ca="1">VLOOKUP($C20,Volume!$A$35:$G$109,MATCH(Data!T$1,Volume!$A$34:$G$34,0),0)*$AA20</f>
        <v>200126.41592478956</v>
      </c>
      <c r="AC20" s="29">
        <f ca="1">VLOOKUP($C20,Volume!$A$35:$G$109,MATCH(Data!U$1,Volume!$A$34:$G$34,0),0)*$AA20</f>
        <v>54764.941384446865</v>
      </c>
      <c r="AD20" s="29">
        <f ca="1">VLOOKUP($C20,Volume!$A$35:$G$109,MATCH(Data!V$1,Volume!$A$34:$G$34,0),0)*$AA20</f>
        <v>301410.18228929146</v>
      </c>
      <c r="AE20" s="29">
        <f ca="1">VLOOKUP($C20,Volume!$A$35:$G$109,MATCH(Data!W$1,Volume!$A$34:$G$34,0),0)*$AA20</f>
        <v>180407.42593996049</v>
      </c>
      <c r="AF20" s="29">
        <f ca="1">VLOOKUP($C20,Volume!$A$35:$G$109,MATCH(Data!X$1,Volume!$A$34:$G$34,0),0)*$AA20</f>
        <v>141930.03446151168</v>
      </c>
    </row>
    <row r="21" spans="1:32" x14ac:dyDescent="0.3">
      <c r="A21" s="19" t="s">
        <v>185</v>
      </c>
      <c r="B21" s="22" t="s">
        <v>9</v>
      </c>
      <c r="C21" s="25" t="s">
        <v>40</v>
      </c>
      <c r="D21" s="22" t="s">
        <v>41</v>
      </c>
      <c r="E21" s="19" t="s">
        <v>157</v>
      </c>
      <c r="F21" s="24">
        <v>2640000</v>
      </c>
      <c r="G21" s="24">
        <v>8325000</v>
      </c>
      <c r="H21" s="24">
        <v>69420000</v>
      </c>
      <c r="I21" s="24">
        <v>78885000</v>
      </c>
      <c r="J21" s="24">
        <v>73590000</v>
      </c>
      <c r="K21" s="24">
        <v>36635000</v>
      </c>
      <c r="L21" s="24">
        <v>99698000</v>
      </c>
      <c r="M21" s="24">
        <v>0</v>
      </c>
      <c r="N21" s="24">
        <v>0</v>
      </c>
      <c r="O21" s="24">
        <v>40502000</v>
      </c>
      <c r="P21" s="24">
        <v>0</v>
      </c>
      <c r="Q21" s="24">
        <f>IFERROR(GETPIVOTDATA("Số tiền",#REF!,"khoản mục phí",$C21,"THÁNG",Q$1),0)</f>
        <v>0</v>
      </c>
      <c r="S21" s="21">
        <f t="shared" ca="1" si="0"/>
        <v>0</v>
      </c>
      <c r="T21" s="21">
        <f ca="1">VLOOKUP($C21,Volume!$A$35:$G$109,MATCH(Data!T$1,Volume!$A$34:$G$34,0),0)*$S21</f>
        <v>0</v>
      </c>
      <c r="U21" s="21">
        <f ca="1">VLOOKUP($C21,Volume!$A$35:$G$109,MATCH(Data!U$1,Volume!$A$34:$G$34,0),0)*$S21</f>
        <v>0</v>
      </c>
      <c r="V21" s="21">
        <f ca="1">VLOOKUP($C21,Volume!$A$35:$G$109,MATCH(Data!V$1,Volume!$A$34:$G$34,0),0)*$S21</f>
        <v>0</v>
      </c>
      <c r="W21" s="21">
        <f ca="1">VLOOKUP($C21,Volume!$A$35:$G$109,MATCH(Data!W$1,Volume!$A$34:$G$34,0),0)*$S21</f>
        <v>0</v>
      </c>
      <c r="X21" s="21">
        <f ca="1">VLOOKUP($C21,Volume!$A$35:$G$109,MATCH(Data!X$1,Volume!$A$34:$G$34,0),0)*$S21</f>
        <v>0</v>
      </c>
      <c r="AA21" s="28">
        <f t="shared" ca="1" si="1"/>
        <v>409695000</v>
      </c>
      <c r="AB21" s="29">
        <f ca="1">VLOOKUP($C21,Volume!$A$35:$G$109,MATCH(Data!T$1,Volume!$A$34:$G$34,0),0)*$AA21</f>
        <v>93315675.689682186</v>
      </c>
      <c r="AC21" s="29">
        <f ca="1">VLOOKUP($C21,Volume!$A$35:$G$109,MATCH(Data!U$1,Volume!$A$34:$G$34,0),0)*$AA21</f>
        <v>25535996.763745926</v>
      </c>
      <c r="AD21" s="29">
        <f ca="1">VLOOKUP($C21,Volume!$A$35:$G$109,MATCH(Data!V$1,Volume!$A$34:$G$34,0),0)*$AA21</f>
        <v>140542639.96136215</v>
      </c>
      <c r="AE21" s="29">
        <f ca="1">VLOOKUP($C21,Volume!$A$35:$G$109,MATCH(Data!W$1,Volume!$A$34:$G$34,0),0)*$AA21</f>
        <v>84121033.064173236</v>
      </c>
      <c r="AF21" s="29">
        <f ca="1">VLOOKUP($C21,Volume!$A$35:$G$109,MATCH(Data!X$1,Volume!$A$34:$G$34,0),0)*$AA21</f>
        <v>66179654.521036536</v>
      </c>
    </row>
    <row r="22" spans="1:32" x14ac:dyDescent="0.3">
      <c r="A22" s="19" t="s">
        <v>185</v>
      </c>
      <c r="B22" s="22" t="s">
        <v>9</v>
      </c>
      <c r="C22" s="25" t="s">
        <v>42</v>
      </c>
      <c r="D22" s="22" t="s">
        <v>43</v>
      </c>
      <c r="E22" s="19" t="s">
        <v>157</v>
      </c>
      <c r="F22" s="24">
        <v>0</v>
      </c>
      <c r="G22" s="24">
        <v>6545000</v>
      </c>
      <c r="H22" s="24">
        <v>25835000</v>
      </c>
      <c r="I22" s="24">
        <v>4005000</v>
      </c>
      <c r="J22" s="24">
        <v>25532000</v>
      </c>
      <c r="K22" s="24">
        <v>26063000</v>
      </c>
      <c r="L22" s="24">
        <v>17247000</v>
      </c>
      <c r="M22" s="24">
        <v>0</v>
      </c>
      <c r="N22" s="24">
        <v>0</v>
      </c>
      <c r="O22" s="24">
        <v>0</v>
      </c>
      <c r="P22" s="24">
        <v>0</v>
      </c>
      <c r="Q22" s="24">
        <f>IFERROR(GETPIVOTDATA("Số tiền",#REF!,"khoản mục phí",$C22,"THÁNG",Q$1),0)</f>
        <v>0</v>
      </c>
      <c r="S22" s="21">
        <f t="shared" ca="1" si="0"/>
        <v>0</v>
      </c>
      <c r="T22" s="21">
        <f ca="1">VLOOKUP($C22,Volume!$A$35:$G$109,MATCH(Data!T$1,Volume!$A$34:$G$34,0),0)*$S22</f>
        <v>0</v>
      </c>
      <c r="U22" s="21">
        <f ca="1">VLOOKUP($C22,Volume!$A$35:$G$109,MATCH(Data!U$1,Volume!$A$34:$G$34,0),0)*$S22</f>
        <v>0</v>
      </c>
      <c r="V22" s="21">
        <f ca="1">VLOOKUP($C22,Volume!$A$35:$G$109,MATCH(Data!V$1,Volume!$A$34:$G$34,0),0)*$S22</f>
        <v>0</v>
      </c>
      <c r="W22" s="21">
        <f ca="1">VLOOKUP($C22,Volume!$A$35:$G$109,MATCH(Data!W$1,Volume!$A$34:$G$34,0),0)*$S22</f>
        <v>0</v>
      </c>
      <c r="X22" s="21">
        <f ca="1">VLOOKUP($C22,Volume!$A$35:$G$109,MATCH(Data!X$1,Volume!$A$34:$G$34,0),0)*$S22</f>
        <v>0</v>
      </c>
      <c r="AA22" s="28">
        <f t="shared" ca="1" si="1"/>
        <v>105227000</v>
      </c>
      <c r="AB22" s="29">
        <f ca="1">VLOOKUP($C22,Volume!$A$35:$G$109,MATCH(Data!T$1,Volume!$A$34:$G$34,0),0)*$AA22</f>
        <v>23967411.381144967</v>
      </c>
      <c r="AC22" s="29">
        <f ca="1">VLOOKUP($C22,Volume!$A$35:$G$109,MATCH(Data!U$1,Volume!$A$34:$G$34,0),0)*$AA22</f>
        <v>6558723.7614779109</v>
      </c>
      <c r="AD22" s="29">
        <f ca="1">VLOOKUP($C22,Volume!$A$35:$G$109,MATCH(Data!V$1,Volume!$A$34:$G$34,0),0)*$AA22</f>
        <v>36097292.803705819</v>
      </c>
      <c r="AE22" s="29">
        <f ca="1">VLOOKUP($C22,Volume!$A$35:$G$109,MATCH(Data!W$1,Volume!$A$34:$G$34,0),0)*$AA22</f>
        <v>21605838.35839773</v>
      </c>
      <c r="AF22" s="29">
        <f ca="1">VLOOKUP($C22,Volume!$A$35:$G$109,MATCH(Data!X$1,Volume!$A$34:$G$34,0),0)*$AA22</f>
        <v>16997733.695273586</v>
      </c>
    </row>
    <row r="23" spans="1:32" x14ac:dyDescent="0.3">
      <c r="A23" s="19" t="s">
        <v>185</v>
      </c>
      <c r="B23" s="22" t="s">
        <v>9</v>
      </c>
      <c r="C23" s="25" t="s">
        <v>44</v>
      </c>
      <c r="D23" s="22" t="s">
        <v>45</v>
      </c>
      <c r="E23" s="19" t="s">
        <v>157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1912500</v>
      </c>
      <c r="L23" s="24">
        <v>13854167</v>
      </c>
      <c r="M23" s="24">
        <v>0</v>
      </c>
      <c r="N23" s="24">
        <v>2364583</v>
      </c>
      <c r="O23" s="24">
        <v>0</v>
      </c>
      <c r="P23" s="24">
        <v>0</v>
      </c>
      <c r="Q23" s="24">
        <f>IFERROR(GETPIVOTDATA("Số tiền",#REF!,"khoản mục phí",$C23,"THÁNG",Q$1),0)</f>
        <v>0</v>
      </c>
      <c r="S23" s="21">
        <f t="shared" ca="1" si="0"/>
        <v>0</v>
      </c>
      <c r="T23" s="21">
        <f ca="1">VLOOKUP($C23,Volume!$A$35:$G$109,MATCH(Data!T$1,Volume!$A$34:$G$34,0),0)*$S23</f>
        <v>0</v>
      </c>
      <c r="U23" s="21">
        <f ca="1">VLOOKUP($C23,Volume!$A$35:$G$109,MATCH(Data!U$1,Volume!$A$34:$G$34,0),0)*$S23</f>
        <v>0</v>
      </c>
      <c r="V23" s="21">
        <f ca="1">VLOOKUP($C23,Volume!$A$35:$G$109,MATCH(Data!V$1,Volume!$A$34:$G$34,0),0)*$S23</f>
        <v>0</v>
      </c>
      <c r="W23" s="21">
        <f ca="1">VLOOKUP($C23,Volume!$A$35:$G$109,MATCH(Data!W$1,Volume!$A$34:$G$34,0),0)*$S23</f>
        <v>0</v>
      </c>
      <c r="X23" s="21">
        <f ca="1">VLOOKUP($C23,Volume!$A$35:$G$109,MATCH(Data!X$1,Volume!$A$34:$G$34,0),0)*$S23</f>
        <v>0</v>
      </c>
      <c r="AA23" s="28">
        <f t="shared" ca="1" si="1"/>
        <v>18131250</v>
      </c>
      <c r="AB23" s="29">
        <f ca="1">VLOOKUP($C23,Volume!$A$35:$G$109,MATCH(Data!T$1,Volume!$A$34:$G$34,0),0)*$AA23</f>
        <v>4129730.2745909765</v>
      </c>
      <c r="AC23" s="29">
        <f ca="1">VLOOKUP($C23,Volume!$A$35:$G$109,MATCH(Data!U$1,Volume!$A$34:$G$34,0),0)*$AA23</f>
        <v>1130107.8639540838</v>
      </c>
      <c r="AD23" s="29">
        <f ca="1">VLOOKUP($C23,Volume!$A$35:$G$109,MATCH(Data!V$1,Volume!$A$34:$G$34,0),0)*$AA23</f>
        <v>6219782.3766446933</v>
      </c>
      <c r="AE23" s="29">
        <f ca="1">VLOOKUP($C23,Volume!$A$35:$G$109,MATCH(Data!W$1,Volume!$A$34:$G$34,0),0)*$AA23</f>
        <v>3722816.9266034272</v>
      </c>
      <c r="AF23" s="29">
        <f ca="1">VLOOKUP($C23,Volume!$A$35:$G$109,MATCH(Data!X$1,Volume!$A$34:$G$34,0),0)*$AA23</f>
        <v>2928812.5582068213</v>
      </c>
    </row>
    <row r="24" spans="1:32" x14ac:dyDescent="0.3">
      <c r="A24" s="19" t="s">
        <v>185</v>
      </c>
      <c r="B24" s="22" t="s">
        <v>9</v>
      </c>
      <c r="C24" s="25" t="s">
        <v>46</v>
      </c>
      <c r="D24" s="22" t="s">
        <v>47</v>
      </c>
      <c r="E24" s="19" t="s">
        <v>157</v>
      </c>
      <c r="F24" s="24">
        <v>0</v>
      </c>
      <c r="G24" s="24">
        <v>173077</v>
      </c>
      <c r="H24" s="24">
        <v>17246923</v>
      </c>
      <c r="I24" s="24">
        <v>0</v>
      </c>
      <c r="J24" s="24">
        <v>0</v>
      </c>
      <c r="K24" s="24">
        <v>7185481</v>
      </c>
      <c r="L24" s="24">
        <v>545193</v>
      </c>
      <c r="M24" s="24">
        <v>0</v>
      </c>
      <c r="N24" s="24">
        <v>0</v>
      </c>
      <c r="O24" s="24">
        <v>0</v>
      </c>
      <c r="P24" s="24">
        <v>0</v>
      </c>
      <c r="Q24" s="24">
        <f>IFERROR(GETPIVOTDATA("Số tiền",#REF!,"khoản mục phí",$C24,"THÁNG",Q$1),0)</f>
        <v>0</v>
      </c>
      <c r="S24" s="21">
        <f t="shared" ca="1" si="0"/>
        <v>0</v>
      </c>
      <c r="T24" s="21">
        <f ca="1">VLOOKUP($C24,Volume!$A$35:$G$109,MATCH(Data!T$1,Volume!$A$34:$G$34,0),0)*$S24</f>
        <v>0</v>
      </c>
      <c r="U24" s="21">
        <f ca="1">VLOOKUP($C24,Volume!$A$35:$G$109,MATCH(Data!U$1,Volume!$A$34:$G$34,0),0)*$S24</f>
        <v>0</v>
      </c>
      <c r="V24" s="21">
        <f ca="1">VLOOKUP($C24,Volume!$A$35:$G$109,MATCH(Data!V$1,Volume!$A$34:$G$34,0),0)*$S24</f>
        <v>0</v>
      </c>
      <c r="W24" s="21">
        <f ca="1">VLOOKUP($C24,Volume!$A$35:$G$109,MATCH(Data!W$1,Volume!$A$34:$G$34,0),0)*$S24</f>
        <v>0</v>
      </c>
      <c r="X24" s="21">
        <f ca="1">VLOOKUP($C24,Volume!$A$35:$G$109,MATCH(Data!X$1,Volume!$A$34:$G$34,0),0)*$S24</f>
        <v>0</v>
      </c>
      <c r="AA24" s="28">
        <f t="shared" ca="1" si="1"/>
        <v>25150674</v>
      </c>
      <c r="AB24" s="29">
        <f ca="1">VLOOKUP($C24,Volume!$A$35:$G$109,MATCH(Data!T$1,Volume!$A$34:$G$34,0),0)*$AA24</f>
        <v>5728534.9793405384</v>
      </c>
      <c r="AC24" s="29">
        <f ca="1">VLOOKUP($C24,Volume!$A$35:$G$109,MATCH(Data!U$1,Volume!$A$34:$G$34,0),0)*$AA24</f>
        <v>1567623.5489084048</v>
      </c>
      <c r="AD24" s="29">
        <f ca="1">VLOOKUP($C24,Volume!$A$35:$G$109,MATCH(Data!V$1,Volume!$A$34:$G$34,0),0)*$AA24</f>
        <v>8627740.4429333825</v>
      </c>
      <c r="AE24" s="29">
        <f ca="1">VLOOKUP($C24,Volume!$A$35:$G$109,MATCH(Data!W$1,Volume!$A$34:$G$34,0),0)*$AA24</f>
        <v>5164087.1358943665</v>
      </c>
      <c r="AF24" s="29">
        <f ca="1">VLOOKUP($C24,Volume!$A$35:$G$109,MATCH(Data!X$1,Volume!$A$34:$G$34,0),0)*$AA24</f>
        <v>4062687.8929233113</v>
      </c>
    </row>
    <row r="25" spans="1:32" x14ac:dyDescent="0.3">
      <c r="A25" s="19" t="s">
        <v>185</v>
      </c>
      <c r="B25" s="22" t="s">
        <v>9</v>
      </c>
      <c r="C25" s="25" t="s">
        <v>48</v>
      </c>
      <c r="D25" s="22" t="s">
        <v>49</v>
      </c>
      <c r="E25" s="19" t="s">
        <v>157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f>IFERROR(GETPIVOTDATA("Số tiền",#REF!,"khoản mục phí",$C25,"THÁNG",Q$1),0)</f>
        <v>0</v>
      </c>
      <c r="S25" s="21">
        <f t="shared" ca="1" si="0"/>
        <v>0</v>
      </c>
      <c r="T25" s="21">
        <f ca="1">VLOOKUP($C25,Volume!$A$35:$G$109,MATCH(Data!T$1,Volume!$A$34:$G$34,0),0)*$S25</f>
        <v>0</v>
      </c>
      <c r="U25" s="21">
        <f ca="1">VLOOKUP($C25,Volume!$A$35:$G$109,MATCH(Data!U$1,Volume!$A$34:$G$34,0),0)*$S25</f>
        <v>0</v>
      </c>
      <c r="V25" s="21">
        <f ca="1">VLOOKUP($C25,Volume!$A$35:$G$109,MATCH(Data!V$1,Volume!$A$34:$G$34,0),0)*$S25</f>
        <v>0</v>
      </c>
      <c r="W25" s="21">
        <f ca="1">VLOOKUP($C25,Volume!$A$35:$G$109,MATCH(Data!W$1,Volume!$A$34:$G$34,0),0)*$S25</f>
        <v>0</v>
      </c>
      <c r="X25" s="21">
        <f ca="1">VLOOKUP($C25,Volume!$A$35:$G$109,MATCH(Data!X$1,Volume!$A$34:$G$34,0),0)*$S25</f>
        <v>0</v>
      </c>
      <c r="AA25" s="28">
        <f t="shared" ca="1" si="1"/>
        <v>0</v>
      </c>
      <c r="AB25" s="29">
        <f ca="1">VLOOKUP($C25,Volume!$A$35:$G$109,MATCH(Data!T$1,Volume!$A$34:$G$34,0),0)*$AA25</f>
        <v>0</v>
      </c>
      <c r="AC25" s="29">
        <f ca="1">VLOOKUP($C25,Volume!$A$35:$G$109,MATCH(Data!U$1,Volume!$A$34:$G$34,0),0)*$AA25</f>
        <v>0</v>
      </c>
      <c r="AD25" s="29">
        <f ca="1">VLOOKUP($C25,Volume!$A$35:$G$109,MATCH(Data!V$1,Volume!$A$34:$G$34,0),0)*$AA25</f>
        <v>0</v>
      </c>
      <c r="AE25" s="29">
        <f ca="1">VLOOKUP($C25,Volume!$A$35:$G$109,MATCH(Data!W$1,Volume!$A$34:$G$34,0),0)*$AA25</f>
        <v>0</v>
      </c>
      <c r="AF25" s="29">
        <f ca="1">VLOOKUP($C25,Volume!$A$35:$G$109,MATCH(Data!X$1,Volume!$A$34:$G$34,0),0)*$AA25</f>
        <v>0</v>
      </c>
    </row>
    <row r="26" spans="1:32" x14ac:dyDescent="0.3">
      <c r="A26" s="19" t="s">
        <v>185</v>
      </c>
      <c r="B26" s="22" t="s">
        <v>9</v>
      </c>
      <c r="C26" s="25" t="s">
        <v>50</v>
      </c>
      <c r="D26" s="22" t="s">
        <v>51</v>
      </c>
      <c r="E26" s="19" t="s">
        <v>157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f>IFERROR(GETPIVOTDATA("Số tiền",#REF!,"khoản mục phí",$C26,"THÁNG",Q$1),0)</f>
        <v>0</v>
      </c>
      <c r="S26" s="21">
        <f t="shared" ca="1" si="0"/>
        <v>0</v>
      </c>
      <c r="T26" s="21">
        <f ca="1">VLOOKUP($C26,Volume!$A$35:$G$109,MATCH(Data!T$1,Volume!$A$34:$G$34,0),0)*$S26</f>
        <v>0</v>
      </c>
      <c r="U26" s="21">
        <f ca="1">VLOOKUP($C26,Volume!$A$35:$G$109,MATCH(Data!U$1,Volume!$A$34:$G$34,0),0)*$S26</f>
        <v>0</v>
      </c>
      <c r="V26" s="21">
        <f ca="1">VLOOKUP($C26,Volume!$A$35:$G$109,MATCH(Data!V$1,Volume!$A$34:$G$34,0),0)*$S26</f>
        <v>0</v>
      </c>
      <c r="W26" s="21">
        <f ca="1">VLOOKUP($C26,Volume!$A$35:$G$109,MATCH(Data!W$1,Volume!$A$34:$G$34,0),0)*$S26</f>
        <v>0</v>
      </c>
      <c r="X26" s="21">
        <f ca="1">VLOOKUP($C26,Volume!$A$35:$G$109,MATCH(Data!X$1,Volume!$A$34:$G$34,0),0)*$S26</f>
        <v>0</v>
      </c>
      <c r="AA26" s="28">
        <f t="shared" ca="1" si="1"/>
        <v>0</v>
      </c>
      <c r="AB26" s="29">
        <f ca="1">VLOOKUP($C26,Volume!$A$35:$G$109,MATCH(Data!T$1,Volume!$A$34:$G$34,0),0)*$AA26</f>
        <v>0</v>
      </c>
      <c r="AC26" s="29">
        <f ca="1">VLOOKUP($C26,Volume!$A$35:$G$109,MATCH(Data!U$1,Volume!$A$34:$G$34,0),0)*$AA26</f>
        <v>0</v>
      </c>
      <c r="AD26" s="29">
        <f ca="1">VLOOKUP($C26,Volume!$A$35:$G$109,MATCH(Data!V$1,Volume!$A$34:$G$34,0),0)*$AA26</f>
        <v>0</v>
      </c>
      <c r="AE26" s="29">
        <f ca="1">VLOOKUP($C26,Volume!$A$35:$G$109,MATCH(Data!W$1,Volume!$A$34:$G$34,0),0)*$AA26</f>
        <v>0</v>
      </c>
      <c r="AF26" s="29">
        <f ca="1">VLOOKUP($C26,Volume!$A$35:$G$109,MATCH(Data!X$1,Volume!$A$34:$G$34,0),0)*$AA26</f>
        <v>0</v>
      </c>
    </row>
    <row r="27" spans="1:32" x14ac:dyDescent="0.3">
      <c r="A27" s="19" t="s">
        <v>185</v>
      </c>
      <c r="B27" s="22" t="s">
        <v>9</v>
      </c>
      <c r="C27" s="25" t="s">
        <v>52</v>
      </c>
      <c r="D27" s="22" t="s">
        <v>53</v>
      </c>
      <c r="E27" s="19" t="s">
        <v>157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f>IFERROR(GETPIVOTDATA("Số tiền",#REF!,"khoản mục phí",$C27,"THÁNG",Q$1),0)</f>
        <v>0</v>
      </c>
      <c r="S27" s="21">
        <f t="shared" ca="1" si="0"/>
        <v>0</v>
      </c>
      <c r="T27" s="21">
        <f ca="1">VLOOKUP($C27,Volume!$A$35:$G$109,MATCH(Data!T$1,Volume!$A$34:$G$34,0),0)*$S27</f>
        <v>0</v>
      </c>
      <c r="U27" s="21">
        <f ca="1">VLOOKUP($C27,Volume!$A$35:$G$109,MATCH(Data!U$1,Volume!$A$34:$G$34,0),0)*$S27</f>
        <v>0</v>
      </c>
      <c r="V27" s="21">
        <f ca="1">VLOOKUP($C27,Volume!$A$35:$G$109,MATCH(Data!V$1,Volume!$A$34:$G$34,0),0)*$S27</f>
        <v>0</v>
      </c>
      <c r="W27" s="21">
        <f ca="1">VLOOKUP($C27,Volume!$A$35:$G$109,MATCH(Data!W$1,Volume!$A$34:$G$34,0),0)*$S27</f>
        <v>0</v>
      </c>
      <c r="X27" s="21">
        <f ca="1">VLOOKUP($C27,Volume!$A$35:$G$109,MATCH(Data!X$1,Volume!$A$34:$G$34,0),0)*$S27</f>
        <v>0</v>
      </c>
      <c r="AA27" s="28">
        <f t="shared" ca="1" si="1"/>
        <v>0</v>
      </c>
      <c r="AB27" s="29">
        <f ca="1">VLOOKUP($C27,Volume!$A$35:$G$109,MATCH(Data!T$1,Volume!$A$34:$G$34,0),0)*$AA27</f>
        <v>0</v>
      </c>
      <c r="AC27" s="29">
        <f ca="1">VLOOKUP($C27,Volume!$A$35:$G$109,MATCH(Data!U$1,Volume!$A$34:$G$34,0),0)*$AA27</f>
        <v>0</v>
      </c>
      <c r="AD27" s="29">
        <f ca="1">VLOOKUP($C27,Volume!$A$35:$G$109,MATCH(Data!V$1,Volume!$A$34:$G$34,0),0)*$AA27</f>
        <v>0</v>
      </c>
      <c r="AE27" s="29">
        <f ca="1">VLOOKUP($C27,Volume!$A$35:$G$109,MATCH(Data!W$1,Volume!$A$34:$G$34,0),0)*$AA27</f>
        <v>0</v>
      </c>
      <c r="AF27" s="29">
        <f ca="1">VLOOKUP($C27,Volume!$A$35:$G$109,MATCH(Data!X$1,Volume!$A$34:$G$34,0),0)*$AA27</f>
        <v>0</v>
      </c>
    </row>
    <row r="28" spans="1:32" x14ac:dyDescent="0.3">
      <c r="A28" s="19" t="s">
        <v>185</v>
      </c>
      <c r="B28" s="22" t="s">
        <v>9</v>
      </c>
      <c r="C28" s="25" t="s">
        <v>54</v>
      </c>
      <c r="D28" s="22" t="s">
        <v>55</v>
      </c>
      <c r="E28" s="19" t="s">
        <v>157</v>
      </c>
      <c r="F28" s="24">
        <v>0</v>
      </c>
      <c r="G28" s="24">
        <v>12000000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f>IFERROR(GETPIVOTDATA("Số tiền",#REF!,"khoản mục phí",$C28,"THÁNG",Q$1),0)</f>
        <v>0</v>
      </c>
      <c r="S28" s="21">
        <f t="shared" ca="1" si="0"/>
        <v>0</v>
      </c>
      <c r="T28" s="21">
        <f ca="1">VLOOKUP($C28,Volume!$A$35:$G$109,MATCH(Data!T$1,Volume!$A$34:$G$34,0),0)*$S28</f>
        <v>0</v>
      </c>
      <c r="U28" s="21">
        <f ca="1">VLOOKUP($C28,Volume!$A$35:$G$109,MATCH(Data!U$1,Volume!$A$34:$G$34,0),0)*$S28</f>
        <v>0</v>
      </c>
      <c r="V28" s="21">
        <f ca="1">VLOOKUP($C28,Volume!$A$35:$G$109,MATCH(Data!V$1,Volume!$A$34:$G$34,0),0)*$S28</f>
        <v>0</v>
      </c>
      <c r="W28" s="21">
        <f ca="1">VLOOKUP($C28,Volume!$A$35:$G$109,MATCH(Data!W$1,Volume!$A$34:$G$34,0),0)*$S28</f>
        <v>0</v>
      </c>
      <c r="X28" s="21">
        <f ca="1">VLOOKUP($C28,Volume!$A$35:$G$109,MATCH(Data!X$1,Volume!$A$34:$G$34,0),0)*$S28</f>
        <v>0</v>
      </c>
      <c r="AA28" s="28">
        <f t="shared" ca="1" si="1"/>
        <v>12000000</v>
      </c>
      <c r="AB28" s="29">
        <f ca="1">VLOOKUP($C28,Volume!$A$35:$G$109,MATCH(Data!T$1,Volume!$A$34:$G$34,0),0)*$AA28</f>
        <v>2733223.7598120216</v>
      </c>
      <c r="AC28" s="29">
        <f ca="1">VLOOKUP($C28,Volume!$A$35:$G$109,MATCH(Data!U$1,Volume!$A$34:$G$34,0),0)*$AA28</f>
        <v>747951.43012472976</v>
      </c>
      <c r="AD28" s="29">
        <f ca="1">VLOOKUP($C28,Volume!$A$35:$G$109,MATCH(Data!V$1,Volume!$A$34:$G$34,0),0)*$AA28</f>
        <v>4116505.3992270976</v>
      </c>
      <c r="AE28" s="29">
        <f ca="1">VLOOKUP($C28,Volume!$A$35:$G$109,MATCH(Data!W$1,Volume!$A$34:$G$34,0),0)*$AA28</f>
        <v>2463911.9266041298</v>
      </c>
      <c r="AF28" s="29">
        <f ca="1">VLOOKUP($C28,Volume!$A$35:$G$109,MATCH(Data!X$1,Volume!$A$34:$G$34,0),0)*$AA28</f>
        <v>1938407.4842320224</v>
      </c>
    </row>
    <row r="29" spans="1:32" x14ac:dyDescent="0.3">
      <c r="A29" s="19" t="s">
        <v>185</v>
      </c>
      <c r="B29" s="22" t="s">
        <v>9</v>
      </c>
      <c r="C29" s="25" t="s">
        <v>56</v>
      </c>
      <c r="D29" s="22" t="s">
        <v>57</v>
      </c>
      <c r="E29" s="19" t="s">
        <v>157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f>IFERROR(GETPIVOTDATA("Số tiền",#REF!,"khoản mục phí",$C29,"THÁNG",Q$1),0)</f>
        <v>0</v>
      </c>
      <c r="S29" s="21">
        <f t="shared" ca="1" si="0"/>
        <v>0</v>
      </c>
      <c r="T29" s="21">
        <f ca="1">VLOOKUP($C29,Volume!$A$35:$G$109,MATCH(Data!T$1,Volume!$A$34:$G$34,0),0)*$S29</f>
        <v>0</v>
      </c>
      <c r="U29" s="21">
        <f ca="1">VLOOKUP($C29,Volume!$A$35:$G$109,MATCH(Data!U$1,Volume!$A$34:$G$34,0),0)*$S29</f>
        <v>0</v>
      </c>
      <c r="V29" s="21">
        <f ca="1">VLOOKUP($C29,Volume!$A$35:$G$109,MATCH(Data!V$1,Volume!$A$34:$G$34,0),0)*$S29</f>
        <v>0</v>
      </c>
      <c r="W29" s="21">
        <f ca="1">VLOOKUP($C29,Volume!$A$35:$G$109,MATCH(Data!W$1,Volume!$A$34:$G$34,0),0)*$S29</f>
        <v>0</v>
      </c>
      <c r="X29" s="21">
        <f ca="1">VLOOKUP($C29,Volume!$A$35:$G$109,MATCH(Data!X$1,Volume!$A$34:$G$34,0),0)*$S29</f>
        <v>0</v>
      </c>
      <c r="AA29" s="28">
        <f t="shared" ca="1" si="1"/>
        <v>0</v>
      </c>
      <c r="AB29" s="29">
        <f ca="1">VLOOKUP($C29,Volume!$A$35:$G$109,MATCH(Data!T$1,Volume!$A$34:$G$34,0),0)*$AA29</f>
        <v>0</v>
      </c>
      <c r="AC29" s="29">
        <f ca="1">VLOOKUP($C29,Volume!$A$35:$G$109,MATCH(Data!U$1,Volume!$A$34:$G$34,0),0)*$AA29</f>
        <v>0</v>
      </c>
      <c r="AD29" s="29">
        <f ca="1">VLOOKUP($C29,Volume!$A$35:$G$109,MATCH(Data!V$1,Volume!$A$34:$G$34,0),0)*$AA29</f>
        <v>0</v>
      </c>
      <c r="AE29" s="29">
        <f ca="1">VLOOKUP($C29,Volume!$A$35:$G$109,MATCH(Data!W$1,Volume!$A$34:$G$34,0),0)*$AA29</f>
        <v>0</v>
      </c>
      <c r="AF29" s="29">
        <f ca="1">VLOOKUP($C29,Volume!$A$35:$G$109,MATCH(Data!X$1,Volume!$A$34:$G$34,0),0)*$AA29</f>
        <v>0</v>
      </c>
    </row>
    <row r="30" spans="1:32" x14ac:dyDescent="0.3">
      <c r="A30" s="19" t="s">
        <v>186</v>
      </c>
      <c r="B30" s="22" t="s">
        <v>58</v>
      </c>
      <c r="C30" s="23" t="s">
        <v>59</v>
      </c>
      <c r="D30" s="22" t="s">
        <v>60</v>
      </c>
      <c r="E30" s="19" t="s">
        <v>155</v>
      </c>
      <c r="F30" s="24">
        <v>1176204566</v>
      </c>
      <c r="G30" s="24">
        <v>-23736048</v>
      </c>
      <c r="H30" s="24">
        <v>25353748</v>
      </c>
      <c r="I30" s="24">
        <v>0</v>
      </c>
      <c r="J30" s="24">
        <v>319557497</v>
      </c>
      <c r="K30" s="24">
        <v>428432110</v>
      </c>
      <c r="L30" s="24">
        <v>420859837</v>
      </c>
      <c r="M30" s="24">
        <v>398682955</v>
      </c>
      <c r="N30" s="24">
        <v>220000</v>
      </c>
      <c r="O30" s="24">
        <v>-178838880</v>
      </c>
      <c r="P30" s="24">
        <v>0</v>
      </c>
      <c r="Q30" s="24">
        <f>IFERROR(GETPIVOTDATA("Số tiền",#REF!,"khoản mục phí",$C30,"THÁNG",Q$1),0)</f>
        <v>0</v>
      </c>
      <c r="S30" s="21">
        <f t="shared" ca="1" si="0"/>
        <v>0</v>
      </c>
      <c r="T30" s="21">
        <f ca="1">VLOOKUP($C30,Volume!$A$35:$G$109,MATCH(Data!T$1,Volume!$A$34:$G$34,0),0)*$S30</f>
        <v>0</v>
      </c>
      <c r="U30" s="21">
        <f ca="1">VLOOKUP($C30,Volume!$A$35:$G$109,MATCH(Data!U$1,Volume!$A$34:$G$34,0),0)*$S30</f>
        <v>0</v>
      </c>
      <c r="V30" s="21">
        <f ca="1">VLOOKUP($C30,Volume!$A$35:$G$109,MATCH(Data!V$1,Volume!$A$34:$G$34,0),0)*$S30</f>
        <v>0</v>
      </c>
      <c r="W30" s="21">
        <f ca="1">VLOOKUP($C30,Volume!$A$35:$G$109,MATCH(Data!W$1,Volume!$A$34:$G$34,0),0)*$S30</f>
        <v>0</v>
      </c>
      <c r="X30" s="21">
        <f ca="1">VLOOKUP($C30,Volume!$A$35:$G$109,MATCH(Data!X$1,Volume!$A$34:$G$34,0),0)*$S30</f>
        <v>0</v>
      </c>
      <c r="AA30" s="28">
        <f t="shared" ca="1" si="1"/>
        <v>2566735785</v>
      </c>
      <c r="AB30" s="29">
        <f ca="1">VLOOKUP($C30,Volume!$A$35:$G$109,MATCH(Data!T$1,Volume!$A$34:$G$34,0),0)*$AA30</f>
        <v>826066360.26245558</v>
      </c>
      <c r="AC30" s="29">
        <f ca="1">VLOOKUP($C30,Volume!$A$35:$G$109,MATCH(Data!U$1,Volume!$A$34:$G$34,0),0)*$AA30</f>
        <v>145320746.50110358</v>
      </c>
      <c r="AD30" s="29">
        <f ca="1">VLOOKUP($C30,Volume!$A$35:$G$109,MATCH(Data!V$1,Volume!$A$34:$G$34,0),0)*$AA30</f>
        <v>533201857.32001871</v>
      </c>
      <c r="AE30" s="29">
        <f ca="1">VLOOKUP($C30,Volume!$A$35:$G$109,MATCH(Data!W$1,Volume!$A$34:$G$34,0),0)*$AA30</f>
        <v>585099300.23146546</v>
      </c>
      <c r="AF30" s="29">
        <f ca="1">VLOOKUP($C30,Volume!$A$35:$G$109,MATCH(Data!X$1,Volume!$A$34:$G$34,0),0)*$AA30</f>
        <v>477047520.68495667</v>
      </c>
    </row>
    <row r="31" spans="1:32" x14ac:dyDescent="0.3">
      <c r="A31" s="19" t="s">
        <v>186</v>
      </c>
      <c r="B31" s="22" t="s">
        <v>58</v>
      </c>
      <c r="C31" s="23" t="s">
        <v>61</v>
      </c>
      <c r="D31" s="22" t="s">
        <v>62</v>
      </c>
      <c r="E31" s="19" t="s">
        <v>155</v>
      </c>
      <c r="F31" s="24">
        <v>30170320</v>
      </c>
      <c r="G31" s="24">
        <v>2291358</v>
      </c>
      <c r="H31" s="24">
        <v>227363501</v>
      </c>
      <c r="I31" s="24">
        <v>127438484</v>
      </c>
      <c r="J31" s="24">
        <v>110414765</v>
      </c>
      <c r="K31" s="24">
        <v>138176124</v>
      </c>
      <c r="L31" s="24">
        <v>19707271</v>
      </c>
      <c r="M31" s="24">
        <v>53205909</v>
      </c>
      <c r="N31" s="24">
        <v>0</v>
      </c>
      <c r="O31" s="24">
        <v>9268187</v>
      </c>
      <c r="P31" s="24">
        <v>16754545</v>
      </c>
      <c r="Q31" s="24">
        <f>IFERROR(GETPIVOTDATA("Số tiền",#REF!,"khoản mục phí",$C31,"THÁNG",Q$1),0)</f>
        <v>0</v>
      </c>
      <c r="S31" s="21">
        <f t="shared" ca="1" si="0"/>
        <v>16754545</v>
      </c>
      <c r="T31" s="21">
        <f ca="1">VLOOKUP($C31,Volume!$A$35:$G$109,MATCH(Data!T$1,Volume!$A$34:$G$34,0),0)*$S31</f>
        <v>5392205.1840655347</v>
      </c>
      <c r="U31" s="21">
        <f ca="1">VLOOKUP($C31,Volume!$A$35:$G$109,MATCH(Data!U$1,Volume!$A$34:$G$34,0),0)*$S31</f>
        <v>948591.20323766849</v>
      </c>
      <c r="V31" s="21">
        <f ca="1">VLOOKUP($C31,Volume!$A$35:$G$109,MATCH(Data!V$1,Volume!$A$34:$G$34,0),0)*$S31</f>
        <v>3480511.9267668733</v>
      </c>
      <c r="W31" s="21">
        <f ca="1">VLOOKUP($C31,Volume!$A$35:$G$109,MATCH(Data!W$1,Volume!$A$34:$G$34,0),0)*$S31</f>
        <v>3819276.0674806251</v>
      </c>
      <c r="X31" s="21">
        <f ca="1">VLOOKUP($C31,Volume!$A$35:$G$109,MATCH(Data!X$1,Volume!$A$34:$G$34,0),0)*$S31</f>
        <v>3113960.6184492949</v>
      </c>
      <c r="AA31" s="28">
        <f t="shared" ca="1" si="1"/>
        <v>734790464</v>
      </c>
      <c r="AB31" s="29">
        <f ca="1">VLOOKUP($C31,Volume!$A$35:$G$109,MATCH(Data!T$1,Volume!$A$34:$G$34,0),0)*$AA31</f>
        <v>236481560.62624916</v>
      </c>
      <c r="AC31" s="29">
        <f ca="1">VLOOKUP($C31,Volume!$A$35:$G$109,MATCH(Data!U$1,Volume!$A$34:$G$34,0),0)*$AA31</f>
        <v>41601593.500350192</v>
      </c>
      <c r="AD31" s="29">
        <f ca="1">VLOOKUP($C31,Volume!$A$35:$G$109,MATCH(Data!V$1,Volume!$A$34:$G$34,0),0)*$AA31</f>
        <v>152641983.03365237</v>
      </c>
      <c r="AE31" s="29">
        <f ca="1">VLOOKUP($C31,Volume!$A$35:$G$109,MATCH(Data!W$1,Volume!$A$34:$G$34,0),0)*$AA31</f>
        <v>167498886.64647019</v>
      </c>
      <c r="AF31" s="29">
        <f ca="1">VLOOKUP($C31,Volume!$A$35:$G$109,MATCH(Data!X$1,Volume!$A$34:$G$34,0),0)*$AA31</f>
        <v>136566440.19327796</v>
      </c>
    </row>
    <row r="32" spans="1:32" x14ac:dyDescent="0.3">
      <c r="A32" s="19" t="s">
        <v>186</v>
      </c>
      <c r="B32" s="22" t="s">
        <v>58</v>
      </c>
      <c r="C32" s="23" t="s">
        <v>63</v>
      </c>
      <c r="D32" s="22" t="s">
        <v>64</v>
      </c>
      <c r="E32" s="19" t="s">
        <v>155</v>
      </c>
      <c r="F32" s="24">
        <v>817397891</v>
      </c>
      <c r="G32" s="24">
        <v>351423769</v>
      </c>
      <c r="H32" s="24">
        <v>645190397</v>
      </c>
      <c r="I32" s="24">
        <v>723972310</v>
      </c>
      <c r="J32" s="24">
        <v>1005800427</v>
      </c>
      <c r="K32" s="24">
        <v>1151056709</v>
      </c>
      <c r="L32" s="24">
        <v>1008388588</v>
      </c>
      <c r="M32" s="24">
        <v>993252294</v>
      </c>
      <c r="N32" s="24">
        <v>739495586</v>
      </c>
      <c r="O32" s="24">
        <v>760477734</v>
      </c>
      <c r="P32" s="24">
        <v>502380347</v>
      </c>
      <c r="Q32" s="24">
        <f>IFERROR(GETPIVOTDATA("Số tiền",#REF!,"khoản mục phí",$C32,"THÁNG",Q$1),0)</f>
        <v>0</v>
      </c>
      <c r="S32" s="21">
        <f t="shared" ca="1" si="0"/>
        <v>502380347</v>
      </c>
      <c r="T32" s="21">
        <f ca="1">VLOOKUP($C32,Volume!$A$35:$G$109,MATCH(Data!T$1,Volume!$A$34:$G$34,0),0)*$S32</f>
        <v>161683764.7018193</v>
      </c>
      <c r="U32" s="21">
        <f ca="1">VLOOKUP($C32,Volume!$A$35:$G$109,MATCH(Data!U$1,Volume!$A$34:$G$34,0),0)*$S32</f>
        <v>28443241.988588024</v>
      </c>
      <c r="V32" s="21">
        <f ca="1">VLOOKUP($C32,Volume!$A$35:$G$109,MATCH(Data!V$1,Volume!$A$34:$G$34,0),0)*$S32</f>
        <v>104362176.92015991</v>
      </c>
      <c r="W32" s="21">
        <f ca="1">VLOOKUP($C32,Volume!$A$35:$G$109,MATCH(Data!W$1,Volume!$A$34:$G$34,0),0)*$S32</f>
        <v>114519924.95586795</v>
      </c>
      <c r="X32" s="21">
        <f ca="1">VLOOKUP($C32,Volume!$A$35:$G$109,MATCH(Data!X$1,Volume!$A$34:$G$34,0),0)*$S32</f>
        <v>93371238.433564857</v>
      </c>
      <c r="AA32" s="28">
        <f t="shared" ca="1" si="1"/>
        <v>8698836052</v>
      </c>
      <c r="AB32" s="29">
        <f ca="1">VLOOKUP($C32,Volume!$A$35:$G$109,MATCH(Data!T$1,Volume!$A$34:$G$34,0),0)*$AA32</f>
        <v>2799593116.6695714</v>
      </c>
      <c r="AC32" s="29">
        <f ca="1">VLOOKUP($C32,Volume!$A$35:$G$109,MATCH(Data!U$1,Volume!$A$34:$G$34,0),0)*$AA32</f>
        <v>492501548.52512509</v>
      </c>
      <c r="AD32" s="29">
        <f ca="1">VLOOKUP($C32,Volume!$A$35:$G$109,MATCH(Data!V$1,Volume!$A$34:$G$34,0),0)*$AA32</f>
        <v>1807056093.0168898</v>
      </c>
      <c r="AE32" s="29">
        <f ca="1">VLOOKUP($C32,Volume!$A$35:$G$109,MATCH(Data!W$1,Volume!$A$34:$G$34,0),0)*$AA32</f>
        <v>1982939933.5130415</v>
      </c>
      <c r="AF32" s="29">
        <f ca="1">VLOOKUP($C32,Volume!$A$35:$G$109,MATCH(Data!X$1,Volume!$A$34:$G$34,0),0)*$AA32</f>
        <v>1616745360.275373</v>
      </c>
    </row>
    <row r="33" spans="1:32" x14ac:dyDescent="0.3">
      <c r="A33" s="19" t="s">
        <v>186</v>
      </c>
      <c r="B33" s="22" t="s">
        <v>58</v>
      </c>
      <c r="C33" s="23" t="s">
        <v>65</v>
      </c>
      <c r="D33" s="22" t="s">
        <v>66</v>
      </c>
      <c r="E33" s="19" t="s">
        <v>161</v>
      </c>
      <c r="F33" s="24">
        <v>0</v>
      </c>
      <c r="G33" s="24">
        <v>0</v>
      </c>
      <c r="H33" s="24">
        <v>0</v>
      </c>
      <c r="I33" s="24">
        <v>0</v>
      </c>
      <c r="J33" s="24">
        <v>4800000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f>IFERROR(GETPIVOTDATA("Số tiền",#REF!,"khoản mục phí",$C33,"THÁNG",Q$1),0)</f>
        <v>0</v>
      </c>
      <c r="S33" s="21">
        <f t="shared" ca="1" si="0"/>
        <v>0</v>
      </c>
      <c r="T33" s="21">
        <f ca="1">VLOOKUP($C33,Volume!$A$35:$G$109,MATCH(Data!T$1,Volume!$A$34:$G$34,0),0)*$S33</f>
        <v>0</v>
      </c>
      <c r="U33" s="21">
        <f ca="1">VLOOKUP($C33,Volume!$A$35:$G$109,MATCH(Data!U$1,Volume!$A$34:$G$34,0),0)*$S33</f>
        <v>0</v>
      </c>
      <c r="V33" s="21">
        <f ca="1">VLOOKUP($C33,Volume!$A$35:$G$109,MATCH(Data!V$1,Volume!$A$34:$G$34,0),0)*$S33</f>
        <v>0</v>
      </c>
      <c r="W33" s="21">
        <f ca="1">VLOOKUP($C33,Volume!$A$35:$G$109,MATCH(Data!W$1,Volume!$A$34:$G$34,0),0)*$S33</f>
        <v>0</v>
      </c>
      <c r="X33" s="21">
        <f ca="1">VLOOKUP($C33,Volume!$A$35:$G$109,MATCH(Data!X$1,Volume!$A$34:$G$34,0),0)*$S33</f>
        <v>0</v>
      </c>
      <c r="AA33" s="28">
        <f t="shared" ca="1" si="1"/>
        <v>4800000</v>
      </c>
      <c r="AB33" s="29">
        <f ca="1">VLOOKUP($C33,Volume!$A$35:$G$109,MATCH(Data!T$1,Volume!$A$34:$G$34,0),0)*$AA33</f>
        <v>1093289.5039248087</v>
      </c>
      <c r="AC33" s="29">
        <f ca="1">VLOOKUP($C33,Volume!$A$35:$G$109,MATCH(Data!U$1,Volume!$A$34:$G$34,0),0)*$AA33</f>
        <v>299180.57204989187</v>
      </c>
      <c r="AD33" s="29">
        <f ca="1">VLOOKUP($C33,Volume!$A$35:$G$109,MATCH(Data!V$1,Volume!$A$34:$G$34,0),0)*$AA33</f>
        <v>1646602.159690839</v>
      </c>
      <c r="AE33" s="29">
        <f ca="1">VLOOKUP($C33,Volume!$A$35:$G$109,MATCH(Data!W$1,Volume!$A$34:$G$34,0),0)*$AA33</f>
        <v>985564.77064165194</v>
      </c>
      <c r="AF33" s="29">
        <f ca="1">VLOOKUP($C33,Volume!$A$35:$G$109,MATCH(Data!X$1,Volume!$A$34:$G$34,0),0)*$AA33</f>
        <v>775362.99369280902</v>
      </c>
    </row>
    <row r="34" spans="1:32" x14ac:dyDescent="0.3">
      <c r="A34" s="19" t="s">
        <v>186</v>
      </c>
      <c r="B34" s="22" t="s">
        <v>58</v>
      </c>
      <c r="C34" s="23" t="s">
        <v>67</v>
      </c>
      <c r="D34" s="22" t="s">
        <v>68</v>
      </c>
      <c r="E34" s="19" t="s">
        <v>155</v>
      </c>
      <c r="F34" s="24">
        <v>233283077</v>
      </c>
      <c r="G34" s="24">
        <v>199829081</v>
      </c>
      <c r="H34" s="24">
        <v>353686920</v>
      </c>
      <c r="I34" s="24">
        <v>560658219</v>
      </c>
      <c r="J34" s="24">
        <v>726457516</v>
      </c>
      <c r="K34" s="24">
        <v>951707525</v>
      </c>
      <c r="L34" s="24">
        <v>950828025</v>
      </c>
      <c r="M34" s="24">
        <v>1134383026</v>
      </c>
      <c r="N34" s="24">
        <v>1039442166</v>
      </c>
      <c r="O34" s="24">
        <v>940107050</v>
      </c>
      <c r="P34" s="24">
        <v>877979273</v>
      </c>
      <c r="Q34" s="24">
        <f>IFERROR(GETPIVOTDATA("Số tiền",#REF!,"khoản mục phí",$C34,"THÁNG",Q$1),0)</f>
        <v>0</v>
      </c>
      <c r="S34" s="21">
        <f t="shared" ca="1" si="0"/>
        <v>877979273</v>
      </c>
      <c r="T34" s="21">
        <f ca="1">VLOOKUP($C34,Volume!$A$35:$G$109,MATCH(Data!T$1,Volume!$A$34:$G$34,0),0)*$S34</f>
        <v>282564783.90625888</v>
      </c>
      <c r="U34" s="21">
        <f ca="1">VLOOKUP($C34,Volume!$A$35:$G$109,MATCH(Data!U$1,Volume!$A$34:$G$34,0),0)*$S34</f>
        <v>49708506.855471388</v>
      </c>
      <c r="V34" s="21">
        <f ca="1">VLOOKUP($C34,Volume!$A$35:$G$109,MATCH(Data!V$1,Volume!$A$34:$G$34,0),0)*$S34</f>
        <v>182387366.00311193</v>
      </c>
      <c r="W34" s="21">
        <f ca="1">VLOOKUP($C34,Volume!$A$35:$G$109,MATCH(Data!W$1,Volume!$A$34:$G$34,0),0)*$S34</f>
        <v>200139438.29050204</v>
      </c>
      <c r="X34" s="21">
        <f ca="1">VLOOKUP($C34,Volume!$A$35:$G$109,MATCH(Data!X$1,Volume!$A$34:$G$34,0),0)*$S34</f>
        <v>163179177.94465578</v>
      </c>
      <c r="AA34" s="28">
        <f t="shared" ca="1" si="1"/>
        <v>7968361878</v>
      </c>
      <c r="AB34" s="29">
        <f ca="1">VLOOKUP($C34,Volume!$A$35:$G$109,MATCH(Data!T$1,Volume!$A$34:$G$34,0),0)*$AA34</f>
        <v>2564500690.831162</v>
      </c>
      <c r="AC34" s="29">
        <f ca="1">VLOOKUP($C34,Volume!$A$35:$G$109,MATCH(Data!U$1,Volume!$A$34:$G$34,0),0)*$AA34</f>
        <v>451144330.19131178</v>
      </c>
      <c r="AD34" s="29">
        <f ca="1">VLOOKUP($C34,Volume!$A$35:$G$109,MATCH(Data!V$1,Volume!$A$34:$G$34,0),0)*$AA34</f>
        <v>1655310756.1663706</v>
      </c>
      <c r="AE34" s="29">
        <f ca="1">VLOOKUP($C34,Volume!$A$35:$G$109,MATCH(Data!W$1,Volume!$A$34:$G$34,0),0)*$AA34</f>
        <v>1816424965.1464949</v>
      </c>
      <c r="AF34" s="29">
        <f ca="1">VLOOKUP($C34,Volume!$A$35:$G$109,MATCH(Data!X$1,Volume!$A$34:$G$34,0),0)*$AA34</f>
        <v>1480981135.6646609</v>
      </c>
    </row>
    <row r="35" spans="1:32" x14ac:dyDescent="0.3">
      <c r="A35" s="26" t="s">
        <v>187</v>
      </c>
      <c r="B35" s="22" t="s">
        <v>69</v>
      </c>
      <c r="C35" s="25" t="s">
        <v>70</v>
      </c>
      <c r="D35" s="22" t="s">
        <v>11</v>
      </c>
      <c r="E35" s="19" t="s">
        <v>162</v>
      </c>
      <c r="F35" s="24">
        <v>0</v>
      </c>
      <c r="G35" s="24">
        <v>0</v>
      </c>
      <c r="H35" s="24">
        <v>31121275</v>
      </c>
      <c r="I35" s="24">
        <v>85703339</v>
      </c>
      <c r="J35" s="24">
        <v>361455690</v>
      </c>
      <c r="K35" s="24">
        <v>66202678</v>
      </c>
      <c r="L35" s="24">
        <v>81846729</v>
      </c>
      <c r="M35" s="24">
        <v>87985492</v>
      </c>
      <c r="N35" s="24">
        <v>41205288</v>
      </c>
      <c r="O35" s="24">
        <v>1011972849</v>
      </c>
      <c r="P35" s="24">
        <v>18288038</v>
      </c>
      <c r="Q35" s="24">
        <f>IFERROR(GETPIVOTDATA("Số tiền",#REF!,"khoản mục phí",$C35,"THÁNG",Q$1),0)</f>
        <v>0</v>
      </c>
      <c r="S35" s="21">
        <f t="shared" ca="1" si="0"/>
        <v>18288038</v>
      </c>
      <c r="T35" s="21">
        <f ca="1">VLOOKUP($C35,Volume!$A$35:$G$109,MATCH(Data!T$1,Volume!$A$34:$G$34,0),0)*$S35</f>
        <v>4165441.6651620935</v>
      </c>
      <c r="U35" s="21">
        <f ca="1">VLOOKUP($C35,Volume!$A$35:$G$109,MATCH(Data!U$1,Volume!$A$34:$G$34,0),0)*$S35</f>
        <v>1139880.3480229501</v>
      </c>
      <c r="V35" s="21">
        <f ca="1">VLOOKUP($C35,Volume!$A$35:$G$109,MATCH(Data!V$1,Volume!$A$34:$G$34,0),0)*$S35</f>
        <v>6273567.2640225282</v>
      </c>
      <c r="W35" s="21">
        <f ca="1">VLOOKUP($C35,Volume!$A$35:$G$109,MATCH(Data!W$1,Volume!$A$34:$G$34,0),0)*$S35</f>
        <v>3755009.5785324611</v>
      </c>
      <c r="X35" s="21">
        <f ca="1">VLOOKUP($C35,Volume!$A$35:$G$109,MATCH(Data!X$1,Volume!$A$34:$G$34,0),0)*$S35</f>
        <v>2954139.1442599688</v>
      </c>
      <c r="AA35" s="28">
        <f t="shared" ca="1" si="1"/>
        <v>1785781378</v>
      </c>
      <c r="AB35" s="29">
        <f ca="1">VLOOKUP($C35,Volume!$A$35:$G$109,MATCH(Data!T$1,Volume!$A$34:$G$34,0),0)*$AA35</f>
        <v>406745007.68162107</v>
      </c>
      <c r="AC35" s="29">
        <f ca="1">VLOOKUP($C35,Volume!$A$35:$G$109,MATCH(Data!U$1,Volume!$A$34:$G$34,0),0)*$AA35</f>
        <v>111306477.96376754</v>
      </c>
      <c r="AD35" s="29">
        <f ca="1">VLOOKUP($C35,Volume!$A$35:$G$109,MATCH(Data!V$1,Volume!$A$34:$G$34,0),0)*$AA35</f>
        <v>612598223.69801724</v>
      </c>
      <c r="AE35" s="29">
        <f ca="1">VLOOKUP($C35,Volume!$A$35:$G$109,MATCH(Data!W$1,Volume!$A$34:$G$34,0),0)*$AA35</f>
        <v>366667336.29681313</v>
      </c>
      <c r="AF35" s="29">
        <f ca="1">VLOOKUP($C35,Volume!$A$35:$G$109,MATCH(Data!X$1,Volume!$A$34:$G$34,0),0)*$AA35</f>
        <v>288464332.35978121</v>
      </c>
    </row>
    <row r="36" spans="1:32" x14ac:dyDescent="0.3">
      <c r="A36" s="26" t="s">
        <v>187</v>
      </c>
      <c r="B36" s="22" t="s">
        <v>69</v>
      </c>
      <c r="C36" s="25" t="s">
        <v>71</v>
      </c>
      <c r="D36" s="22" t="s">
        <v>13</v>
      </c>
      <c r="E36" s="19" t="s">
        <v>162</v>
      </c>
      <c r="F36" s="24">
        <v>0</v>
      </c>
      <c r="G36" s="24">
        <v>0</v>
      </c>
      <c r="H36" s="24">
        <v>47172002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f>IFERROR(GETPIVOTDATA("Số tiền",#REF!,"khoản mục phí",$C36,"THÁNG",Q$1),0)</f>
        <v>0</v>
      </c>
      <c r="S36" s="21">
        <f t="shared" ca="1" si="0"/>
        <v>0</v>
      </c>
      <c r="T36" s="21">
        <f ca="1">VLOOKUP($C36,Volume!$A$35:$G$109,MATCH(Data!T$1,Volume!$A$34:$G$34,0),0)*$S36</f>
        <v>0</v>
      </c>
      <c r="U36" s="21">
        <f ca="1">VLOOKUP($C36,Volume!$A$35:$G$109,MATCH(Data!U$1,Volume!$A$34:$G$34,0),0)*$S36</f>
        <v>0</v>
      </c>
      <c r="V36" s="21">
        <f ca="1">VLOOKUP($C36,Volume!$A$35:$G$109,MATCH(Data!V$1,Volume!$A$34:$G$34,0),0)*$S36</f>
        <v>0</v>
      </c>
      <c r="W36" s="21">
        <f ca="1">VLOOKUP($C36,Volume!$A$35:$G$109,MATCH(Data!W$1,Volume!$A$34:$G$34,0),0)*$S36</f>
        <v>0</v>
      </c>
      <c r="X36" s="21">
        <f ca="1">VLOOKUP($C36,Volume!$A$35:$G$109,MATCH(Data!X$1,Volume!$A$34:$G$34,0),0)*$S36</f>
        <v>0</v>
      </c>
      <c r="AA36" s="28">
        <f t="shared" ca="1" si="1"/>
        <v>47172002</v>
      </c>
      <c r="AB36" s="29">
        <f ca="1">VLOOKUP($C36,Volume!$A$35:$G$109,MATCH(Data!T$1,Volume!$A$34:$G$34,0),0)*$AA36</f>
        <v>10744303.05535835</v>
      </c>
      <c r="AC36" s="29">
        <f ca="1">VLOOKUP($C36,Volume!$A$35:$G$109,MATCH(Data!U$1,Volume!$A$34:$G$34,0),0)*$AA36</f>
        <v>2940197.1964788842</v>
      </c>
      <c r="AD36" s="29">
        <f ca="1">VLOOKUP($C36,Volume!$A$35:$G$109,MATCH(Data!V$1,Volume!$A$34:$G$34,0),0)*$AA36</f>
        <v>16181983.410445955</v>
      </c>
      <c r="AE36" s="29">
        <f ca="1">VLOOKUP($C36,Volume!$A$35:$G$109,MATCH(Data!W$1,Volume!$A$34:$G$34,0),0)*$AA36</f>
        <v>9685638.1941328216</v>
      </c>
      <c r="AF36" s="29">
        <f ca="1">VLOOKUP($C36,Volume!$A$35:$G$109,MATCH(Data!X$1,Volume!$A$34:$G$34,0),0)*$AA36</f>
        <v>7619880.1435839944</v>
      </c>
    </row>
    <row r="37" spans="1:32" x14ac:dyDescent="0.3">
      <c r="A37" s="26" t="s">
        <v>187</v>
      </c>
      <c r="B37" s="22" t="s">
        <v>69</v>
      </c>
      <c r="C37" s="25" t="s">
        <v>72</v>
      </c>
      <c r="D37" s="22" t="s">
        <v>15</v>
      </c>
      <c r="E37" s="19" t="s">
        <v>162</v>
      </c>
      <c r="F37" s="24">
        <v>422400</v>
      </c>
      <c r="G37" s="24">
        <v>0</v>
      </c>
      <c r="H37" s="24">
        <v>0</v>
      </c>
      <c r="I37" s="24">
        <v>0</v>
      </c>
      <c r="J37" s="24">
        <v>80471400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f>IFERROR(GETPIVOTDATA("Số tiền",#REF!,"khoản mục phí",$C37,"THÁNG",Q$1),0)</f>
        <v>0</v>
      </c>
      <c r="S37" s="21">
        <f t="shared" ca="1" si="0"/>
        <v>0</v>
      </c>
      <c r="T37" s="21">
        <f ca="1">VLOOKUP($C37,Volume!$A$35:$G$109,MATCH(Data!T$1,Volume!$A$34:$G$34,0),0)*$S37</f>
        <v>0</v>
      </c>
      <c r="U37" s="21">
        <f ca="1">VLOOKUP($C37,Volume!$A$35:$G$109,MATCH(Data!U$1,Volume!$A$34:$G$34,0),0)*$S37</f>
        <v>0</v>
      </c>
      <c r="V37" s="21">
        <f ca="1">VLOOKUP($C37,Volume!$A$35:$G$109,MATCH(Data!V$1,Volume!$A$34:$G$34,0),0)*$S37</f>
        <v>0</v>
      </c>
      <c r="W37" s="21">
        <f ca="1">VLOOKUP($C37,Volume!$A$35:$G$109,MATCH(Data!W$1,Volume!$A$34:$G$34,0),0)*$S37</f>
        <v>0</v>
      </c>
      <c r="X37" s="21">
        <f ca="1">VLOOKUP($C37,Volume!$A$35:$G$109,MATCH(Data!X$1,Volume!$A$34:$G$34,0),0)*$S37</f>
        <v>0</v>
      </c>
      <c r="AA37" s="28">
        <f t="shared" ca="1" si="1"/>
        <v>80893800</v>
      </c>
      <c r="AB37" s="29">
        <f ca="1">VLOOKUP($C37,Volume!$A$35:$G$109,MATCH(Data!T$1,Volume!$A$34:$G$34,0),0)*$AA37</f>
        <v>18425071.348456811</v>
      </c>
      <c r="AC37" s="29">
        <f ca="1">VLOOKUP($C37,Volume!$A$35:$G$109,MATCH(Data!U$1,Volume!$A$34:$G$34,0),0)*$AA37</f>
        <v>5042052.7831853218</v>
      </c>
      <c r="AD37" s="29">
        <f ca="1">VLOOKUP($C37,Volume!$A$35:$G$109,MATCH(Data!V$1,Volume!$A$34:$G$34,0),0)*$AA37</f>
        <v>27749980.371999748</v>
      </c>
      <c r="AE37" s="29">
        <f ca="1">VLOOKUP($C37,Volume!$A$35:$G$109,MATCH(Data!W$1,Volume!$A$34:$G$34,0),0)*$AA37</f>
        <v>16609599.884027429</v>
      </c>
      <c r="AF37" s="29">
        <f ca="1">VLOOKUP($C37,Volume!$A$35:$G$109,MATCH(Data!X$1,Volume!$A$34:$G$34,0),0)*$AA37</f>
        <v>13067095.612330697</v>
      </c>
    </row>
    <row r="38" spans="1:32" x14ac:dyDescent="0.3">
      <c r="A38" s="26" t="s">
        <v>187</v>
      </c>
      <c r="B38" s="22" t="s">
        <v>69</v>
      </c>
      <c r="C38" s="25" t="s">
        <v>73</v>
      </c>
      <c r="D38" s="22" t="s">
        <v>17</v>
      </c>
      <c r="E38" s="19" t="s">
        <v>162</v>
      </c>
      <c r="F38" s="24">
        <v>0</v>
      </c>
      <c r="G38" s="24">
        <v>0</v>
      </c>
      <c r="H38" s="24">
        <v>148528100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f>IFERROR(GETPIVOTDATA("Số tiền",#REF!,"khoản mục phí",$C38,"THÁNG",Q$1),0)</f>
        <v>0</v>
      </c>
      <c r="S38" s="21">
        <f t="shared" ca="1" si="0"/>
        <v>0</v>
      </c>
      <c r="T38" s="21">
        <f ca="1">VLOOKUP($C38,Volume!$A$35:$G$109,MATCH(Data!T$1,Volume!$A$34:$G$34,0),0)*$S38</f>
        <v>0</v>
      </c>
      <c r="U38" s="21">
        <f ca="1">VLOOKUP($C38,Volume!$A$35:$G$109,MATCH(Data!U$1,Volume!$A$34:$G$34,0),0)*$S38</f>
        <v>0</v>
      </c>
      <c r="V38" s="21">
        <f ca="1">VLOOKUP($C38,Volume!$A$35:$G$109,MATCH(Data!V$1,Volume!$A$34:$G$34,0),0)*$S38</f>
        <v>0</v>
      </c>
      <c r="W38" s="21">
        <f ca="1">VLOOKUP($C38,Volume!$A$35:$G$109,MATCH(Data!W$1,Volume!$A$34:$G$34,0),0)*$S38</f>
        <v>0</v>
      </c>
      <c r="X38" s="21">
        <f ca="1">VLOOKUP($C38,Volume!$A$35:$G$109,MATCH(Data!X$1,Volume!$A$34:$G$34,0),0)*$S38</f>
        <v>0</v>
      </c>
      <c r="AA38" s="28">
        <f t="shared" ca="1" si="1"/>
        <v>148528100</v>
      </c>
      <c r="AB38" s="29">
        <f ca="1">VLOOKUP($C38,Volume!$A$35:$G$109,MATCH(Data!T$1,Volume!$A$34:$G$34,0),0)*$AA38</f>
        <v>33830044.326644659</v>
      </c>
      <c r="AC38" s="29">
        <f ca="1">VLOOKUP($C38,Volume!$A$35:$G$109,MATCH(Data!U$1,Volume!$A$34:$G$34,0),0)*$AA38</f>
        <v>9257650.4007257391</v>
      </c>
      <c r="AD38" s="29">
        <f ca="1">VLOOKUP($C38,Volume!$A$35:$G$109,MATCH(Data!V$1,Volume!$A$34:$G$34,0),0)*$AA38</f>
        <v>50951393.798911855</v>
      </c>
      <c r="AE38" s="29">
        <f ca="1">VLOOKUP($C38,Volume!$A$35:$G$109,MATCH(Data!W$1,Volume!$A$34:$G$34,0),0)*$AA38</f>
        <v>30496679.752154235</v>
      </c>
      <c r="AF38" s="29">
        <f ca="1">VLOOKUP($C38,Volume!$A$35:$G$109,MATCH(Data!X$1,Volume!$A$34:$G$34,0),0)*$AA38</f>
        <v>23992331.721563522</v>
      </c>
    </row>
    <row r="39" spans="1:32" x14ac:dyDescent="0.3">
      <c r="A39" s="26" t="s">
        <v>187</v>
      </c>
      <c r="B39" s="22" t="s">
        <v>69</v>
      </c>
      <c r="C39" s="25" t="s">
        <v>74</v>
      </c>
      <c r="D39" s="22" t="s">
        <v>19</v>
      </c>
      <c r="E39" s="19" t="s">
        <v>162</v>
      </c>
      <c r="F39" s="24">
        <v>0</v>
      </c>
      <c r="G39" s="24">
        <v>0</v>
      </c>
      <c r="H39" s="24">
        <v>0</v>
      </c>
      <c r="I39" s="24">
        <v>0</v>
      </c>
      <c r="J39" s="24">
        <v>61147068</v>
      </c>
      <c r="K39" s="24">
        <v>0</v>
      </c>
      <c r="L39" s="24">
        <v>0</v>
      </c>
      <c r="M39" s="24">
        <v>0</v>
      </c>
      <c r="N39" s="24">
        <v>0</v>
      </c>
      <c r="O39" s="24">
        <v>66359668</v>
      </c>
      <c r="P39" s="24">
        <v>0</v>
      </c>
      <c r="Q39" s="24">
        <f>IFERROR(GETPIVOTDATA("Số tiền",#REF!,"khoản mục phí",$C39,"THÁNG",Q$1),0)</f>
        <v>0</v>
      </c>
      <c r="S39" s="21">
        <f t="shared" ca="1" si="0"/>
        <v>0</v>
      </c>
      <c r="T39" s="21">
        <f ca="1">VLOOKUP($C39,Volume!$A$35:$G$109,MATCH(Data!T$1,Volume!$A$34:$G$34,0),0)*$S39</f>
        <v>0</v>
      </c>
      <c r="U39" s="21">
        <f ca="1">VLOOKUP($C39,Volume!$A$35:$G$109,MATCH(Data!U$1,Volume!$A$34:$G$34,0),0)*$S39</f>
        <v>0</v>
      </c>
      <c r="V39" s="21">
        <f ca="1">VLOOKUP($C39,Volume!$A$35:$G$109,MATCH(Data!V$1,Volume!$A$34:$G$34,0),0)*$S39</f>
        <v>0</v>
      </c>
      <c r="W39" s="21">
        <f ca="1">VLOOKUP($C39,Volume!$A$35:$G$109,MATCH(Data!W$1,Volume!$A$34:$G$34,0),0)*$S39</f>
        <v>0</v>
      </c>
      <c r="X39" s="21">
        <f ca="1">VLOOKUP($C39,Volume!$A$35:$G$109,MATCH(Data!X$1,Volume!$A$34:$G$34,0),0)*$S39</f>
        <v>0</v>
      </c>
      <c r="AA39" s="28">
        <f t="shared" ca="1" si="1"/>
        <v>127506736</v>
      </c>
      <c r="AB39" s="29">
        <f ca="1">VLOOKUP($C39,Volume!$A$35:$G$109,MATCH(Data!T$1,Volume!$A$34:$G$34,0),0)*$AA39</f>
        <v>29042036.697606571</v>
      </c>
      <c r="AC39" s="29">
        <f ca="1">VLOOKUP($C39,Volume!$A$35:$G$109,MATCH(Data!U$1,Volume!$A$34:$G$34,0),0)*$AA39</f>
        <v>7947403.7951446967</v>
      </c>
      <c r="AD39" s="29">
        <f ca="1">VLOOKUP($C39,Volume!$A$35:$G$109,MATCH(Data!V$1,Volume!$A$34:$G$34,0),0)*$AA39</f>
        <v>43740180.598485343</v>
      </c>
      <c r="AE39" s="29">
        <f ca="1">VLOOKUP($C39,Volume!$A$35:$G$109,MATCH(Data!W$1,Volume!$A$34:$G$34,0),0)*$AA39</f>
        <v>26180447.29606368</v>
      </c>
      <c r="AF39" s="29">
        <f ca="1">VLOOKUP($C39,Volume!$A$35:$G$109,MATCH(Data!X$1,Volume!$A$34:$G$34,0),0)*$AA39</f>
        <v>20596667.612699721</v>
      </c>
    </row>
    <row r="40" spans="1:32" x14ac:dyDescent="0.3">
      <c r="A40" s="26" t="s">
        <v>187</v>
      </c>
      <c r="B40" s="22" t="s">
        <v>69</v>
      </c>
      <c r="C40" s="25" t="s">
        <v>75</v>
      </c>
      <c r="D40" s="22" t="s">
        <v>21</v>
      </c>
      <c r="E40" s="19" t="s">
        <v>162</v>
      </c>
      <c r="F40" s="24">
        <v>0</v>
      </c>
      <c r="G40" s="24">
        <v>0</v>
      </c>
      <c r="H40" s="24">
        <v>0</v>
      </c>
      <c r="I40" s="24">
        <v>1450000</v>
      </c>
      <c r="J40" s="24">
        <v>3150000</v>
      </c>
      <c r="K40" s="24">
        <v>0</v>
      </c>
      <c r="L40" s="24">
        <v>0</v>
      </c>
      <c r="M40" s="24">
        <v>0</v>
      </c>
      <c r="N40" s="24">
        <v>0</v>
      </c>
      <c r="O40" s="24">
        <v>142319340</v>
      </c>
      <c r="P40" s="24">
        <v>0</v>
      </c>
      <c r="Q40" s="24">
        <f>IFERROR(GETPIVOTDATA("Số tiền",#REF!,"khoản mục phí",$C40,"THÁNG",Q$1),0)</f>
        <v>0</v>
      </c>
      <c r="S40" s="21">
        <f t="shared" ca="1" si="0"/>
        <v>0</v>
      </c>
      <c r="T40" s="21">
        <f ca="1">VLOOKUP($C40,Volume!$A$35:$G$109,MATCH(Data!T$1,Volume!$A$34:$G$34,0),0)*$S40</f>
        <v>0</v>
      </c>
      <c r="U40" s="21">
        <f ca="1">VLOOKUP($C40,Volume!$A$35:$G$109,MATCH(Data!U$1,Volume!$A$34:$G$34,0),0)*$S40</f>
        <v>0</v>
      </c>
      <c r="V40" s="21">
        <f ca="1">VLOOKUP($C40,Volume!$A$35:$G$109,MATCH(Data!V$1,Volume!$A$34:$G$34,0),0)*$S40</f>
        <v>0</v>
      </c>
      <c r="W40" s="21">
        <f ca="1">VLOOKUP($C40,Volume!$A$35:$G$109,MATCH(Data!W$1,Volume!$A$34:$G$34,0),0)*$S40</f>
        <v>0</v>
      </c>
      <c r="X40" s="21">
        <f ca="1">VLOOKUP($C40,Volume!$A$35:$G$109,MATCH(Data!X$1,Volume!$A$34:$G$34,0),0)*$S40</f>
        <v>0</v>
      </c>
      <c r="AA40" s="28">
        <f t="shared" ca="1" si="1"/>
        <v>146919340</v>
      </c>
      <c r="AB40" s="29">
        <f ca="1">VLOOKUP($C40,Volume!$A$35:$G$109,MATCH(Data!T$1,Volume!$A$34:$G$34,0),0)*$AA40</f>
        <v>33463619.238658395</v>
      </c>
      <c r="AC40" s="29">
        <f ca="1">VLOOKUP($C40,Volume!$A$35:$G$109,MATCH(Data!U$1,Volume!$A$34:$G$34,0),0)*$AA40</f>
        <v>9157377.5388317835</v>
      </c>
      <c r="AD40" s="29">
        <f ca="1">VLOOKUP($C40,Volume!$A$35:$G$109,MATCH(Data!V$1,Volume!$A$34:$G$34,0),0)*$AA40</f>
        <v>50399521.363406807</v>
      </c>
      <c r="AE40" s="29">
        <f ca="1">VLOOKUP($C40,Volume!$A$35:$G$109,MATCH(Data!W$1,Volume!$A$34:$G$34,0),0)*$AA40</f>
        <v>30166359.506233931</v>
      </c>
      <c r="AF40" s="29">
        <f ca="1">VLOOKUP($C40,Volume!$A$35:$G$109,MATCH(Data!X$1,Volume!$A$34:$G$34,0),0)*$AA40</f>
        <v>23732462.352869097</v>
      </c>
    </row>
    <row r="41" spans="1:32" x14ac:dyDescent="0.3">
      <c r="A41" s="26" t="s">
        <v>187</v>
      </c>
      <c r="B41" s="22" t="s">
        <v>69</v>
      </c>
      <c r="C41" s="25" t="s">
        <v>76</v>
      </c>
      <c r="D41" s="22" t="s">
        <v>77</v>
      </c>
      <c r="E41" s="19" t="s">
        <v>162</v>
      </c>
      <c r="F41" s="24">
        <v>2187945</v>
      </c>
      <c r="G41" s="24">
        <v>5430455</v>
      </c>
      <c r="H41" s="24">
        <v>12207693</v>
      </c>
      <c r="I41" s="24">
        <v>13750000</v>
      </c>
      <c r="J41" s="24">
        <v>16675193</v>
      </c>
      <c r="K41" s="24">
        <v>18264849</v>
      </c>
      <c r="L41" s="24">
        <v>16081294</v>
      </c>
      <c r="M41" s="24">
        <v>3951556</v>
      </c>
      <c r="N41" s="24">
        <v>2359342</v>
      </c>
      <c r="O41" s="24">
        <v>2517742</v>
      </c>
      <c r="P41" s="24">
        <v>4975414</v>
      </c>
      <c r="Q41" s="24">
        <f>IFERROR(GETPIVOTDATA("Số tiền",#REF!,"khoản mục phí",$C41,"THÁNG",Q$1),0)</f>
        <v>0</v>
      </c>
      <c r="S41" s="21">
        <f t="shared" ca="1" si="0"/>
        <v>4975414</v>
      </c>
      <c r="T41" s="21">
        <f ca="1">VLOOKUP($C41,Volume!$A$35:$G$109,MATCH(Data!T$1,Volume!$A$34:$G$34,0),0)*$S41</f>
        <v>1133243.3133084474</v>
      </c>
      <c r="U41" s="21">
        <f ca="1">VLOOKUP($C41,Volume!$A$35:$G$109,MATCH(Data!U$1,Volume!$A$34:$G$34,0),0)*$S41</f>
        <v>310114.00139688351</v>
      </c>
      <c r="V41" s="21">
        <f ca="1">VLOOKUP($C41,Volume!$A$35:$G$109,MATCH(Data!V$1,Volume!$A$34:$G$34,0),0)*$S41</f>
        <v>1706776.5495325075</v>
      </c>
      <c r="W41" s="21">
        <f ca="1">VLOOKUP($C41,Volume!$A$35:$G$109,MATCH(Data!W$1,Volume!$A$34:$G$34,0),0)*$S41</f>
        <v>1021581.8245327633</v>
      </c>
      <c r="X41" s="21">
        <f ca="1">VLOOKUP($C41,Volume!$A$35:$G$109,MATCH(Data!X$1,Volume!$A$34:$G$34,0),0)*$S41</f>
        <v>803698.31122939871</v>
      </c>
      <c r="AA41" s="28">
        <f t="shared" ca="1" si="1"/>
        <v>98401483</v>
      </c>
      <c r="AB41" s="29">
        <f ca="1">VLOOKUP($C41,Volume!$A$35:$G$109,MATCH(Data!T$1,Volume!$A$34:$G$34,0),0)*$AA41</f>
        <v>22412772.611361559</v>
      </c>
      <c r="AC41" s="29">
        <f ca="1">VLOOKUP($C41,Volume!$A$35:$G$109,MATCH(Data!U$1,Volume!$A$34:$G$34,0),0)*$AA41</f>
        <v>6133294.1613536896</v>
      </c>
      <c r="AD41" s="29">
        <f ca="1">VLOOKUP($C41,Volume!$A$35:$G$109,MATCH(Data!V$1,Volume!$A$34:$G$34,0),0)*$AA41</f>
        <v>33755853.005121119</v>
      </c>
      <c r="AE41" s="29">
        <f ca="1">VLOOKUP($C41,Volume!$A$35:$G$109,MATCH(Data!W$1,Volume!$A$34:$G$34,0),0)*$AA41</f>
        <v>20204382.296602793</v>
      </c>
      <c r="AF41" s="29">
        <f ca="1">VLOOKUP($C41,Volume!$A$35:$G$109,MATCH(Data!X$1,Volume!$A$34:$G$34,0),0)*$AA41</f>
        <v>15895180.925560843</v>
      </c>
    </row>
    <row r="42" spans="1:32" x14ac:dyDescent="0.3">
      <c r="A42" s="26" t="s">
        <v>187</v>
      </c>
      <c r="B42" s="22" t="s">
        <v>69</v>
      </c>
      <c r="C42" s="25" t="s">
        <v>78</v>
      </c>
      <c r="D42" s="22" t="s">
        <v>79</v>
      </c>
      <c r="E42" s="19" t="s">
        <v>162</v>
      </c>
      <c r="F42" s="24">
        <v>1168727</v>
      </c>
      <c r="G42" s="24">
        <v>9204000</v>
      </c>
      <c r="H42" s="24">
        <v>9574000</v>
      </c>
      <c r="I42" s="24">
        <v>11761000</v>
      </c>
      <c r="J42" s="24">
        <v>11609500</v>
      </c>
      <c r="K42" s="24">
        <v>11631000</v>
      </c>
      <c r="L42" s="24">
        <v>6618500</v>
      </c>
      <c r="M42" s="24">
        <v>0</v>
      </c>
      <c r="N42" s="24">
        <v>0</v>
      </c>
      <c r="O42" s="24">
        <v>0</v>
      </c>
      <c r="P42" s="24">
        <v>0</v>
      </c>
      <c r="Q42" s="24">
        <f>IFERROR(GETPIVOTDATA("Số tiền",#REF!,"khoản mục phí",$C42,"THÁNG",Q$1),0)</f>
        <v>0</v>
      </c>
      <c r="S42" s="21">
        <f t="shared" ca="1" si="0"/>
        <v>0</v>
      </c>
      <c r="T42" s="21">
        <f ca="1">VLOOKUP($C42,Volume!$A$35:$G$109,MATCH(Data!T$1,Volume!$A$34:$G$34,0),0)*$S42</f>
        <v>0</v>
      </c>
      <c r="U42" s="21">
        <f ca="1">VLOOKUP($C42,Volume!$A$35:$G$109,MATCH(Data!U$1,Volume!$A$34:$G$34,0),0)*$S42</f>
        <v>0</v>
      </c>
      <c r="V42" s="21">
        <f ca="1">VLOOKUP($C42,Volume!$A$35:$G$109,MATCH(Data!V$1,Volume!$A$34:$G$34,0),0)*$S42</f>
        <v>0</v>
      </c>
      <c r="W42" s="21">
        <f ca="1">VLOOKUP($C42,Volume!$A$35:$G$109,MATCH(Data!W$1,Volume!$A$34:$G$34,0),0)*$S42</f>
        <v>0</v>
      </c>
      <c r="X42" s="21">
        <f ca="1">VLOOKUP($C42,Volume!$A$35:$G$109,MATCH(Data!X$1,Volume!$A$34:$G$34,0),0)*$S42</f>
        <v>0</v>
      </c>
      <c r="AA42" s="28">
        <f t="shared" ca="1" si="1"/>
        <v>61566727</v>
      </c>
      <c r="AB42" s="29">
        <f ca="1">VLOOKUP($C42,Volume!$A$35:$G$109,MATCH(Data!T$1,Volume!$A$34:$G$34,0),0)*$AA42</f>
        <v>14022970.087521693</v>
      </c>
      <c r="AC42" s="29">
        <f ca="1">VLOOKUP($C42,Volume!$A$35:$G$109,MATCH(Data!U$1,Volume!$A$34:$G$34,0),0)*$AA42</f>
        <v>3837410.1256457339</v>
      </c>
      <c r="AD42" s="29">
        <f ca="1">VLOOKUP($C42,Volume!$A$35:$G$109,MATCH(Data!V$1,Volume!$A$34:$G$34,0),0)*$AA42</f>
        <v>21119980.342353396</v>
      </c>
      <c r="AE42" s="29">
        <f ca="1">VLOOKUP($C42,Volume!$A$35:$G$109,MATCH(Data!W$1,Volume!$A$34:$G$34,0),0)*$AA42</f>
        <v>12641249.411440041</v>
      </c>
      <c r="AF42" s="29">
        <f ca="1">VLOOKUP($C42,Volume!$A$35:$G$109,MATCH(Data!X$1,Volume!$A$34:$G$34,0),0)*$AA42</f>
        <v>9945117.0330391452</v>
      </c>
    </row>
    <row r="43" spans="1:32" x14ac:dyDescent="0.3">
      <c r="A43" s="26" t="s">
        <v>187</v>
      </c>
      <c r="B43" s="22" t="s">
        <v>69</v>
      </c>
      <c r="C43" s="25" t="s">
        <v>80</v>
      </c>
      <c r="D43" s="22" t="s">
        <v>23</v>
      </c>
      <c r="E43" s="19" t="s">
        <v>162</v>
      </c>
      <c r="F43" s="24">
        <v>0</v>
      </c>
      <c r="G43" s="24">
        <v>0</v>
      </c>
      <c r="H43" s="24">
        <v>2000000</v>
      </c>
      <c r="I43" s="24">
        <v>0</v>
      </c>
      <c r="J43" s="24">
        <v>9100001</v>
      </c>
      <c r="K43" s="24">
        <v>8759616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f>IFERROR(GETPIVOTDATA("Số tiền",#REF!,"khoản mục phí",$C43,"THÁNG",Q$1),0)</f>
        <v>0</v>
      </c>
      <c r="S43" s="21">
        <f t="shared" ca="1" si="0"/>
        <v>0</v>
      </c>
      <c r="T43" s="21">
        <f ca="1">VLOOKUP($C43,Volume!$A$35:$G$109,MATCH(Data!T$1,Volume!$A$34:$G$34,0),0)*$S43</f>
        <v>0</v>
      </c>
      <c r="U43" s="21">
        <f ca="1">VLOOKUP($C43,Volume!$A$35:$G$109,MATCH(Data!U$1,Volume!$A$34:$G$34,0),0)*$S43</f>
        <v>0</v>
      </c>
      <c r="V43" s="21">
        <f ca="1">VLOOKUP($C43,Volume!$A$35:$G$109,MATCH(Data!V$1,Volume!$A$34:$G$34,0),0)*$S43</f>
        <v>0</v>
      </c>
      <c r="W43" s="21">
        <f ca="1">VLOOKUP($C43,Volume!$A$35:$G$109,MATCH(Data!W$1,Volume!$A$34:$G$34,0),0)*$S43</f>
        <v>0</v>
      </c>
      <c r="X43" s="21">
        <f ca="1">VLOOKUP($C43,Volume!$A$35:$G$109,MATCH(Data!X$1,Volume!$A$34:$G$34,0),0)*$S43</f>
        <v>0</v>
      </c>
      <c r="AA43" s="28">
        <f t="shared" ca="1" si="1"/>
        <v>19859617</v>
      </c>
      <c r="AB43" s="29">
        <f ca="1">VLOOKUP($C43,Volume!$A$35:$G$109,MATCH(Data!T$1,Volume!$A$34:$G$34,0),0)*$AA43</f>
        <v>4523398.0870972285</v>
      </c>
      <c r="AC43" s="29">
        <f ca="1">VLOOKUP($C43,Volume!$A$35:$G$109,MATCH(Data!U$1,Volume!$A$34:$G$34,0),0)*$AA43</f>
        <v>1237835.7447399495</v>
      </c>
      <c r="AD43" s="29">
        <f ca="1">VLOOKUP($C43,Volume!$A$35:$G$109,MATCH(Data!V$1,Volume!$A$34:$G$34,0),0)*$AA43</f>
        <v>6812685.0505901882</v>
      </c>
      <c r="AE43" s="29">
        <f ca="1">VLOOKUP($C43,Volume!$A$35:$G$109,MATCH(Data!W$1,Volume!$A$34:$G$34,0),0)*$AA43</f>
        <v>4077695.5986741772</v>
      </c>
      <c r="AF43" s="29">
        <f ca="1">VLOOKUP($C43,Volume!$A$35:$G$109,MATCH(Data!X$1,Volume!$A$34:$G$34,0),0)*$AA43</f>
        <v>3208002.5188984587</v>
      </c>
    </row>
    <row r="44" spans="1:32" x14ac:dyDescent="0.3">
      <c r="A44" s="26" t="s">
        <v>187</v>
      </c>
      <c r="B44" s="22" t="s">
        <v>69</v>
      </c>
      <c r="C44" s="25" t="s">
        <v>81</v>
      </c>
      <c r="D44" s="22" t="s">
        <v>25</v>
      </c>
      <c r="E44" s="19" t="s">
        <v>162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f>IFERROR(GETPIVOTDATA("Số tiền",#REF!,"khoản mục phí",$C44,"THÁNG",Q$1),0)</f>
        <v>0</v>
      </c>
      <c r="S44" s="21">
        <f t="shared" ca="1" si="0"/>
        <v>0</v>
      </c>
      <c r="T44" s="21">
        <f ca="1">VLOOKUP($C44,Volume!$A$35:$G$109,MATCH(Data!T$1,Volume!$A$34:$G$34,0),0)*$S44</f>
        <v>0</v>
      </c>
      <c r="U44" s="21">
        <f ca="1">VLOOKUP($C44,Volume!$A$35:$G$109,MATCH(Data!U$1,Volume!$A$34:$G$34,0),0)*$S44</f>
        <v>0</v>
      </c>
      <c r="V44" s="21">
        <f ca="1">VLOOKUP($C44,Volume!$A$35:$G$109,MATCH(Data!V$1,Volume!$A$34:$G$34,0),0)*$S44</f>
        <v>0</v>
      </c>
      <c r="W44" s="21">
        <f ca="1">VLOOKUP($C44,Volume!$A$35:$G$109,MATCH(Data!W$1,Volume!$A$34:$G$34,0),0)*$S44</f>
        <v>0</v>
      </c>
      <c r="X44" s="21">
        <f ca="1">VLOOKUP($C44,Volume!$A$35:$G$109,MATCH(Data!X$1,Volume!$A$34:$G$34,0),0)*$S44</f>
        <v>0</v>
      </c>
      <c r="AA44" s="28">
        <f t="shared" ca="1" si="1"/>
        <v>0</v>
      </c>
      <c r="AB44" s="29">
        <f ca="1">VLOOKUP($C44,Volume!$A$35:$G$109,MATCH(Data!T$1,Volume!$A$34:$G$34,0),0)*$AA44</f>
        <v>0</v>
      </c>
      <c r="AC44" s="29">
        <f ca="1">VLOOKUP($C44,Volume!$A$35:$G$109,MATCH(Data!U$1,Volume!$A$34:$G$34,0),0)*$AA44</f>
        <v>0</v>
      </c>
      <c r="AD44" s="29">
        <f ca="1">VLOOKUP($C44,Volume!$A$35:$G$109,MATCH(Data!V$1,Volume!$A$34:$G$34,0),0)*$AA44</f>
        <v>0</v>
      </c>
      <c r="AE44" s="29">
        <f ca="1">VLOOKUP($C44,Volume!$A$35:$G$109,MATCH(Data!W$1,Volume!$A$34:$G$34,0),0)*$AA44</f>
        <v>0</v>
      </c>
      <c r="AF44" s="29">
        <f ca="1">VLOOKUP($C44,Volume!$A$35:$G$109,MATCH(Data!X$1,Volume!$A$34:$G$34,0),0)*$AA44</f>
        <v>0</v>
      </c>
    </row>
    <row r="45" spans="1:32" x14ac:dyDescent="0.3">
      <c r="A45" s="26" t="s">
        <v>187</v>
      </c>
      <c r="B45" s="22" t="s">
        <v>69</v>
      </c>
      <c r="C45" s="25" t="s">
        <v>82</v>
      </c>
      <c r="D45" s="22" t="s">
        <v>27</v>
      </c>
      <c r="E45" s="19" t="s">
        <v>162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f>IFERROR(GETPIVOTDATA("Số tiền",#REF!,"khoản mục phí",$C45,"THÁNG",Q$1),0)</f>
        <v>0</v>
      </c>
      <c r="S45" s="21">
        <f t="shared" ca="1" si="0"/>
        <v>0</v>
      </c>
      <c r="T45" s="21">
        <f ca="1">VLOOKUP($C45,Volume!$A$35:$G$109,MATCH(Data!T$1,Volume!$A$34:$G$34,0),0)*$S45</f>
        <v>0</v>
      </c>
      <c r="U45" s="21">
        <f ca="1">VLOOKUP($C45,Volume!$A$35:$G$109,MATCH(Data!U$1,Volume!$A$34:$G$34,0),0)*$S45</f>
        <v>0</v>
      </c>
      <c r="V45" s="21">
        <f ca="1">VLOOKUP($C45,Volume!$A$35:$G$109,MATCH(Data!V$1,Volume!$A$34:$G$34,0),0)*$S45</f>
        <v>0</v>
      </c>
      <c r="W45" s="21">
        <f ca="1">VLOOKUP($C45,Volume!$A$35:$G$109,MATCH(Data!W$1,Volume!$A$34:$G$34,0),0)*$S45</f>
        <v>0</v>
      </c>
      <c r="X45" s="21">
        <f ca="1">VLOOKUP($C45,Volume!$A$35:$G$109,MATCH(Data!X$1,Volume!$A$34:$G$34,0),0)*$S45</f>
        <v>0</v>
      </c>
      <c r="AA45" s="28">
        <f t="shared" ca="1" si="1"/>
        <v>0</v>
      </c>
      <c r="AB45" s="29">
        <f ca="1">VLOOKUP($C45,Volume!$A$35:$G$109,MATCH(Data!T$1,Volume!$A$34:$G$34,0),0)*$AA45</f>
        <v>0</v>
      </c>
      <c r="AC45" s="29">
        <f ca="1">VLOOKUP($C45,Volume!$A$35:$G$109,MATCH(Data!U$1,Volume!$A$34:$G$34,0),0)*$AA45</f>
        <v>0</v>
      </c>
      <c r="AD45" s="29">
        <f ca="1">VLOOKUP($C45,Volume!$A$35:$G$109,MATCH(Data!V$1,Volume!$A$34:$G$34,0),0)*$AA45</f>
        <v>0</v>
      </c>
      <c r="AE45" s="29">
        <f ca="1">VLOOKUP($C45,Volume!$A$35:$G$109,MATCH(Data!W$1,Volume!$A$34:$G$34,0),0)*$AA45</f>
        <v>0</v>
      </c>
      <c r="AF45" s="29">
        <f ca="1">VLOOKUP($C45,Volume!$A$35:$G$109,MATCH(Data!X$1,Volume!$A$34:$G$34,0),0)*$AA45</f>
        <v>0</v>
      </c>
    </row>
    <row r="46" spans="1:32" x14ac:dyDescent="0.3">
      <c r="A46" s="26" t="s">
        <v>187</v>
      </c>
      <c r="B46" s="22" t="s">
        <v>69</v>
      </c>
      <c r="C46" s="25" t="s">
        <v>83</v>
      </c>
      <c r="D46" s="22" t="s">
        <v>29</v>
      </c>
      <c r="E46" s="19" t="s">
        <v>162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f>IFERROR(GETPIVOTDATA("Số tiền",#REF!,"khoản mục phí",$C46,"THÁNG",Q$1),0)</f>
        <v>0</v>
      </c>
      <c r="S46" s="21">
        <f t="shared" ca="1" si="0"/>
        <v>0</v>
      </c>
      <c r="T46" s="21">
        <f ca="1">VLOOKUP($C46,Volume!$A$35:$G$109,MATCH(Data!T$1,Volume!$A$34:$G$34,0),0)*$S46</f>
        <v>0</v>
      </c>
      <c r="U46" s="21">
        <f ca="1">VLOOKUP($C46,Volume!$A$35:$G$109,MATCH(Data!U$1,Volume!$A$34:$G$34,0),0)*$S46</f>
        <v>0</v>
      </c>
      <c r="V46" s="21">
        <f ca="1">VLOOKUP($C46,Volume!$A$35:$G$109,MATCH(Data!V$1,Volume!$A$34:$G$34,0),0)*$S46</f>
        <v>0</v>
      </c>
      <c r="W46" s="21">
        <f ca="1">VLOOKUP($C46,Volume!$A$35:$G$109,MATCH(Data!W$1,Volume!$A$34:$G$34,0),0)*$S46</f>
        <v>0</v>
      </c>
      <c r="X46" s="21">
        <f ca="1">VLOOKUP($C46,Volume!$A$35:$G$109,MATCH(Data!X$1,Volume!$A$34:$G$34,0),0)*$S46</f>
        <v>0</v>
      </c>
      <c r="AA46" s="28">
        <f t="shared" ca="1" si="1"/>
        <v>0</v>
      </c>
      <c r="AB46" s="29">
        <f ca="1">VLOOKUP($C46,Volume!$A$35:$G$109,MATCH(Data!T$1,Volume!$A$34:$G$34,0),0)*$AA46</f>
        <v>0</v>
      </c>
      <c r="AC46" s="29">
        <f ca="1">VLOOKUP($C46,Volume!$A$35:$G$109,MATCH(Data!U$1,Volume!$A$34:$G$34,0),0)*$AA46</f>
        <v>0</v>
      </c>
      <c r="AD46" s="29">
        <f ca="1">VLOOKUP($C46,Volume!$A$35:$G$109,MATCH(Data!V$1,Volume!$A$34:$G$34,0),0)*$AA46</f>
        <v>0</v>
      </c>
      <c r="AE46" s="29">
        <f ca="1">VLOOKUP($C46,Volume!$A$35:$G$109,MATCH(Data!W$1,Volume!$A$34:$G$34,0),0)*$AA46</f>
        <v>0</v>
      </c>
      <c r="AF46" s="29">
        <f ca="1">VLOOKUP($C46,Volume!$A$35:$G$109,MATCH(Data!X$1,Volume!$A$34:$G$34,0),0)*$AA46</f>
        <v>0</v>
      </c>
    </row>
    <row r="47" spans="1:32" x14ac:dyDescent="0.3">
      <c r="A47" s="26" t="s">
        <v>187</v>
      </c>
      <c r="B47" s="22" t="s">
        <v>69</v>
      </c>
      <c r="C47" s="25" t="s">
        <v>84</v>
      </c>
      <c r="D47" s="22" t="s">
        <v>31</v>
      </c>
      <c r="E47" s="19" t="s">
        <v>162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f>IFERROR(GETPIVOTDATA("Số tiền",#REF!,"khoản mục phí",$C47,"THÁNG",Q$1),0)</f>
        <v>0</v>
      </c>
      <c r="S47" s="21">
        <f t="shared" ca="1" si="0"/>
        <v>0</v>
      </c>
      <c r="T47" s="21">
        <f ca="1">VLOOKUP($C47,Volume!$A$35:$G$109,MATCH(Data!T$1,Volume!$A$34:$G$34,0),0)*$S47</f>
        <v>0</v>
      </c>
      <c r="U47" s="21">
        <f ca="1">VLOOKUP($C47,Volume!$A$35:$G$109,MATCH(Data!U$1,Volume!$A$34:$G$34,0),0)*$S47</f>
        <v>0</v>
      </c>
      <c r="V47" s="21">
        <f ca="1">VLOOKUP($C47,Volume!$A$35:$G$109,MATCH(Data!V$1,Volume!$A$34:$G$34,0),0)*$S47</f>
        <v>0</v>
      </c>
      <c r="W47" s="21">
        <f ca="1">VLOOKUP($C47,Volume!$A$35:$G$109,MATCH(Data!W$1,Volume!$A$34:$G$34,0),0)*$S47</f>
        <v>0</v>
      </c>
      <c r="X47" s="21">
        <f ca="1">VLOOKUP($C47,Volume!$A$35:$G$109,MATCH(Data!X$1,Volume!$A$34:$G$34,0),0)*$S47</f>
        <v>0</v>
      </c>
      <c r="AA47" s="28">
        <f t="shared" ca="1" si="1"/>
        <v>0</v>
      </c>
      <c r="AB47" s="29">
        <f ca="1">VLOOKUP($C47,Volume!$A$35:$G$109,MATCH(Data!T$1,Volume!$A$34:$G$34,0),0)*$AA47</f>
        <v>0</v>
      </c>
      <c r="AC47" s="29">
        <f ca="1">VLOOKUP($C47,Volume!$A$35:$G$109,MATCH(Data!U$1,Volume!$A$34:$G$34,0),0)*$AA47</f>
        <v>0</v>
      </c>
      <c r="AD47" s="29">
        <f ca="1">VLOOKUP($C47,Volume!$A$35:$G$109,MATCH(Data!V$1,Volume!$A$34:$G$34,0),0)*$AA47</f>
        <v>0</v>
      </c>
      <c r="AE47" s="29">
        <f ca="1">VLOOKUP($C47,Volume!$A$35:$G$109,MATCH(Data!W$1,Volume!$A$34:$G$34,0),0)*$AA47</f>
        <v>0</v>
      </c>
      <c r="AF47" s="29">
        <f ca="1">VLOOKUP($C47,Volume!$A$35:$G$109,MATCH(Data!X$1,Volume!$A$34:$G$34,0),0)*$AA47</f>
        <v>0</v>
      </c>
    </row>
    <row r="48" spans="1:32" x14ac:dyDescent="0.3">
      <c r="A48" s="26" t="s">
        <v>187</v>
      </c>
      <c r="B48" s="22" t="s">
        <v>69</v>
      </c>
      <c r="C48" s="25" t="s">
        <v>85</v>
      </c>
      <c r="D48" s="22" t="s">
        <v>33</v>
      </c>
      <c r="E48" s="19" t="s">
        <v>162</v>
      </c>
      <c r="F48" s="24">
        <v>500000</v>
      </c>
      <c r="G48" s="24">
        <v>0</v>
      </c>
      <c r="H48" s="24">
        <v>0</v>
      </c>
      <c r="I48" s="24">
        <v>200000</v>
      </c>
      <c r="J48" s="24">
        <v>218000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f>IFERROR(GETPIVOTDATA("Số tiền",#REF!,"khoản mục phí",$C48,"THÁNG",Q$1),0)</f>
        <v>0</v>
      </c>
      <c r="S48" s="21">
        <f t="shared" ca="1" si="0"/>
        <v>0</v>
      </c>
      <c r="T48" s="21">
        <f ca="1">VLOOKUP($C48,Volume!$A$35:$G$109,MATCH(Data!T$1,Volume!$A$34:$G$34,0),0)*$S48</f>
        <v>0</v>
      </c>
      <c r="U48" s="21">
        <f ca="1">VLOOKUP($C48,Volume!$A$35:$G$109,MATCH(Data!U$1,Volume!$A$34:$G$34,0),0)*$S48</f>
        <v>0</v>
      </c>
      <c r="V48" s="21">
        <f ca="1">VLOOKUP($C48,Volume!$A$35:$G$109,MATCH(Data!V$1,Volume!$A$34:$G$34,0),0)*$S48</f>
        <v>0</v>
      </c>
      <c r="W48" s="21">
        <f ca="1">VLOOKUP($C48,Volume!$A$35:$G$109,MATCH(Data!W$1,Volume!$A$34:$G$34,0),0)*$S48</f>
        <v>0</v>
      </c>
      <c r="X48" s="21">
        <f ca="1">VLOOKUP($C48,Volume!$A$35:$G$109,MATCH(Data!X$1,Volume!$A$34:$G$34,0),0)*$S48</f>
        <v>0</v>
      </c>
      <c r="AA48" s="28">
        <f t="shared" ca="1" si="1"/>
        <v>918000</v>
      </c>
      <c r="AB48" s="29">
        <f ca="1">VLOOKUP($C48,Volume!$A$35:$G$109,MATCH(Data!T$1,Volume!$A$34:$G$34,0),0)*$AA48</f>
        <v>209091.61762561966</v>
      </c>
      <c r="AC48" s="29">
        <f ca="1">VLOOKUP($C48,Volume!$A$35:$G$109,MATCH(Data!U$1,Volume!$A$34:$G$34,0),0)*$AA48</f>
        <v>57218.284404541824</v>
      </c>
      <c r="AD48" s="29">
        <f ca="1">VLOOKUP($C48,Volume!$A$35:$G$109,MATCH(Data!V$1,Volume!$A$34:$G$34,0),0)*$AA48</f>
        <v>314912.66304087295</v>
      </c>
      <c r="AE48" s="29">
        <f ca="1">VLOOKUP($C48,Volume!$A$35:$G$109,MATCH(Data!W$1,Volume!$A$34:$G$34,0),0)*$AA48</f>
        <v>188489.26238521593</v>
      </c>
      <c r="AF48" s="29">
        <f ca="1">VLOOKUP($C48,Volume!$A$35:$G$109,MATCH(Data!X$1,Volume!$A$34:$G$34,0),0)*$AA48</f>
        <v>148288.17254374971</v>
      </c>
    </row>
    <row r="49" spans="1:32" x14ac:dyDescent="0.3">
      <c r="A49" s="26" t="s">
        <v>187</v>
      </c>
      <c r="B49" s="22" t="s">
        <v>69</v>
      </c>
      <c r="C49" s="25" t="s">
        <v>86</v>
      </c>
      <c r="D49" s="22" t="s">
        <v>35</v>
      </c>
      <c r="E49" s="19" t="s">
        <v>162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f>IFERROR(GETPIVOTDATA("Số tiền",#REF!,"khoản mục phí",$C49,"THÁNG",Q$1),0)</f>
        <v>0</v>
      </c>
      <c r="S49" s="21">
        <f t="shared" ca="1" si="0"/>
        <v>0</v>
      </c>
      <c r="T49" s="21">
        <f ca="1">VLOOKUP($C49,Volume!$A$35:$G$109,MATCH(Data!T$1,Volume!$A$34:$G$34,0),0)*$S49</f>
        <v>0</v>
      </c>
      <c r="U49" s="21">
        <f ca="1">VLOOKUP($C49,Volume!$A$35:$G$109,MATCH(Data!U$1,Volume!$A$34:$G$34,0),0)*$S49</f>
        <v>0</v>
      </c>
      <c r="V49" s="21">
        <f ca="1">VLOOKUP($C49,Volume!$A$35:$G$109,MATCH(Data!V$1,Volume!$A$34:$G$34,0),0)*$S49</f>
        <v>0</v>
      </c>
      <c r="W49" s="21">
        <f ca="1">VLOOKUP($C49,Volume!$A$35:$G$109,MATCH(Data!W$1,Volume!$A$34:$G$34,0),0)*$S49</f>
        <v>0</v>
      </c>
      <c r="X49" s="21">
        <f ca="1">VLOOKUP($C49,Volume!$A$35:$G$109,MATCH(Data!X$1,Volume!$A$34:$G$34,0),0)*$S49</f>
        <v>0</v>
      </c>
      <c r="AA49" s="28">
        <f t="shared" ca="1" si="1"/>
        <v>0</v>
      </c>
      <c r="AB49" s="29">
        <f ca="1">VLOOKUP($C49,Volume!$A$35:$G$109,MATCH(Data!T$1,Volume!$A$34:$G$34,0),0)*$AA49</f>
        <v>0</v>
      </c>
      <c r="AC49" s="29">
        <f ca="1">VLOOKUP($C49,Volume!$A$35:$G$109,MATCH(Data!U$1,Volume!$A$34:$G$34,0),0)*$AA49</f>
        <v>0</v>
      </c>
      <c r="AD49" s="29">
        <f ca="1">VLOOKUP($C49,Volume!$A$35:$G$109,MATCH(Data!V$1,Volume!$A$34:$G$34,0),0)*$AA49</f>
        <v>0</v>
      </c>
      <c r="AE49" s="29">
        <f ca="1">VLOOKUP($C49,Volume!$A$35:$G$109,MATCH(Data!W$1,Volume!$A$34:$G$34,0),0)*$AA49</f>
        <v>0</v>
      </c>
      <c r="AF49" s="29">
        <f ca="1">VLOOKUP($C49,Volume!$A$35:$G$109,MATCH(Data!X$1,Volume!$A$34:$G$34,0),0)*$AA49</f>
        <v>0</v>
      </c>
    </row>
    <row r="50" spans="1:32" x14ac:dyDescent="0.3">
      <c r="A50" s="26" t="s">
        <v>187</v>
      </c>
      <c r="B50" s="22" t="s">
        <v>69</v>
      </c>
      <c r="C50" s="25" t="s">
        <v>87</v>
      </c>
      <c r="D50" s="22" t="s">
        <v>88</v>
      </c>
      <c r="E50" s="19" t="s">
        <v>162</v>
      </c>
      <c r="F50" s="24">
        <v>0</v>
      </c>
      <c r="G50" s="24">
        <v>0</v>
      </c>
      <c r="H50" s="24">
        <v>0</v>
      </c>
      <c r="I50" s="24">
        <v>0</v>
      </c>
      <c r="J50" s="24">
        <v>1825000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f>IFERROR(GETPIVOTDATA("Số tiền",#REF!,"khoản mục phí",$C50,"THÁNG",Q$1),0)</f>
        <v>0</v>
      </c>
      <c r="S50" s="21">
        <f t="shared" ca="1" si="0"/>
        <v>0</v>
      </c>
      <c r="T50" s="21">
        <f ca="1">VLOOKUP($C50,Volume!$A$35:$G$109,MATCH(Data!T$1,Volume!$A$34:$G$34,0),0)*$S50</f>
        <v>0</v>
      </c>
      <c r="U50" s="21">
        <f ca="1">VLOOKUP($C50,Volume!$A$35:$G$109,MATCH(Data!U$1,Volume!$A$34:$G$34,0),0)*$S50</f>
        <v>0</v>
      </c>
      <c r="V50" s="21">
        <f ca="1">VLOOKUP($C50,Volume!$A$35:$G$109,MATCH(Data!V$1,Volume!$A$34:$G$34,0),0)*$S50</f>
        <v>0</v>
      </c>
      <c r="W50" s="21">
        <f ca="1">VLOOKUP($C50,Volume!$A$35:$G$109,MATCH(Data!W$1,Volume!$A$34:$G$34,0),0)*$S50</f>
        <v>0</v>
      </c>
      <c r="X50" s="21">
        <f ca="1">VLOOKUP($C50,Volume!$A$35:$G$109,MATCH(Data!X$1,Volume!$A$34:$G$34,0),0)*$S50</f>
        <v>0</v>
      </c>
      <c r="AA50" s="28">
        <f t="shared" ca="1" si="1"/>
        <v>1825000</v>
      </c>
      <c r="AB50" s="29">
        <f ca="1">VLOOKUP($C50,Volume!$A$35:$G$109,MATCH(Data!T$1,Volume!$A$34:$G$34,0),0)*$AA50</f>
        <v>415677.78013807826</v>
      </c>
      <c r="AC50" s="29">
        <f ca="1">VLOOKUP($C50,Volume!$A$35:$G$109,MATCH(Data!U$1,Volume!$A$34:$G$34,0),0)*$AA50</f>
        <v>113750.94666480264</v>
      </c>
      <c r="AD50" s="29">
        <f ca="1">VLOOKUP($C50,Volume!$A$35:$G$109,MATCH(Data!V$1,Volume!$A$34:$G$34,0),0)*$AA50</f>
        <v>626051.86279912107</v>
      </c>
      <c r="AE50" s="29">
        <f ca="1">VLOOKUP($C50,Volume!$A$35:$G$109,MATCH(Data!W$1,Volume!$A$34:$G$34,0),0)*$AA50</f>
        <v>374719.93883771141</v>
      </c>
      <c r="AF50" s="29">
        <f ca="1">VLOOKUP($C50,Volume!$A$35:$G$109,MATCH(Data!X$1,Volume!$A$34:$G$34,0),0)*$AA50</f>
        <v>294799.47156028677</v>
      </c>
    </row>
    <row r="51" spans="1:32" x14ac:dyDescent="0.3">
      <c r="A51" s="26" t="s">
        <v>187</v>
      </c>
      <c r="B51" s="22" t="s">
        <v>69</v>
      </c>
      <c r="C51" s="25" t="s">
        <v>89</v>
      </c>
      <c r="D51" s="22" t="s">
        <v>37</v>
      </c>
      <c r="E51" s="19" t="s">
        <v>162</v>
      </c>
      <c r="F51" s="24">
        <v>0</v>
      </c>
      <c r="G51" s="24">
        <v>0</v>
      </c>
      <c r="H51" s="24">
        <v>10000000</v>
      </c>
      <c r="I51" s="24">
        <v>0</v>
      </c>
      <c r="J51" s="24">
        <v>0</v>
      </c>
      <c r="K51" s="24">
        <v>0</v>
      </c>
      <c r="L51" s="24">
        <v>0</v>
      </c>
      <c r="M51" s="24">
        <v>2681000</v>
      </c>
      <c r="N51" s="24">
        <v>0</v>
      </c>
      <c r="O51" s="24">
        <v>88847150</v>
      </c>
      <c r="P51" s="24">
        <v>50415048</v>
      </c>
      <c r="Q51" s="24">
        <f>IFERROR(GETPIVOTDATA("Số tiền",#REF!,"khoản mục phí",$C51,"THÁNG",Q$1),0)</f>
        <v>0</v>
      </c>
      <c r="S51" s="21">
        <f t="shared" ca="1" si="0"/>
        <v>50415048</v>
      </c>
      <c r="T51" s="21">
        <f ca="1">VLOOKUP($C51,Volume!$A$35:$G$109,MATCH(Data!T$1,Volume!$A$34:$G$34,0),0)*$S51</f>
        <v>11482967.253805295</v>
      </c>
      <c r="U51" s="21">
        <f ca="1">VLOOKUP($C51,Volume!$A$35:$G$109,MATCH(Data!U$1,Volume!$A$34:$G$34,0),0)*$S51</f>
        <v>3142333.9376172409</v>
      </c>
      <c r="V51" s="21">
        <f ca="1">VLOOKUP($C51,Volume!$A$35:$G$109,MATCH(Data!V$1,Volume!$A$34:$G$34,0),0)*$S51</f>
        <v>17294484.774524443</v>
      </c>
      <c r="W51" s="21">
        <f ca="1">VLOOKUP($C51,Volume!$A$35:$G$109,MATCH(Data!W$1,Volume!$A$34:$G$34,0),0)*$S51</f>
        <v>10351519.837293306</v>
      </c>
      <c r="X51" s="21">
        <f ca="1">VLOOKUP($C51,Volume!$A$35:$G$109,MATCH(Data!X$1,Volume!$A$34:$G$34,0),0)*$S51</f>
        <v>8143742.1967597213</v>
      </c>
      <c r="AA51" s="28">
        <f t="shared" ca="1" si="1"/>
        <v>151943198</v>
      </c>
      <c r="AB51" s="29">
        <f ca="1">VLOOKUP($C51,Volume!$A$35:$G$109,MATCH(Data!T$1,Volume!$A$34:$G$34,0),0)*$AA51</f>
        <v>34607896.576285206</v>
      </c>
      <c r="AC51" s="29">
        <f ca="1">VLOOKUP($C51,Volume!$A$35:$G$109,MATCH(Data!U$1,Volume!$A$34:$G$34,0),0)*$AA51</f>
        <v>9470511.0201520808</v>
      </c>
      <c r="AD51" s="29">
        <f ca="1">VLOOKUP($C51,Volume!$A$35:$G$109,MATCH(Data!V$1,Volume!$A$34:$G$34,0),0)*$AA51</f>
        <v>52122916.245235994</v>
      </c>
      <c r="AE51" s="29">
        <f ca="1">VLOOKUP($C51,Volume!$A$35:$G$109,MATCH(Data!W$1,Volume!$A$34:$G$34,0),0)*$AA51</f>
        <v>31197888.143214397</v>
      </c>
      <c r="AF51" s="29">
        <f ca="1">VLOOKUP($C51,Volume!$A$35:$G$109,MATCH(Data!X$1,Volume!$A$34:$G$34,0),0)*$AA51</f>
        <v>24543986.01511234</v>
      </c>
    </row>
    <row r="52" spans="1:32" x14ac:dyDescent="0.3">
      <c r="A52" s="26" t="s">
        <v>187</v>
      </c>
      <c r="B52" s="22" t="s">
        <v>69</v>
      </c>
      <c r="C52" s="25" t="s">
        <v>90</v>
      </c>
      <c r="D52" s="22" t="s">
        <v>39</v>
      </c>
      <c r="E52" s="19" t="s">
        <v>162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f>IFERROR(GETPIVOTDATA("Số tiền",#REF!,"khoản mục phí",$C52,"THÁNG",Q$1),0)</f>
        <v>0</v>
      </c>
      <c r="S52" s="21">
        <f t="shared" ca="1" si="0"/>
        <v>0</v>
      </c>
      <c r="T52" s="21">
        <f ca="1">VLOOKUP($C52,Volume!$A$35:$G$109,MATCH(Data!T$1,Volume!$A$34:$G$34,0),0)*$S52</f>
        <v>0</v>
      </c>
      <c r="U52" s="21">
        <f ca="1">VLOOKUP($C52,Volume!$A$35:$G$109,MATCH(Data!U$1,Volume!$A$34:$G$34,0),0)*$S52</f>
        <v>0</v>
      </c>
      <c r="V52" s="21">
        <f ca="1">VLOOKUP($C52,Volume!$A$35:$G$109,MATCH(Data!V$1,Volume!$A$34:$G$34,0),0)*$S52</f>
        <v>0</v>
      </c>
      <c r="W52" s="21">
        <f ca="1">VLOOKUP($C52,Volume!$A$35:$G$109,MATCH(Data!W$1,Volume!$A$34:$G$34,0),0)*$S52</f>
        <v>0</v>
      </c>
      <c r="X52" s="21">
        <f ca="1">VLOOKUP($C52,Volume!$A$35:$G$109,MATCH(Data!X$1,Volume!$A$34:$G$34,0),0)*$S52</f>
        <v>0</v>
      </c>
      <c r="AA52" s="28">
        <f t="shared" ca="1" si="1"/>
        <v>0</v>
      </c>
      <c r="AB52" s="29">
        <f ca="1">VLOOKUP($C52,Volume!$A$35:$G$109,MATCH(Data!T$1,Volume!$A$34:$G$34,0),0)*$AA52</f>
        <v>0</v>
      </c>
      <c r="AC52" s="29">
        <f ca="1">VLOOKUP($C52,Volume!$A$35:$G$109,MATCH(Data!U$1,Volume!$A$34:$G$34,0),0)*$AA52</f>
        <v>0</v>
      </c>
      <c r="AD52" s="29">
        <f ca="1">VLOOKUP($C52,Volume!$A$35:$G$109,MATCH(Data!V$1,Volume!$A$34:$G$34,0),0)*$AA52</f>
        <v>0</v>
      </c>
      <c r="AE52" s="29">
        <f ca="1">VLOOKUP($C52,Volume!$A$35:$G$109,MATCH(Data!W$1,Volume!$A$34:$G$34,0),0)*$AA52</f>
        <v>0</v>
      </c>
      <c r="AF52" s="29">
        <f ca="1">VLOOKUP($C52,Volume!$A$35:$G$109,MATCH(Data!X$1,Volume!$A$34:$G$34,0),0)*$AA52</f>
        <v>0</v>
      </c>
    </row>
    <row r="53" spans="1:32" x14ac:dyDescent="0.3">
      <c r="A53" s="26" t="s">
        <v>187</v>
      </c>
      <c r="B53" s="22" t="s">
        <v>69</v>
      </c>
      <c r="C53" s="25" t="s">
        <v>91</v>
      </c>
      <c r="D53" s="22" t="s">
        <v>41</v>
      </c>
      <c r="E53" s="19" t="s">
        <v>162</v>
      </c>
      <c r="F53" s="24">
        <v>0</v>
      </c>
      <c r="G53" s="24">
        <v>0</v>
      </c>
      <c r="H53" s="24">
        <v>9075000</v>
      </c>
      <c r="I53" s="24">
        <v>0</v>
      </c>
      <c r="J53" s="24">
        <v>0</v>
      </c>
      <c r="K53" s="24">
        <v>79545000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f>IFERROR(GETPIVOTDATA("Số tiền",#REF!,"khoản mục phí",$C53,"THÁNG",Q$1),0)</f>
        <v>0</v>
      </c>
      <c r="S53" s="21">
        <f t="shared" ca="1" si="0"/>
        <v>0</v>
      </c>
      <c r="T53" s="21">
        <f ca="1">VLOOKUP($C53,Volume!$A$35:$G$109,MATCH(Data!T$1,Volume!$A$34:$G$34,0),0)*$S53</f>
        <v>0</v>
      </c>
      <c r="U53" s="21">
        <f ca="1">VLOOKUP($C53,Volume!$A$35:$G$109,MATCH(Data!U$1,Volume!$A$34:$G$34,0),0)*$S53</f>
        <v>0</v>
      </c>
      <c r="V53" s="21">
        <f ca="1">VLOOKUP($C53,Volume!$A$35:$G$109,MATCH(Data!V$1,Volume!$A$34:$G$34,0),0)*$S53</f>
        <v>0</v>
      </c>
      <c r="W53" s="21">
        <f ca="1">VLOOKUP($C53,Volume!$A$35:$G$109,MATCH(Data!W$1,Volume!$A$34:$G$34,0),0)*$S53</f>
        <v>0</v>
      </c>
      <c r="X53" s="21">
        <f ca="1">VLOOKUP($C53,Volume!$A$35:$G$109,MATCH(Data!X$1,Volume!$A$34:$G$34,0),0)*$S53</f>
        <v>0</v>
      </c>
      <c r="AA53" s="28">
        <f t="shared" ca="1" si="1"/>
        <v>88620000</v>
      </c>
      <c r="AB53" s="29">
        <f ca="1">VLOOKUP($C53,Volume!$A$35:$G$109,MATCH(Data!T$1,Volume!$A$34:$G$34,0),0)*$AA53</f>
        <v>20184857.466211781</v>
      </c>
      <c r="AC53" s="29">
        <f ca="1">VLOOKUP($C53,Volume!$A$35:$G$109,MATCH(Data!U$1,Volume!$A$34:$G$34,0),0)*$AA53</f>
        <v>5523621.3114711288</v>
      </c>
      <c r="AD53" s="29">
        <f ca="1">VLOOKUP($C53,Volume!$A$35:$G$109,MATCH(Data!V$1,Volume!$A$34:$G$34,0),0)*$AA53</f>
        <v>30400392.373292115</v>
      </c>
      <c r="AE53" s="29">
        <f ca="1">VLOOKUP($C53,Volume!$A$35:$G$109,MATCH(Data!W$1,Volume!$A$34:$G$34,0),0)*$AA53</f>
        <v>18195989.577971499</v>
      </c>
      <c r="AF53" s="29">
        <f ca="1">VLOOKUP($C53,Volume!$A$35:$G$109,MATCH(Data!X$1,Volume!$A$34:$G$34,0),0)*$AA53</f>
        <v>14315139.271053486</v>
      </c>
    </row>
    <row r="54" spans="1:32" x14ac:dyDescent="0.3">
      <c r="A54" s="26" t="s">
        <v>187</v>
      </c>
      <c r="B54" s="22" t="s">
        <v>69</v>
      </c>
      <c r="C54" s="25" t="s">
        <v>92</v>
      </c>
      <c r="D54" s="22" t="s">
        <v>43</v>
      </c>
      <c r="E54" s="19" t="s">
        <v>162</v>
      </c>
      <c r="F54" s="24">
        <v>0</v>
      </c>
      <c r="G54" s="24">
        <v>0</v>
      </c>
      <c r="H54" s="24">
        <v>1585000</v>
      </c>
      <c r="I54" s="24">
        <v>0</v>
      </c>
      <c r="J54" s="24">
        <v>375000</v>
      </c>
      <c r="K54" s="24">
        <v>435000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f>IFERROR(GETPIVOTDATA("Số tiền",#REF!,"khoản mục phí",$C54,"THÁNG",Q$1),0)</f>
        <v>0</v>
      </c>
      <c r="S54" s="21">
        <f t="shared" ca="1" si="0"/>
        <v>0</v>
      </c>
      <c r="T54" s="21">
        <f ca="1">VLOOKUP($C54,Volume!$A$35:$G$109,MATCH(Data!T$1,Volume!$A$34:$G$34,0),0)*$S54</f>
        <v>0</v>
      </c>
      <c r="U54" s="21">
        <f ca="1">VLOOKUP($C54,Volume!$A$35:$G$109,MATCH(Data!U$1,Volume!$A$34:$G$34,0),0)*$S54</f>
        <v>0</v>
      </c>
      <c r="V54" s="21">
        <f ca="1">VLOOKUP($C54,Volume!$A$35:$G$109,MATCH(Data!V$1,Volume!$A$34:$G$34,0),0)*$S54</f>
        <v>0</v>
      </c>
      <c r="W54" s="21">
        <f ca="1">VLOOKUP($C54,Volume!$A$35:$G$109,MATCH(Data!W$1,Volume!$A$34:$G$34,0),0)*$S54</f>
        <v>0</v>
      </c>
      <c r="X54" s="21">
        <f ca="1">VLOOKUP($C54,Volume!$A$35:$G$109,MATCH(Data!X$1,Volume!$A$34:$G$34,0),0)*$S54</f>
        <v>0</v>
      </c>
      <c r="AA54" s="28">
        <f t="shared" ca="1" si="1"/>
        <v>2395000</v>
      </c>
      <c r="AB54" s="29">
        <f ca="1">VLOOKUP($C54,Volume!$A$35:$G$109,MATCH(Data!T$1,Volume!$A$34:$G$34,0),0)*$AA54</f>
        <v>545505.90872914926</v>
      </c>
      <c r="AC54" s="29">
        <f ca="1">VLOOKUP($C54,Volume!$A$35:$G$109,MATCH(Data!U$1,Volume!$A$34:$G$34,0),0)*$AA54</f>
        <v>149278.63959572729</v>
      </c>
      <c r="AD54" s="29">
        <f ca="1">VLOOKUP($C54,Volume!$A$35:$G$109,MATCH(Data!V$1,Volume!$A$34:$G$34,0),0)*$AA54</f>
        <v>821585.86926240823</v>
      </c>
      <c r="AE54" s="29">
        <f ca="1">VLOOKUP($C54,Volume!$A$35:$G$109,MATCH(Data!W$1,Volume!$A$34:$G$34,0),0)*$AA54</f>
        <v>491755.75535140757</v>
      </c>
      <c r="AF54" s="29">
        <f ca="1">VLOOKUP($C54,Volume!$A$35:$G$109,MATCH(Data!X$1,Volume!$A$34:$G$34,0),0)*$AA54</f>
        <v>386873.82706130779</v>
      </c>
    </row>
    <row r="55" spans="1:32" x14ac:dyDescent="0.3">
      <c r="A55" s="26" t="s">
        <v>187</v>
      </c>
      <c r="B55" s="22" t="s">
        <v>69</v>
      </c>
      <c r="C55" s="25" t="s">
        <v>93</v>
      </c>
      <c r="D55" s="22" t="s">
        <v>45</v>
      </c>
      <c r="E55" s="19" t="s">
        <v>162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f>IFERROR(GETPIVOTDATA("Số tiền",#REF!,"khoản mục phí",$C55,"THÁNG",Q$1),0)</f>
        <v>0</v>
      </c>
      <c r="S55" s="21">
        <f t="shared" ca="1" si="0"/>
        <v>0</v>
      </c>
      <c r="T55" s="21">
        <f ca="1">VLOOKUP($C55,Volume!$A$35:$G$109,MATCH(Data!T$1,Volume!$A$34:$G$34,0),0)*$S55</f>
        <v>0</v>
      </c>
      <c r="U55" s="21">
        <f ca="1">VLOOKUP($C55,Volume!$A$35:$G$109,MATCH(Data!U$1,Volume!$A$34:$G$34,0),0)*$S55</f>
        <v>0</v>
      </c>
      <c r="V55" s="21">
        <f ca="1">VLOOKUP($C55,Volume!$A$35:$G$109,MATCH(Data!V$1,Volume!$A$34:$G$34,0),0)*$S55</f>
        <v>0</v>
      </c>
      <c r="W55" s="21">
        <f ca="1">VLOOKUP($C55,Volume!$A$35:$G$109,MATCH(Data!W$1,Volume!$A$34:$G$34,0),0)*$S55</f>
        <v>0</v>
      </c>
      <c r="X55" s="21">
        <f ca="1">VLOOKUP($C55,Volume!$A$35:$G$109,MATCH(Data!X$1,Volume!$A$34:$G$34,0),0)*$S55</f>
        <v>0</v>
      </c>
      <c r="AA55" s="28">
        <f t="shared" ca="1" si="1"/>
        <v>0</v>
      </c>
      <c r="AB55" s="29">
        <f ca="1">VLOOKUP($C55,Volume!$A$35:$G$109,MATCH(Data!T$1,Volume!$A$34:$G$34,0),0)*$AA55</f>
        <v>0</v>
      </c>
      <c r="AC55" s="29">
        <f ca="1">VLOOKUP($C55,Volume!$A$35:$G$109,MATCH(Data!U$1,Volume!$A$34:$G$34,0),0)*$AA55</f>
        <v>0</v>
      </c>
      <c r="AD55" s="29">
        <f ca="1">VLOOKUP($C55,Volume!$A$35:$G$109,MATCH(Data!V$1,Volume!$A$34:$G$34,0),0)*$AA55</f>
        <v>0</v>
      </c>
      <c r="AE55" s="29">
        <f ca="1">VLOOKUP($C55,Volume!$A$35:$G$109,MATCH(Data!W$1,Volume!$A$34:$G$34,0),0)*$AA55</f>
        <v>0</v>
      </c>
      <c r="AF55" s="29">
        <f ca="1">VLOOKUP($C55,Volume!$A$35:$G$109,MATCH(Data!X$1,Volume!$A$34:$G$34,0),0)*$AA55</f>
        <v>0</v>
      </c>
    </row>
    <row r="56" spans="1:32" x14ac:dyDescent="0.3">
      <c r="A56" s="26" t="s">
        <v>187</v>
      </c>
      <c r="B56" s="22" t="s">
        <v>69</v>
      </c>
      <c r="C56" s="25" t="s">
        <v>94</v>
      </c>
      <c r="D56" s="22" t="s">
        <v>47</v>
      </c>
      <c r="E56" s="19" t="s">
        <v>162</v>
      </c>
      <c r="F56" s="24">
        <v>0</v>
      </c>
      <c r="G56" s="24">
        <v>0</v>
      </c>
      <c r="H56" s="24">
        <v>0</v>
      </c>
      <c r="I56" s="24">
        <v>0</v>
      </c>
      <c r="J56" s="24">
        <v>272596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f>IFERROR(GETPIVOTDATA("Số tiền",#REF!,"khoản mục phí",$C56,"THÁNG",Q$1),0)</f>
        <v>0</v>
      </c>
      <c r="S56" s="21">
        <f t="shared" ca="1" si="0"/>
        <v>0</v>
      </c>
      <c r="T56" s="21">
        <f ca="1">VLOOKUP($C56,Volume!$A$35:$G$109,MATCH(Data!T$1,Volume!$A$34:$G$34,0),0)*$S56</f>
        <v>0</v>
      </c>
      <c r="U56" s="21">
        <f ca="1">VLOOKUP($C56,Volume!$A$35:$G$109,MATCH(Data!U$1,Volume!$A$34:$G$34,0),0)*$S56</f>
        <v>0</v>
      </c>
      <c r="V56" s="21">
        <f ca="1">VLOOKUP($C56,Volume!$A$35:$G$109,MATCH(Data!V$1,Volume!$A$34:$G$34,0),0)*$S56</f>
        <v>0</v>
      </c>
      <c r="W56" s="21">
        <f ca="1">VLOOKUP($C56,Volume!$A$35:$G$109,MATCH(Data!W$1,Volume!$A$34:$G$34,0),0)*$S56</f>
        <v>0</v>
      </c>
      <c r="X56" s="21">
        <f ca="1">VLOOKUP($C56,Volume!$A$35:$G$109,MATCH(Data!X$1,Volume!$A$34:$G$34,0),0)*$S56</f>
        <v>0</v>
      </c>
      <c r="AA56" s="28">
        <f t="shared" ca="1" si="1"/>
        <v>272596</v>
      </c>
      <c r="AB56" s="29">
        <f ca="1">VLOOKUP($C56,Volume!$A$35:$G$109,MATCH(Data!T$1,Volume!$A$34:$G$34,0),0)*$AA56</f>
        <v>62088.822002476489</v>
      </c>
      <c r="AC56" s="29">
        <f ca="1">VLOOKUP($C56,Volume!$A$35:$G$109,MATCH(Data!U$1,Volume!$A$34:$G$34,0),0)*$AA56</f>
        <v>16990.714003856734</v>
      </c>
      <c r="AD56" s="29">
        <f ca="1">VLOOKUP($C56,Volume!$A$35:$G$109,MATCH(Data!V$1,Volume!$A$34:$G$34,0),0)*$AA56</f>
        <v>93511.908817309159</v>
      </c>
      <c r="AE56" s="29">
        <f ca="1">VLOOKUP($C56,Volume!$A$35:$G$109,MATCH(Data!W$1,Volume!$A$34:$G$34,0),0)*$AA56</f>
        <v>55971.044628714946</v>
      </c>
      <c r="AF56" s="29">
        <f ca="1">VLOOKUP($C56,Volume!$A$35:$G$109,MATCH(Data!X$1,Volume!$A$34:$G$34,0),0)*$AA56</f>
        <v>44033.510547642698</v>
      </c>
    </row>
    <row r="57" spans="1:32" x14ac:dyDescent="0.3">
      <c r="A57" s="26" t="s">
        <v>187</v>
      </c>
      <c r="B57" s="22" t="s">
        <v>69</v>
      </c>
      <c r="C57" s="25" t="s">
        <v>95</v>
      </c>
      <c r="D57" s="22" t="s">
        <v>49</v>
      </c>
      <c r="E57" s="19" t="s">
        <v>162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f>IFERROR(GETPIVOTDATA("Số tiền",#REF!,"khoản mục phí",$C57,"THÁNG",Q$1),0)</f>
        <v>0</v>
      </c>
      <c r="S57" s="21">
        <f t="shared" ca="1" si="0"/>
        <v>0</v>
      </c>
      <c r="T57" s="21">
        <f ca="1">VLOOKUP($C57,Volume!$A$35:$G$109,MATCH(Data!T$1,Volume!$A$34:$G$34,0),0)*$S57</f>
        <v>0</v>
      </c>
      <c r="U57" s="21">
        <f ca="1">VLOOKUP($C57,Volume!$A$35:$G$109,MATCH(Data!U$1,Volume!$A$34:$G$34,0),0)*$S57</f>
        <v>0</v>
      </c>
      <c r="V57" s="21">
        <f ca="1">VLOOKUP($C57,Volume!$A$35:$G$109,MATCH(Data!V$1,Volume!$A$34:$G$34,0),0)*$S57</f>
        <v>0</v>
      </c>
      <c r="W57" s="21">
        <f ca="1">VLOOKUP($C57,Volume!$A$35:$G$109,MATCH(Data!W$1,Volume!$A$34:$G$34,0),0)*$S57</f>
        <v>0</v>
      </c>
      <c r="X57" s="21">
        <f ca="1">VLOOKUP($C57,Volume!$A$35:$G$109,MATCH(Data!X$1,Volume!$A$34:$G$34,0),0)*$S57</f>
        <v>0</v>
      </c>
      <c r="AA57" s="28">
        <f t="shared" ca="1" si="1"/>
        <v>0</v>
      </c>
      <c r="AB57" s="29">
        <f ca="1">VLOOKUP($C57,Volume!$A$35:$G$109,MATCH(Data!T$1,Volume!$A$34:$G$34,0),0)*$AA57</f>
        <v>0</v>
      </c>
      <c r="AC57" s="29">
        <f ca="1">VLOOKUP($C57,Volume!$A$35:$G$109,MATCH(Data!U$1,Volume!$A$34:$G$34,0),0)*$AA57</f>
        <v>0</v>
      </c>
      <c r="AD57" s="29">
        <f ca="1">VLOOKUP($C57,Volume!$A$35:$G$109,MATCH(Data!V$1,Volume!$A$34:$G$34,0),0)*$AA57</f>
        <v>0</v>
      </c>
      <c r="AE57" s="29">
        <f ca="1">VLOOKUP($C57,Volume!$A$35:$G$109,MATCH(Data!W$1,Volume!$A$34:$G$34,0),0)*$AA57</f>
        <v>0</v>
      </c>
      <c r="AF57" s="29">
        <f ca="1">VLOOKUP($C57,Volume!$A$35:$G$109,MATCH(Data!X$1,Volume!$A$34:$G$34,0),0)*$AA57</f>
        <v>0</v>
      </c>
    </row>
    <row r="58" spans="1:32" x14ac:dyDescent="0.3">
      <c r="A58" s="26" t="s">
        <v>187</v>
      </c>
      <c r="B58" s="22" t="s">
        <v>69</v>
      </c>
      <c r="C58" s="25" t="s">
        <v>96</v>
      </c>
      <c r="D58" s="22" t="s">
        <v>51</v>
      </c>
      <c r="E58" s="19" t="s">
        <v>162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f>IFERROR(GETPIVOTDATA("Số tiền",#REF!,"khoản mục phí",$C58,"THÁNG",Q$1),0)</f>
        <v>0</v>
      </c>
      <c r="S58" s="21">
        <f t="shared" ca="1" si="0"/>
        <v>0</v>
      </c>
      <c r="T58" s="21">
        <f ca="1">VLOOKUP($C58,Volume!$A$35:$G$109,MATCH(Data!T$1,Volume!$A$34:$G$34,0),0)*$S58</f>
        <v>0</v>
      </c>
      <c r="U58" s="21">
        <f ca="1">VLOOKUP($C58,Volume!$A$35:$G$109,MATCH(Data!U$1,Volume!$A$34:$G$34,0),0)*$S58</f>
        <v>0</v>
      </c>
      <c r="V58" s="21">
        <f ca="1">VLOOKUP($C58,Volume!$A$35:$G$109,MATCH(Data!V$1,Volume!$A$34:$G$34,0),0)*$S58</f>
        <v>0</v>
      </c>
      <c r="W58" s="21">
        <f ca="1">VLOOKUP($C58,Volume!$A$35:$G$109,MATCH(Data!W$1,Volume!$A$34:$G$34,0),0)*$S58</f>
        <v>0</v>
      </c>
      <c r="X58" s="21">
        <f ca="1">VLOOKUP($C58,Volume!$A$35:$G$109,MATCH(Data!X$1,Volume!$A$34:$G$34,0),0)*$S58</f>
        <v>0</v>
      </c>
      <c r="AA58" s="28">
        <f t="shared" ca="1" si="1"/>
        <v>0</v>
      </c>
      <c r="AB58" s="29">
        <f ca="1">VLOOKUP($C58,Volume!$A$35:$G$109,MATCH(Data!T$1,Volume!$A$34:$G$34,0),0)*$AA58</f>
        <v>0</v>
      </c>
      <c r="AC58" s="29">
        <f ca="1">VLOOKUP($C58,Volume!$A$35:$G$109,MATCH(Data!U$1,Volume!$A$34:$G$34,0),0)*$AA58</f>
        <v>0</v>
      </c>
      <c r="AD58" s="29">
        <f ca="1">VLOOKUP($C58,Volume!$A$35:$G$109,MATCH(Data!V$1,Volume!$A$34:$G$34,0),0)*$AA58</f>
        <v>0</v>
      </c>
      <c r="AE58" s="29">
        <f ca="1">VLOOKUP($C58,Volume!$A$35:$G$109,MATCH(Data!W$1,Volume!$A$34:$G$34,0),0)*$AA58</f>
        <v>0</v>
      </c>
      <c r="AF58" s="29">
        <f ca="1">VLOOKUP($C58,Volume!$A$35:$G$109,MATCH(Data!X$1,Volume!$A$34:$G$34,0),0)*$AA58</f>
        <v>0</v>
      </c>
    </row>
    <row r="59" spans="1:32" x14ac:dyDescent="0.3">
      <c r="A59" s="26" t="s">
        <v>187</v>
      </c>
      <c r="B59" s="22" t="s">
        <v>69</v>
      </c>
      <c r="C59" s="25" t="s">
        <v>97</v>
      </c>
      <c r="D59" s="22" t="s">
        <v>53</v>
      </c>
      <c r="E59" s="19" t="s">
        <v>162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195000</v>
      </c>
      <c r="L59" s="24">
        <v>0</v>
      </c>
      <c r="M59" s="24">
        <v>5968602</v>
      </c>
      <c r="N59" s="24">
        <v>916072</v>
      </c>
      <c r="O59" s="24">
        <v>0</v>
      </c>
      <c r="P59" s="24">
        <v>0</v>
      </c>
      <c r="Q59" s="24">
        <f>IFERROR(GETPIVOTDATA("Số tiền",#REF!,"khoản mục phí",$C59,"THÁNG",Q$1),0)</f>
        <v>0</v>
      </c>
      <c r="S59" s="21">
        <f t="shared" ca="1" si="0"/>
        <v>0</v>
      </c>
      <c r="T59" s="21">
        <f ca="1">VLOOKUP($C59,Volume!$A$35:$G$109,MATCH(Data!T$1,Volume!$A$34:$G$34,0),0)*$S59</f>
        <v>0</v>
      </c>
      <c r="U59" s="21">
        <f ca="1">VLOOKUP($C59,Volume!$A$35:$G$109,MATCH(Data!U$1,Volume!$A$34:$G$34,0),0)*$S59</f>
        <v>0</v>
      </c>
      <c r="V59" s="21">
        <f ca="1">VLOOKUP($C59,Volume!$A$35:$G$109,MATCH(Data!V$1,Volume!$A$34:$G$34,0),0)*$S59</f>
        <v>0</v>
      </c>
      <c r="W59" s="21">
        <f ca="1">VLOOKUP($C59,Volume!$A$35:$G$109,MATCH(Data!W$1,Volume!$A$34:$G$34,0),0)*$S59</f>
        <v>0</v>
      </c>
      <c r="X59" s="21">
        <f ca="1">VLOOKUP($C59,Volume!$A$35:$G$109,MATCH(Data!X$1,Volume!$A$34:$G$34,0),0)*$S59</f>
        <v>0</v>
      </c>
      <c r="AA59" s="28">
        <f t="shared" ca="1" si="1"/>
        <v>7079674</v>
      </c>
      <c r="AB59" s="29">
        <f ca="1">VLOOKUP($C59,Volume!$A$35:$G$109,MATCH(Data!T$1,Volume!$A$34:$G$34,0),0)*$AA59</f>
        <v>1612527.7657102845</v>
      </c>
      <c r="AC59" s="29">
        <f ca="1">VLOOKUP($C59,Volume!$A$35:$G$109,MATCH(Data!U$1,Volume!$A$34:$G$34,0),0)*$AA59</f>
        <v>441271.02442640549</v>
      </c>
      <c r="AD59" s="29">
        <f ca="1">VLOOKUP($C59,Volume!$A$35:$G$109,MATCH(Data!V$1,Volume!$A$34:$G$34,0),0)*$AA59</f>
        <v>2428626.3538139751</v>
      </c>
      <c r="AE59" s="29">
        <f ca="1">VLOOKUP($C59,Volume!$A$35:$G$109,MATCH(Data!W$1,Volume!$A$34:$G$34,0),0)*$AA59</f>
        <v>1453641.1004224306</v>
      </c>
      <c r="AF59" s="29">
        <f ca="1">VLOOKUP($C59,Volume!$A$35:$G$109,MATCH(Data!X$1,Volume!$A$34:$G$34,0),0)*$AA59</f>
        <v>1143607.755626905</v>
      </c>
    </row>
    <row r="60" spans="1:32" x14ac:dyDescent="0.3">
      <c r="A60" s="26" t="s">
        <v>187</v>
      </c>
      <c r="B60" s="22" t="s">
        <v>69</v>
      </c>
      <c r="C60" s="25" t="s">
        <v>98</v>
      </c>
      <c r="D60" s="22" t="s">
        <v>55</v>
      </c>
      <c r="E60" s="19" t="s">
        <v>162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f>IFERROR(GETPIVOTDATA("Số tiền",#REF!,"khoản mục phí",$C60,"THÁNG",Q$1),0)</f>
        <v>0</v>
      </c>
      <c r="S60" s="21">
        <f t="shared" ca="1" si="0"/>
        <v>0</v>
      </c>
      <c r="T60" s="21">
        <f ca="1">VLOOKUP($C60,Volume!$A$35:$G$109,MATCH(Data!T$1,Volume!$A$34:$G$34,0),0)*$S60</f>
        <v>0</v>
      </c>
      <c r="U60" s="21">
        <f ca="1">VLOOKUP($C60,Volume!$A$35:$G$109,MATCH(Data!U$1,Volume!$A$34:$G$34,0),0)*$S60</f>
        <v>0</v>
      </c>
      <c r="V60" s="21">
        <f ca="1">VLOOKUP($C60,Volume!$A$35:$G$109,MATCH(Data!V$1,Volume!$A$34:$G$34,0),0)*$S60</f>
        <v>0</v>
      </c>
      <c r="W60" s="21">
        <f ca="1">VLOOKUP($C60,Volume!$A$35:$G$109,MATCH(Data!W$1,Volume!$A$34:$G$34,0),0)*$S60</f>
        <v>0</v>
      </c>
      <c r="X60" s="21">
        <f ca="1">VLOOKUP($C60,Volume!$A$35:$G$109,MATCH(Data!X$1,Volume!$A$34:$G$34,0),0)*$S60</f>
        <v>0</v>
      </c>
      <c r="AA60" s="28">
        <f t="shared" ca="1" si="1"/>
        <v>0</v>
      </c>
      <c r="AB60" s="29">
        <f ca="1">VLOOKUP($C60,Volume!$A$35:$G$109,MATCH(Data!T$1,Volume!$A$34:$G$34,0),0)*$AA60</f>
        <v>0</v>
      </c>
      <c r="AC60" s="29">
        <f ca="1">VLOOKUP($C60,Volume!$A$35:$G$109,MATCH(Data!U$1,Volume!$A$34:$G$34,0),0)*$AA60</f>
        <v>0</v>
      </c>
      <c r="AD60" s="29">
        <f ca="1">VLOOKUP($C60,Volume!$A$35:$G$109,MATCH(Data!V$1,Volume!$A$34:$G$34,0),0)*$AA60</f>
        <v>0</v>
      </c>
      <c r="AE60" s="29">
        <f ca="1">VLOOKUP($C60,Volume!$A$35:$G$109,MATCH(Data!W$1,Volume!$A$34:$G$34,0),0)*$AA60</f>
        <v>0</v>
      </c>
      <c r="AF60" s="29">
        <f ca="1">VLOOKUP($C60,Volume!$A$35:$G$109,MATCH(Data!X$1,Volume!$A$34:$G$34,0),0)*$AA60</f>
        <v>0</v>
      </c>
    </row>
    <row r="61" spans="1:32" x14ac:dyDescent="0.3">
      <c r="A61" s="26" t="s">
        <v>187</v>
      </c>
      <c r="B61" s="22" t="s">
        <v>69</v>
      </c>
      <c r="C61" s="25" t="s">
        <v>99</v>
      </c>
      <c r="D61" s="22" t="s">
        <v>57</v>
      </c>
      <c r="E61" s="19" t="s">
        <v>162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f>IFERROR(GETPIVOTDATA("Số tiền",#REF!,"khoản mục phí",$C61,"THÁNG",Q$1),0)</f>
        <v>0</v>
      </c>
      <c r="S61" s="21">
        <f t="shared" ca="1" si="0"/>
        <v>0</v>
      </c>
      <c r="T61" s="21">
        <f ca="1">VLOOKUP($C61,Volume!$A$35:$G$109,MATCH(Data!T$1,Volume!$A$34:$G$34,0),0)*$S61</f>
        <v>0</v>
      </c>
      <c r="U61" s="21">
        <f ca="1">VLOOKUP($C61,Volume!$A$35:$G$109,MATCH(Data!U$1,Volume!$A$34:$G$34,0),0)*$S61</f>
        <v>0</v>
      </c>
      <c r="V61" s="21">
        <f ca="1">VLOOKUP($C61,Volume!$A$35:$G$109,MATCH(Data!V$1,Volume!$A$34:$G$34,0),0)*$S61</f>
        <v>0</v>
      </c>
      <c r="W61" s="21">
        <f ca="1">VLOOKUP($C61,Volume!$A$35:$G$109,MATCH(Data!W$1,Volume!$A$34:$G$34,0),0)*$S61</f>
        <v>0</v>
      </c>
      <c r="X61" s="21">
        <f ca="1">VLOOKUP($C61,Volume!$A$35:$G$109,MATCH(Data!X$1,Volume!$A$34:$G$34,0),0)*$S61</f>
        <v>0</v>
      </c>
      <c r="AA61" s="28">
        <f t="shared" ca="1" si="1"/>
        <v>0</v>
      </c>
      <c r="AB61" s="29">
        <f ca="1">VLOOKUP($C61,Volume!$A$35:$G$109,MATCH(Data!T$1,Volume!$A$34:$G$34,0),0)*$AA61</f>
        <v>0</v>
      </c>
      <c r="AC61" s="29">
        <f ca="1">VLOOKUP($C61,Volume!$A$35:$G$109,MATCH(Data!U$1,Volume!$A$34:$G$34,0),0)*$AA61</f>
        <v>0</v>
      </c>
      <c r="AD61" s="29">
        <f ca="1">VLOOKUP($C61,Volume!$A$35:$G$109,MATCH(Data!V$1,Volume!$A$34:$G$34,0),0)*$AA61</f>
        <v>0</v>
      </c>
      <c r="AE61" s="29">
        <f ca="1">VLOOKUP($C61,Volume!$A$35:$G$109,MATCH(Data!W$1,Volume!$A$34:$G$34,0),0)*$AA61</f>
        <v>0</v>
      </c>
      <c r="AF61" s="29">
        <f ca="1">VLOOKUP($C61,Volume!$A$35:$G$109,MATCH(Data!X$1,Volume!$A$34:$G$34,0),0)*$AA61</f>
        <v>0</v>
      </c>
    </row>
    <row r="62" spans="1:32" x14ac:dyDescent="0.3">
      <c r="A62" s="26" t="s">
        <v>187</v>
      </c>
      <c r="B62" s="22" t="s">
        <v>100</v>
      </c>
      <c r="C62" s="23" t="s">
        <v>101</v>
      </c>
      <c r="D62" s="22" t="s">
        <v>102</v>
      </c>
      <c r="E62" s="19" t="s">
        <v>158</v>
      </c>
      <c r="F62" s="24">
        <v>131630220</v>
      </c>
      <c r="G62" s="24">
        <v>25275565</v>
      </c>
      <c r="H62" s="24">
        <v>0</v>
      </c>
      <c r="I62" s="24">
        <v>25275565</v>
      </c>
      <c r="J62" s="24">
        <v>25525565</v>
      </c>
      <c r="K62" s="24">
        <v>25275565</v>
      </c>
      <c r="L62" s="24">
        <v>25275565</v>
      </c>
      <c r="M62" s="24">
        <v>25275565</v>
      </c>
      <c r="N62" s="24">
        <v>25275565</v>
      </c>
      <c r="O62" s="24">
        <v>20565000</v>
      </c>
      <c r="P62" s="24">
        <v>58017963</v>
      </c>
      <c r="Q62" s="24">
        <f>IFERROR(GETPIVOTDATA("Số tiền",#REF!,"khoản mục phí",$C62,"THÁNG",Q$1),0)</f>
        <v>0</v>
      </c>
      <c r="S62" s="21">
        <f t="shared" ca="1" si="0"/>
        <v>58017963</v>
      </c>
      <c r="T62" s="21">
        <f ca="1">VLOOKUP($C62,Volume!$A$35:$G$109,MATCH(Data!T$1,Volume!$A$34:$G$34,0),0)*$S62</f>
        <v>13214672.913957896</v>
      </c>
      <c r="U62" s="21">
        <f ca="1">VLOOKUP($C62,Volume!$A$35:$G$109,MATCH(Data!U$1,Volume!$A$34:$G$34,0),0)*$S62</f>
        <v>3616218.1998978043</v>
      </c>
      <c r="V62" s="21">
        <f ca="1">VLOOKUP($C62,Volume!$A$35:$G$109,MATCH(Data!V$1,Volume!$A$34:$G$34,0),0)*$S62</f>
        <v>19902604.828471497</v>
      </c>
      <c r="W62" s="21">
        <f ca="1">VLOOKUP($C62,Volume!$A$35:$G$109,MATCH(Data!W$1,Volume!$A$34:$G$34,0),0)*$S62</f>
        <v>11912595.916081427</v>
      </c>
      <c r="X62" s="21">
        <f ca="1">VLOOKUP($C62,Volume!$A$35:$G$109,MATCH(Data!X$1,Volume!$A$34:$G$34,0),0)*$S62</f>
        <v>9371871.1415913794</v>
      </c>
      <c r="AA62" s="28">
        <f t="shared" ca="1" si="1"/>
        <v>387392138</v>
      </c>
      <c r="AB62" s="29">
        <f ca="1">VLOOKUP($C62,Volume!$A$35:$G$109,MATCH(Data!T$1,Volume!$A$34:$G$34,0),0)*$AA62</f>
        <v>88235782.995498121</v>
      </c>
      <c r="AC62" s="29">
        <f ca="1">VLOOKUP($C62,Volume!$A$35:$G$109,MATCH(Data!U$1,Volume!$A$34:$G$34,0),0)*$AA62</f>
        <v>24145875.303014722</v>
      </c>
      <c r="AD62" s="29">
        <f ca="1">VLOOKUP($C62,Volume!$A$35:$G$109,MATCH(Data!V$1,Volume!$A$34:$G$34,0),0)*$AA62</f>
        <v>132891818.97459407</v>
      </c>
      <c r="AE62" s="29">
        <f ca="1">VLOOKUP($C62,Volume!$A$35:$G$109,MATCH(Data!W$1,Volume!$A$34:$G$34,0),0)*$AA62</f>
        <v>79541675.75757274</v>
      </c>
      <c r="AF62" s="29">
        <f ca="1">VLOOKUP($C62,Volume!$A$35:$G$109,MATCH(Data!X$1,Volume!$A$34:$G$34,0),0)*$AA62</f>
        <v>62576984.969320372</v>
      </c>
    </row>
    <row r="63" spans="1:32" x14ac:dyDescent="0.3">
      <c r="A63" s="26" t="s">
        <v>187</v>
      </c>
      <c r="B63" s="22" t="s">
        <v>100</v>
      </c>
      <c r="C63" s="23" t="s">
        <v>103</v>
      </c>
      <c r="D63" s="22" t="s">
        <v>104</v>
      </c>
      <c r="E63" s="19" t="s">
        <v>158</v>
      </c>
      <c r="F63" s="24">
        <v>453689540.04936957</v>
      </c>
      <c r="G63" s="24">
        <v>28534494</v>
      </c>
      <c r="H63" s="24">
        <v>606008</v>
      </c>
      <c r="I63" s="24">
        <v>29094502</v>
      </c>
      <c r="J63" s="24">
        <v>29352921</v>
      </c>
      <c r="K63" s="24">
        <v>30772365</v>
      </c>
      <c r="L63" s="24">
        <v>30772365</v>
      </c>
      <c r="M63" s="24">
        <v>53644908</v>
      </c>
      <c r="N63" s="24">
        <v>53644909</v>
      </c>
      <c r="O63" s="24">
        <v>45656332</v>
      </c>
      <c r="P63" s="24">
        <v>168941518</v>
      </c>
      <c r="Q63" s="24">
        <f>IFERROR(GETPIVOTDATA("Số tiền",#REF!,"khoản mục phí",$C63,"THÁNG",Q$1),0)</f>
        <v>0</v>
      </c>
      <c r="S63" s="21">
        <f t="shared" ca="1" si="0"/>
        <v>168941518</v>
      </c>
      <c r="T63" s="21">
        <f ca="1">VLOOKUP($C63,Volume!$A$35:$G$109,MATCH(Data!T$1,Volume!$A$34:$G$34,0),0)*$S63</f>
        <v>38479580.918025859</v>
      </c>
      <c r="U63" s="21">
        <f ca="1">VLOOKUP($C63,Volume!$A$35:$G$109,MATCH(Data!U$1,Volume!$A$34:$G$34,0),0)*$S63</f>
        <v>10530004.16629523</v>
      </c>
      <c r="V63" s="21">
        <f ca="1">VLOOKUP($C63,Volume!$A$35:$G$109,MATCH(Data!V$1,Volume!$A$34:$G$34,0),0)*$S63</f>
        <v>57954055.91671849</v>
      </c>
      <c r="W63" s="21">
        <f ca="1">VLOOKUP($C63,Volume!$A$35:$G$109,MATCH(Data!W$1,Volume!$A$34:$G$34,0),0)*$S63</f>
        <v>34688085.091567189</v>
      </c>
      <c r="X63" s="21">
        <f ca="1">VLOOKUP($C63,Volume!$A$35:$G$109,MATCH(Data!X$1,Volume!$A$34:$G$34,0),0)*$S63</f>
        <v>27289791.907393247</v>
      </c>
      <c r="AA63" s="28">
        <f t="shared" ca="1" si="1"/>
        <v>924709862.04936957</v>
      </c>
      <c r="AB63" s="29">
        <f ca="1">VLOOKUP($C63,Volume!$A$35:$G$109,MATCH(Data!T$1,Volume!$A$34:$G$34,0),0)*$AA63</f>
        <v>210619913.82381949</v>
      </c>
      <c r="AC63" s="29">
        <f ca="1">VLOOKUP($C63,Volume!$A$35:$G$109,MATCH(Data!U$1,Volume!$A$34:$G$34,0),0)*$AA63</f>
        <v>57636505.314188957</v>
      </c>
      <c r="AD63" s="29">
        <f ca="1">VLOOKUP($C63,Volume!$A$35:$G$109,MATCH(Data!V$1,Volume!$A$34:$G$34,0),0)*$AA63</f>
        <v>317214428.32039785</v>
      </c>
      <c r="AE63" s="29">
        <f ca="1">VLOOKUP($C63,Volume!$A$35:$G$109,MATCH(Data!W$1,Volume!$A$34:$G$34,0),0)*$AA63</f>
        <v>189866971.47932509</v>
      </c>
      <c r="AF63" s="29">
        <f ca="1">VLOOKUP($C63,Volume!$A$35:$G$109,MATCH(Data!X$1,Volume!$A$34:$G$34,0),0)*$AA63</f>
        <v>149372043.11163825</v>
      </c>
    </row>
    <row r="64" spans="1:32" x14ac:dyDescent="0.3">
      <c r="A64" s="26" t="s">
        <v>187</v>
      </c>
      <c r="B64" s="22" t="s">
        <v>100</v>
      </c>
      <c r="C64" s="23" t="s">
        <v>105</v>
      </c>
      <c r="D64" s="22" t="s">
        <v>106</v>
      </c>
      <c r="E64" s="19" t="s">
        <v>165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13126397</v>
      </c>
      <c r="M64" s="24">
        <v>-1478313</v>
      </c>
      <c r="N64" s="24">
        <v>5814624</v>
      </c>
      <c r="O64" s="24">
        <v>5814624</v>
      </c>
      <c r="P64" s="24">
        <v>5814624</v>
      </c>
      <c r="Q64" s="24">
        <f>IFERROR(GETPIVOTDATA("Số tiền",#REF!,"khoản mục phí",$C64,"THÁNG",Q$1),0)</f>
        <v>0</v>
      </c>
      <c r="S64" s="21">
        <f t="shared" ca="1" si="0"/>
        <v>5814624</v>
      </c>
      <c r="T64" s="21">
        <f ca="1">VLOOKUP($C64,Volume!$A$35:$G$109,MATCH(Data!T$1,Volume!$A$34:$G$34,0),0)*$S64</f>
        <v>1324389.0392644347</v>
      </c>
      <c r="U64" s="21">
        <f ca="1">VLOOKUP($C64,Volume!$A$35:$G$109,MATCH(Data!U$1,Volume!$A$34:$G$34,0),0)*$S64</f>
        <v>362421.36136979802</v>
      </c>
      <c r="V64" s="21">
        <f ca="1">VLOOKUP($C64,Volume!$A$35:$G$109,MATCH(Data!V$1,Volume!$A$34:$G$34,0),0)*$S64</f>
        <v>1994660.9242062885</v>
      </c>
      <c r="W64" s="21">
        <f ca="1">VLOOKUP($C64,Volume!$A$35:$G$109,MATCH(Data!W$1,Volume!$A$34:$G$34,0),0)*$S64</f>
        <v>1193893.4518598842</v>
      </c>
      <c r="X64" s="21">
        <f ca="1">VLOOKUP($C64,Volume!$A$35:$G$109,MATCH(Data!X$1,Volume!$A$34:$G$34,0),0)*$S64</f>
        <v>939259.22329959495</v>
      </c>
      <c r="AA64" s="28">
        <f t="shared" ca="1" si="1"/>
        <v>29091956</v>
      </c>
      <c r="AB64" s="29">
        <f ca="1">VLOOKUP($C64,Volume!$A$35:$G$109,MATCH(Data!T$1,Volume!$A$34:$G$34,0),0)*$AA64</f>
        <v>6626235.4465504913</v>
      </c>
      <c r="AC64" s="29">
        <f ca="1">VLOOKUP($C64,Volume!$A$35:$G$109,MATCH(Data!U$1,Volume!$A$34:$G$34,0),0)*$AA64</f>
        <v>1813280.8412771425</v>
      </c>
      <c r="AD64" s="29">
        <f ca="1">VLOOKUP($C64,Volume!$A$35:$G$109,MATCH(Data!V$1,Volume!$A$34:$G$34,0),0)*$AA64</f>
        <v>9979766.1623397637</v>
      </c>
      <c r="AE64" s="29">
        <f ca="1">VLOOKUP($C64,Volume!$A$35:$G$109,MATCH(Data!W$1,Volume!$A$34:$G$34,0),0)*$AA64</f>
        <v>5973334.7797202142</v>
      </c>
      <c r="AF64" s="29">
        <f ca="1">VLOOKUP($C64,Volume!$A$35:$G$109,MATCH(Data!X$1,Volume!$A$34:$G$34,0),0)*$AA64</f>
        <v>4699338.7701123906</v>
      </c>
    </row>
    <row r="65" spans="1:32" x14ac:dyDescent="0.3">
      <c r="A65" s="26" t="s">
        <v>187</v>
      </c>
      <c r="B65" s="22" t="s">
        <v>100</v>
      </c>
      <c r="C65" s="23" t="s">
        <v>107</v>
      </c>
      <c r="D65" s="22" t="s">
        <v>108</v>
      </c>
      <c r="E65" s="19" t="s">
        <v>165</v>
      </c>
      <c r="F65" s="24">
        <v>157097515</v>
      </c>
      <c r="G65" s="24">
        <v>5248989</v>
      </c>
      <c r="H65" s="24">
        <v>1666667</v>
      </c>
      <c r="I65" s="24">
        <v>6915656</v>
      </c>
      <c r="J65" s="24">
        <v>6915656</v>
      </c>
      <c r="K65" s="24">
        <v>6915657</v>
      </c>
      <c r="L65" s="24">
        <v>6915657</v>
      </c>
      <c r="M65" s="24">
        <v>6915657</v>
      </c>
      <c r="N65" s="24">
        <v>7161490</v>
      </c>
      <c r="O65" s="24">
        <v>104567989</v>
      </c>
      <c r="P65" s="24">
        <v>5741342</v>
      </c>
      <c r="Q65" s="24">
        <f>IFERROR(GETPIVOTDATA("Số tiền",#REF!,"khoản mục phí",$C65,"THÁNG",Q$1),0)</f>
        <v>0</v>
      </c>
      <c r="S65" s="21">
        <f t="shared" ca="1" si="0"/>
        <v>5741342</v>
      </c>
      <c r="T65" s="21">
        <f ca="1">VLOOKUP($C65,Volume!$A$35:$G$109,MATCH(Data!T$1,Volume!$A$34:$G$34,0),0)*$S65</f>
        <v>1307697.6973005559</v>
      </c>
      <c r="U65" s="21">
        <f ca="1">VLOOKUP($C65,Volume!$A$35:$G$109,MATCH(Data!U$1,Volume!$A$34:$G$34,0),0)*$S65</f>
        <v>357853.74664459797</v>
      </c>
      <c r="V65" s="21">
        <f ca="1">VLOOKUP($C65,Volume!$A$35:$G$109,MATCH(Data!V$1,Volume!$A$34:$G$34,0),0)*$S65</f>
        <v>1969522.1118174419</v>
      </c>
      <c r="W65" s="21">
        <f ca="1">VLOOKUP($C65,Volume!$A$35:$G$109,MATCH(Data!W$1,Volume!$A$34:$G$34,0),0)*$S65</f>
        <v>1178846.7523761005</v>
      </c>
      <c r="X65" s="21">
        <f ca="1">VLOOKUP($C65,Volume!$A$35:$G$109,MATCH(Data!X$1,Volume!$A$34:$G$34,0),0)*$S65</f>
        <v>927421.69186130399</v>
      </c>
      <c r="AA65" s="28">
        <f t="shared" ca="1" si="1"/>
        <v>316062275</v>
      </c>
      <c r="AB65" s="29">
        <f ca="1">VLOOKUP($C65,Volume!$A$35:$G$109,MATCH(Data!T$1,Volume!$A$34:$G$34,0),0)*$AA65</f>
        <v>71989076.63418676</v>
      </c>
      <c r="AC65" s="29">
        <f ca="1">VLOOKUP($C65,Volume!$A$35:$G$109,MATCH(Data!U$1,Volume!$A$34:$G$34,0),0)*$AA65</f>
        <v>19699935.882893801</v>
      </c>
      <c r="AD65" s="29">
        <f ca="1">VLOOKUP($C65,Volume!$A$35:$G$109,MATCH(Data!V$1,Volume!$A$34:$G$34,0),0)*$AA65</f>
        <v>108422671.79412498</v>
      </c>
      <c r="AE65" s="29">
        <f ca="1">VLOOKUP($C65,Volume!$A$35:$G$109,MATCH(Data!W$1,Volume!$A$34:$G$34,0),0)*$AA65</f>
        <v>64895800.743511185</v>
      </c>
      <c r="AF65" s="29">
        <f ca="1">VLOOKUP($C65,Volume!$A$35:$G$109,MATCH(Data!X$1,Volume!$A$34:$G$34,0),0)*$AA65</f>
        <v>51054789.945283301</v>
      </c>
    </row>
    <row r="66" spans="1:32" x14ac:dyDescent="0.3">
      <c r="A66" s="26" t="s">
        <v>187</v>
      </c>
      <c r="B66" s="22" t="s">
        <v>100</v>
      </c>
      <c r="C66" s="23" t="s">
        <v>109</v>
      </c>
      <c r="D66" s="22" t="s">
        <v>110</v>
      </c>
      <c r="E66" s="19" t="s">
        <v>165</v>
      </c>
      <c r="F66" s="24">
        <v>30295117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214998851</v>
      </c>
      <c r="M66" s="24">
        <v>227643572</v>
      </c>
      <c r="N66" s="24">
        <v>172239021</v>
      </c>
      <c r="O66" s="24">
        <v>175817066</v>
      </c>
      <c r="P66" s="24">
        <v>0</v>
      </c>
      <c r="Q66" s="24">
        <f>IFERROR(GETPIVOTDATA("Số tiền",#REF!,"khoản mục phí",$C66,"THÁNG",Q$1),0)</f>
        <v>0</v>
      </c>
      <c r="S66" s="21">
        <f t="shared" ca="1" si="0"/>
        <v>0</v>
      </c>
      <c r="T66" s="21">
        <f ca="1">VLOOKUP($C66,Volume!$A$35:$G$109,MATCH(Data!T$1,Volume!$A$34:$G$34,0),0)*$S66</f>
        <v>0</v>
      </c>
      <c r="U66" s="21">
        <f ca="1">VLOOKUP($C66,Volume!$A$35:$G$109,MATCH(Data!U$1,Volume!$A$34:$G$34,0),0)*$S66</f>
        <v>0</v>
      </c>
      <c r="V66" s="21">
        <f ca="1">VLOOKUP($C66,Volume!$A$35:$G$109,MATCH(Data!V$1,Volume!$A$34:$G$34,0),0)*$S66</f>
        <v>0</v>
      </c>
      <c r="W66" s="21">
        <f ca="1">VLOOKUP($C66,Volume!$A$35:$G$109,MATCH(Data!W$1,Volume!$A$34:$G$34,0),0)*$S66</f>
        <v>0</v>
      </c>
      <c r="X66" s="21">
        <f ca="1">VLOOKUP($C66,Volume!$A$35:$G$109,MATCH(Data!X$1,Volume!$A$34:$G$34,0),0)*$S66</f>
        <v>0</v>
      </c>
      <c r="AA66" s="28">
        <f t="shared" ca="1" si="1"/>
        <v>820993627</v>
      </c>
      <c r="AB66" s="29">
        <f ca="1">VLOOKUP($C66,Volume!$A$35:$G$109,MATCH(Data!T$1,Volume!$A$34:$G$34,0),0)*$AA66</f>
        <v>186996607.33088738</v>
      </c>
      <c r="AC66" s="29">
        <f ca="1">VLOOKUP($C66,Volume!$A$35:$G$109,MATCH(Data!U$1,Volume!$A$34:$G$34,0),0)*$AA66</f>
        <v>51171946.453161575</v>
      </c>
      <c r="AD66" s="29">
        <f ca="1">VLOOKUP($C66,Volume!$A$35:$G$109,MATCH(Data!V$1,Volume!$A$34:$G$34,0),0)*$AA66</f>
        <v>281635391.52304482</v>
      </c>
      <c r="AE66" s="29">
        <f ca="1">VLOOKUP($C66,Volume!$A$35:$G$109,MATCH(Data!W$1,Volume!$A$34:$G$34,0),0)*$AA66</f>
        <v>168571332.43594018</v>
      </c>
      <c r="AF66" s="29">
        <f ca="1">VLOOKUP($C66,Volume!$A$35:$G$109,MATCH(Data!X$1,Volume!$A$34:$G$34,0),0)*$AA66</f>
        <v>132618349.25696611</v>
      </c>
    </row>
    <row r="67" spans="1:32" x14ac:dyDescent="0.3">
      <c r="A67" s="26" t="s">
        <v>187</v>
      </c>
      <c r="B67" s="22" t="s">
        <v>111</v>
      </c>
      <c r="C67" s="25" t="s">
        <v>112</v>
      </c>
      <c r="D67" s="22" t="s">
        <v>113</v>
      </c>
      <c r="E67" s="19" t="s">
        <v>159</v>
      </c>
      <c r="F67" s="24">
        <v>66493182</v>
      </c>
      <c r="G67" s="24">
        <v>12459638</v>
      </c>
      <c r="H67" s="24">
        <v>13001138</v>
      </c>
      <c r="I67" s="24">
        <v>43493410</v>
      </c>
      <c r="J67" s="24">
        <v>8916138</v>
      </c>
      <c r="K67" s="24">
        <v>42300583</v>
      </c>
      <c r="L67" s="24">
        <v>12844638</v>
      </c>
      <c r="M67" s="24">
        <v>-47580640</v>
      </c>
      <c r="N67" s="24">
        <v>32546138</v>
      </c>
      <c r="O67" s="24">
        <v>8916138</v>
      </c>
      <c r="P67" s="24">
        <v>2100000</v>
      </c>
      <c r="Q67" s="24">
        <f>IFERROR(GETPIVOTDATA("Số tiền",#REF!,"khoản mục phí",$C67,"THÁNG",Q$1),0)</f>
        <v>0</v>
      </c>
      <c r="S67" s="21">
        <f t="shared" ref="S67:S75" ca="1" si="2">OFFSET(E67,0,MATCH($S$1,$F$1:$Q$1,0))</f>
        <v>2100000</v>
      </c>
      <c r="T67" s="21">
        <f ca="1">VLOOKUP($C67,Volume!$A$35:$G$109,MATCH(Data!T$1,Volume!$A$34:$G$34,0),0)*$S67</f>
        <v>478314.15796710376</v>
      </c>
      <c r="U67" s="21">
        <f ca="1">VLOOKUP($C67,Volume!$A$35:$G$109,MATCH(Data!U$1,Volume!$A$34:$G$34,0),0)*$S67</f>
        <v>130891.5002718277</v>
      </c>
      <c r="V67" s="21">
        <f ca="1">VLOOKUP($C67,Volume!$A$35:$G$109,MATCH(Data!V$1,Volume!$A$34:$G$34,0),0)*$S67</f>
        <v>720388.44486474211</v>
      </c>
      <c r="W67" s="21">
        <f ca="1">VLOOKUP($C67,Volume!$A$35:$G$109,MATCH(Data!W$1,Volume!$A$34:$G$34,0),0)*$S67</f>
        <v>431184.58715572272</v>
      </c>
      <c r="X67" s="21">
        <f ca="1">VLOOKUP($C67,Volume!$A$35:$G$109,MATCH(Data!X$1,Volume!$A$34:$G$34,0),0)*$S67</f>
        <v>339221.30974060396</v>
      </c>
      <c r="AA67" s="28">
        <f t="shared" ref="AA67:AA69" ca="1" si="3">SUM(OFFSET(F67,0,0,1,$Z$1))</f>
        <v>195490363</v>
      </c>
      <c r="AB67" s="29">
        <f ca="1">VLOOKUP($C67,Volume!$A$35:$G$109,MATCH(Data!T$1,Volume!$A$34:$G$34,0),0)*$AA67</f>
        <v>44526575.413823076</v>
      </c>
      <c r="AC67" s="29">
        <f ca="1">VLOOKUP($C67,Volume!$A$35:$G$109,MATCH(Data!U$1,Volume!$A$34:$G$34,0),0)*$AA67</f>
        <v>12184774.715121046</v>
      </c>
      <c r="AD67" s="29">
        <f ca="1">VLOOKUP($C67,Volume!$A$35:$G$109,MATCH(Data!V$1,Volume!$A$34:$G$34,0),0)*$AA67</f>
        <v>67061427.89886377</v>
      </c>
      <c r="AE67" s="29">
        <f ca="1">VLOOKUP($C67,Volume!$A$35:$G$109,MATCH(Data!W$1,Volume!$A$34:$G$34,0),0)*$AA67</f>
        <v>40139253.077655889</v>
      </c>
      <c r="AF67" s="29">
        <f ca="1">VLOOKUP($C67,Volume!$A$35:$G$109,MATCH(Data!X$1,Volume!$A$34:$G$34,0),0)*$AA67</f>
        <v>31578331.894536238</v>
      </c>
    </row>
    <row r="68" spans="1:32" x14ac:dyDescent="0.3">
      <c r="A68" s="26" t="s">
        <v>187</v>
      </c>
      <c r="B68" s="22" t="s">
        <v>111</v>
      </c>
      <c r="C68" s="25" t="s">
        <v>114</v>
      </c>
      <c r="D68" s="22" t="s">
        <v>115</v>
      </c>
      <c r="E68" s="19" t="s">
        <v>159</v>
      </c>
      <c r="F68" s="24">
        <v>12138500</v>
      </c>
      <c r="G68" s="24">
        <v>0</v>
      </c>
      <c r="H68" s="24">
        <v>0</v>
      </c>
      <c r="I68" s="24">
        <v>0</v>
      </c>
      <c r="J68" s="24">
        <v>0</v>
      </c>
      <c r="K68" s="24">
        <v>17765000</v>
      </c>
      <c r="L68" s="24">
        <v>23566189</v>
      </c>
      <c r="M68" s="24">
        <v>21666189</v>
      </c>
      <c r="N68" s="24">
        <v>28868205</v>
      </c>
      <c r="O68" s="24">
        <v>29638689</v>
      </c>
      <c r="P68" s="24">
        <v>36544914</v>
      </c>
      <c r="Q68" s="24">
        <f>IFERROR(GETPIVOTDATA("Số tiền",#REF!,"khoản mục phí",$C68,"THÁNG",Q$1),0)</f>
        <v>0</v>
      </c>
      <c r="S68" s="21">
        <f t="shared" ca="1" si="2"/>
        <v>36544914</v>
      </c>
      <c r="T68" s="21">
        <f ca="1">VLOOKUP($C68,Volume!$A$35:$G$109,MATCH(Data!T$1,Volume!$A$34:$G$34,0),0)*$S68</f>
        <v>8323785.6037572492</v>
      </c>
      <c r="U68" s="21">
        <f ca="1">VLOOKUP($C68,Volume!$A$35:$G$109,MATCH(Data!U$1,Volume!$A$34:$G$34,0),0)*$S68</f>
        <v>2277818.3908404382</v>
      </c>
      <c r="V68" s="21">
        <f ca="1">VLOOKUP($C68,Volume!$A$35:$G$109,MATCH(Data!V$1,Volume!$A$34:$G$34,0),0)*$S68</f>
        <v>12536444.649607496</v>
      </c>
      <c r="W68" s="21">
        <f ca="1">VLOOKUP($C68,Volume!$A$35:$G$109,MATCH(Data!W$1,Volume!$A$34:$G$34,0),0)*$S68</f>
        <v>7503620.7884435197</v>
      </c>
      <c r="X68" s="21">
        <f ca="1">VLOOKUP($C68,Volume!$A$35:$G$109,MATCH(Data!X$1,Volume!$A$34:$G$34,0),0)*$S68</f>
        <v>5903244.5673513012</v>
      </c>
      <c r="AA68" s="28">
        <f t="shared" ca="1" si="3"/>
        <v>170187686</v>
      </c>
      <c r="AB68" s="29">
        <f ca="1">VLOOKUP($C68,Volume!$A$35:$G$109,MATCH(Data!T$1,Volume!$A$34:$G$34,0),0)*$AA68</f>
        <v>38763418.916885644</v>
      </c>
      <c r="AC68" s="29">
        <f ca="1">VLOOKUP($C68,Volume!$A$35:$G$109,MATCH(Data!U$1,Volume!$A$34:$G$34,0),0)*$AA68</f>
        <v>10607676.927776536</v>
      </c>
      <c r="AD68" s="29">
        <f ca="1">VLOOKUP($C68,Volume!$A$35:$G$109,MATCH(Data!V$1,Volume!$A$34:$G$34,0),0)*$AA68</f>
        <v>58381544.025080495</v>
      </c>
      <c r="AE68" s="29">
        <f ca="1">VLOOKUP($C68,Volume!$A$35:$G$109,MATCH(Data!W$1,Volume!$A$34:$G$34,0),0)*$AA68</f>
        <v>34943955.774713226</v>
      </c>
      <c r="AF68" s="29">
        <f ca="1">VLOOKUP($C68,Volume!$A$35:$G$109,MATCH(Data!X$1,Volume!$A$34:$G$34,0),0)*$AA68</f>
        <v>27491090.355544116</v>
      </c>
    </row>
    <row r="69" spans="1:32" x14ac:dyDescent="0.3">
      <c r="A69" s="26" t="s">
        <v>187</v>
      </c>
      <c r="B69" s="22" t="s">
        <v>111</v>
      </c>
      <c r="C69" s="25" t="s">
        <v>116</v>
      </c>
      <c r="D69" s="22" t="s">
        <v>117</v>
      </c>
      <c r="E69" s="19" t="s">
        <v>163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f>IFERROR(GETPIVOTDATA("Số tiền",#REF!,"khoản mục phí",$C69,"THÁNG",Q$1),0)</f>
        <v>0</v>
      </c>
      <c r="S69" s="21">
        <f t="shared" ca="1" si="2"/>
        <v>0</v>
      </c>
      <c r="T69" s="21">
        <f ca="1">VLOOKUP($C69,Volume!$A$35:$G$109,MATCH(Data!T$1,Volume!$A$34:$G$34,0),0)*$S69</f>
        <v>0</v>
      </c>
      <c r="U69" s="21">
        <f ca="1">VLOOKUP($C69,Volume!$A$35:$G$109,MATCH(Data!U$1,Volume!$A$34:$G$34,0),0)*$S69</f>
        <v>0</v>
      </c>
      <c r="V69" s="21">
        <f ca="1">VLOOKUP($C69,Volume!$A$35:$G$109,MATCH(Data!V$1,Volume!$A$34:$G$34,0),0)*$S69</f>
        <v>0</v>
      </c>
      <c r="W69" s="21">
        <f ca="1">VLOOKUP($C69,Volume!$A$35:$G$109,MATCH(Data!W$1,Volume!$A$34:$G$34,0),0)*$S69</f>
        <v>0</v>
      </c>
      <c r="X69" s="21">
        <f ca="1">VLOOKUP($C69,Volume!$A$35:$G$109,MATCH(Data!X$1,Volume!$A$34:$G$34,0),0)*$S69</f>
        <v>0</v>
      </c>
      <c r="AA69" s="28">
        <f t="shared" ca="1" si="3"/>
        <v>0</v>
      </c>
      <c r="AB69" s="29">
        <f ca="1">VLOOKUP($C69,Volume!$A$35:$G$109,MATCH(Data!T$1,Volume!$A$34:$G$34,0),0)*$AA69</f>
        <v>0</v>
      </c>
      <c r="AC69" s="29">
        <f ca="1">VLOOKUP($C69,Volume!$A$35:$G$109,MATCH(Data!U$1,Volume!$A$34:$G$34,0),0)*$AA69</f>
        <v>0</v>
      </c>
      <c r="AD69" s="29">
        <f ca="1">VLOOKUP($C69,Volume!$A$35:$G$109,MATCH(Data!V$1,Volume!$A$34:$G$34,0),0)*$AA69</f>
        <v>0</v>
      </c>
      <c r="AE69" s="29">
        <f ca="1">VLOOKUP($C69,Volume!$A$35:$G$109,MATCH(Data!W$1,Volume!$A$34:$G$34,0),0)*$AA69</f>
        <v>0</v>
      </c>
      <c r="AF69" s="29">
        <f ca="1">VLOOKUP($C69,Volume!$A$35:$G$109,MATCH(Data!X$1,Volume!$A$34:$G$34,0),0)*$AA69</f>
        <v>0</v>
      </c>
    </row>
    <row r="70" spans="1:32" x14ac:dyDescent="0.3">
      <c r="A70" s="26" t="s">
        <v>187</v>
      </c>
      <c r="B70" s="22" t="s">
        <v>111</v>
      </c>
      <c r="C70" s="25" t="s">
        <v>118</v>
      </c>
      <c r="D70" s="22" t="s">
        <v>119</v>
      </c>
      <c r="E70" s="19" t="s">
        <v>163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f>IFERROR(GETPIVOTDATA("Số tiền",#REF!,"khoản mục phí",$C70,"THÁNG",Q$1),0)</f>
        <v>0</v>
      </c>
      <c r="S70" s="21">
        <f t="shared" ca="1" si="2"/>
        <v>0</v>
      </c>
      <c r="T70" s="21">
        <f ca="1">VLOOKUP($C70,Volume!$A$35:$G$109,MATCH(Data!T$1,Volume!$A$34:$G$34,0),0)*$S70</f>
        <v>0</v>
      </c>
      <c r="U70" s="21">
        <f ca="1">VLOOKUP($C70,Volume!$A$35:$G$109,MATCH(Data!U$1,Volume!$A$34:$G$34,0),0)*$S70</f>
        <v>0</v>
      </c>
      <c r="V70" s="21">
        <f ca="1">VLOOKUP($C70,Volume!$A$35:$G$109,MATCH(Data!V$1,Volume!$A$34:$G$34,0),0)*$S70</f>
        <v>0</v>
      </c>
      <c r="W70" s="21">
        <f ca="1">VLOOKUP($C70,Volume!$A$35:$G$109,MATCH(Data!W$1,Volume!$A$34:$G$34,0),0)*$S70</f>
        <v>0</v>
      </c>
      <c r="X70" s="21">
        <f ca="1">VLOOKUP($C70,Volume!$A$35:$G$109,MATCH(Data!X$1,Volume!$A$34:$G$34,0),0)*$S70</f>
        <v>0</v>
      </c>
      <c r="AA70" s="28">
        <f t="shared" ref="AA70:AA75" ca="1" si="4">SUM(OFFSET(F70,0,0,1,$Z$1))</f>
        <v>0</v>
      </c>
      <c r="AB70" s="29">
        <f ca="1">VLOOKUP($C70,Volume!$A$35:$G$109,MATCH(Data!T$1,Volume!$A$34:$G$34,0),0)*$AA70</f>
        <v>0</v>
      </c>
      <c r="AC70" s="29">
        <f ca="1">VLOOKUP($C70,Volume!$A$35:$G$109,MATCH(Data!U$1,Volume!$A$34:$G$34,0),0)*$AA70</f>
        <v>0</v>
      </c>
      <c r="AD70" s="29">
        <f ca="1">VLOOKUP($C70,Volume!$A$35:$G$109,MATCH(Data!V$1,Volume!$A$34:$G$34,0),0)*$AA70</f>
        <v>0</v>
      </c>
      <c r="AE70" s="29">
        <f ca="1">VLOOKUP($C70,Volume!$A$35:$G$109,MATCH(Data!W$1,Volume!$A$34:$G$34,0),0)*$AA70</f>
        <v>0</v>
      </c>
      <c r="AF70" s="29">
        <f ca="1">VLOOKUP($C70,Volume!$A$35:$G$109,MATCH(Data!X$1,Volume!$A$34:$G$34,0),0)*$AA70</f>
        <v>0</v>
      </c>
    </row>
    <row r="71" spans="1:32" x14ac:dyDescent="0.3">
      <c r="A71" s="26" t="s">
        <v>187</v>
      </c>
      <c r="B71" s="22" t="s">
        <v>111</v>
      </c>
      <c r="C71" s="25" t="s">
        <v>120</v>
      </c>
      <c r="D71" s="22" t="s">
        <v>121</v>
      </c>
      <c r="E71" s="19" t="s">
        <v>163</v>
      </c>
      <c r="F71" s="24">
        <v>15865000</v>
      </c>
      <c r="G71" s="24">
        <v>0</v>
      </c>
      <c r="H71" s="24">
        <v>0</v>
      </c>
      <c r="I71" s="24">
        <v>5711800</v>
      </c>
      <c r="J71" s="24">
        <v>0</v>
      </c>
      <c r="K71" s="24">
        <v>16600000</v>
      </c>
      <c r="L71" s="24">
        <v>22700000</v>
      </c>
      <c r="M71" s="24">
        <v>20000</v>
      </c>
      <c r="N71" s="24">
        <v>5578000</v>
      </c>
      <c r="O71" s="24">
        <v>2436500</v>
      </c>
      <c r="P71" s="24">
        <v>5142000</v>
      </c>
      <c r="Q71" s="24">
        <f>IFERROR(GETPIVOTDATA("Số tiền",#REF!,"khoản mục phí",$C71,"THÁNG",Q$1),0)</f>
        <v>0</v>
      </c>
      <c r="S71" s="21">
        <f t="shared" ca="1" si="2"/>
        <v>5142000</v>
      </c>
      <c r="T71" s="21">
        <f ca="1">VLOOKUP($C71,Volume!$A$35:$G$109,MATCH(Data!T$1,Volume!$A$34:$G$34,0),0)*$S71</f>
        <v>1171186.3810794512</v>
      </c>
      <c r="U71" s="21">
        <f ca="1">VLOOKUP($C71,Volume!$A$35:$G$109,MATCH(Data!U$1,Volume!$A$34:$G$34,0),0)*$S71</f>
        <v>320497.1878084467</v>
      </c>
      <c r="V71" s="21">
        <f ca="1">VLOOKUP($C71,Volume!$A$35:$G$109,MATCH(Data!V$1,Volume!$A$34:$G$34,0),0)*$S71</f>
        <v>1763922.5635688114</v>
      </c>
      <c r="W71" s="21">
        <f ca="1">VLOOKUP($C71,Volume!$A$35:$G$109,MATCH(Data!W$1,Volume!$A$34:$G$34,0),0)*$S71</f>
        <v>1055786.2605498696</v>
      </c>
      <c r="X71" s="21">
        <f ca="1">VLOOKUP($C71,Volume!$A$35:$G$109,MATCH(Data!X$1,Volume!$A$34:$G$34,0),0)*$S71</f>
        <v>830607.60699342168</v>
      </c>
      <c r="AA71" s="28">
        <f t="shared" ca="1" si="4"/>
        <v>74053300</v>
      </c>
      <c r="AB71" s="29">
        <f ca="1">VLOOKUP($C71,Volume!$A$35:$G$109,MATCH(Data!T$1,Volume!$A$34:$G$34,0),0)*$AA71</f>
        <v>16867019.921040632</v>
      </c>
      <c r="AC71" s="29">
        <f ca="1">VLOOKUP($C71,Volume!$A$35:$G$109,MATCH(Data!U$1,Volume!$A$34:$G$34,0),0)*$AA71</f>
        <v>4615689.3033713037</v>
      </c>
      <c r="AD71" s="29">
        <f ca="1">VLOOKUP($C71,Volume!$A$35:$G$109,MATCH(Data!V$1,Volume!$A$34:$G$34,0),0)*$AA71</f>
        <v>25403400.773382004</v>
      </c>
      <c r="AE71" s="29">
        <f ca="1">VLOOKUP($C71,Volume!$A$35:$G$109,MATCH(Data!W$1,Volume!$A$34:$G$34,0),0)*$AA71</f>
        <v>15205067.422866134</v>
      </c>
      <c r="AF71" s="29">
        <f ca="1">VLOOKUP($C71,Volume!$A$35:$G$109,MATCH(Data!X$1,Volume!$A$34:$G$34,0),0)*$AA71</f>
        <v>11962122.579339936</v>
      </c>
    </row>
    <row r="72" spans="1:32" x14ac:dyDescent="0.3">
      <c r="A72" s="26" t="s">
        <v>187</v>
      </c>
      <c r="B72" s="22" t="s">
        <v>122</v>
      </c>
      <c r="C72" s="23" t="s">
        <v>123</v>
      </c>
      <c r="D72" s="22" t="s">
        <v>124</v>
      </c>
      <c r="E72" s="19" t="s">
        <v>164</v>
      </c>
      <c r="F72" s="24">
        <v>571430</v>
      </c>
      <c r="G72" s="24">
        <v>4000000</v>
      </c>
      <c r="H72" s="24">
        <v>4000000</v>
      </c>
      <c r="I72" s="24">
        <v>4000000</v>
      </c>
      <c r="J72" s="24">
        <v>4000000</v>
      </c>
      <c r="K72" s="24">
        <v>4000000</v>
      </c>
      <c r="L72" s="24">
        <v>18000000</v>
      </c>
      <c r="M72" s="24">
        <v>113225806</v>
      </c>
      <c r="N72" s="24">
        <v>90000000</v>
      </c>
      <c r="O72" s="24">
        <v>76570000</v>
      </c>
      <c r="P72" s="24">
        <v>91000001</v>
      </c>
      <c r="Q72" s="24">
        <f>IFERROR(GETPIVOTDATA("Số tiền",#REF!,"khoản mục phí",$C72,"THÁNG",Q$1),0)</f>
        <v>0</v>
      </c>
      <c r="S72" s="21">
        <f t="shared" ca="1" si="2"/>
        <v>91000001</v>
      </c>
      <c r="T72" s="21">
        <f ca="1">VLOOKUP($C72,Volume!$A$35:$G$109,MATCH(Data!T$1,Volume!$A$34:$G$34,0),0)*$S72</f>
        <v>20726947.073009811</v>
      </c>
      <c r="U72" s="21">
        <f ca="1">VLOOKUP($C72,Volume!$A$35:$G$109,MATCH(Data!U$1,Volume!$A$34:$G$34,0),0)*$S72</f>
        <v>5671965.0741084861</v>
      </c>
      <c r="V72" s="21">
        <f ca="1">VLOOKUP($C72,Volume!$A$35:$G$109,MATCH(Data!V$1,Volume!$A$34:$G$34,0),0)*$S72</f>
        <v>31216832.953847606</v>
      </c>
      <c r="W72" s="21">
        <f ca="1">VLOOKUP($C72,Volume!$A$35:$G$109,MATCH(Data!W$1,Volume!$A$34:$G$34,0),0)*$S72</f>
        <v>18684665.648740645</v>
      </c>
      <c r="X72" s="21">
        <f ca="1">VLOOKUP($C72,Volume!$A$35:$G$109,MATCH(Data!X$1,Volume!$A$34:$G$34,0),0)*$S72</f>
        <v>14699590.250293462</v>
      </c>
      <c r="AA72" s="28">
        <f t="shared" ca="1" si="4"/>
        <v>409367237</v>
      </c>
      <c r="AB72" s="29">
        <f ca="1">VLOOKUP($C72,Volume!$A$35:$G$109,MATCH(Data!T$1,Volume!$A$34:$G$34,0),0)*$AA72</f>
        <v>93241021.554749906</v>
      </c>
      <c r="AC72" s="29">
        <f ca="1">VLOOKUP($C72,Volume!$A$35:$G$109,MATCH(Data!U$1,Volume!$A$34:$G$34,0),0)*$AA72</f>
        <v>25515567.53002993</v>
      </c>
      <c r="AD72" s="29">
        <f ca="1">VLOOKUP($C72,Volume!$A$35:$G$109,MATCH(Data!V$1,Volume!$A$34:$G$34,0),0)*$AA72</f>
        <v>140430203.44809824</v>
      </c>
      <c r="AE72" s="29">
        <f ca="1">VLOOKUP($C72,Volume!$A$35:$G$109,MATCH(Data!W$1,Volume!$A$34:$G$34,0),0)*$AA72</f>
        <v>84053734.800439954</v>
      </c>
      <c r="AF72" s="29">
        <f ca="1">VLOOKUP($C72,Volume!$A$35:$G$109,MATCH(Data!X$1,Volume!$A$34:$G$34,0),0)*$AA72</f>
        <v>66126709.666682012</v>
      </c>
    </row>
    <row r="73" spans="1:32" x14ac:dyDescent="0.3">
      <c r="A73" s="26" t="s">
        <v>187</v>
      </c>
      <c r="B73" s="22" t="s">
        <v>125</v>
      </c>
      <c r="C73" s="25" t="s">
        <v>126</v>
      </c>
      <c r="D73" s="22" t="s">
        <v>125</v>
      </c>
      <c r="E73" s="19" t="s">
        <v>160</v>
      </c>
      <c r="F73" s="24">
        <v>109306185</v>
      </c>
      <c r="G73" s="24">
        <v>90481585</v>
      </c>
      <c r="H73" s="24">
        <v>220091010</v>
      </c>
      <c r="I73" s="24">
        <v>286538887</v>
      </c>
      <c r="J73" s="24">
        <v>867842024</v>
      </c>
      <c r="K73" s="24">
        <v>455666332</v>
      </c>
      <c r="L73" s="24">
        <v>303981750</v>
      </c>
      <c r="M73" s="24">
        <v>243246953</v>
      </c>
      <c r="N73" s="24">
        <v>334871580</v>
      </c>
      <c r="O73" s="24">
        <v>564019984</v>
      </c>
      <c r="P73" s="24">
        <v>491548132</v>
      </c>
      <c r="Q73" s="24">
        <f>IFERROR(GETPIVOTDATA("Số tiền",#REF!,"khoản mục phí",$C73,"THÁNG",Q$1),0)</f>
        <v>0</v>
      </c>
      <c r="S73" s="21">
        <f t="shared" ca="1" si="2"/>
        <v>491548132</v>
      </c>
      <c r="T73" s="21">
        <f ca="1">VLOOKUP($C73,Volume!$A$35:$G$109,MATCH(Data!T$1,Volume!$A$34:$G$34,0),0)*$S73</f>
        <v>111959252.78946799</v>
      </c>
      <c r="U73" s="21">
        <f ca="1">VLOOKUP($C73,Volume!$A$35:$G$109,MATCH(Data!U$1,Volume!$A$34:$G$34,0),0)*$S73</f>
        <v>30637844.025378283</v>
      </c>
      <c r="V73" s="21">
        <f ca="1">VLOOKUP($C73,Volume!$A$35:$G$109,MATCH(Data!V$1,Volume!$A$34:$G$34,0),0)*$S73</f>
        <v>168621711.61316618</v>
      </c>
      <c r="W73" s="21">
        <f ca="1">VLOOKUP($C73,Volume!$A$35:$G$109,MATCH(Data!W$1,Volume!$A$34:$G$34,0),0)*$S73</f>
        <v>100927608.74456508</v>
      </c>
      <c r="X73" s="21">
        <f ca="1">VLOOKUP($C73,Volume!$A$35:$G$109,MATCH(Data!X$1,Volume!$A$34:$G$34,0),0)*$S73</f>
        <v>79401714.827422515</v>
      </c>
      <c r="AA73" s="28">
        <f t="shared" ca="1" si="4"/>
        <v>3967594422</v>
      </c>
      <c r="AB73" s="29">
        <f ca="1">VLOOKUP($C73,Volume!$A$35:$G$109,MATCH(Data!T$1,Volume!$A$34:$G$34,0),0)*$AA73</f>
        <v>903693611.95900369</v>
      </c>
      <c r="AC73" s="29">
        <f ca="1">VLOOKUP($C73,Volume!$A$35:$G$109,MATCH(Data!U$1,Volume!$A$34:$G$34,0),0)*$AA73</f>
        <v>247297326.84081671</v>
      </c>
      <c r="AD73" s="29">
        <f ca="1">VLOOKUP($C73,Volume!$A$35:$G$109,MATCH(Data!V$1,Volume!$A$34:$G$34,0),0)*$AA73</f>
        <v>1361051988.3421929</v>
      </c>
      <c r="AE73" s="29">
        <f ca="1">VLOOKUP($C73,Volume!$A$35:$G$109,MATCH(Data!W$1,Volume!$A$34:$G$34,0),0)*$AA73</f>
        <v>814650268.02448487</v>
      </c>
      <c r="AF73" s="29">
        <f ca="1">VLOOKUP($C73,Volume!$A$35:$G$109,MATCH(Data!X$1,Volume!$A$34:$G$34,0),0)*$AA73</f>
        <v>640901226.83350205</v>
      </c>
    </row>
    <row r="74" spans="1:32" x14ac:dyDescent="0.3">
      <c r="A74" s="26" t="s">
        <v>187</v>
      </c>
      <c r="B74" s="22" t="s">
        <v>127</v>
      </c>
      <c r="C74" s="23" t="s">
        <v>128</v>
      </c>
      <c r="D74" s="22" t="s">
        <v>129</v>
      </c>
      <c r="E74" s="19" t="s">
        <v>165</v>
      </c>
      <c r="F74" s="24">
        <v>135488151</v>
      </c>
      <c r="G74" s="24">
        <v>21243982</v>
      </c>
      <c r="H74" s="24">
        <v>252604826</v>
      </c>
      <c r="I74" s="24">
        <v>103536417</v>
      </c>
      <c r="J74" s="24">
        <v>161936824</v>
      </c>
      <c r="K74" s="24">
        <v>153323855</v>
      </c>
      <c r="L74" s="24">
        <v>157758372</v>
      </c>
      <c r="M74" s="24">
        <v>110465231</v>
      </c>
      <c r="N74" s="24">
        <v>86885144</v>
      </c>
      <c r="O74" s="24">
        <v>93266844</v>
      </c>
      <c r="P74" s="24">
        <v>93154949</v>
      </c>
      <c r="Q74" s="24">
        <f>IFERROR(GETPIVOTDATA("Số tiền",#REF!,"khoản mục phí",$C74,"THÁNG",Q$1),0)</f>
        <v>0</v>
      </c>
      <c r="S74" s="21">
        <f t="shared" ca="1" si="2"/>
        <v>93154949</v>
      </c>
      <c r="T74" s="21">
        <f ca="1">VLOOKUP($C74,Volume!$A$35:$G$109,MATCH(Data!T$1,Volume!$A$34:$G$34,0),0)*$S74</f>
        <v>21217776.662573092</v>
      </c>
      <c r="U74" s="21">
        <f ca="1">VLOOKUP($C74,Volume!$A$35:$G$109,MATCH(Data!U$1,Volume!$A$34:$G$34,0),0)*$S74</f>
        <v>5806281.4439788545</v>
      </c>
      <c r="V74" s="21">
        <f ca="1">VLOOKUP($C74,Volume!$A$35:$G$109,MATCH(Data!V$1,Volume!$A$34:$G$34,0),0)*$S74</f>
        <v>31956070.876935411</v>
      </c>
      <c r="W74" s="21">
        <f ca="1">VLOOKUP($C74,Volume!$A$35:$G$109,MATCH(Data!W$1,Volume!$A$34:$G$34,0),0)*$S74</f>
        <v>19127132.488608286</v>
      </c>
      <c r="X74" s="21">
        <f ca="1">VLOOKUP($C74,Volume!$A$35:$G$109,MATCH(Data!X$1,Volume!$A$34:$G$34,0),0)*$S74</f>
        <v>15047687.527904363</v>
      </c>
      <c r="AA74" s="28">
        <f t="shared" ca="1" si="4"/>
        <v>1369664595</v>
      </c>
      <c r="AB74" s="29">
        <f ca="1">VLOOKUP($C74,Volume!$A$35:$G$109,MATCH(Data!T$1,Volume!$A$34:$G$34,0),0)*$AA74</f>
        <v>311966651.16894251</v>
      </c>
      <c r="AC74" s="29">
        <f ca="1">VLOOKUP($C74,Volume!$A$35:$G$109,MATCH(Data!U$1,Volume!$A$34:$G$34,0),0)*$AA74</f>
        <v>85370216.051788226</v>
      </c>
      <c r="AD74" s="29">
        <f ca="1">VLOOKUP($C74,Volume!$A$35:$G$109,MATCH(Data!V$1,Volume!$A$34:$G$34,0),0)*$AA74</f>
        <v>469852641.70397466</v>
      </c>
      <c r="AE74" s="29">
        <f ca="1">VLOOKUP($C74,Volume!$A$35:$G$109,MATCH(Data!W$1,Volume!$A$34:$G$34,0),0)*$AA74</f>
        <v>281227744.25565958</v>
      </c>
      <c r="AF74" s="29">
        <f ca="1">VLOOKUP($C74,Volume!$A$35:$G$109,MATCH(Data!X$1,Volume!$A$34:$G$34,0),0)*$AA74</f>
        <v>221247341.81963515</v>
      </c>
    </row>
    <row r="75" spans="1:32" x14ac:dyDescent="0.3">
      <c r="A75" s="26" t="s">
        <v>187</v>
      </c>
      <c r="B75" s="22" t="s">
        <v>127</v>
      </c>
      <c r="C75" s="23" t="s">
        <v>130</v>
      </c>
      <c r="D75" s="22" t="s">
        <v>131</v>
      </c>
      <c r="E75" s="19" t="s">
        <v>165</v>
      </c>
      <c r="F75" s="24">
        <v>22152212</v>
      </c>
      <c r="G75" s="24">
        <v>8986541</v>
      </c>
      <c r="H75" s="24">
        <v>31971913</v>
      </c>
      <c r="I75" s="24">
        <v>11225298</v>
      </c>
      <c r="J75" s="24">
        <v>66518179</v>
      </c>
      <c r="K75" s="24">
        <v>272793296</v>
      </c>
      <c r="L75" s="24">
        <v>44980622</v>
      </c>
      <c r="M75" s="24">
        <v>180768215</v>
      </c>
      <c r="N75" s="24">
        <v>134551117</v>
      </c>
      <c r="O75" s="24">
        <v>848559811</v>
      </c>
      <c r="P75" s="24">
        <v>120640725</v>
      </c>
      <c r="Q75" s="24">
        <f>IFERROR(GETPIVOTDATA("Số tiền",#REF!,"khoản mục phí",$C75,"THÁNG",Q$1),0)</f>
        <v>0</v>
      </c>
      <c r="S75" s="21">
        <f t="shared" ca="1" si="2"/>
        <v>120640725</v>
      </c>
      <c r="T75" s="21">
        <f ca="1">VLOOKUP($C75,Volume!$A$35:$G$109,MATCH(Data!T$1,Volume!$A$34:$G$34,0),0)*$S75</f>
        <v>27478174.66424568</v>
      </c>
      <c r="U75" s="21">
        <f ca="1">VLOOKUP($C75,Volume!$A$35:$G$109,MATCH(Data!U$1,Volume!$A$34:$G$34,0),0)*$S75</f>
        <v>7519450.2329195188</v>
      </c>
      <c r="V75" s="21">
        <f ca="1">VLOOKUP($C75,Volume!$A$35:$G$109,MATCH(Data!V$1,Volume!$A$34:$G$34,0),0)*$S75</f>
        <v>41384849.652430959</v>
      </c>
      <c r="W75" s="21">
        <f ca="1">VLOOKUP($C75,Volume!$A$35:$G$109,MATCH(Data!W$1,Volume!$A$34:$G$34,0),0)*$S75</f>
        <v>24770676.763472416</v>
      </c>
      <c r="X75" s="21">
        <f ca="1">VLOOKUP($C75,Volume!$A$35:$G$109,MATCH(Data!X$1,Volume!$A$34:$G$34,0),0)*$S75</f>
        <v>19487573.686931439</v>
      </c>
      <c r="AA75" s="28">
        <f t="shared" ca="1" si="4"/>
        <v>1743147929</v>
      </c>
      <c r="AB75" s="29">
        <f ca="1">VLOOKUP($C75,Volume!$A$35:$G$109,MATCH(Data!T$1,Volume!$A$34:$G$34,0),0)*$AA75</f>
        <v>397034444.70082659</v>
      </c>
      <c r="AC75" s="29">
        <f ca="1">VLOOKUP($C75,Volume!$A$35:$G$109,MATCH(Data!U$1,Volume!$A$34:$G$34,0),0)*$AA75</f>
        <v>108649165.53454256</v>
      </c>
      <c r="AD75" s="29">
        <f ca="1">VLOOKUP($C75,Volume!$A$35:$G$109,MATCH(Data!V$1,Volume!$A$34:$G$34,0),0)*$AA75</f>
        <v>597973155.11500275</v>
      </c>
      <c r="AE75" s="29">
        <f ca="1">VLOOKUP($C75,Volume!$A$35:$G$109,MATCH(Data!W$1,Volume!$A$34:$G$34,0),0)*$AA75</f>
        <v>357913581.00819904</v>
      </c>
      <c r="AF75" s="29">
        <f ca="1">VLOOKUP($C75,Volume!$A$35:$G$109,MATCH(Data!X$1,Volume!$A$34:$G$34,0),0)*$AA75</f>
        <v>281577582.64142919</v>
      </c>
    </row>
    <row r="77" spans="1:32" x14ac:dyDescent="0.3">
      <c r="A77" s="19">
        <v>5111</v>
      </c>
      <c r="D77" s="19" t="s">
        <v>208</v>
      </c>
      <c r="E77" s="19" t="s">
        <v>166</v>
      </c>
      <c r="F77" s="29">
        <v>18757412473.820755</v>
      </c>
      <c r="G77" s="29">
        <v>1221559494.1726677</v>
      </c>
      <c r="H77" s="29">
        <v>14680657835.740393</v>
      </c>
      <c r="I77" s="29">
        <v>28658939688.873829</v>
      </c>
      <c r="J77" s="29">
        <v>60643449233.212006</v>
      </c>
      <c r="K77" s="29">
        <v>75562883983.68837</v>
      </c>
      <c r="L77" s="29">
        <v>42382741527.336334</v>
      </c>
      <c r="M77" s="29">
        <v>19177831546.682198</v>
      </c>
      <c r="N77" s="29">
        <v>8085564074.7749882</v>
      </c>
      <c r="O77" s="29">
        <v>7210038440.057909</v>
      </c>
      <c r="P77" s="29">
        <v>7896543848.9361515</v>
      </c>
      <c r="S77" s="21">
        <f ca="1">OFFSET(E77,0,MATCH($S$1,$F$1:$Q$1,0))</f>
        <v>7896543848.9361515</v>
      </c>
      <c r="AA77" s="28">
        <f t="shared" ref="AA77:AA81" ca="1" si="5">SUM(OFFSET(F77,0,0,1,$Z$1))</f>
        <v>284277622147.29559</v>
      </c>
    </row>
    <row r="78" spans="1:32" x14ac:dyDescent="0.3">
      <c r="A78" s="19">
        <v>5111</v>
      </c>
      <c r="D78" s="19" t="s">
        <v>208</v>
      </c>
      <c r="E78" s="19" t="s">
        <v>168</v>
      </c>
      <c r="F78" s="29">
        <v>1369014957.4565325</v>
      </c>
      <c r="G78" s="29">
        <v>1433942750.7446795</v>
      </c>
      <c r="H78" s="29">
        <v>1500059695.4912043</v>
      </c>
      <c r="I78" s="29">
        <v>1596623094.8928759</v>
      </c>
      <c r="J78" s="29">
        <v>1597967410.989985</v>
      </c>
      <c r="K78" s="29">
        <v>1591084082.5543289</v>
      </c>
      <c r="L78" s="29">
        <v>1669739095.3001578</v>
      </c>
      <c r="M78" s="29">
        <v>1623107561.1318345</v>
      </c>
      <c r="N78" s="29">
        <v>1549298791.1887875</v>
      </c>
      <c r="O78" s="29">
        <v>1377598000.684772</v>
      </c>
      <c r="P78" s="29">
        <v>1389151891.5520401</v>
      </c>
      <c r="S78" s="21">
        <f t="shared" ref="S78:S81" ca="1" si="6">OFFSET(E78,0,MATCH($S$1,$F$1:$Q$1,0))</f>
        <v>1389151891.5520401</v>
      </c>
      <c r="AA78" s="28">
        <f t="shared" ca="1" si="5"/>
        <v>16697587331.987198</v>
      </c>
    </row>
    <row r="79" spans="1:32" x14ac:dyDescent="0.3">
      <c r="A79" s="19">
        <v>5111</v>
      </c>
      <c r="D79" s="19" t="s">
        <v>208</v>
      </c>
      <c r="E79" s="19" t="s">
        <v>169</v>
      </c>
      <c r="F79" s="29">
        <v>5682289820.8297863</v>
      </c>
      <c r="G79" s="29">
        <v>4081030319.1526136</v>
      </c>
      <c r="H79" s="29">
        <v>5256926534.1578588</v>
      </c>
      <c r="I79" s="29">
        <v>6550256562.2407694</v>
      </c>
      <c r="J79" s="29">
        <v>7245994569.2876835</v>
      </c>
      <c r="K79" s="29">
        <v>7470898265.4293346</v>
      </c>
      <c r="L79" s="29">
        <v>7062690483.2696848</v>
      </c>
      <c r="M79" s="29">
        <v>6365618503.4941521</v>
      </c>
      <c r="N79" s="29">
        <v>5794404798.0727882</v>
      </c>
      <c r="O79" s="29">
        <v>4627999130.6787529</v>
      </c>
      <c r="P79" s="29">
        <v>5096989841.4989223</v>
      </c>
      <c r="S79" s="21">
        <f t="shared" ca="1" si="6"/>
        <v>5096989841.4989223</v>
      </c>
      <c r="AA79" s="28">
        <f t="shared" ca="1" si="5"/>
        <v>65235098828.112343</v>
      </c>
    </row>
    <row r="80" spans="1:32" x14ac:dyDescent="0.3">
      <c r="A80" s="19">
        <v>5111</v>
      </c>
      <c r="D80" s="19" t="s">
        <v>208</v>
      </c>
      <c r="E80" s="19" t="s">
        <v>170</v>
      </c>
      <c r="F80" s="29">
        <v>5852117118.4087639</v>
      </c>
      <c r="G80" s="29">
        <v>4115178363.8926406</v>
      </c>
      <c r="H80" s="29">
        <v>5692789024.4753971</v>
      </c>
      <c r="I80" s="29">
        <v>7648023152.9046364</v>
      </c>
      <c r="J80" s="29">
        <v>8690782187.2279549</v>
      </c>
      <c r="K80" s="29">
        <v>8505385592.4438477</v>
      </c>
      <c r="L80" s="29">
        <v>8993700907.7299633</v>
      </c>
      <c r="M80" s="29">
        <v>7685026908.784791</v>
      </c>
      <c r="N80" s="29">
        <v>5837870743.9364319</v>
      </c>
      <c r="O80" s="29">
        <v>5571953113.0634365</v>
      </c>
      <c r="P80" s="29">
        <v>6085280314.9196825</v>
      </c>
      <c r="S80" s="21">
        <f t="shared" ca="1" si="6"/>
        <v>6085280314.9196825</v>
      </c>
      <c r="AA80" s="28">
        <f t="shared" ca="1" si="5"/>
        <v>74678107427.787552</v>
      </c>
    </row>
    <row r="81" spans="1:32" x14ac:dyDescent="0.3">
      <c r="A81" s="19">
        <v>5111</v>
      </c>
      <c r="D81" s="19" t="s">
        <v>208</v>
      </c>
      <c r="E81" s="19" t="s">
        <v>171</v>
      </c>
      <c r="F81" s="29">
        <v>4801071720.4322462</v>
      </c>
      <c r="G81" s="29">
        <v>3695990904.6286774</v>
      </c>
      <c r="H81" s="29">
        <v>4683199295.9907103</v>
      </c>
      <c r="I81" s="29">
        <v>5361279522.5844669</v>
      </c>
      <c r="J81" s="29">
        <v>6285908544.0136662</v>
      </c>
      <c r="K81" s="29">
        <v>6317130156.5404272</v>
      </c>
      <c r="L81" s="29">
        <v>5876667002.1656179</v>
      </c>
      <c r="M81" s="29">
        <v>6028367315.209775</v>
      </c>
      <c r="N81" s="29">
        <v>4538383430.9888153</v>
      </c>
      <c r="O81" s="29">
        <v>4578026375.13342</v>
      </c>
      <c r="P81" s="29">
        <v>5070940850.6563845</v>
      </c>
      <c r="S81" s="21">
        <f t="shared" ca="1" si="6"/>
        <v>5070940850.6563845</v>
      </c>
      <c r="AA81" s="28">
        <f t="shared" ca="1" si="5"/>
        <v>57236965118.344215</v>
      </c>
    </row>
    <row r="82" spans="1:32" x14ac:dyDescent="0.3">
      <c r="S82" s="20" t="s">
        <v>193</v>
      </c>
      <c r="T82" s="21" t="s">
        <v>166</v>
      </c>
      <c r="U82" s="21" t="s">
        <v>168</v>
      </c>
      <c r="V82" s="21" t="s">
        <v>169</v>
      </c>
      <c r="W82" s="21" t="s">
        <v>170</v>
      </c>
      <c r="X82" s="21" t="s">
        <v>171</v>
      </c>
      <c r="AA82" s="20" t="s">
        <v>193</v>
      </c>
      <c r="AB82" s="21" t="s">
        <v>166</v>
      </c>
      <c r="AC82" s="21" t="s">
        <v>168</v>
      </c>
      <c r="AD82" s="21" t="s">
        <v>169</v>
      </c>
      <c r="AE82" s="21" t="s">
        <v>170</v>
      </c>
      <c r="AF82" s="21" t="s">
        <v>171</v>
      </c>
    </row>
    <row r="83" spans="1:32" x14ac:dyDescent="0.3">
      <c r="D83" s="19" t="s">
        <v>209</v>
      </c>
      <c r="S83" s="21">
        <f ca="1">SUM(S77:S81)</f>
        <v>25538906747.563179</v>
      </c>
      <c r="T83" s="21">
        <f ca="1">S77</f>
        <v>7896543848.9361515</v>
      </c>
      <c r="U83" s="21">
        <f ca="1">S78</f>
        <v>1389151891.5520401</v>
      </c>
      <c r="V83" s="21">
        <f ca="1">S79</f>
        <v>5096989841.4989223</v>
      </c>
      <c r="W83" s="21">
        <f ca="1">S80</f>
        <v>6085280314.9196825</v>
      </c>
      <c r="X83" s="21">
        <f ca="1">S81</f>
        <v>5070940850.6563845</v>
      </c>
      <c r="AA83" s="21">
        <f ca="1">SUM(AA77:AA81)</f>
        <v>498125380853.52692</v>
      </c>
      <c r="AB83" s="21">
        <f ca="1">AA77</f>
        <v>284277622147.29559</v>
      </c>
      <c r="AC83" s="21">
        <f ca="1">AA78</f>
        <v>16697587331.987198</v>
      </c>
      <c r="AD83" s="21">
        <f ca="1">AA79</f>
        <v>65235098828.112343</v>
      </c>
      <c r="AE83" s="21">
        <f ca="1">AA80</f>
        <v>74678107427.787552</v>
      </c>
      <c r="AF83" s="21">
        <f ca="1">AA81</f>
        <v>57236965118.344215</v>
      </c>
    </row>
  </sheetData>
  <autoFilter ref="A1:Q75" xr:uid="{855127C4-B1DF-414B-9E08-C441C41FFC2B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5FE2-62A7-428F-98E5-E36635F946AC}">
  <dimension ref="A1:H108"/>
  <sheetViews>
    <sheetView workbookViewId="0">
      <selection activeCell="G2" sqref="G2:G12"/>
    </sheetView>
  </sheetViews>
  <sheetFormatPr defaultRowHeight="14.4" x14ac:dyDescent="0.3"/>
  <cols>
    <col min="1" max="1" width="8.77734375" bestFit="1" customWidth="1"/>
    <col min="2" max="2" width="25.44140625" customWidth="1"/>
    <col min="3" max="7" width="14.109375" customWidth="1"/>
    <col min="8" max="9" width="12.5546875" bestFit="1" customWidth="1"/>
    <col min="10" max="10" width="14.109375" bestFit="1" customWidth="1"/>
    <col min="11" max="11" width="13.6640625" bestFit="1" customWidth="1"/>
  </cols>
  <sheetData>
    <row r="1" spans="1:7" x14ac:dyDescent="0.3">
      <c r="B1" t="s">
        <v>193</v>
      </c>
      <c r="C1" t="s">
        <v>166</v>
      </c>
      <c r="D1" t="s">
        <v>168</v>
      </c>
      <c r="E1" t="s">
        <v>169</v>
      </c>
      <c r="F1" t="s">
        <v>170</v>
      </c>
      <c r="G1" t="s">
        <v>171</v>
      </c>
    </row>
    <row r="2" spans="1:7" x14ac:dyDescent="0.3">
      <c r="A2" t="s">
        <v>172</v>
      </c>
      <c r="B2" s="6">
        <f t="shared" ref="B2:B12" si="0">SUM(C2:G2)</f>
        <v>2240.0886877112193</v>
      </c>
      <c r="C2" s="7">
        <v>907.7682801046127</v>
      </c>
      <c r="D2" s="7">
        <v>105.49586206653774</v>
      </c>
      <c r="E2" s="7">
        <v>591.59770475771165</v>
      </c>
      <c r="F2" s="7">
        <v>360.45448546847712</v>
      </c>
      <c r="G2" s="7">
        <v>274.77235531388015</v>
      </c>
    </row>
    <row r="3" spans="1:7" x14ac:dyDescent="0.3">
      <c r="A3" t="s">
        <v>173</v>
      </c>
      <c r="B3" s="6">
        <f t="shared" si="0"/>
        <v>1062.430433777376</v>
      </c>
      <c r="C3" s="7">
        <v>60.041299148224567</v>
      </c>
      <c r="D3" s="7">
        <v>98.135633073337999</v>
      </c>
      <c r="E3" s="7">
        <v>437.29193364532563</v>
      </c>
      <c r="F3" s="7">
        <v>255.43460367841249</v>
      </c>
      <c r="G3" s="7">
        <v>211.52696423207536</v>
      </c>
    </row>
    <row r="4" spans="1:7" x14ac:dyDescent="0.3">
      <c r="A4" t="s">
        <v>174</v>
      </c>
      <c r="B4" s="6">
        <f t="shared" si="0"/>
        <v>1902.1015136525509</v>
      </c>
      <c r="C4" s="7">
        <v>664.47117111510875</v>
      </c>
      <c r="D4" s="7">
        <v>103.38348100333442</v>
      </c>
      <c r="E4" s="7">
        <v>547.31204668359362</v>
      </c>
      <c r="F4" s="7">
        <v>330.31384710031591</v>
      </c>
      <c r="G4" s="7">
        <v>256.62096775019808</v>
      </c>
    </row>
    <row r="5" spans="1:7" x14ac:dyDescent="0.3">
      <c r="A5" t="s">
        <v>175</v>
      </c>
      <c r="B5" s="6">
        <f t="shared" si="0"/>
        <v>2966.9384719427349</v>
      </c>
      <c r="C5" s="7">
        <v>1430.9847329452182</v>
      </c>
      <c r="D5" s="7">
        <v>110.03858972845158</v>
      </c>
      <c r="E5" s="7">
        <v>686.83510982325231</v>
      </c>
      <c r="F5" s="7">
        <v>425.27267542763167</v>
      </c>
      <c r="G5" s="7">
        <v>313.8073640181812</v>
      </c>
    </row>
    <row r="6" spans="1:7" x14ac:dyDescent="0.3">
      <c r="A6" t="s">
        <v>176</v>
      </c>
      <c r="B6" s="6">
        <f t="shared" si="0"/>
        <v>4815.8049447444555</v>
      </c>
      <c r="C6" s="7">
        <v>2957.6011841123191</v>
      </c>
      <c r="D6" s="7">
        <v>115.8417481373958</v>
      </c>
      <c r="E6" s="7">
        <v>837.56109396714828</v>
      </c>
      <c r="F6" s="7">
        <v>531.21257516839376</v>
      </c>
      <c r="G6" s="7">
        <v>373.58834335919875</v>
      </c>
    </row>
    <row r="7" spans="1:7" x14ac:dyDescent="0.3">
      <c r="A7" t="s">
        <v>177</v>
      </c>
      <c r="B7" s="6">
        <f t="shared" si="0"/>
        <v>5209.6731374545934</v>
      </c>
      <c r="C7" s="7">
        <v>3324.4355254877846</v>
      </c>
      <c r="D7" s="7">
        <v>116.2035205503272</v>
      </c>
      <c r="E7" s="7">
        <v>850.16911608873261</v>
      </c>
      <c r="F7" s="7">
        <v>540.51063005828428</v>
      </c>
      <c r="G7" s="7">
        <v>378.35434526946403</v>
      </c>
    </row>
    <row r="8" spans="1:7" x14ac:dyDescent="0.3">
      <c r="A8" t="s">
        <v>178</v>
      </c>
      <c r="B8" s="6">
        <f t="shared" si="0"/>
        <v>3690.1535682069029</v>
      </c>
      <c r="C8" s="7">
        <v>1891.1037677350107</v>
      </c>
      <c r="D8" s="7">
        <v>115.07771361256526</v>
      </c>
      <c r="E8" s="7">
        <v>809.99514659786132</v>
      </c>
      <c r="F8" s="7">
        <v>510.74027440515334</v>
      </c>
      <c r="G8" s="7">
        <v>363.23666585631241</v>
      </c>
    </row>
    <row r="9" spans="1:7" x14ac:dyDescent="0.3">
      <c r="A9" t="s">
        <v>179</v>
      </c>
      <c r="B9" s="6">
        <f t="shared" si="0"/>
        <v>2502.1762303733221</v>
      </c>
      <c r="C9" s="7">
        <v>874.31079400753333</v>
      </c>
      <c r="D9" s="7">
        <v>112.6572488694658</v>
      </c>
      <c r="E9" s="7">
        <v>730.05041140310163</v>
      </c>
      <c r="F9" s="7">
        <v>452.46736621112956</v>
      </c>
      <c r="G9" s="7">
        <v>332.69040988209179</v>
      </c>
    </row>
    <row r="10" spans="1:7" x14ac:dyDescent="0.3">
      <c r="A10" t="s">
        <v>180</v>
      </c>
      <c r="B10" s="6">
        <f t="shared" si="0"/>
        <v>1716.0643199198644</v>
      </c>
      <c r="C10" s="7">
        <v>394.3356485183869</v>
      </c>
      <c r="D10" s="7">
        <v>107.53430251437358</v>
      </c>
      <c r="E10" s="7">
        <v>586.62834256315762</v>
      </c>
      <c r="F10" s="7">
        <v>351.46623695220035</v>
      </c>
      <c r="G10" s="7">
        <v>276.09978937174577</v>
      </c>
    </row>
    <row r="11" spans="1:7" x14ac:dyDescent="0.3">
      <c r="A11" t="s">
        <v>181</v>
      </c>
      <c r="B11" s="6">
        <f t="shared" si="0"/>
        <v>1525.1245486036746</v>
      </c>
      <c r="C11" s="7">
        <v>331.1024847587351</v>
      </c>
      <c r="D11" s="7">
        <v>104.5114195515437</v>
      </c>
      <c r="E11" s="7">
        <v>526.65446515252029</v>
      </c>
      <c r="F11" s="7">
        <v>311.99827527621784</v>
      </c>
      <c r="G11" s="7">
        <v>250.8579038646576</v>
      </c>
    </row>
    <row r="12" spans="1:7" x14ac:dyDescent="0.3">
      <c r="A12" t="s">
        <v>182</v>
      </c>
      <c r="B12" s="6">
        <f t="shared" si="0"/>
        <v>1744.9320673039117</v>
      </c>
      <c r="C12" s="7">
        <v>397.44081546774675</v>
      </c>
      <c r="D12" s="7">
        <v>108.76036960087183</v>
      </c>
      <c r="E12" s="7">
        <v>598.58518969508782</v>
      </c>
      <c r="F12" s="7">
        <v>358.27991097867567</v>
      </c>
      <c r="G12" s="7">
        <v>281.86578156152979</v>
      </c>
    </row>
    <row r="13" spans="1:7" x14ac:dyDescent="0.3">
      <c r="B13" s="2"/>
    </row>
    <row r="14" spans="1:7" x14ac:dyDescent="0.3">
      <c r="A14" t="s">
        <v>204</v>
      </c>
    </row>
    <row r="15" spans="1:7" x14ac:dyDescent="0.3">
      <c r="B15" s="4" t="s">
        <v>205</v>
      </c>
    </row>
    <row r="16" spans="1:7" x14ac:dyDescent="0.3">
      <c r="B16" s="27" t="s">
        <v>206</v>
      </c>
    </row>
    <row r="17" spans="1:8" x14ac:dyDescent="0.3">
      <c r="B17" s="27" t="s">
        <v>207</v>
      </c>
    </row>
    <row r="19" spans="1:8" x14ac:dyDescent="0.3">
      <c r="A19" t="s">
        <v>194</v>
      </c>
      <c r="B19" t="s">
        <v>193</v>
      </c>
      <c r="C19" t="s">
        <v>166</v>
      </c>
      <c r="D19" t="s">
        <v>168</v>
      </c>
      <c r="E19" t="s">
        <v>169</v>
      </c>
      <c r="F19" t="s">
        <v>170</v>
      </c>
      <c r="G19" t="s">
        <v>171</v>
      </c>
    </row>
    <row r="20" spans="1:8" x14ac:dyDescent="0.3">
      <c r="A20" t="s">
        <v>1</v>
      </c>
      <c r="C20" s="7">
        <v>14000000.000000009</v>
      </c>
      <c r="D20" s="7">
        <v>9000000.0000000037</v>
      </c>
      <c r="E20" s="7">
        <v>6000000.0000000028</v>
      </c>
      <c r="F20" s="7">
        <v>11000000.000000004</v>
      </c>
      <c r="G20" s="7">
        <v>11400000.000000006</v>
      </c>
    </row>
    <row r="21" spans="1:8" x14ac:dyDescent="0.3">
      <c r="A21" t="s">
        <v>3</v>
      </c>
      <c r="C21" s="7">
        <v>307209.30535843037</v>
      </c>
      <c r="D21" s="7">
        <v>197491.69630184805</v>
      </c>
      <c r="E21" s="7">
        <v>131661.1308678987</v>
      </c>
      <c r="F21" s="7">
        <v>241378.73992448091</v>
      </c>
      <c r="G21" s="7">
        <v>250156.14864900752</v>
      </c>
    </row>
    <row r="22" spans="1:8" x14ac:dyDescent="0.3">
      <c r="A22" t="s">
        <v>5</v>
      </c>
      <c r="C22" s="7">
        <v>144268.32394933185</v>
      </c>
      <c r="D22" s="7">
        <v>92743.92253885619</v>
      </c>
      <c r="E22" s="7">
        <v>61829.281692570788</v>
      </c>
      <c r="F22" s="7">
        <v>113353.68310304644</v>
      </c>
      <c r="G22" s="7">
        <v>117475.6352158845</v>
      </c>
    </row>
    <row r="23" spans="1:8" x14ac:dyDescent="0.3">
      <c r="A23" t="s">
        <v>7</v>
      </c>
      <c r="C23" s="7">
        <v>866.89235685576296</v>
      </c>
      <c r="D23" s="7">
        <v>557.28794369299044</v>
      </c>
      <c r="E23" s="7">
        <v>371.52529579532688</v>
      </c>
      <c r="F23" s="7">
        <v>681.12970895809929</v>
      </c>
      <c r="G23" s="7">
        <v>705.89806201112106</v>
      </c>
    </row>
    <row r="24" spans="1:8" x14ac:dyDescent="0.3">
      <c r="A24" t="s">
        <v>14</v>
      </c>
      <c r="C24" s="7">
        <v>142354.67260776571</v>
      </c>
      <c r="D24" s="7">
        <v>91513.718104992222</v>
      </c>
      <c r="E24" s="7">
        <v>61009.145403328148</v>
      </c>
      <c r="F24" s="7">
        <v>111850.0999061016</v>
      </c>
      <c r="G24" s="7">
        <v>115917.3762663235</v>
      </c>
    </row>
    <row r="25" spans="1:8" x14ac:dyDescent="0.3">
      <c r="A25" t="s">
        <v>16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8" x14ac:dyDescent="0.3">
      <c r="A26" t="s">
        <v>59</v>
      </c>
      <c r="C26" s="7">
        <v>677503.48728521576</v>
      </c>
      <c r="D26" s="7">
        <v>435537.95611192437</v>
      </c>
      <c r="E26" s="7">
        <v>290358.63740794954</v>
      </c>
      <c r="F26" s="7">
        <v>532324.16858124081</v>
      </c>
      <c r="G26" s="7">
        <v>551681.41107510414</v>
      </c>
    </row>
    <row r="27" spans="1:8" x14ac:dyDescent="0.3">
      <c r="A27" t="s">
        <v>61</v>
      </c>
      <c r="C27" s="7">
        <v>17378.352034480107</v>
      </c>
      <c r="D27" s="7">
        <v>11171.797736451495</v>
      </c>
      <c r="E27" s="7">
        <v>7447.8651576343309</v>
      </c>
      <c r="F27" s="7">
        <v>13654.419455662939</v>
      </c>
      <c r="G27" s="7">
        <v>14150.943799505229</v>
      </c>
    </row>
    <row r="28" spans="1:8" x14ac:dyDescent="0.3">
      <c r="A28" t="s">
        <v>63</v>
      </c>
      <c r="C28" s="7">
        <v>470827.8964903123</v>
      </c>
      <c r="D28" s="7">
        <v>302675.07631520071</v>
      </c>
      <c r="E28" s="7">
        <v>201783.38421013381</v>
      </c>
      <c r="F28" s="7">
        <v>369936.20438524534</v>
      </c>
      <c r="G28" s="7">
        <v>383388.42999925424</v>
      </c>
    </row>
    <row r="29" spans="1:8" x14ac:dyDescent="0.3">
      <c r="A29" t="s">
        <v>67</v>
      </c>
      <c r="C29" s="7">
        <v>134372.96773095973</v>
      </c>
      <c r="D29" s="7">
        <v>86382.62211275984</v>
      </c>
      <c r="E29" s="7">
        <v>57588.414741839886</v>
      </c>
      <c r="F29" s="7">
        <v>105578.76036003979</v>
      </c>
      <c r="G29" s="7">
        <v>109417.98800949578</v>
      </c>
    </row>
    <row r="30" spans="1:8" x14ac:dyDescent="0.3">
      <c r="C30" s="7">
        <v>3</v>
      </c>
      <c r="D30" s="7">
        <v>4</v>
      </c>
      <c r="E30" s="7">
        <v>5</v>
      </c>
      <c r="F30" s="7">
        <v>6</v>
      </c>
      <c r="G30" s="7">
        <v>7</v>
      </c>
    </row>
    <row r="31" spans="1:8" x14ac:dyDescent="0.3">
      <c r="C31" s="7"/>
      <c r="D31" s="7"/>
      <c r="E31" s="7"/>
      <c r="F31" s="7"/>
      <c r="G31" s="7"/>
    </row>
    <row r="32" spans="1:8" x14ac:dyDescent="0.3">
      <c r="A32" s="8" t="str">
        <f>COGS!E4</f>
        <v>T11</v>
      </c>
      <c r="C32" s="7">
        <f>VLOOKUP($A$32,$A$1:$G$12,C30,0)</f>
        <v>397.44081546774675</v>
      </c>
      <c r="D32" s="7">
        <f t="shared" ref="D32:G32" si="1">VLOOKUP($A$32,$A$1:$G$12,D30,0)</f>
        <v>108.76036960087183</v>
      </c>
      <c r="E32" s="7">
        <f t="shared" si="1"/>
        <v>598.58518969508782</v>
      </c>
      <c r="F32" s="7">
        <f t="shared" si="1"/>
        <v>358.27991097867567</v>
      </c>
      <c r="G32" s="7">
        <f t="shared" si="1"/>
        <v>281.86578156152979</v>
      </c>
      <c r="H32" s="6">
        <f>SUM(C32:G32)</f>
        <v>1744.9320673039117</v>
      </c>
    </row>
    <row r="33" spans="1:7" x14ac:dyDescent="0.3">
      <c r="A33" s="8"/>
      <c r="C33" s="7"/>
      <c r="D33" s="7"/>
      <c r="E33" s="7"/>
      <c r="F33" s="7"/>
      <c r="G33" s="7"/>
    </row>
    <row r="34" spans="1:7" x14ac:dyDescent="0.3">
      <c r="B34" t="s">
        <v>193</v>
      </c>
      <c r="C34" t="s">
        <v>166</v>
      </c>
      <c r="D34" t="s">
        <v>168</v>
      </c>
      <c r="E34" t="s">
        <v>169</v>
      </c>
      <c r="F34" t="s">
        <v>170</v>
      </c>
      <c r="G34" t="s">
        <v>171</v>
      </c>
    </row>
    <row r="35" spans="1:7" x14ac:dyDescent="0.3">
      <c r="A35" t="s">
        <v>1</v>
      </c>
      <c r="B35">
        <v>1</v>
      </c>
      <c r="C35" s="6">
        <f>IFERROR(C20*C$32/SUMPRODUCT($C20:$G20,$C$32:$G$32),0)</f>
        <v>0.32183536969016679</v>
      </c>
      <c r="D35" s="6">
        <f t="shared" ref="D35:G35" si="2">IFERROR(D20*D$32/SUMPRODUCT($C20:$G20,$C$32:$G$32),0)</f>
        <v>5.6616948012474737E-2</v>
      </c>
      <c r="E35" s="6">
        <f t="shared" si="2"/>
        <v>0.20773538921927592</v>
      </c>
      <c r="F35" s="6">
        <f t="shared" si="2"/>
        <v>0.22795462768345101</v>
      </c>
      <c r="G35" s="6">
        <f t="shared" si="2"/>
        <v>0.18585766539463144</v>
      </c>
    </row>
    <row r="36" spans="1:7" x14ac:dyDescent="0.3">
      <c r="A36" t="s">
        <v>3</v>
      </c>
      <c r="B36">
        <v>1</v>
      </c>
      <c r="C36" s="6">
        <f t="shared" ref="C36:G36" si="3">IFERROR(C21*C$32/SUMPRODUCT($C21:$G21,$C$32:$G$32),0)</f>
        <v>0.32183536969016685</v>
      </c>
      <c r="D36" s="6">
        <f t="shared" si="3"/>
        <v>5.6616948012474751E-2</v>
      </c>
      <c r="E36" s="6">
        <f t="shared" si="3"/>
        <v>0.20773538921927595</v>
      </c>
      <c r="F36" s="6">
        <f t="shared" si="3"/>
        <v>0.22795462768345101</v>
      </c>
      <c r="G36" s="6">
        <f t="shared" si="3"/>
        <v>0.18585766539463144</v>
      </c>
    </row>
    <row r="37" spans="1:7" x14ac:dyDescent="0.3">
      <c r="A37" t="s">
        <v>5</v>
      </c>
      <c r="B37">
        <v>1</v>
      </c>
      <c r="C37" s="6">
        <f t="shared" ref="C37:G37" si="4">IFERROR(C22*C$32/SUMPRODUCT($C22:$G22,$C$32:$G$32),0)</f>
        <v>0.32183536969016679</v>
      </c>
      <c r="D37" s="6">
        <f t="shared" si="4"/>
        <v>5.6616948012474751E-2</v>
      </c>
      <c r="E37" s="6">
        <f t="shared" si="4"/>
        <v>0.20773538921927595</v>
      </c>
      <c r="F37" s="6">
        <f t="shared" si="4"/>
        <v>0.22795462768345104</v>
      </c>
      <c r="G37" s="6">
        <f t="shared" si="4"/>
        <v>0.18585766539463144</v>
      </c>
    </row>
    <row r="38" spans="1:7" x14ac:dyDescent="0.3">
      <c r="A38" t="s">
        <v>7</v>
      </c>
      <c r="B38">
        <v>1</v>
      </c>
      <c r="C38" s="6">
        <f t="shared" ref="C38:G38" si="5">IFERROR(C23*C$32/SUMPRODUCT($C23:$G23,$C$32:$G$32),0)</f>
        <v>0.32183536969016685</v>
      </c>
      <c r="D38" s="6">
        <f t="shared" si="5"/>
        <v>5.6616948012474758E-2</v>
      </c>
      <c r="E38" s="6">
        <f t="shared" si="5"/>
        <v>0.20773538921927595</v>
      </c>
      <c r="F38" s="6">
        <f t="shared" si="5"/>
        <v>0.22795462768345104</v>
      </c>
      <c r="G38" s="6">
        <f t="shared" si="5"/>
        <v>0.18585766539463144</v>
      </c>
    </row>
    <row r="39" spans="1:7" x14ac:dyDescent="0.3">
      <c r="A39" t="s">
        <v>14</v>
      </c>
      <c r="B39">
        <v>1</v>
      </c>
      <c r="C39" s="6">
        <f t="shared" ref="C39:G39" si="6">IFERROR(C24*C$32/SUMPRODUCT($C24:$G24,$C$32:$G$32),0)</f>
        <v>0.32183536969016679</v>
      </c>
      <c r="D39" s="6">
        <f t="shared" si="6"/>
        <v>5.6616948012474737E-2</v>
      </c>
      <c r="E39" s="6">
        <f t="shared" si="6"/>
        <v>0.20773538921927592</v>
      </c>
      <c r="F39" s="6">
        <f t="shared" si="6"/>
        <v>0.22795462768345101</v>
      </c>
      <c r="G39" s="6">
        <f t="shared" si="6"/>
        <v>0.18585766539463144</v>
      </c>
    </row>
    <row r="40" spans="1:7" x14ac:dyDescent="0.3">
      <c r="A40" t="s">
        <v>16</v>
      </c>
      <c r="B40">
        <v>1</v>
      </c>
      <c r="C40" s="6">
        <f t="shared" ref="C40:G40" si="7">IFERROR(C25*C$32/SUMPRODUCT($C25:$G25,$C$32:$G$32),0)</f>
        <v>0</v>
      </c>
      <c r="D40" s="6">
        <f t="shared" si="7"/>
        <v>0</v>
      </c>
      <c r="E40" s="6">
        <f t="shared" si="7"/>
        <v>0</v>
      </c>
      <c r="F40" s="6">
        <f t="shared" si="7"/>
        <v>0</v>
      </c>
      <c r="G40" s="6">
        <f t="shared" si="7"/>
        <v>0</v>
      </c>
    </row>
    <row r="41" spans="1:7" x14ac:dyDescent="0.3">
      <c r="A41" t="s">
        <v>59</v>
      </c>
      <c r="B41">
        <v>1</v>
      </c>
      <c r="C41" s="6">
        <f t="shared" ref="C41:G41" si="8">IFERROR(C26*C$32/SUMPRODUCT($C26:$G26,$C$32:$G$32),0)</f>
        <v>0.32183536969016685</v>
      </c>
      <c r="D41" s="6">
        <f t="shared" si="8"/>
        <v>5.6616948012474758E-2</v>
      </c>
      <c r="E41" s="6">
        <f t="shared" si="8"/>
        <v>0.20773538921927592</v>
      </c>
      <c r="F41" s="6">
        <f t="shared" si="8"/>
        <v>0.22795462768345104</v>
      </c>
      <c r="G41" s="6">
        <f t="shared" si="8"/>
        <v>0.18585766539463144</v>
      </c>
    </row>
    <row r="42" spans="1:7" x14ac:dyDescent="0.3">
      <c r="A42" t="s">
        <v>61</v>
      </c>
      <c r="B42">
        <v>1</v>
      </c>
      <c r="C42" s="6">
        <f t="shared" ref="C42:G42" si="9">IFERROR(C27*C$32/SUMPRODUCT($C27:$G27,$C$32:$G$32),0)</f>
        <v>0.32183536969016674</v>
      </c>
      <c r="D42" s="6">
        <f t="shared" si="9"/>
        <v>5.6616948012474737E-2</v>
      </c>
      <c r="E42" s="6">
        <f t="shared" si="9"/>
        <v>0.20773538921927592</v>
      </c>
      <c r="F42" s="6">
        <f t="shared" si="9"/>
        <v>0.22795462768345098</v>
      </c>
      <c r="G42" s="6">
        <f t="shared" si="9"/>
        <v>0.18585766539463142</v>
      </c>
    </row>
    <row r="43" spans="1:7" x14ac:dyDescent="0.3">
      <c r="A43" t="s">
        <v>63</v>
      </c>
      <c r="B43">
        <v>1</v>
      </c>
      <c r="C43" s="6">
        <f t="shared" ref="C43:G43" si="10">IFERROR(C28*C$32/SUMPRODUCT($C28:$G28,$C$32:$G$32),0)</f>
        <v>0.32183536969016685</v>
      </c>
      <c r="D43" s="6">
        <f t="shared" si="10"/>
        <v>5.6616948012474751E-2</v>
      </c>
      <c r="E43" s="6">
        <f t="shared" si="10"/>
        <v>0.20773538921927595</v>
      </c>
      <c r="F43" s="6">
        <f t="shared" si="10"/>
        <v>0.22795462768345107</v>
      </c>
      <c r="G43" s="6">
        <f t="shared" si="10"/>
        <v>0.18585766539463147</v>
      </c>
    </row>
    <row r="44" spans="1:7" x14ac:dyDescent="0.3">
      <c r="A44" t="s">
        <v>67</v>
      </c>
      <c r="B44">
        <v>1</v>
      </c>
      <c r="C44" s="6">
        <f t="shared" ref="C44:G44" si="11">IFERROR(C29*C$32/SUMPRODUCT($C29:$G29,$C$32:$G$32),0)</f>
        <v>0.32183536969016679</v>
      </c>
      <c r="D44" s="6">
        <f t="shared" si="11"/>
        <v>5.6616948012474765E-2</v>
      </c>
      <c r="E44" s="6">
        <f t="shared" si="11"/>
        <v>0.20773538921927595</v>
      </c>
      <c r="F44" s="6">
        <f t="shared" si="11"/>
        <v>0.22795462768345107</v>
      </c>
      <c r="G44" s="6">
        <f t="shared" si="11"/>
        <v>0.18585766539463144</v>
      </c>
    </row>
    <row r="45" spans="1:7" x14ac:dyDescent="0.3">
      <c r="A45" t="s">
        <v>10</v>
      </c>
      <c r="B45">
        <v>1</v>
      </c>
      <c r="C45" s="6">
        <f>C32/$H$32</f>
        <v>0.2277686466510018</v>
      </c>
      <c r="D45" s="6">
        <f>D32/$H$32</f>
        <v>6.2329285843727475E-2</v>
      </c>
      <c r="E45" s="6">
        <f>E32/$H$32</f>
        <v>0.34304211660225814</v>
      </c>
      <c r="F45" s="6">
        <f>F32/$H$32</f>
        <v>0.20532599388367748</v>
      </c>
      <c r="G45" s="6">
        <f>G32/$H$32</f>
        <v>0.16153395701933521</v>
      </c>
    </row>
    <row r="46" spans="1:7" x14ac:dyDescent="0.3">
      <c r="A46" t="s">
        <v>12</v>
      </c>
      <c r="B46">
        <v>1</v>
      </c>
      <c r="C46" s="6">
        <f>C45</f>
        <v>0.2277686466510018</v>
      </c>
      <c r="D46" s="6">
        <f t="shared" ref="D46:G46" si="12">D45</f>
        <v>6.2329285843727475E-2</v>
      </c>
      <c r="E46" s="6">
        <f t="shared" si="12"/>
        <v>0.34304211660225814</v>
      </c>
      <c r="F46" s="6">
        <f t="shared" si="12"/>
        <v>0.20532599388367748</v>
      </c>
      <c r="G46" s="6">
        <f t="shared" si="12"/>
        <v>0.16153395701933521</v>
      </c>
    </row>
    <row r="47" spans="1:7" x14ac:dyDescent="0.3">
      <c r="A47" t="s">
        <v>18</v>
      </c>
      <c r="B47">
        <v>1</v>
      </c>
      <c r="C47" s="6">
        <f t="shared" ref="C47:C108" si="13">C46</f>
        <v>0.2277686466510018</v>
      </c>
      <c r="D47" s="6">
        <f t="shared" ref="D47:D108" si="14">D46</f>
        <v>6.2329285843727475E-2</v>
      </c>
      <c r="E47" s="6">
        <f t="shared" ref="E47:E108" si="15">E46</f>
        <v>0.34304211660225814</v>
      </c>
      <c r="F47" s="6">
        <f t="shared" ref="F47:F108" si="16">F46</f>
        <v>0.20532599388367748</v>
      </c>
      <c r="G47" s="6">
        <f t="shared" ref="G47:G108" si="17">G46</f>
        <v>0.16153395701933521</v>
      </c>
    </row>
    <row r="48" spans="1:7" x14ac:dyDescent="0.3">
      <c r="A48" t="s">
        <v>20</v>
      </c>
      <c r="B48">
        <v>1</v>
      </c>
      <c r="C48" s="6">
        <f t="shared" si="13"/>
        <v>0.2277686466510018</v>
      </c>
      <c r="D48" s="6">
        <f t="shared" si="14"/>
        <v>6.2329285843727475E-2</v>
      </c>
      <c r="E48" s="6">
        <f t="shared" si="15"/>
        <v>0.34304211660225814</v>
      </c>
      <c r="F48" s="6">
        <f t="shared" si="16"/>
        <v>0.20532599388367748</v>
      </c>
      <c r="G48" s="6">
        <f t="shared" si="17"/>
        <v>0.16153395701933521</v>
      </c>
    </row>
    <row r="49" spans="1:7" x14ac:dyDescent="0.3">
      <c r="A49" t="s">
        <v>22</v>
      </c>
      <c r="B49">
        <v>1</v>
      </c>
      <c r="C49" s="6">
        <f t="shared" si="13"/>
        <v>0.2277686466510018</v>
      </c>
      <c r="D49" s="6">
        <f t="shared" si="14"/>
        <v>6.2329285843727475E-2</v>
      </c>
      <c r="E49" s="6">
        <f t="shared" si="15"/>
        <v>0.34304211660225814</v>
      </c>
      <c r="F49" s="6">
        <f t="shared" si="16"/>
        <v>0.20532599388367748</v>
      </c>
      <c r="G49" s="6">
        <f t="shared" si="17"/>
        <v>0.16153395701933521</v>
      </c>
    </row>
    <row r="50" spans="1:7" x14ac:dyDescent="0.3">
      <c r="A50" t="s">
        <v>24</v>
      </c>
      <c r="B50">
        <v>1</v>
      </c>
      <c r="C50" s="6">
        <f t="shared" si="13"/>
        <v>0.2277686466510018</v>
      </c>
      <c r="D50" s="6">
        <f t="shared" si="14"/>
        <v>6.2329285843727475E-2</v>
      </c>
      <c r="E50" s="6">
        <f t="shared" si="15"/>
        <v>0.34304211660225814</v>
      </c>
      <c r="F50" s="6">
        <f t="shared" si="16"/>
        <v>0.20532599388367748</v>
      </c>
      <c r="G50" s="6">
        <f t="shared" si="17"/>
        <v>0.16153395701933521</v>
      </c>
    </row>
    <row r="51" spans="1:7" x14ac:dyDescent="0.3">
      <c r="A51" t="s">
        <v>26</v>
      </c>
      <c r="B51">
        <v>1</v>
      </c>
      <c r="C51" s="6">
        <f t="shared" si="13"/>
        <v>0.2277686466510018</v>
      </c>
      <c r="D51" s="6">
        <f t="shared" si="14"/>
        <v>6.2329285843727475E-2</v>
      </c>
      <c r="E51" s="6">
        <f t="shared" si="15"/>
        <v>0.34304211660225814</v>
      </c>
      <c r="F51" s="6">
        <f t="shared" si="16"/>
        <v>0.20532599388367748</v>
      </c>
      <c r="G51" s="6">
        <f t="shared" si="17"/>
        <v>0.16153395701933521</v>
      </c>
    </row>
    <row r="52" spans="1:7" x14ac:dyDescent="0.3">
      <c r="A52" t="s">
        <v>28</v>
      </c>
      <c r="B52">
        <v>1</v>
      </c>
      <c r="C52" s="6">
        <f t="shared" si="13"/>
        <v>0.2277686466510018</v>
      </c>
      <c r="D52" s="6">
        <f t="shared" si="14"/>
        <v>6.2329285843727475E-2</v>
      </c>
      <c r="E52" s="6">
        <f t="shared" si="15"/>
        <v>0.34304211660225814</v>
      </c>
      <c r="F52" s="6">
        <f t="shared" si="16"/>
        <v>0.20532599388367748</v>
      </c>
      <c r="G52" s="6">
        <f t="shared" si="17"/>
        <v>0.16153395701933521</v>
      </c>
    </row>
    <row r="53" spans="1:7" x14ac:dyDescent="0.3">
      <c r="A53" t="s">
        <v>30</v>
      </c>
      <c r="B53">
        <v>1</v>
      </c>
      <c r="C53" s="6">
        <f t="shared" si="13"/>
        <v>0.2277686466510018</v>
      </c>
      <c r="D53" s="6">
        <f t="shared" si="14"/>
        <v>6.2329285843727475E-2</v>
      </c>
      <c r="E53" s="6">
        <f t="shared" si="15"/>
        <v>0.34304211660225814</v>
      </c>
      <c r="F53" s="6">
        <f t="shared" si="16"/>
        <v>0.20532599388367748</v>
      </c>
      <c r="G53" s="6">
        <f t="shared" si="17"/>
        <v>0.16153395701933521</v>
      </c>
    </row>
    <row r="54" spans="1:7" x14ac:dyDescent="0.3">
      <c r="A54" t="s">
        <v>32</v>
      </c>
      <c r="B54">
        <v>1</v>
      </c>
      <c r="C54" s="6">
        <f t="shared" si="13"/>
        <v>0.2277686466510018</v>
      </c>
      <c r="D54" s="6">
        <f t="shared" si="14"/>
        <v>6.2329285843727475E-2</v>
      </c>
      <c r="E54" s="6">
        <f t="shared" si="15"/>
        <v>0.34304211660225814</v>
      </c>
      <c r="F54" s="6">
        <f t="shared" si="16"/>
        <v>0.20532599388367748</v>
      </c>
      <c r="G54" s="6">
        <f t="shared" si="17"/>
        <v>0.16153395701933521</v>
      </c>
    </row>
    <row r="55" spans="1:7" x14ac:dyDescent="0.3">
      <c r="A55" t="s">
        <v>34</v>
      </c>
      <c r="B55">
        <v>1</v>
      </c>
      <c r="C55" s="6">
        <f t="shared" si="13"/>
        <v>0.2277686466510018</v>
      </c>
      <c r="D55" s="6">
        <f t="shared" si="14"/>
        <v>6.2329285843727475E-2</v>
      </c>
      <c r="E55" s="6">
        <f t="shared" si="15"/>
        <v>0.34304211660225814</v>
      </c>
      <c r="F55" s="6">
        <f t="shared" si="16"/>
        <v>0.20532599388367748</v>
      </c>
      <c r="G55" s="6">
        <f t="shared" si="17"/>
        <v>0.16153395701933521</v>
      </c>
    </row>
    <row r="56" spans="1:7" x14ac:dyDescent="0.3">
      <c r="A56" t="s">
        <v>36</v>
      </c>
      <c r="B56">
        <v>1</v>
      </c>
      <c r="C56" s="6">
        <f t="shared" si="13"/>
        <v>0.2277686466510018</v>
      </c>
      <c r="D56" s="6">
        <f t="shared" si="14"/>
        <v>6.2329285843727475E-2</v>
      </c>
      <c r="E56" s="6">
        <f t="shared" si="15"/>
        <v>0.34304211660225814</v>
      </c>
      <c r="F56" s="6">
        <f t="shared" si="16"/>
        <v>0.20532599388367748</v>
      </c>
      <c r="G56" s="6">
        <f t="shared" si="17"/>
        <v>0.16153395701933521</v>
      </c>
    </row>
    <row r="57" spans="1:7" x14ac:dyDescent="0.3">
      <c r="A57" t="s">
        <v>38</v>
      </c>
      <c r="B57">
        <v>1</v>
      </c>
      <c r="C57" s="6">
        <f t="shared" si="13"/>
        <v>0.2277686466510018</v>
      </c>
      <c r="D57" s="6">
        <f t="shared" si="14"/>
        <v>6.2329285843727475E-2</v>
      </c>
      <c r="E57" s="6">
        <f t="shared" si="15"/>
        <v>0.34304211660225814</v>
      </c>
      <c r="F57" s="6">
        <f t="shared" si="16"/>
        <v>0.20532599388367748</v>
      </c>
      <c r="G57" s="6">
        <f t="shared" si="17"/>
        <v>0.16153395701933521</v>
      </c>
    </row>
    <row r="58" spans="1:7" x14ac:dyDescent="0.3">
      <c r="A58" t="s">
        <v>40</v>
      </c>
      <c r="B58">
        <v>1</v>
      </c>
      <c r="C58" s="6">
        <f t="shared" si="13"/>
        <v>0.2277686466510018</v>
      </c>
      <c r="D58" s="6">
        <f t="shared" si="14"/>
        <v>6.2329285843727475E-2</v>
      </c>
      <c r="E58" s="6">
        <f t="shared" si="15"/>
        <v>0.34304211660225814</v>
      </c>
      <c r="F58" s="6">
        <f t="shared" si="16"/>
        <v>0.20532599388367748</v>
      </c>
      <c r="G58" s="6">
        <f t="shared" si="17"/>
        <v>0.16153395701933521</v>
      </c>
    </row>
    <row r="59" spans="1:7" x14ac:dyDescent="0.3">
      <c r="A59" t="s">
        <v>42</v>
      </c>
      <c r="B59">
        <v>1</v>
      </c>
      <c r="C59" s="6">
        <f t="shared" si="13"/>
        <v>0.2277686466510018</v>
      </c>
      <c r="D59" s="6">
        <f t="shared" si="14"/>
        <v>6.2329285843727475E-2</v>
      </c>
      <c r="E59" s="6">
        <f t="shared" si="15"/>
        <v>0.34304211660225814</v>
      </c>
      <c r="F59" s="6">
        <f t="shared" si="16"/>
        <v>0.20532599388367748</v>
      </c>
      <c r="G59" s="6">
        <f t="shared" si="17"/>
        <v>0.16153395701933521</v>
      </c>
    </row>
    <row r="60" spans="1:7" x14ac:dyDescent="0.3">
      <c r="A60" t="s">
        <v>44</v>
      </c>
      <c r="B60">
        <v>1</v>
      </c>
      <c r="C60" s="6">
        <f t="shared" si="13"/>
        <v>0.2277686466510018</v>
      </c>
      <c r="D60" s="6">
        <f t="shared" si="14"/>
        <v>6.2329285843727475E-2</v>
      </c>
      <c r="E60" s="6">
        <f t="shared" si="15"/>
        <v>0.34304211660225814</v>
      </c>
      <c r="F60" s="6">
        <f t="shared" si="16"/>
        <v>0.20532599388367748</v>
      </c>
      <c r="G60" s="6">
        <f t="shared" si="17"/>
        <v>0.16153395701933521</v>
      </c>
    </row>
    <row r="61" spans="1:7" x14ac:dyDescent="0.3">
      <c r="A61" t="s">
        <v>46</v>
      </c>
      <c r="B61">
        <v>1</v>
      </c>
      <c r="C61" s="6">
        <f t="shared" si="13"/>
        <v>0.2277686466510018</v>
      </c>
      <c r="D61" s="6">
        <f t="shared" si="14"/>
        <v>6.2329285843727475E-2</v>
      </c>
      <c r="E61" s="6">
        <f t="shared" si="15"/>
        <v>0.34304211660225814</v>
      </c>
      <c r="F61" s="6">
        <f t="shared" si="16"/>
        <v>0.20532599388367748</v>
      </c>
      <c r="G61" s="6">
        <f t="shared" si="17"/>
        <v>0.16153395701933521</v>
      </c>
    </row>
    <row r="62" spans="1:7" x14ac:dyDescent="0.3">
      <c r="A62" t="s">
        <v>48</v>
      </c>
      <c r="B62">
        <v>1</v>
      </c>
      <c r="C62" s="6">
        <f t="shared" si="13"/>
        <v>0.2277686466510018</v>
      </c>
      <c r="D62" s="6">
        <f t="shared" si="14"/>
        <v>6.2329285843727475E-2</v>
      </c>
      <c r="E62" s="6">
        <f t="shared" si="15"/>
        <v>0.34304211660225814</v>
      </c>
      <c r="F62" s="6">
        <f t="shared" si="16"/>
        <v>0.20532599388367748</v>
      </c>
      <c r="G62" s="6">
        <f t="shared" si="17"/>
        <v>0.16153395701933521</v>
      </c>
    </row>
    <row r="63" spans="1:7" x14ac:dyDescent="0.3">
      <c r="A63" t="s">
        <v>50</v>
      </c>
      <c r="B63">
        <v>1</v>
      </c>
      <c r="C63" s="6">
        <f t="shared" si="13"/>
        <v>0.2277686466510018</v>
      </c>
      <c r="D63" s="6">
        <f t="shared" si="14"/>
        <v>6.2329285843727475E-2</v>
      </c>
      <c r="E63" s="6">
        <f t="shared" si="15"/>
        <v>0.34304211660225814</v>
      </c>
      <c r="F63" s="6">
        <f t="shared" si="16"/>
        <v>0.20532599388367748</v>
      </c>
      <c r="G63" s="6">
        <f t="shared" si="17"/>
        <v>0.16153395701933521</v>
      </c>
    </row>
    <row r="64" spans="1:7" x14ac:dyDescent="0.3">
      <c r="A64" t="s">
        <v>52</v>
      </c>
      <c r="B64">
        <v>1</v>
      </c>
      <c r="C64" s="6">
        <f t="shared" si="13"/>
        <v>0.2277686466510018</v>
      </c>
      <c r="D64" s="6">
        <f t="shared" si="14"/>
        <v>6.2329285843727475E-2</v>
      </c>
      <c r="E64" s="6">
        <f t="shared" si="15"/>
        <v>0.34304211660225814</v>
      </c>
      <c r="F64" s="6">
        <f t="shared" si="16"/>
        <v>0.20532599388367748</v>
      </c>
      <c r="G64" s="6">
        <f t="shared" si="17"/>
        <v>0.16153395701933521</v>
      </c>
    </row>
    <row r="65" spans="1:7" x14ac:dyDescent="0.3">
      <c r="A65" t="s">
        <v>54</v>
      </c>
      <c r="B65">
        <v>1</v>
      </c>
      <c r="C65" s="6">
        <f t="shared" si="13"/>
        <v>0.2277686466510018</v>
      </c>
      <c r="D65" s="6">
        <f t="shared" si="14"/>
        <v>6.2329285843727475E-2</v>
      </c>
      <c r="E65" s="6">
        <f t="shared" si="15"/>
        <v>0.34304211660225814</v>
      </c>
      <c r="F65" s="6">
        <f t="shared" si="16"/>
        <v>0.20532599388367748</v>
      </c>
      <c r="G65" s="6">
        <f t="shared" si="17"/>
        <v>0.16153395701933521</v>
      </c>
    </row>
    <row r="66" spans="1:7" x14ac:dyDescent="0.3">
      <c r="A66" t="s">
        <v>56</v>
      </c>
      <c r="B66">
        <v>1</v>
      </c>
      <c r="C66" s="6">
        <f t="shared" si="13"/>
        <v>0.2277686466510018</v>
      </c>
      <c r="D66" s="6">
        <f t="shared" si="14"/>
        <v>6.2329285843727475E-2</v>
      </c>
      <c r="E66" s="6">
        <f t="shared" si="15"/>
        <v>0.34304211660225814</v>
      </c>
      <c r="F66" s="6">
        <f t="shared" si="16"/>
        <v>0.20532599388367748</v>
      </c>
      <c r="G66" s="6">
        <f t="shared" si="17"/>
        <v>0.16153395701933521</v>
      </c>
    </row>
    <row r="67" spans="1:7" x14ac:dyDescent="0.3">
      <c r="A67" t="s">
        <v>65</v>
      </c>
      <c r="B67">
        <v>1</v>
      </c>
      <c r="C67" s="6">
        <f t="shared" si="13"/>
        <v>0.2277686466510018</v>
      </c>
      <c r="D67" s="6">
        <f t="shared" si="14"/>
        <v>6.2329285843727475E-2</v>
      </c>
      <c r="E67" s="6">
        <f t="shared" si="15"/>
        <v>0.34304211660225814</v>
      </c>
      <c r="F67" s="6">
        <f t="shared" si="16"/>
        <v>0.20532599388367748</v>
      </c>
      <c r="G67" s="6">
        <f t="shared" si="17"/>
        <v>0.16153395701933521</v>
      </c>
    </row>
    <row r="68" spans="1:7" x14ac:dyDescent="0.3">
      <c r="A68" t="s">
        <v>70</v>
      </c>
      <c r="B68">
        <v>1</v>
      </c>
      <c r="C68" s="6">
        <f t="shared" si="13"/>
        <v>0.2277686466510018</v>
      </c>
      <c r="D68" s="6">
        <f t="shared" si="14"/>
        <v>6.2329285843727475E-2</v>
      </c>
      <c r="E68" s="6">
        <f t="shared" si="15"/>
        <v>0.34304211660225814</v>
      </c>
      <c r="F68" s="6">
        <f t="shared" si="16"/>
        <v>0.20532599388367748</v>
      </c>
      <c r="G68" s="6">
        <f t="shared" si="17"/>
        <v>0.16153395701933521</v>
      </c>
    </row>
    <row r="69" spans="1:7" x14ac:dyDescent="0.3">
      <c r="A69" t="s">
        <v>71</v>
      </c>
      <c r="B69">
        <v>1</v>
      </c>
      <c r="C69" s="6">
        <f t="shared" si="13"/>
        <v>0.2277686466510018</v>
      </c>
      <c r="D69" s="6">
        <f t="shared" si="14"/>
        <v>6.2329285843727475E-2</v>
      </c>
      <c r="E69" s="6">
        <f t="shared" si="15"/>
        <v>0.34304211660225814</v>
      </c>
      <c r="F69" s="6">
        <f t="shared" si="16"/>
        <v>0.20532599388367748</v>
      </c>
      <c r="G69" s="6">
        <f t="shared" si="17"/>
        <v>0.16153395701933521</v>
      </c>
    </row>
    <row r="70" spans="1:7" x14ac:dyDescent="0.3">
      <c r="A70" t="s">
        <v>72</v>
      </c>
      <c r="B70">
        <v>1</v>
      </c>
      <c r="C70" s="6">
        <f t="shared" si="13"/>
        <v>0.2277686466510018</v>
      </c>
      <c r="D70" s="6">
        <f t="shared" si="14"/>
        <v>6.2329285843727475E-2</v>
      </c>
      <c r="E70" s="6">
        <f t="shared" si="15"/>
        <v>0.34304211660225814</v>
      </c>
      <c r="F70" s="6">
        <f t="shared" si="16"/>
        <v>0.20532599388367748</v>
      </c>
      <c r="G70" s="6">
        <f t="shared" si="17"/>
        <v>0.16153395701933521</v>
      </c>
    </row>
    <row r="71" spans="1:7" x14ac:dyDescent="0.3">
      <c r="A71" t="s">
        <v>73</v>
      </c>
      <c r="B71">
        <v>1</v>
      </c>
      <c r="C71" s="6">
        <f t="shared" si="13"/>
        <v>0.2277686466510018</v>
      </c>
      <c r="D71" s="6">
        <f t="shared" si="14"/>
        <v>6.2329285843727475E-2</v>
      </c>
      <c r="E71" s="6">
        <f t="shared" si="15"/>
        <v>0.34304211660225814</v>
      </c>
      <c r="F71" s="6">
        <f t="shared" si="16"/>
        <v>0.20532599388367748</v>
      </c>
      <c r="G71" s="6">
        <f t="shared" si="17"/>
        <v>0.16153395701933521</v>
      </c>
    </row>
    <row r="72" spans="1:7" x14ac:dyDescent="0.3">
      <c r="A72" t="s">
        <v>74</v>
      </c>
      <c r="B72">
        <v>1</v>
      </c>
      <c r="C72" s="6">
        <f t="shared" si="13"/>
        <v>0.2277686466510018</v>
      </c>
      <c r="D72" s="6">
        <f t="shared" si="14"/>
        <v>6.2329285843727475E-2</v>
      </c>
      <c r="E72" s="6">
        <f t="shared" si="15"/>
        <v>0.34304211660225814</v>
      </c>
      <c r="F72" s="6">
        <f t="shared" si="16"/>
        <v>0.20532599388367748</v>
      </c>
      <c r="G72" s="6">
        <f t="shared" si="17"/>
        <v>0.16153395701933521</v>
      </c>
    </row>
    <row r="73" spans="1:7" x14ac:dyDescent="0.3">
      <c r="A73" t="s">
        <v>75</v>
      </c>
      <c r="B73">
        <v>1</v>
      </c>
      <c r="C73" s="6">
        <f t="shared" si="13"/>
        <v>0.2277686466510018</v>
      </c>
      <c r="D73" s="6">
        <f t="shared" si="14"/>
        <v>6.2329285843727475E-2</v>
      </c>
      <c r="E73" s="6">
        <f t="shared" si="15"/>
        <v>0.34304211660225814</v>
      </c>
      <c r="F73" s="6">
        <f t="shared" si="16"/>
        <v>0.20532599388367748</v>
      </c>
      <c r="G73" s="6">
        <f t="shared" si="17"/>
        <v>0.16153395701933521</v>
      </c>
    </row>
    <row r="74" spans="1:7" x14ac:dyDescent="0.3">
      <c r="A74" t="s">
        <v>76</v>
      </c>
      <c r="B74">
        <v>1</v>
      </c>
      <c r="C74" s="6">
        <f t="shared" si="13"/>
        <v>0.2277686466510018</v>
      </c>
      <c r="D74" s="6">
        <f t="shared" si="14"/>
        <v>6.2329285843727475E-2</v>
      </c>
      <c r="E74" s="6">
        <f t="shared" si="15"/>
        <v>0.34304211660225814</v>
      </c>
      <c r="F74" s="6">
        <f t="shared" si="16"/>
        <v>0.20532599388367748</v>
      </c>
      <c r="G74" s="6">
        <f t="shared" si="17"/>
        <v>0.16153395701933521</v>
      </c>
    </row>
    <row r="75" spans="1:7" x14ac:dyDescent="0.3">
      <c r="A75" t="s">
        <v>78</v>
      </c>
      <c r="B75">
        <v>1</v>
      </c>
      <c r="C75" s="6">
        <f t="shared" si="13"/>
        <v>0.2277686466510018</v>
      </c>
      <c r="D75" s="6">
        <f t="shared" si="14"/>
        <v>6.2329285843727475E-2</v>
      </c>
      <c r="E75" s="6">
        <f t="shared" si="15"/>
        <v>0.34304211660225814</v>
      </c>
      <c r="F75" s="6">
        <f t="shared" si="16"/>
        <v>0.20532599388367748</v>
      </c>
      <c r="G75" s="6">
        <f t="shared" si="17"/>
        <v>0.16153395701933521</v>
      </c>
    </row>
    <row r="76" spans="1:7" x14ac:dyDescent="0.3">
      <c r="A76" t="s">
        <v>80</v>
      </c>
      <c r="B76">
        <v>1</v>
      </c>
      <c r="C76" s="6">
        <f t="shared" si="13"/>
        <v>0.2277686466510018</v>
      </c>
      <c r="D76" s="6">
        <f t="shared" si="14"/>
        <v>6.2329285843727475E-2</v>
      </c>
      <c r="E76" s="6">
        <f t="shared" si="15"/>
        <v>0.34304211660225814</v>
      </c>
      <c r="F76" s="6">
        <f t="shared" si="16"/>
        <v>0.20532599388367748</v>
      </c>
      <c r="G76" s="6">
        <f t="shared" si="17"/>
        <v>0.16153395701933521</v>
      </c>
    </row>
    <row r="77" spans="1:7" x14ac:dyDescent="0.3">
      <c r="A77" t="s">
        <v>81</v>
      </c>
      <c r="B77">
        <v>1</v>
      </c>
      <c r="C77" s="6">
        <f t="shared" si="13"/>
        <v>0.2277686466510018</v>
      </c>
      <c r="D77" s="6">
        <f t="shared" si="14"/>
        <v>6.2329285843727475E-2</v>
      </c>
      <c r="E77" s="6">
        <f t="shared" si="15"/>
        <v>0.34304211660225814</v>
      </c>
      <c r="F77" s="6">
        <f t="shared" si="16"/>
        <v>0.20532599388367748</v>
      </c>
      <c r="G77" s="6">
        <f t="shared" si="17"/>
        <v>0.16153395701933521</v>
      </c>
    </row>
    <row r="78" spans="1:7" x14ac:dyDescent="0.3">
      <c r="A78" t="s">
        <v>82</v>
      </c>
      <c r="B78">
        <v>1</v>
      </c>
      <c r="C78" s="6">
        <f t="shared" si="13"/>
        <v>0.2277686466510018</v>
      </c>
      <c r="D78" s="6">
        <f t="shared" si="14"/>
        <v>6.2329285843727475E-2</v>
      </c>
      <c r="E78" s="6">
        <f t="shared" si="15"/>
        <v>0.34304211660225814</v>
      </c>
      <c r="F78" s="6">
        <f t="shared" si="16"/>
        <v>0.20532599388367748</v>
      </c>
      <c r="G78" s="6">
        <f t="shared" si="17"/>
        <v>0.16153395701933521</v>
      </c>
    </row>
    <row r="79" spans="1:7" x14ac:dyDescent="0.3">
      <c r="A79" t="s">
        <v>83</v>
      </c>
      <c r="B79">
        <v>1</v>
      </c>
      <c r="C79" s="6">
        <f t="shared" si="13"/>
        <v>0.2277686466510018</v>
      </c>
      <c r="D79" s="6">
        <f t="shared" si="14"/>
        <v>6.2329285843727475E-2</v>
      </c>
      <c r="E79" s="6">
        <f t="shared" si="15"/>
        <v>0.34304211660225814</v>
      </c>
      <c r="F79" s="6">
        <f t="shared" si="16"/>
        <v>0.20532599388367748</v>
      </c>
      <c r="G79" s="6">
        <f t="shared" si="17"/>
        <v>0.16153395701933521</v>
      </c>
    </row>
    <row r="80" spans="1:7" x14ac:dyDescent="0.3">
      <c r="A80" t="s">
        <v>84</v>
      </c>
      <c r="B80">
        <v>1</v>
      </c>
      <c r="C80" s="6">
        <f t="shared" si="13"/>
        <v>0.2277686466510018</v>
      </c>
      <c r="D80" s="6">
        <f t="shared" si="14"/>
        <v>6.2329285843727475E-2</v>
      </c>
      <c r="E80" s="6">
        <f t="shared" si="15"/>
        <v>0.34304211660225814</v>
      </c>
      <c r="F80" s="6">
        <f t="shared" si="16"/>
        <v>0.20532599388367748</v>
      </c>
      <c r="G80" s="6">
        <f t="shared" si="17"/>
        <v>0.16153395701933521</v>
      </c>
    </row>
    <row r="81" spans="1:7" x14ac:dyDescent="0.3">
      <c r="A81" t="s">
        <v>85</v>
      </c>
      <c r="B81">
        <v>1</v>
      </c>
      <c r="C81" s="6">
        <f t="shared" si="13"/>
        <v>0.2277686466510018</v>
      </c>
      <c r="D81" s="6">
        <f t="shared" si="14"/>
        <v>6.2329285843727475E-2</v>
      </c>
      <c r="E81" s="6">
        <f t="shared" si="15"/>
        <v>0.34304211660225814</v>
      </c>
      <c r="F81" s="6">
        <f t="shared" si="16"/>
        <v>0.20532599388367748</v>
      </c>
      <c r="G81" s="6">
        <f t="shared" si="17"/>
        <v>0.16153395701933521</v>
      </c>
    </row>
    <row r="82" spans="1:7" x14ac:dyDescent="0.3">
      <c r="A82" t="s">
        <v>86</v>
      </c>
      <c r="B82">
        <v>1</v>
      </c>
      <c r="C82" s="6">
        <f t="shared" si="13"/>
        <v>0.2277686466510018</v>
      </c>
      <c r="D82" s="6">
        <f t="shared" si="14"/>
        <v>6.2329285843727475E-2</v>
      </c>
      <c r="E82" s="6">
        <f t="shared" si="15"/>
        <v>0.34304211660225814</v>
      </c>
      <c r="F82" s="6">
        <f t="shared" si="16"/>
        <v>0.20532599388367748</v>
      </c>
      <c r="G82" s="6">
        <f t="shared" si="17"/>
        <v>0.16153395701933521</v>
      </c>
    </row>
    <row r="83" spans="1:7" x14ac:dyDescent="0.3">
      <c r="A83" t="s">
        <v>87</v>
      </c>
      <c r="B83">
        <v>1</v>
      </c>
      <c r="C83" s="6">
        <f t="shared" si="13"/>
        <v>0.2277686466510018</v>
      </c>
      <c r="D83" s="6">
        <f t="shared" si="14"/>
        <v>6.2329285843727475E-2</v>
      </c>
      <c r="E83" s="6">
        <f t="shared" si="15"/>
        <v>0.34304211660225814</v>
      </c>
      <c r="F83" s="6">
        <f t="shared" si="16"/>
        <v>0.20532599388367748</v>
      </c>
      <c r="G83" s="6">
        <f t="shared" si="17"/>
        <v>0.16153395701933521</v>
      </c>
    </row>
    <row r="84" spans="1:7" x14ac:dyDescent="0.3">
      <c r="A84" t="s">
        <v>89</v>
      </c>
      <c r="B84">
        <v>1</v>
      </c>
      <c r="C84" s="6">
        <f t="shared" si="13"/>
        <v>0.2277686466510018</v>
      </c>
      <c r="D84" s="6">
        <f t="shared" si="14"/>
        <v>6.2329285843727475E-2</v>
      </c>
      <c r="E84" s="6">
        <f t="shared" si="15"/>
        <v>0.34304211660225814</v>
      </c>
      <c r="F84" s="6">
        <f t="shared" si="16"/>
        <v>0.20532599388367748</v>
      </c>
      <c r="G84" s="6">
        <f t="shared" si="17"/>
        <v>0.16153395701933521</v>
      </c>
    </row>
    <row r="85" spans="1:7" x14ac:dyDescent="0.3">
      <c r="A85" t="s">
        <v>90</v>
      </c>
      <c r="B85">
        <v>1</v>
      </c>
      <c r="C85" s="6">
        <f t="shared" si="13"/>
        <v>0.2277686466510018</v>
      </c>
      <c r="D85" s="6">
        <f t="shared" si="14"/>
        <v>6.2329285843727475E-2</v>
      </c>
      <c r="E85" s="6">
        <f t="shared" si="15"/>
        <v>0.34304211660225814</v>
      </c>
      <c r="F85" s="6">
        <f t="shared" si="16"/>
        <v>0.20532599388367748</v>
      </c>
      <c r="G85" s="6">
        <f t="shared" si="17"/>
        <v>0.16153395701933521</v>
      </c>
    </row>
    <row r="86" spans="1:7" x14ac:dyDescent="0.3">
      <c r="A86" t="s">
        <v>91</v>
      </c>
      <c r="B86">
        <v>1</v>
      </c>
      <c r="C86" s="6">
        <f t="shared" si="13"/>
        <v>0.2277686466510018</v>
      </c>
      <c r="D86" s="6">
        <f t="shared" si="14"/>
        <v>6.2329285843727475E-2</v>
      </c>
      <c r="E86" s="6">
        <f t="shared" si="15"/>
        <v>0.34304211660225814</v>
      </c>
      <c r="F86" s="6">
        <f t="shared" si="16"/>
        <v>0.20532599388367748</v>
      </c>
      <c r="G86" s="6">
        <f t="shared" si="17"/>
        <v>0.16153395701933521</v>
      </c>
    </row>
    <row r="87" spans="1:7" x14ac:dyDescent="0.3">
      <c r="A87" t="s">
        <v>92</v>
      </c>
      <c r="B87">
        <v>1</v>
      </c>
      <c r="C87" s="6">
        <f t="shared" si="13"/>
        <v>0.2277686466510018</v>
      </c>
      <c r="D87" s="6">
        <f t="shared" si="14"/>
        <v>6.2329285843727475E-2</v>
      </c>
      <c r="E87" s="6">
        <f t="shared" si="15"/>
        <v>0.34304211660225814</v>
      </c>
      <c r="F87" s="6">
        <f t="shared" si="16"/>
        <v>0.20532599388367748</v>
      </c>
      <c r="G87" s="6">
        <f t="shared" si="17"/>
        <v>0.16153395701933521</v>
      </c>
    </row>
    <row r="88" spans="1:7" x14ac:dyDescent="0.3">
      <c r="A88" t="s">
        <v>93</v>
      </c>
      <c r="B88">
        <v>1</v>
      </c>
      <c r="C88" s="6">
        <f t="shared" si="13"/>
        <v>0.2277686466510018</v>
      </c>
      <c r="D88" s="6">
        <f t="shared" si="14"/>
        <v>6.2329285843727475E-2</v>
      </c>
      <c r="E88" s="6">
        <f t="shared" si="15"/>
        <v>0.34304211660225814</v>
      </c>
      <c r="F88" s="6">
        <f t="shared" si="16"/>
        <v>0.20532599388367748</v>
      </c>
      <c r="G88" s="6">
        <f t="shared" si="17"/>
        <v>0.16153395701933521</v>
      </c>
    </row>
    <row r="89" spans="1:7" x14ac:dyDescent="0.3">
      <c r="A89" t="s">
        <v>94</v>
      </c>
      <c r="B89">
        <v>1</v>
      </c>
      <c r="C89" s="6">
        <f t="shared" si="13"/>
        <v>0.2277686466510018</v>
      </c>
      <c r="D89" s="6">
        <f t="shared" si="14"/>
        <v>6.2329285843727475E-2</v>
      </c>
      <c r="E89" s="6">
        <f t="shared" si="15"/>
        <v>0.34304211660225814</v>
      </c>
      <c r="F89" s="6">
        <f t="shared" si="16"/>
        <v>0.20532599388367748</v>
      </c>
      <c r="G89" s="6">
        <f t="shared" si="17"/>
        <v>0.16153395701933521</v>
      </c>
    </row>
    <row r="90" spans="1:7" x14ac:dyDescent="0.3">
      <c r="A90" t="s">
        <v>95</v>
      </c>
      <c r="B90">
        <v>1</v>
      </c>
      <c r="C90" s="6">
        <f t="shared" si="13"/>
        <v>0.2277686466510018</v>
      </c>
      <c r="D90" s="6">
        <f t="shared" si="14"/>
        <v>6.2329285843727475E-2</v>
      </c>
      <c r="E90" s="6">
        <f t="shared" si="15"/>
        <v>0.34304211660225814</v>
      </c>
      <c r="F90" s="6">
        <f t="shared" si="16"/>
        <v>0.20532599388367748</v>
      </c>
      <c r="G90" s="6">
        <f t="shared" si="17"/>
        <v>0.16153395701933521</v>
      </c>
    </row>
    <row r="91" spans="1:7" x14ac:dyDescent="0.3">
      <c r="A91" t="s">
        <v>96</v>
      </c>
      <c r="B91">
        <v>1</v>
      </c>
      <c r="C91" s="6">
        <f t="shared" si="13"/>
        <v>0.2277686466510018</v>
      </c>
      <c r="D91" s="6">
        <f t="shared" si="14"/>
        <v>6.2329285843727475E-2</v>
      </c>
      <c r="E91" s="6">
        <f t="shared" si="15"/>
        <v>0.34304211660225814</v>
      </c>
      <c r="F91" s="6">
        <f t="shared" si="16"/>
        <v>0.20532599388367748</v>
      </c>
      <c r="G91" s="6">
        <f t="shared" si="17"/>
        <v>0.16153395701933521</v>
      </c>
    </row>
    <row r="92" spans="1:7" x14ac:dyDescent="0.3">
      <c r="A92" t="s">
        <v>97</v>
      </c>
      <c r="B92">
        <v>1</v>
      </c>
      <c r="C92" s="6">
        <f t="shared" si="13"/>
        <v>0.2277686466510018</v>
      </c>
      <c r="D92" s="6">
        <f t="shared" si="14"/>
        <v>6.2329285843727475E-2</v>
      </c>
      <c r="E92" s="6">
        <f t="shared" si="15"/>
        <v>0.34304211660225814</v>
      </c>
      <c r="F92" s="6">
        <f t="shared" si="16"/>
        <v>0.20532599388367748</v>
      </c>
      <c r="G92" s="6">
        <f t="shared" si="17"/>
        <v>0.16153395701933521</v>
      </c>
    </row>
    <row r="93" spans="1:7" x14ac:dyDescent="0.3">
      <c r="A93" t="s">
        <v>98</v>
      </c>
      <c r="B93">
        <v>1</v>
      </c>
      <c r="C93" s="6">
        <f t="shared" si="13"/>
        <v>0.2277686466510018</v>
      </c>
      <c r="D93" s="6">
        <f t="shared" si="14"/>
        <v>6.2329285843727475E-2</v>
      </c>
      <c r="E93" s="6">
        <f t="shared" si="15"/>
        <v>0.34304211660225814</v>
      </c>
      <c r="F93" s="6">
        <f t="shared" si="16"/>
        <v>0.20532599388367748</v>
      </c>
      <c r="G93" s="6">
        <f t="shared" si="17"/>
        <v>0.16153395701933521</v>
      </c>
    </row>
    <row r="94" spans="1:7" x14ac:dyDescent="0.3">
      <c r="A94" t="s">
        <v>99</v>
      </c>
      <c r="B94">
        <v>1</v>
      </c>
      <c r="C94" s="6">
        <f t="shared" si="13"/>
        <v>0.2277686466510018</v>
      </c>
      <c r="D94" s="6">
        <f t="shared" si="14"/>
        <v>6.2329285843727475E-2</v>
      </c>
      <c r="E94" s="6">
        <f t="shared" si="15"/>
        <v>0.34304211660225814</v>
      </c>
      <c r="F94" s="6">
        <f t="shared" si="16"/>
        <v>0.20532599388367748</v>
      </c>
      <c r="G94" s="6">
        <f t="shared" si="17"/>
        <v>0.16153395701933521</v>
      </c>
    </row>
    <row r="95" spans="1:7" x14ac:dyDescent="0.3">
      <c r="A95" t="s">
        <v>101</v>
      </c>
      <c r="B95">
        <v>1</v>
      </c>
      <c r="C95" s="6">
        <f t="shared" si="13"/>
        <v>0.2277686466510018</v>
      </c>
      <c r="D95" s="6">
        <f t="shared" si="14"/>
        <v>6.2329285843727475E-2</v>
      </c>
      <c r="E95" s="6">
        <f t="shared" si="15"/>
        <v>0.34304211660225814</v>
      </c>
      <c r="F95" s="6">
        <f t="shared" si="16"/>
        <v>0.20532599388367748</v>
      </c>
      <c r="G95" s="6">
        <f t="shared" si="17"/>
        <v>0.16153395701933521</v>
      </c>
    </row>
    <row r="96" spans="1:7" x14ac:dyDescent="0.3">
      <c r="A96" t="s">
        <v>103</v>
      </c>
      <c r="B96">
        <v>1</v>
      </c>
      <c r="C96" s="6">
        <f t="shared" si="13"/>
        <v>0.2277686466510018</v>
      </c>
      <c r="D96" s="6">
        <f t="shared" si="14"/>
        <v>6.2329285843727475E-2</v>
      </c>
      <c r="E96" s="6">
        <f t="shared" si="15"/>
        <v>0.34304211660225814</v>
      </c>
      <c r="F96" s="6">
        <f t="shared" si="16"/>
        <v>0.20532599388367748</v>
      </c>
      <c r="G96" s="6">
        <f t="shared" si="17"/>
        <v>0.16153395701933521</v>
      </c>
    </row>
    <row r="97" spans="1:7" x14ac:dyDescent="0.3">
      <c r="A97" t="s">
        <v>105</v>
      </c>
      <c r="B97">
        <v>1</v>
      </c>
      <c r="C97" s="6">
        <f t="shared" si="13"/>
        <v>0.2277686466510018</v>
      </c>
      <c r="D97" s="6">
        <f t="shared" si="14"/>
        <v>6.2329285843727475E-2</v>
      </c>
      <c r="E97" s="6">
        <f t="shared" si="15"/>
        <v>0.34304211660225814</v>
      </c>
      <c r="F97" s="6">
        <f t="shared" si="16"/>
        <v>0.20532599388367748</v>
      </c>
      <c r="G97" s="6">
        <f t="shared" si="17"/>
        <v>0.16153395701933521</v>
      </c>
    </row>
    <row r="98" spans="1:7" x14ac:dyDescent="0.3">
      <c r="A98" t="s">
        <v>107</v>
      </c>
      <c r="B98">
        <v>1</v>
      </c>
      <c r="C98" s="6">
        <f t="shared" si="13"/>
        <v>0.2277686466510018</v>
      </c>
      <c r="D98" s="6">
        <f t="shared" si="14"/>
        <v>6.2329285843727475E-2</v>
      </c>
      <c r="E98" s="6">
        <f t="shared" si="15"/>
        <v>0.34304211660225814</v>
      </c>
      <c r="F98" s="6">
        <f t="shared" si="16"/>
        <v>0.20532599388367748</v>
      </c>
      <c r="G98" s="6">
        <f t="shared" si="17"/>
        <v>0.16153395701933521</v>
      </c>
    </row>
    <row r="99" spans="1:7" x14ac:dyDescent="0.3">
      <c r="A99" t="s">
        <v>109</v>
      </c>
      <c r="B99">
        <v>1</v>
      </c>
      <c r="C99" s="6">
        <f t="shared" si="13"/>
        <v>0.2277686466510018</v>
      </c>
      <c r="D99" s="6">
        <f t="shared" si="14"/>
        <v>6.2329285843727475E-2</v>
      </c>
      <c r="E99" s="6">
        <f t="shared" si="15"/>
        <v>0.34304211660225814</v>
      </c>
      <c r="F99" s="6">
        <f t="shared" si="16"/>
        <v>0.20532599388367748</v>
      </c>
      <c r="G99" s="6">
        <f t="shared" si="17"/>
        <v>0.16153395701933521</v>
      </c>
    </row>
    <row r="100" spans="1:7" x14ac:dyDescent="0.3">
      <c r="A100" t="s">
        <v>112</v>
      </c>
      <c r="B100">
        <v>1</v>
      </c>
      <c r="C100" s="6">
        <f t="shared" si="13"/>
        <v>0.2277686466510018</v>
      </c>
      <c r="D100" s="6">
        <f t="shared" si="14"/>
        <v>6.2329285843727475E-2</v>
      </c>
      <c r="E100" s="6">
        <f t="shared" si="15"/>
        <v>0.34304211660225814</v>
      </c>
      <c r="F100" s="6">
        <f t="shared" si="16"/>
        <v>0.20532599388367748</v>
      </c>
      <c r="G100" s="6">
        <f t="shared" si="17"/>
        <v>0.16153395701933521</v>
      </c>
    </row>
    <row r="101" spans="1:7" x14ac:dyDescent="0.3">
      <c r="A101" t="s">
        <v>114</v>
      </c>
      <c r="B101">
        <v>1</v>
      </c>
      <c r="C101" s="6">
        <f t="shared" si="13"/>
        <v>0.2277686466510018</v>
      </c>
      <c r="D101" s="6">
        <f t="shared" si="14"/>
        <v>6.2329285843727475E-2</v>
      </c>
      <c r="E101" s="6">
        <f t="shared" si="15"/>
        <v>0.34304211660225814</v>
      </c>
      <c r="F101" s="6">
        <f t="shared" si="16"/>
        <v>0.20532599388367748</v>
      </c>
      <c r="G101" s="6">
        <f t="shared" si="17"/>
        <v>0.16153395701933521</v>
      </c>
    </row>
    <row r="102" spans="1:7" x14ac:dyDescent="0.3">
      <c r="A102" t="s">
        <v>116</v>
      </c>
      <c r="B102">
        <v>1</v>
      </c>
      <c r="C102" s="6">
        <f t="shared" si="13"/>
        <v>0.2277686466510018</v>
      </c>
      <c r="D102" s="6">
        <f t="shared" si="14"/>
        <v>6.2329285843727475E-2</v>
      </c>
      <c r="E102" s="6">
        <f t="shared" si="15"/>
        <v>0.34304211660225814</v>
      </c>
      <c r="F102" s="6">
        <f t="shared" si="16"/>
        <v>0.20532599388367748</v>
      </c>
      <c r="G102" s="6">
        <f t="shared" si="17"/>
        <v>0.16153395701933521</v>
      </c>
    </row>
    <row r="103" spans="1:7" x14ac:dyDescent="0.3">
      <c r="A103" t="s">
        <v>118</v>
      </c>
      <c r="B103">
        <v>1</v>
      </c>
      <c r="C103" s="6">
        <f t="shared" si="13"/>
        <v>0.2277686466510018</v>
      </c>
      <c r="D103" s="6">
        <f t="shared" si="14"/>
        <v>6.2329285843727475E-2</v>
      </c>
      <c r="E103" s="6">
        <f t="shared" si="15"/>
        <v>0.34304211660225814</v>
      </c>
      <c r="F103" s="6">
        <f t="shared" si="16"/>
        <v>0.20532599388367748</v>
      </c>
      <c r="G103" s="6">
        <f t="shared" si="17"/>
        <v>0.16153395701933521</v>
      </c>
    </row>
    <row r="104" spans="1:7" x14ac:dyDescent="0.3">
      <c r="A104" t="s">
        <v>120</v>
      </c>
      <c r="B104">
        <v>1</v>
      </c>
      <c r="C104" s="6">
        <f t="shared" si="13"/>
        <v>0.2277686466510018</v>
      </c>
      <c r="D104" s="6">
        <f t="shared" si="14"/>
        <v>6.2329285843727475E-2</v>
      </c>
      <c r="E104" s="6">
        <f t="shared" si="15"/>
        <v>0.34304211660225814</v>
      </c>
      <c r="F104" s="6">
        <f t="shared" si="16"/>
        <v>0.20532599388367748</v>
      </c>
      <c r="G104" s="6">
        <f t="shared" si="17"/>
        <v>0.16153395701933521</v>
      </c>
    </row>
    <row r="105" spans="1:7" x14ac:dyDescent="0.3">
      <c r="A105" t="s">
        <v>123</v>
      </c>
      <c r="B105">
        <v>1</v>
      </c>
      <c r="C105" s="6">
        <f t="shared" si="13"/>
        <v>0.2277686466510018</v>
      </c>
      <c r="D105" s="6">
        <f t="shared" si="14"/>
        <v>6.2329285843727475E-2</v>
      </c>
      <c r="E105" s="6">
        <f t="shared" si="15"/>
        <v>0.34304211660225814</v>
      </c>
      <c r="F105" s="6">
        <f t="shared" si="16"/>
        <v>0.20532599388367748</v>
      </c>
      <c r="G105" s="6">
        <f t="shared" si="17"/>
        <v>0.16153395701933521</v>
      </c>
    </row>
    <row r="106" spans="1:7" x14ac:dyDescent="0.3">
      <c r="A106" t="s">
        <v>126</v>
      </c>
      <c r="B106">
        <v>1</v>
      </c>
      <c r="C106" s="6">
        <f t="shared" si="13"/>
        <v>0.2277686466510018</v>
      </c>
      <c r="D106" s="6">
        <f t="shared" si="14"/>
        <v>6.2329285843727475E-2</v>
      </c>
      <c r="E106" s="6">
        <f t="shared" si="15"/>
        <v>0.34304211660225814</v>
      </c>
      <c r="F106" s="6">
        <f t="shared" si="16"/>
        <v>0.20532599388367748</v>
      </c>
      <c r="G106" s="6">
        <f t="shared" si="17"/>
        <v>0.16153395701933521</v>
      </c>
    </row>
    <row r="107" spans="1:7" x14ac:dyDescent="0.3">
      <c r="A107" t="s">
        <v>128</v>
      </c>
      <c r="B107">
        <v>1</v>
      </c>
      <c r="C107" s="6">
        <f t="shared" si="13"/>
        <v>0.2277686466510018</v>
      </c>
      <c r="D107" s="6">
        <f t="shared" si="14"/>
        <v>6.2329285843727475E-2</v>
      </c>
      <c r="E107" s="6">
        <f t="shared" si="15"/>
        <v>0.34304211660225814</v>
      </c>
      <c r="F107" s="6">
        <f t="shared" si="16"/>
        <v>0.20532599388367748</v>
      </c>
      <c r="G107" s="6">
        <f t="shared" si="17"/>
        <v>0.16153395701933521</v>
      </c>
    </row>
    <row r="108" spans="1:7" x14ac:dyDescent="0.3">
      <c r="A108" t="s">
        <v>130</v>
      </c>
      <c r="B108">
        <v>1</v>
      </c>
      <c r="C108" s="6">
        <f t="shared" si="13"/>
        <v>0.2277686466510018</v>
      </c>
      <c r="D108" s="6">
        <f t="shared" si="14"/>
        <v>6.2329285843727475E-2</v>
      </c>
      <c r="E108" s="6">
        <f t="shared" si="15"/>
        <v>0.34304211660225814</v>
      </c>
      <c r="F108" s="6">
        <f t="shared" si="16"/>
        <v>0.20532599388367748</v>
      </c>
      <c r="G108" s="6">
        <f t="shared" si="17"/>
        <v>0.16153395701933521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0CF-39EC-4D50-BA9F-2768D7D33538}">
  <dimension ref="A1:O186"/>
  <sheetViews>
    <sheetView topLeftCell="A10" workbookViewId="0">
      <selection activeCell="D31" sqref="D31:O31"/>
    </sheetView>
  </sheetViews>
  <sheetFormatPr defaultRowHeight="14.4" x14ac:dyDescent="0.3"/>
  <cols>
    <col min="1" max="1" width="14.109375" bestFit="1" customWidth="1"/>
    <col min="2" max="2" width="29.88671875" bestFit="1" customWidth="1"/>
    <col min="3" max="3" width="29.5546875" bestFit="1" customWidth="1"/>
    <col min="4" max="8" width="15.109375" bestFit="1" customWidth="1"/>
    <col min="9" max="9" width="15.5546875" bestFit="1" customWidth="1"/>
    <col min="10" max="15" width="15.109375" bestFit="1" customWidth="1"/>
  </cols>
  <sheetData>
    <row r="1" spans="1:15" x14ac:dyDescent="0.3"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</row>
    <row r="2" spans="1:15" x14ac:dyDescent="0.3">
      <c r="A2" t="s">
        <v>166</v>
      </c>
      <c r="C2" t="s">
        <v>132</v>
      </c>
      <c r="D2" s="2">
        <v>980.3897425129818</v>
      </c>
      <c r="E2" s="2">
        <v>56.438821199331095</v>
      </c>
      <c r="F2" s="2">
        <v>677.76059453741095</v>
      </c>
      <c r="G2" s="2">
        <v>1473.9142749335747</v>
      </c>
      <c r="H2" s="2">
        <v>2868.8731485889498</v>
      </c>
      <c r="I2" s="2">
        <v>3523.9016570170515</v>
      </c>
      <c r="J2" s="2">
        <v>1872.1927300576606</v>
      </c>
      <c r="K2" s="2">
        <v>900.54011782775933</v>
      </c>
      <c r="L2" s="2">
        <v>433.7692133702256</v>
      </c>
      <c r="M2" s="2">
        <v>327.79145991114774</v>
      </c>
      <c r="N2" s="2">
        <v>413.33844808645665</v>
      </c>
      <c r="O2" s="2">
        <v>413.33844808645665</v>
      </c>
    </row>
    <row r="3" spans="1:15" ht="15" thickBot="1" x14ac:dyDescent="0.35">
      <c r="A3" t="s">
        <v>166</v>
      </c>
      <c r="B3" s="1"/>
      <c r="C3" s="1" t="s">
        <v>133</v>
      </c>
      <c r="D3" s="3">
        <v>20663216.467157401</v>
      </c>
      <c r="E3" s="3">
        <v>20663216.467157368</v>
      </c>
      <c r="F3" s="3">
        <v>20663216.467157368</v>
      </c>
      <c r="G3" s="3">
        <v>20663216.467157368</v>
      </c>
      <c r="H3" s="3">
        <v>20663216.467157368</v>
      </c>
      <c r="I3" s="3">
        <v>20663216.467157368</v>
      </c>
      <c r="J3" s="3">
        <v>20663216.467157368</v>
      </c>
      <c r="K3" s="3">
        <v>20663216.467157368</v>
      </c>
      <c r="L3" s="3">
        <v>20663216.467157368</v>
      </c>
      <c r="M3" s="3">
        <v>20663216.467157368</v>
      </c>
      <c r="N3" s="3">
        <v>20663216.467157368</v>
      </c>
      <c r="O3" s="3">
        <v>20663216.467157368</v>
      </c>
    </row>
    <row r="4" spans="1:15" x14ac:dyDescent="0.3">
      <c r="A4" t="s">
        <v>166</v>
      </c>
      <c r="B4" s="4" t="s">
        <v>134</v>
      </c>
      <c r="D4" s="2">
        <v>20258005471.726448</v>
      </c>
      <c r="E4" s="2">
        <v>1166207579.5929687</v>
      </c>
      <c r="F4" s="2">
        <v>14004713877.835798</v>
      </c>
      <c r="G4" s="2">
        <v>30455809716.985752</v>
      </c>
      <c r="H4" s="2">
        <v>59280146886.108795</v>
      </c>
      <c r="I4" s="2">
        <v>72815142747.917877</v>
      </c>
      <c r="J4" s="2">
        <v>38685523649.419762</v>
      </c>
      <c r="K4" s="2">
        <v>18608055392.034393</v>
      </c>
      <c r="L4" s="2">
        <v>8963067152.6575432</v>
      </c>
      <c r="M4" s="2">
        <v>6773225892.2295818</v>
      </c>
      <c r="N4" s="2">
        <v>8540901827.0093422</v>
      </c>
      <c r="O4" s="2">
        <v>8540901827.0093422</v>
      </c>
    </row>
    <row r="5" spans="1:15" x14ac:dyDescent="0.3">
      <c r="A5" t="s">
        <v>166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t="s">
        <v>166</v>
      </c>
      <c r="B6" s="4" t="s">
        <v>135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t="s">
        <v>166</v>
      </c>
      <c r="C7" t="s">
        <v>137</v>
      </c>
      <c r="D7" s="2">
        <v>14027491139.334223</v>
      </c>
      <c r="E7" s="2">
        <v>807530954.22925866</v>
      </c>
      <c r="F7" s="2">
        <v>9697450230.4500961</v>
      </c>
      <c r="G7" s="2">
        <v>21088877754.649879</v>
      </c>
      <c r="H7" s="2">
        <v>41048055611.590088</v>
      </c>
      <c r="I7" s="2">
        <v>50420253421.855164</v>
      </c>
      <c r="J7" s="2">
        <v>26787476238.473629</v>
      </c>
      <c r="K7" s="2">
        <v>12884996624.979092</v>
      </c>
      <c r="L7" s="2">
        <v>6206402957.1242123</v>
      </c>
      <c r="M7" s="2">
        <v>4690065185.3690405</v>
      </c>
      <c r="N7" s="2">
        <v>5914078010.6664095</v>
      </c>
      <c r="O7" s="2">
        <v>5914078010.6664095</v>
      </c>
    </row>
    <row r="8" spans="1:15" x14ac:dyDescent="0.3">
      <c r="A8" t="s">
        <v>166</v>
      </c>
      <c r="C8" t="s">
        <v>136</v>
      </c>
      <c r="D8" s="2">
        <v>141439184.9694649</v>
      </c>
      <c r="E8" s="2">
        <v>8142334.1401035162</v>
      </c>
      <c r="F8" s="2">
        <v>97779385.012814954</v>
      </c>
      <c r="G8" s="2">
        <v>212639142.08966154</v>
      </c>
      <c r="H8" s="2">
        <v>413887520.77017027</v>
      </c>
      <c r="I8" s="2">
        <v>508387385.82012331</v>
      </c>
      <c r="J8" s="2">
        <v>270098107.27554256</v>
      </c>
      <c r="K8" s="2">
        <v>129919413.44814466</v>
      </c>
      <c r="L8" s="2">
        <v>62579157.393742554</v>
      </c>
      <c r="M8" s="2">
        <v>47289924.526285887</v>
      </c>
      <c r="N8" s="2">
        <v>59631645.129251018</v>
      </c>
      <c r="O8" s="2">
        <v>59631645.129251018</v>
      </c>
    </row>
    <row r="9" spans="1:15" x14ac:dyDescent="0.3">
      <c r="A9" t="s">
        <v>166</v>
      </c>
      <c r="C9" t="s">
        <v>138</v>
      </c>
      <c r="D9" s="2">
        <v>139563060.82344726</v>
      </c>
      <c r="E9" s="2">
        <v>8034329.9141990049</v>
      </c>
      <c r="F9" s="2">
        <v>96482387.541817769</v>
      </c>
      <c r="G9" s="2">
        <v>209818584.06008139</v>
      </c>
      <c r="H9" s="2">
        <v>408397497.8205899</v>
      </c>
      <c r="I9" s="2">
        <v>501643866.68662548</v>
      </c>
      <c r="J9" s="2">
        <v>266515383.14599735</v>
      </c>
      <c r="K9" s="2">
        <v>128196093.64352943</v>
      </c>
      <c r="L9" s="2">
        <v>61749074.35664653</v>
      </c>
      <c r="M9" s="2">
        <v>46662645.959272996</v>
      </c>
      <c r="N9" s="2">
        <v>58840659.453549497</v>
      </c>
      <c r="O9" s="2">
        <v>58840659.453549497</v>
      </c>
    </row>
    <row r="10" spans="1:15" x14ac:dyDescent="0.3">
      <c r="A10" t="s">
        <v>166</v>
      </c>
      <c r="C10" t="s">
        <v>139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">
      <c r="A11" t="s">
        <v>166</v>
      </c>
      <c r="C11" t="s">
        <v>140</v>
      </c>
      <c r="D11" s="2">
        <v>1274587746.9701109</v>
      </c>
      <c r="E11" s="2">
        <v>73375135.249491662</v>
      </c>
      <c r="F11" s="2">
        <v>881144826.09973109</v>
      </c>
      <c r="G11" s="2">
        <v>1916210455.3432674</v>
      </c>
      <c r="H11" s="2">
        <v>3729772359.1336112</v>
      </c>
      <c r="I11" s="2">
        <v>4581363593.2672253</v>
      </c>
      <c r="J11" s="2">
        <v>2434005386.0431089</v>
      </c>
      <c r="K11" s="2">
        <v>1170776631.0326152</v>
      </c>
      <c r="L11" s="2">
        <v>563935851.63120186</v>
      </c>
      <c r="M11" s="2">
        <v>426156007.39892578</v>
      </c>
      <c r="N11" s="2">
        <v>537374167.06566858</v>
      </c>
      <c r="O11" s="2">
        <v>537374167.06566858</v>
      </c>
    </row>
    <row r="12" spans="1:15" x14ac:dyDescent="0.3">
      <c r="A12" t="s">
        <v>166</v>
      </c>
      <c r="C12" t="s">
        <v>141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ht="15" thickBot="1" x14ac:dyDescent="0.35">
      <c r="A13" t="s">
        <v>166</v>
      </c>
      <c r="B13" s="1"/>
      <c r="C13" s="5" t="s">
        <v>197</v>
      </c>
      <c r="D13" s="5">
        <v>15583081132.097248</v>
      </c>
      <c r="E13" s="5">
        <v>897082753.5330528</v>
      </c>
      <c r="F13" s="5">
        <v>10772856829.104462</v>
      </c>
      <c r="G13" s="5">
        <v>23427545936.142891</v>
      </c>
      <c r="H13" s="5">
        <v>45600112989.314461</v>
      </c>
      <c r="I13" s="5">
        <v>56011648267.629135</v>
      </c>
      <c r="J13" s="5">
        <v>29758095114.938278</v>
      </c>
      <c r="K13" s="5">
        <v>14313888763.103382</v>
      </c>
      <c r="L13" s="5">
        <v>6894667040.5058031</v>
      </c>
      <c r="M13" s="5">
        <v>5210173763.2535257</v>
      </c>
      <c r="N13" s="5">
        <v>6569924482.3148785</v>
      </c>
      <c r="O13" s="5">
        <v>6569924482.3148785</v>
      </c>
    </row>
    <row r="14" spans="1:15" x14ac:dyDescent="0.3">
      <c r="A14" t="s">
        <v>166</v>
      </c>
      <c r="B14" s="4" t="s">
        <v>142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t="s">
        <v>166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t="s">
        <v>166</v>
      </c>
      <c r="B16" s="4" t="s">
        <v>143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t="s">
        <v>166</v>
      </c>
      <c r="C17" t="s">
        <v>138</v>
      </c>
      <c r="D17" s="2">
        <v>462457851.90701348</v>
      </c>
      <c r="E17" s="2">
        <v>26622653.098250933</v>
      </c>
      <c r="F17" s="2">
        <v>319705210.1479336</v>
      </c>
      <c r="G17" s="2">
        <v>695257406.23692679</v>
      </c>
      <c r="H17" s="2">
        <v>1353270904.5786331</v>
      </c>
      <c r="I17" s="2">
        <v>1662253203.9742265</v>
      </c>
      <c r="J17" s="2">
        <v>883128607.68933249</v>
      </c>
      <c r="K17" s="2">
        <v>424792131.5243665</v>
      </c>
      <c r="L17" s="2">
        <v>204612482.09758097</v>
      </c>
      <c r="M17" s="2">
        <v>154621909.89005175</v>
      </c>
      <c r="N17" s="2">
        <v>194975123.18179953</v>
      </c>
      <c r="O17" s="2">
        <v>194975123.18179953</v>
      </c>
    </row>
    <row r="18" spans="1:15" x14ac:dyDescent="0.3">
      <c r="A18" t="s">
        <v>166</v>
      </c>
      <c r="C18" t="s">
        <v>144</v>
      </c>
      <c r="D18" s="2">
        <v>256169093.65712506</v>
      </c>
      <c r="E18" s="2">
        <v>14747075.623873878</v>
      </c>
      <c r="F18" s="2">
        <v>177094179.68218267</v>
      </c>
      <c r="G18" s="2">
        <v>385123658.03647</v>
      </c>
      <c r="H18" s="2">
        <v>749616813.01103842</v>
      </c>
      <c r="I18" s="2">
        <v>920771255.01233602</v>
      </c>
      <c r="J18" s="2">
        <v>489191077.80646628</v>
      </c>
      <c r="K18" s="2">
        <v>235304936.17211935</v>
      </c>
      <c r="L18" s="2">
        <v>113340910.68781599</v>
      </c>
      <c r="M18" s="2">
        <v>85649652.94184795</v>
      </c>
      <c r="N18" s="2">
        <v>108002492.30325681</v>
      </c>
      <c r="O18" s="2">
        <v>108002492.30325681</v>
      </c>
    </row>
    <row r="19" spans="1:15" x14ac:dyDescent="0.3">
      <c r="A19" t="s">
        <v>166</v>
      </c>
      <c r="C19" t="s">
        <v>145</v>
      </c>
      <c r="D19" s="2">
        <v>34413679.642348461</v>
      </c>
      <c r="E19" s="2">
        <v>1981117.7411618489</v>
      </c>
      <c r="F19" s="2">
        <v>23790779.282158025</v>
      </c>
      <c r="G19" s="2">
        <v>51737397.361821853</v>
      </c>
      <c r="H19" s="2">
        <v>100703299.09512323</v>
      </c>
      <c r="I19" s="2">
        <v>123696135.7886911</v>
      </c>
      <c r="J19" s="2">
        <v>65717783.496786185</v>
      </c>
      <c r="K19" s="2">
        <v>31610794.948312994</v>
      </c>
      <c r="L19" s="2">
        <v>15226184.139149919</v>
      </c>
      <c r="M19" s="2">
        <v>11506148.832162607</v>
      </c>
      <c r="N19" s="2">
        <v>14509022.605491454</v>
      </c>
      <c r="O19" s="2">
        <v>14509022.605491454</v>
      </c>
    </row>
    <row r="20" spans="1:15" x14ac:dyDescent="0.3">
      <c r="A20" t="s">
        <v>166</v>
      </c>
      <c r="C20" t="s">
        <v>146</v>
      </c>
      <c r="D20" s="2">
        <v>47838580.30046051</v>
      </c>
      <c r="E20" s="2">
        <v>2753958.923608161</v>
      </c>
      <c r="F20" s="2">
        <v>33071648.162247539</v>
      </c>
      <c r="G20" s="2">
        <v>71920342.839032903</v>
      </c>
      <c r="H20" s="2">
        <v>139988019.60006243</v>
      </c>
      <c r="I20" s="2">
        <v>171950444.88942504</v>
      </c>
      <c r="J20" s="2">
        <v>91354528.072916716</v>
      </c>
      <c r="K20" s="2">
        <v>43942280.169173621</v>
      </c>
      <c r="L20" s="2">
        <v>21165973.536697172</v>
      </c>
      <c r="M20" s="2">
        <v>15994739.027532188</v>
      </c>
      <c r="N20" s="2">
        <v>20169044.69988358</v>
      </c>
      <c r="O20" s="2">
        <v>20169044.69988358</v>
      </c>
    </row>
    <row r="21" spans="1:15" x14ac:dyDescent="0.3">
      <c r="A21" t="s">
        <v>166</v>
      </c>
      <c r="C21" t="s">
        <v>147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ht="15" thickBot="1" x14ac:dyDescent="0.35">
      <c r="A22" t="s">
        <v>166</v>
      </c>
      <c r="B22" s="1"/>
      <c r="C22" s="5" t="s">
        <v>198</v>
      </c>
      <c r="D22" s="5">
        <v>800879205.5069474</v>
      </c>
      <c r="E22" s="5">
        <v>46104805.386894822</v>
      </c>
      <c r="F22" s="5">
        <v>553661817.27452183</v>
      </c>
      <c r="G22" s="5">
        <v>1204038804.4742515</v>
      </c>
      <c r="H22" s="5">
        <v>2343579036.2848573</v>
      </c>
      <c r="I22" s="5">
        <v>2878671039.6646786</v>
      </c>
      <c r="J22" s="5">
        <v>1529391997.0655017</v>
      </c>
      <c r="K22" s="5">
        <v>735650142.81397247</v>
      </c>
      <c r="L22" s="5">
        <v>354345550.46124399</v>
      </c>
      <c r="M22" s="5">
        <v>267772450.69159451</v>
      </c>
      <c r="N22" s="5">
        <v>337655682.79043138</v>
      </c>
      <c r="O22" s="5">
        <v>337655682.79043138</v>
      </c>
    </row>
    <row r="23" spans="1:15" x14ac:dyDescent="0.3">
      <c r="A23" t="s">
        <v>166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t="s">
        <v>166</v>
      </c>
      <c r="B24" s="4" t="s">
        <v>148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t="s">
        <v>166</v>
      </c>
      <c r="C25" t="s">
        <v>69</v>
      </c>
      <c r="D25" s="2">
        <v>1872764.3772715346</v>
      </c>
      <c r="E25" s="2">
        <v>107810.81161291852</v>
      </c>
      <c r="F25" s="2">
        <v>1294674.804037163</v>
      </c>
      <c r="G25" s="2">
        <v>2815506.9658035012</v>
      </c>
      <c r="H25" s="2">
        <v>5480191.4000207614</v>
      </c>
      <c r="I25" s="2">
        <v>6731442.819213585</v>
      </c>
      <c r="J25" s="2">
        <v>3576308.1764314789</v>
      </c>
      <c r="K25" s="2">
        <v>1720233.6783418625</v>
      </c>
      <c r="L25" s="2">
        <v>828596.52190424385</v>
      </c>
      <c r="M25" s="2">
        <v>626155.23467423383</v>
      </c>
      <c r="N25" s="2">
        <v>789569.17618175247</v>
      </c>
      <c r="O25" s="2">
        <v>789569.17618175247</v>
      </c>
    </row>
    <row r="26" spans="1:15" x14ac:dyDescent="0.3">
      <c r="A26" t="s">
        <v>166</v>
      </c>
      <c r="C26" t="s">
        <v>111</v>
      </c>
      <c r="D26" s="2">
        <v>6943422.9770877641</v>
      </c>
      <c r="E26" s="2">
        <v>399717.16443166934</v>
      </c>
      <c r="F26" s="2">
        <v>4800109.8757042624</v>
      </c>
      <c r="G26" s="2">
        <v>10438716.154454177</v>
      </c>
      <c r="H26" s="2">
        <v>20318245.769486789</v>
      </c>
      <c r="I26" s="2">
        <v>24957359.989928547</v>
      </c>
      <c r="J26" s="2">
        <v>13259447.193009468</v>
      </c>
      <c r="K26" s="2">
        <v>6377903.2712919172</v>
      </c>
      <c r="L26" s="2">
        <v>3072087.5507611996</v>
      </c>
      <c r="M26" s="2">
        <v>2321520.3665904007</v>
      </c>
      <c r="N26" s="2">
        <v>2927390.5604120479</v>
      </c>
      <c r="O26" s="2">
        <v>2927390.5604120479</v>
      </c>
    </row>
    <row r="27" spans="1:15" x14ac:dyDescent="0.3">
      <c r="A27" t="s">
        <v>166</v>
      </c>
      <c r="C27" t="s">
        <v>122</v>
      </c>
      <c r="D27" s="2">
        <v>250090.14760776935</v>
      </c>
      <c r="E27" s="2">
        <v>14397.124441928068</v>
      </c>
      <c r="F27" s="2">
        <v>172891.69784265279</v>
      </c>
      <c r="G27" s="2">
        <v>375984.59326440282</v>
      </c>
      <c r="H27" s="2">
        <v>731828.24960969645</v>
      </c>
      <c r="I27" s="2">
        <v>898921.16098612477</v>
      </c>
      <c r="J27" s="2">
        <v>477582.47144666873</v>
      </c>
      <c r="K27" s="2">
        <v>229721.10093377499</v>
      </c>
      <c r="L27" s="2">
        <v>110651.30722543159</v>
      </c>
      <c r="M27" s="2">
        <v>83617.168804333603</v>
      </c>
      <c r="N27" s="2">
        <v>105439.57062314884</v>
      </c>
      <c r="O27" s="2">
        <v>105439.57062314884</v>
      </c>
    </row>
    <row r="28" spans="1:15" x14ac:dyDescent="0.3">
      <c r="A28" t="s">
        <v>166</v>
      </c>
      <c r="C28" t="s">
        <v>127</v>
      </c>
      <c r="D28" s="2">
        <v>151005989.62095228</v>
      </c>
      <c r="E28" s="2">
        <v>8693073.4570921138</v>
      </c>
      <c r="F28" s="2">
        <v>104393084.57253827</v>
      </c>
      <c r="G28" s="2">
        <v>227021840.44917795</v>
      </c>
      <c r="H28" s="2">
        <v>441882457.67362791</v>
      </c>
      <c r="I28" s="2">
        <v>542774198.8413626</v>
      </c>
      <c r="J28" s="2">
        <v>288367272.42662466</v>
      </c>
      <c r="K28" s="2">
        <v>138707032.3047052</v>
      </c>
      <c r="L28" s="2">
        <v>66811948.852275543</v>
      </c>
      <c r="M28" s="2">
        <v>50488567.604045637</v>
      </c>
      <c r="N28" s="2">
        <v>63665069.813658841</v>
      </c>
      <c r="O28" s="2">
        <v>63665069.813658841</v>
      </c>
    </row>
    <row r="29" spans="1:15" ht="15" thickBot="1" x14ac:dyDescent="0.35">
      <c r="A29" t="s">
        <v>166</v>
      </c>
      <c r="B29" s="1"/>
      <c r="C29" s="5" t="s">
        <v>199</v>
      </c>
      <c r="D29" s="5">
        <v>160072267.12291935</v>
      </c>
      <c r="E29" s="5">
        <v>9214998.5575786289</v>
      </c>
      <c r="F29" s="5">
        <v>110660760.95012236</v>
      </c>
      <c r="G29" s="5">
        <v>240652048.16270003</v>
      </c>
      <c r="H29" s="5">
        <v>468412723.09274518</v>
      </c>
      <c r="I29" s="5">
        <v>575361922.81149089</v>
      </c>
      <c r="J29" s="5">
        <v>305680610.26751226</v>
      </c>
      <c r="K29" s="5">
        <v>147034890.35527277</v>
      </c>
      <c r="L29" s="5">
        <v>70823284.232166424</v>
      </c>
      <c r="M29" s="5">
        <v>53519860.374114603</v>
      </c>
      <c r="N29" s="5">
        <v>67487469.120875791</v>
      </c>
      <c r="O29" s="5">
        <v>67487469.120875791</v>
      </c>
    </row>
    <row r="30" spans="1:15" x14ac:dyDescent="0.3">
      <c r="A30" t="s">
        <v>166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t="s">
        <v>166</v>
      </c>
      <c r="B31" s="4" t="s">
        <v>149</v>
      </c>
      <c r="D31" s="30">
        <v>3713972866.9993329</v>
      </c>
      <c r="E31" s="30">
        <v>213805022.11544245</v>
      </c>
      <c r="F31" s="30">
        <v>2567534470.5066924</v>
      </c>
      <c r="G31" s="30">
        <v>5583572928.2059097</v>
      </c>
      <c r="H31" s="30">
        <v>10868042137.416733</v>
      </c>
      <c r="I31" s="30">
        <v>13349461517.812572</v>
      </c>
      <c r="J31" s="30">
        <v>7092355927.148469</v>
      </c>
      <c r="K31" s="30">
        <v>3411481595.761766</v>
      </c>
      <c r="L31" s="30">
        <v>1643231277.4583294</v>
      </c>
      <c r="M31" s="30">
        <v>1241759817.910347</v>
      </c>
      <c r="N31" s="30">
        <v>1565834192.7831564</v>
      </c>
      <c r="O31" s="30">
        <v>1565834192.7831564</v>
      </c>
    </row>
    <row r="33" spans="1:15" x14ac:dyDescent="0.3">
      <c r="A33" t="s">
        <v>168</v>
      </c>
      <c r="C33" t="s">
        <v>132</v>
      </c>
      <c r="D33" s="2">
        <v>116.04544827319151</v>
      </c>
      <c r="E33" s="2">
        <v>90.284782427470958</v>
      </c>
      <c r="F33" s="2">
        <v>101.31581138326774</v>
      </c>
      <c r="G33" s="2">
        <v>127.64476408500384</v>
      </c>
      <c r="H33" s="2">
        <v>118.15858310014372</v>
      </c>
      <c r="I33" s="2">
        <v>138.28218945488936</v>
      </c>
      <c r="J33" s="2">
        <v>109.32382793193699</v>
      </c>
      <c r="K33" s="2">
        <v>110.40410389207649</v>
      </c>
      <c r="L33" s="2">
        <v>115.06170369037973</v>
      </c>
      <c r="M33" s="2">
        <v>99.285848573966504</v>
      </c>
      <c r="N33" s="2">
        <v>127.24963243302004</v>
      </c>
      <c r="O33" s="2">
        <v>117.46119916894156</v>
      </c>
    </row>
    <row r="34" spans="1:15" ht="15" thickBot="1" x14ac:dyDescent="0.35">
      <c r="A34" t="s">
        <v>168</v>
      </c>
      <c r="B34" s="1"/>
      <c r="C34" s="1" t="s">
        <v>133</v>
      </c>
      <c r="D34" s="3">
        <v>20663216.467157368</v>
      </c>
      <c r="E34" s="3">
        <v>20663216.467157368</v>
      </c>
      <c r="F34" s="3">
        <v>20663216.467157368</v>
      </c>
      <c r="G34" s="3">
        <v>20663216.467157368</v>
      </c>
      <c r="H34" s="3">
        <v>20663216.467157368</v>
      </c>
      <c r="I34" s="3">
        <v>20663216.467157368</v>
      </c>
      <c r="J34" s="3">
        <v>20663216.467157368</v>
      </c>
      <c r="K34" s="3">
        <v>20663216.467157368</v>
      </c>
      <c r="L34" s="3">
        <v>20663216.467157368</v>
      </c>
      <c r="M34" s="3">
        <v>20663216.467157368</v>
      </c>
      <c r="N34" s="3">
        <v>20663216.467157368</v>
      </c>
      <c r="O34" s="3">
        <v>20663216.467157368</v>
      </c>
    </row>
    <row r="35" spans="1:15" x14ac:dyDescent="0.3">
      <c r="A35" t="s">
        <v>168</v>
      </c>
      <c r="B35" s="4" t="s">
        <v>134</v>
      </c>
      <c r="D35" s="2">
        <v>2397872217.6972694</v>
      </c>
      <c r="E35" s="2">
        <v>1865574002.989038</v>
      </c>
      <c r="F35" s="2">
        <v>2093510542.1581478</v>
      </c>
      <c r="G35" s="2">
        <v>2637551391.1876688</v>
      </c>
      <c r="H35" s="2">
        <v>2441536380.0508718</v>
      </c>
      <c r="I35" s="2">
        <v>2857354814.2588449</v>
      </c>
      <c r="J35" s="2">
        <v>2258981921.5758791</v>
      </c>
      <c r="K35" s="2">
        <v>2281303897.5845079</v>
      </c>
      <c r="L35" s="2">
        <v>2377544890.434236</v>
      </c>
      <c r="M35" s="2">
        <v>2051564981.2092776</v>
      </c>
      <c r="N35" s="2">
        <v>2629386700.3297019</v>
      </c>
      <c r="O35" s="2">
        <v>2427126184.9197245</v>
      </c>
    </row>
    <row r="36" spans="1:15" x14ac:dyDescent="0.3">
      <c r="A36" t="s">
        <v>168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t="s">
        <v>168</v>
      </c>
      <c r="B37" s="4" t="s">
        <v>135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t="s">
        <v>168</v>
      </c>
      <c r="C38" t="s">
        <v>137</v>
      </c>
      <c r="D38" s="2">
        <v>1067391717.6155478</v>
      </c>
      <c r="E38" s="2">
        <v>830443851.29982901</v>
      </c>
      <c r="F38" s="2">
        <v>931907795.98187888</v>
      </c>
      <c r="G38" s="2">
        <v>1174082792.6363316</v>
      </c>
      <c r="H38" s="2">
        <v>1086828435.2641695</v>
      </c>
      <c r="I38" s="2">
        <v>1271926352.2547948</v>
      </c>
      <c r="J38" s="2">
        <v>1005565924.4631875</v>
      </c>
      <c r="K38" s="2">
        <v>1015502355.6610535</v>
      </c>
      <c r="L38" s="2">
        <v>1058343186.7548589</v>
      </c>
      <c r="M38" s="2">
        <v>913236098.62572932</v>
      </c>
      <c r="N38" s="2">
        <v>1170448352.3461585</v>
      </c>
      <c r="O38" s="2">
        <v>1080413863.7041464</v>
      </c>
    </row>
    <row r="39" spans="1:15" x14ac:dyDescent="0.3">
      <c r="A39" t="s">
        <v>168</v>
      </c>
      <c r="C39" t="s">
        <v>136</v>
      </c>
      <c r="D39" s="2">
        <v>10762510.065635717</v>
      </c>
      <c r="E39" s="2">
        <v>8373364.8678908506</v>
      </c>
      <c r="F39" s="2">
        <v>9396425.7628911473</v>
      </c>
      <c r="G39" s="2">
        <v>11838276.112790169</v>
      </c>
      <c r="H39" s="2">
        <v>10958490.47834073</v>
      </c>
      <c r="I39" s="2">
        <v>12824832.667307695</v>
      </c>
      <c r="J39" s="2">
        <v>10139120.629370807</v>
      </c>
      <c r="K39" s="2">
        <v>10239309.659338573</v>
      </c>
      <c r="L39" s="2">
        <v>10671273.734249402</v>
      </c>
      <c r="M39" s="2">
        <v>9208159.0493485555</v>
      </c>
      <c r="N39" s="2">
        <v>11801630.053465933</v>
      </c>
      <c r="O39" s="2">
        <v>10893812.357045475</v>
      </c>
    </row>
    <row r="40" spans="1:15" x14ac:dyDescent="0.3">
      <c r="A40" t="s">
        <v>168</v>
      </c>
      <c r="C40" t="s">
        <v>138</v>
      </c>
      <c r="D40" s="2">
        <v>10619750.440640304</v>
      </c>
      <c r="E40" s="2">
        <v>8262296.1282381322</v>
      </c>
      <c r="F40" s="2">
        <v>9271786.6025069263</v>
      </c>
      <c r="G40" s="2">
        <v>11681246.958053278</v>
      </c>
      <c r="H40" s="2">
        <v>10813131.26551185</v>
      </c>
      <c r="I40" s="2">
        <v>12654717.304715874</v>
      </c>
      <c r="J40" s="2">
        <v>10004629.971521957</v>
      </c>
      <c r="K40" s="2">
        <v>10103490.041213762</v>
      </c>
      <c r="L40" s="2">
        <v>10529724.316201555</v>
      </c>
      <c r="M40" s="2">
        <v>9086017.1582129151</v>
      </c>
      <c r="N40" s="2">
        <v>11645086.991439272</v>
      </c>
      <c r="O40" s="2">
        <v>10749311.069020865</v>
      </c>
    </row>
    <row r="41" spans="1:15" x14ac:dyDescent="0.3">
      <c r="A41" t="s">
        <v>168</v>
      </c>
      <c r="C41" t="s">
        <v>139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">
      <c r="A42" t="s">
        <v>168</v>
      </c>
      <c r="C42" t="s">
        <v>140</v>
      </c>
      <c r="D42" s="2">
        <v>96987008.65155068</v>
      </c>
      <c r="E42" s="2">
        <v>75457082.588730767</v>
      </c>
      <c r="F42" s="2">
        <v>84676457.55510354</v>
      </c>
      <c r="G42" s="2">
        <v>106681339.27573769</v>
      </c>
      <c r="H42" s="2">
        <v>98753097.962188914</v>
      </c>
      <c r="I42" s="2">
        <v>115571753.17590658</v>
      </c>
      <c r="J42" s="2">
        <v>91369297.143771589</v>
      </c>
      <c r="K42" s="2">
        <v>92272156.630732745</v>
      </c>
      <c r="L42" s="2">
        <v>96164826.947883427</v>
      </c>
      <c r="M42" s="2">
        <v>82979880.709758133</v>
      </c>
      <c r="N42" s="2">
        <v>106351101.10164545</v>
      </c>
      <c r="O42" s="2">
        <v>98170247.170749635</v>
      </c>
    </row>
    <row r="43" spans="1:15" x14ac:dyDescent="0.3">
      <c r="A43" t="s">
        <v>168</v>
      </c>
      <c r="C43" t="s">
        <v>141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" thickBot="1" x14ac:dyDescent="0.35">
      <c r="A44" t="s">
        <v>168</v>
      </c>
      <c r="B44" s="1"/>
      <c r="C44" s="5" t="s">
        <v>197</v>
      </c>
      <c r="D44" s="5">
        <v>1185760986.7733746</v>
      </c>
      <c r="E44" s="5">
        <v>922536594.88468874</v>
      </c>
      <c r="F44" s="5">
        <v>1035252465.9023805</v>
      </c>
      <c r="G44" s="5">
        <v>1304283654.9829128</v>
      </c>
      <c r="H44" s="5">
        <v>1207353154.9702108</v>
      </c>
      <c r="I44" s="5">
        <v>1412977655.402725</v>
      </c>
      <c r="J44" s="5">
        <v>1117078972.2078519</v>
      </c>
      <c r="K44" s="5">
        <v>1128117311.9923387</v>
      </c>
      <c r="L44" s="5">
        <v>1175709011.7531931</v>
      </c>
      <c r="M44" s="5">
        <v>1014510155.543049</v>
      </c>
      <c r="N44" s="5">
        <v>1300246170.4927092</v>
      </c>
      <c r="O44" s="5">
        <v>1200227234.3009622</v>
      </c>
    </row>
    <row r="45" spans="1:15" x14ac:dyDescent="0.3">
      <c r="A45" t="s">
        <v>168</v>
      </c>
      <c r="B45" s="4" t="s">
        <v>142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t="s">
        <v>168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t="s">
        <v>168</v>
      </c>
      <c r="B47" s="4" t="s">
        <v>143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t="s">
        <v>168</v>
      </c>
      <c r="C48" t="s">
        <v>138</v>
      </c>
      <c r="D48" s="2">
        <v>54739586.110363603</v>
      </c>
      <c r="E48" s="2">
        <v>42588069.551071838</v>
      </c>
      <c r="F48" s="2">
        <v>47791496.039547458</v>
      </c>
      <c r="G48" s="2">
        <v>60211078.152061254</v>
      </c>
      <c r="H48" s="2">
        <v>55736369.073797427</v>
      </c>
      <c r="I48" s="2">
        <v>65228838.6130886</v>
      </c>
      <c r="J48" s="2">
        <v>51568942.875782952</v>
      </c>
      <c r="K48" s="2">
        <v>52078517.872673832</v>
      </c>
      <c r="L48" s="2">
        <v>54275545.752876617</v>
      </c>
      <c r="M48" s="2">
        <v>46833945.996404141</v>
      </c>
      <c r="N48" s="2">
        <v>60024691.32336136</v>
      </c>
      <c r="O48" s="2">
        <v>55407407.375410482</v>
      </c>
    </row>
    <row r="49" spans="1:15" x14ac:dyDescent="0.3">
      <c r="A49" t="s">
        <v>168</v>
      </c>
      <c r="C49" t="s">
        <v>144</v>
      </c>
      <c r="D49" s="2">
        <v>30321877.125091016</v>
      </c>
      <c r="E49" s="2">
        <v>23590792.398738008</v>
      </c>
      <c r="F49" s="2">
        <v>26473124.360380851</v>
      </c>
      <c r="G49" s="2">
        <v>33352698.53182904</v>
      </c>
      <c r="H49" s="2">
        <v>30874024.714893531</v>
      </c>
      <c r="I49" s="2">
        <v>36132184.584859423</v>
      </c>
      <c r="J49" s="2">
        <v>28565563.981388714</v>
      </c>
      <c r="K49" s="2">
        <v>28847832.656394616</v>
      </c>
      <c r="L49" s="2">
        <v>30064831.434748471</v>
      </c>
      <c r="M49" s="2">
        <v>25942709.046483904</v>
      </c>
      <c r="N49" s="2">
        <v>33249453.350066449</v>
      </c>
      <c r="O49" s="2">
        <v>30691803.092369024</v>
      </c>
    </row>
    <row r="50" spans="1:15" x14ac:dyDescent="0.3">
      <c r="A50" t="s">
        <v>168</v>
      </c>
      <c r="C50" t="s">
        <v>145</v>
      </c>
      <c r="D50" s="2">
        <v>4073431.9298260622</v>
      </c>
      <c r="E50" s="2">
        <v>3169180.0151580791</v>
      </c>
      <c r="F50" s="2">
        <v>3556391.631262104</v>
      </c>
      <c r="G50" s="2">
        <v>4480591.5736988671</v>
      </c>
      <c r="H50" s="2">
        <v>4147607.2723683263</v>
      </c>
      <c r="I50" s="2">
        <v>4853986.9011125285</v>
      </c>
      <c r="J50" s="2">
        <v>3837489.3459017277</v>
      </c>
      <c r="K50" s="2">
        <v>3875409.2355185645</v>
      </c>
      <c r="L50" s="2">
        <v>4038900.4884464294</v>
      </c>
      <c r="M50" s="2">
        <v>3485135.7961835871</v>
      </c>
      <c r="N50" s="2">
        <v>4466721.6467725942</v>
      </c>
      <c r="O50" s="2">
        <v>4123127.6739439326</v>
      </c>
    </row>
    <row r="51" spans="1:15" x14ac:dyDescent="0.3">
      <c r="A51" t="s">
        <v>168</v>
      </c>
      <c r="C51" t="s">
        <v>146</v>
      </c>
      <c r="D51" s="2">
        <v>5662492.4302964108</v>
      </c>
      <c r="E51" s="2">
        <v>4405488.5794656128</v>
      </c>
      <c r="F51" s="2">
        <v>4943752.8448035391</v>
      </c>
      <c r="G51" s="2">
        <v>6228486.5210459251</v>
      </c>
      <c r="H51" s="2">
        <v>5765603.8417293131</v>
      </c>
      <c r="I51" s="2">
        <v>6747544.7136000823</v>
      </c>
      <c r="J51" s="2">
        <v>5334507.792656187</v>
      </c>
      <c r="K51" s="2">
        <v>5387220.3680992192</v>
      </c>
      <c r="L51" s="2">
        <v>5614490.1489798445</v>
      </c>
      <c r="M51" s="2">
        <v>4844699.8512350963</v>
      </c>
      <c r="N51" s="2">
        <v>6209205.8855567891</v>
      </c>
      <c r="O51" s="2">
        <v>5731574.663590881</v>
      </c>
    </row>
    <row r="52" spans="1:15" x14ac:dyDescent="0.3">
      <c r="A52" t="s">
        <v>168</v>
      </c>
      <c r="C52" t="s">
        <v>147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ht="15" thickBot="1" x14ac:dyDescent="0.35">
      <c r="A53" t="s">
        <v>168</v>
      </c>
      <c r="B53" s="1"/>
      <c r="C53" s="5" t="s">
        <v>198</v>
      </c>
      <c r="D53" s="5">
        <v>94797387.595577091</v>
      </c>
      <c r="E53" s="5">
        <v>73753530.544433534</v>
      </c>
      <c r="F53" s="5">
        <v>82764764.875993952</v>
      </c>
      <c r="G53" s="5">
        <v>104272854.77863508</v>
      </c>
      <c r="H53" s="5">
        <v>96523604.902788594</v>
      </c>
      <c r="I53" s="5">
        <v>112962554.81266063</v>
      </c>
      <c r="J53" s="5">
        <v>89306503.995729581</v>
      </c>
      <c r="K53" s="5">
        <v>90188980.132686213</v>
      </c>
      <c r="L53" s="5">
        <v>93993767.825051352</v>
      </c>
      <c r="M53" s="5">
        <v>81106490.690306723</v>
      </c>
      <c r="N53" s="5">
        <v>103950072.20575719</v>
      </c>
      <c r="O53" s="5">
        <v>95953912.805314317</v>
      </c>
    </row>
    <row r="54" spans="1:15" x14ac:dyDescent="0.3">
      <c r="A54" t="s">
        <v>168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t="s">
        <v>168</v>
      </c>
      <c r="B55" s="4" t="s">
        <v>148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t="s">
        <v>168</v>
      </c>
      <c r="C56" t="s">
        <v>69</v>
      </c>
      <c r="D56" s="2">
        <v>221672.84320364235</v>
      </c>
      <c r="E56" s="2">
        <v>172464.19154333379</v>
      </c>
      <c r="F56" s="2">
        <v>193535.93186990442</v>
      </c>
      <c r="G56" s="2">
        <v>243830.13893115954</v>
      </c>
      <c r="H56" s="2">
        <v>225709.4048450811</v>
      </c>
      <c r="I56" s="2">
        <v>264150.00809619448</v>
      </c>
      <c r="J56" s="2">
        <v>208833.04022857346</v>
      </c>
      <c r="K56" s="2">
        <v>210896.60969288298</v>
      </c>
      <c r="L56" s="2">
        <v>219793.67032867792</v>
      </c>
      <c r="M56" s="2">
        <v>189658.24744340192</v>
      </c>
      <c r="N56" s="2">
        <v>243075.34882057458</v>
      </c>
      <c r="O56" s="2">
        <v>224377.24506514575</v>
      </c>
    </row>
    <row r="57" spans="1:15" x14ac:dyDescent="0.3">
      <c r="A57" t="s">
        <v>168</v>
      </c>
      <c r="C57" t="s">
        <v>111</v>
      </c>
      <c r="D57" s="2">
        <v>821869.708531613</v>
      </c>
      <c r="E57" s="2">
        <v>639424.71611484699</v>
      </c>
      <c r="F57" s="2">
        <v>717549.8704195756</v>
      </c>
      <c r="G57" s="2">
        <v>904019.64588182827</v>
      </c>
      <c r="H57" s="2">
        <v>836835.58207649051</v>
      </c>
      <c r="I57" s="2">
        <v>979357.17801572999</v>
      </c>
      <c r="J57" s="2">
        <v>774265.11711565463</v>
      </c>
      <c r="K57" s="2">
        <v>781915.96513860684</v>
      </c>
      <c r="L57" s="2">
        <v>814902.52553929342</v>
      </c>
      <c r="M57" s="2">
        <v>703173.04679369077</v>
      </c>
      <c r="N57" s="2">
        <v>901221.20147509</v>
      </c>
      <c r="O57" s="2">
        <v>831896.49366931373</v>
      </c>
    </row>
    <row r="58" spans="1:15" x14ac:dyDescent="0.3">
      <c r="A58" t="s">
        <v>168</v>
      </c>
      <c r="C58" t="s">
        <v>122</v>
      </c>
      <c r="D58" s="2">
        <v>29602.332653401802</v>
      </c>
      <c r="E58" s="2">
        <v>23030.977972234923</v>
      </c>
      <c r="F58" s="2">
        <v>25844.911594948509</v>
      </c>
      <c r="G58" s="2">
        <v>32561.23203569197</v>
      </c>
      <c r="H58" s="2">
        <v>30141.37766567721</v>
      </c>
      <c r="I58" s="2">
        <v>35274.760304666161</v>
      </c>
      <c r="J58" s="2">
        <v>27887.697187103593</v>
      </c>
      <c r="K58" s="2">
        <v>28163.267567548322</v>
      </c>
      <c r="L58" s="2">
        <v>29351.386710930885</v>
      </c>
      <c r="M58" s="2">
        <v>25327.083147136382</v>
      </c>
      <c r="N58" s="2">
        <v>32460.436883637609</v>
      </c>
      <c r="O58" s="2">
        <v>29963.480200280868</v>
      </c>
    </row>
    <row r="59" spans="1:15" x14ac:dyDescent="0.3">
      <c r="A59" t="s">
        <v>168</v>
      </c>
      <c r="C59" t="s">
        <v>127</v>
      </c>
      <c r="D59" s="2">
        <v>17874072.92999934</v>
      </c>
      <c r="E59" s="2">
        <v>13906248.022573618</v>
      </c>
      <c r="F59" s="2">
        <v>15605318.679655097</v>
      </c>
      <c r="G59" s="2">
        <v>19660674.816101272</v>
      </c>
      <c r="H59" s="2">
        <v>18199551.667596586</v>
      </c>
      <c r="I59" s="2">
        <v>21299120.0948954</v>
      </c>
      <c r="J59" s="2">
        <v>16838765.350295626</v>
      </c>
      <c r="K59" s="2">
        <v>17005156.463289578</v>
      </c>
      <c r="L59" s="2">
        <v>17722550.206106931</v>
      </c>
      <c r="M59" s="2">
        <v>15292650.635896772</v>
      </c>
      <c r="N59" s="2">
        <v>19599814.075162228</v>
      </c>
      <c r="O59" s="2">
        <v>18092136.069380518</v>
      </c>
    </row>
    <row r="60" spans="1:15" ht="15" thickBot="1" x14ac:dyDescent="0.35">
      <c r="A60" t="s">
        <v>168</v>
      </c>
      <c r="B60" s="1"/>
      <c r="C60" s="5" t="s">
        <v>199</v>
      </c>
      <c r="D60" s="5">
        <v>18947217.814387999</v>
      </c>
      <c r="E60" s="5">
        <v>14741167.908204034</v>
      </c>
      <c r="F60" s="5">
        <v>16542249.393539526</v>
      </c>
      <c r="G60" s="5">
        <v>20841085.832949951</v>
      </c>
      <c r="H60" s="5">
        <v>19292238.032183833</v>
      </c>
      <c r="I60" s="5">
        <v>22577902.04131199</v>
      </c>
      <c r="J60" s="5">
        <v>17849751.204826958</v>
      </c>
      <c r="K60" s="5">
        <v>18026132.305688616</v>
      </c>
      <c r="L60" s="5">
        <v>18786597.788685832</v>
      </c>
      <c r="M60" s="5">
        <v>16210809.013281001</v>
      </c>
      <c r="N60" s="5">
        <v>20776571.06234153</v>
      </c>
      <c r="O60" s="5">
        <v>19178373.288315259</v>
      </c>
    </row>
    <row r="61" spans="1:15" x14ac:dyDescent="0.3">
      <c r="A61" t="s">
        <v>168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t="s">
        <v>168</v>
      </c>
      <c r="B62" s="4" t="s">
        <v>149</v>
      </c>
      <c r="D62" s="30">
        <v>1098366625.5139298</v>
      </c>
      <c r="E62" s="30">
        <v>854542709.6517117</v>
      </c>
      <c r="F62" s="30">
        <v>958951061.98623383</v>
      </c>
      <c r="G62" s="30">
        <v>1208153795.5931711</v>
      </c>
      <c r="H62" s="30">
        <v>1118367382.1456885</v>
      </c>
      <c r="I62" s="30">
        <v>1308836702.0021472</v>
      </c>
      <c r="J62" s="30">
        <v>1034746694.1674707</v>
      </c>
      <c r="K62" s="30">
        <v>1044971473.1537944</v>
      </c>
      <c r="L62" s="30">
        <v>1089055513.0673058</v>
      </c>
      <c r="M62" s="30">
        <v>939737525.96264088</v>
      </c>
      <c r="N62" s="30">
        <v>1204413886.5688941</v>
      </c>
      <c r="O62" s="30">
        <v>1111766664.5251327</v>
      </c>
    </row>
    <row r="64" spans="1:15" x14ac:dyDescent="0.3">
      <c r="A64" t="s">
        <v>169</v>
      </c>
      <c r="C64" t="s">
        <v>132</v>
      </c>
      <c r="D64" s="2">
        <v>638.92552113832858</v>
      </c>
      <c r="E64" s="2">
        <v>502.88572369212443</v>
      </c>
      <c r="F64" s="2">
        <v>547.31204668359362</v>
      </c>
      <c r="G64" s="2">
        <v>611.28324774269458</v>
      </c>
      <c r="H64" s="2">
        <v>753.80498457043348</v>
      </c>
      <c r="I64" s="2">
        <v>952.18941001938049</v>
      </c>
      <c r="J64" s="2">
        <v>720.89568047209661</v>
      </c>
      <c r="K64" s="2">
        <v>730.05041140310163</v>
      </c>
      <c r="L64" s="2">
        <v>522.09922488121026</v>
      </c>
      <c r="M64" s="2">
        <v>510.85483119794463</v>
      </c>
      <c r="N64" s="2">
        <v>718.30222763410541</v>
      </c>
      <c r="O64" s="2">
        <v>357.69673392097206</v>
      </c>
    </row>
    <row r="65" spans="1:15" ht="15" thickBot="1" x14ac:dyDescent="0.35">
      <c r="A65" t="s">
        <v>169</v>
      </c>
      <c r="B65" s="1"/>
      <c r="C65" s="1" t="s">
        <v>133</v>
      </c>
      <c r="D65" s="3">
        <v>20663216.467157368</v>
      </c>
      <c r="E65" s="3">
        <v>20663216.467157368</v>
      </c>
      <c r="F65" s="3">
        <v>20663216.467157368</v>
      </c>
      <c r="G65" s="3">
        <v>20663216.467157368</v>
      </c>
      <c r="H65" s="3">
        <v>20663216.467157368</v>
      </c>
      <c r="I65" s="3">
        <v>20663216.467157368</v>
      </c>
      <c r="J65" s="3">
        <v>20663216.467157368</v>
      </c>
      <c r="K65" s="3">
        <v>20663216.467157368</v>
      </c>
      <c r="L65" s="3">
        <v>20663216.467157368</v>
      </c>
      <c r="M65" s="3">
        <v>20663216.467157368</v>
      </c>
      <c r="N65" s="3">
        <v>20663216.467157368</v>
      </c>
      <c r="O65" s="3">
        <v>20663216.467157368</v>
      </c>
    </row>
    <row r="66" spans="1:15" x14ac:dyDescent="0.3">
      <c r="A66" t="s">
        <v>169</v>
      </c>
      <c r="B66" s="4" t="s">
        <v>134</v>
      </c>
      <c r="D66" s="2">
        <v>13202256349.672613</v>
      </c>
      <c r="E66" s="2">
        <v>10391236566.893456</v>
      </c>
      <c r="F66" s="2">
        <v>11309227295.706034</v>
      </c>
      <c r="G66" s="2">
        <v>12631078070.854284</v>
      </c>
      <c r="H66" s="2">
        <v>15576035570.201086</v>
      </c>
      <c r="I66" s="2">
        <v>19675295896.965321</v>
      </c>
      <c r="J66" s="2">
        <v>14896023495.833643</v>
      </c>
      <c r="K66" s="2">
        <v>15085189682.759581</v>
      </c>
      <c r="L66" s="2">
        <v>10788249301.055521</v>
      </c>
      <c r="M66" s="2">
        <v>10555903960.336267</v>
      </c>
      <c r="N66" s="2">
        <v>14842434418.444866</v>
      </c>
      <c r="O66" s="2">
        <v>7391165042.6042376</v>
      </c>
    </row>
    <row r="67" spans="1:15" x14ac:dyDescent="0.3">
      <c r="A67" t="s">
        <v>169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t="s">
        <v>169</v>
      </c>
      <c r="B68" s="4" t="s">
        <v>135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t="s">
        <v>169</v>
      </c>
      <c r="C69" t="s">
        <v>137</v>
      </c>
      <c r="D69" s="2">
        <v>3917912160.4766388</v>
      </c>
      <c r="E69" s="2">
        <v>3083711679.9986205</v>
      </c>
      <c r="F69" s="2">
        <v>3356135343.3755856</v>
      </c>
      <c r="G69" s="2">
        <v>3748408837.3240061</v>
      </c>
      <c r="H69" s="2">
        <v>4622356781.7648697</v>
      </c>
      <c r="I69" s="2">
        <v>5838856557.0920849</v>
      </c>
      <c r="J69" s="2">
        <v>4420555854.3422461</v>
      </c>
      <c r="K69" s="2">
        <v>4476692963.3695602</v>
      </c>
      <c r="L69" s="2">
        <v>3201529496.7293348</v>
      </c>
      <c r="M69" s="2">
        <v>3132578507.4647889</v>
      </c>
      <c r="N69" s="2">
        <v>4404652716.8474636</v>
      </c>
      <c r="O69" s="2">
        <v>2193408053.406497</v>
      </c>
    </row>
    <row r="70" spans="1:15" x14ac:dyDescent="0.3">
      <c r="A70" t="s">
        <v>169</v>
      </c>
      <c r="C70" t="s">
        <v>136</v>
      </c>
      <c r="D70" s="2">
        <v>39504306.027034312</v>
      </c>
      <c r="E70" s="2">
        <v>31093063.069332682</v>
      </c>
      <c r="F70" s="2">
        <v>33839910.708137363</v>
      </c>
      <c r="G70" s="2">
        <v>37795204.1186326</v>
      </c>
      <c r="H70" s="2">
        <v>46607220.732269309</v>
      </c>
      <c r="I70" s="2">
        <v>58873187.256771065</v>
      </c>
      <c r="J70" s="2">
        <v>44572462.098866761</v>
      </c>
      <c r="K70" s="2">
        <v>45138492.536419563</v>
      </c>
      <c r="L70" s="2">
        <v>32281020.046653211</v>
      </c>
      <c r="M70" s="2">
        <v>31585787.262148418</v>
      </c>
      <c r="N70" s="2">
        <v>44412110.772790208</v>
      </c>
      <c r="O70" s="2">
        <v>22116132.122112323</v>
      </c>
    </row>
    <row r="71" spans="1:15" x14ac:dyDescent="0.3">
      <c r="A71" t="s">
        <v>169</v>
      </c>
      <c r="C71" t="s">
        <v>138</v>
      </c>
      <c r="D71" s="2">
        <v>38980300.021025501</v>
      </c>
      <c r="E71" s="2">
        <v>30680628.237990722</v>
      </c>
      <c r="F71" s="2">
        <v>33391040.237112485</v>
      </c>
      <c r="G71" s="2">
        <v>37293868.544152714</v>
      </c>
      <c r="H71" s="2">
        <v>45988997.90941111</v>
      </c>
      <c r="I71" s="2">
        <v>58092262.167381629</v>
      </c>
      <c r="J71" s="2">
        <v>43981229.390553333</v>
      </c>
      <c r="K71" s="2">
        <v>44539751.701051362</v>
      </c>
      <c r="L71" s="2">
        <v>31852827.52574268</v>
      </c>
      <c r="M71" s="2">
        <v>31166816.67654806</v>
      </c>
      <c r="N71" s="2">
        <v>43823005.049263649</v>
      </c>
      <c r="O71" s="2">
        <v>21822772.050080165</v>
      </c>
    </row>
    <row r="72" spans="1:15" x14ac:dyDescent="0.3">
      <c r="A72" t="s">
        <v>169</v>
      </c>
      <c r="C72" t="s">
        <v>139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t="s">
        <v>169</v>
      </c>
      <c r="C73" t="s">
        <v>140</v>
      </c>
      <c r="D73" s="2">
        <v>355995436.66407424</v>
      </c>
      <c r="E73" s="2">
        <v>280197013.38420564</v>
      </c>
      <c r="F73" s="2">
        <v>304950396.5712629</v>
      </c>
      <c r="G73" s="2">
        <v>340593761.72341096</v>
      </c>
      <c r="H73" s="2">
        <v>420003780.97842282</v>
      </c>
      <c r="I73" s="2">
        <v>530539278.19760364</v>
      </c>
      <c r="J73" s="2">
        <v>401667430.81678671</v>
      </c>
      <c r="K73" s="2">
        <v>406768248.2477743</v>
      </c>
      <c r="L73" s="2">
        <v>290902359.34294605</v>
      </c>
      <c r="M73" s="2">
        <v>284637227.16890937</v>
      </c>
      <c r="N73" s="2">
        <v>400222415.16944885</v>
      </c>
      <c r="O73" s="2">
        <v>199300858.66446495</v>
      </c>
    </row>
    <row r="74" spans="1:15" x14ac:dyDescent="0.3">
      <c r="A74" t="s">
        <v>169</v>
      </c>
      <c r="C74" t="s">
        <v>141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ht="15" thickBot="1" x14ac:dyDescent="0.35">
      <c r="A75" t="s">
        <v>169</v>
      </c>
      <c r="B75" s="1"/>
      <c r="C75" s="5" t="s">
        <v>197</v>
      </c>
      <c r="D75" s="5">
        <v>4352392203.1887732</v>
      </c>
      <c r="E75" s="5">
        <v>3425682384.6901498</v>
      </c>
      <c r="F75" s="5">
        <v>3728316690.8920984</v>
      </c>
      <c r="G75" s="5">
        <v>4164091671.7102027</v>
      </c>
      <c r="H75" s="5">
        <v>5134956781.3849735</v>
      </c>
      <c r="I75" s="5">
        <v>6486361284.7138405</v>
      </c>
      <c r="J75" s="5">
        <v>4910776976.6484528</v>
      </c>
      <c r="K75" s="5">
        <v>4973139455.8548059</v>
      </c>
      <c r="L75" s="5">
        <v>3556565703.6446767</v>
      </c>
      <c r="M75" s="5">
        <v>3479968338.5723948</v>
      </c>
      <c r="N75" s="5">
        <v>4893110247.8389664</v>
      </c>
      <c r="O75" s="5">
        <v>2436647816.2431545</v>
      </c>
    </row>
    <row r="76" spans="1:15" x14ac:dyDescent="0.3">
      <c r="A76" t="s">
        <v>169</v>
      </c>
      <c r="B76" s="4" t="s">
        <v>142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t="s">
        <v>169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t="s">
        <v>169</v>
      </c>
      <c r="B78" s="4" t="s">
        <v>143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t="s">
        <v>169</v>
      </c>
      <c r="C79" t="s">
        <v>138</v>
      </c>
      <c r="D79" s="2">
        <v>301386388.72008389</v>
      </c>
      <c r="E79" s="2">
        <v>237215304.73916015</v>
      </c>
      <c r="F79" s="2">
        <v>258171564.28355247</v>
      </c>
      <c r="G79" s="2">
        <v>288347302.50565219</v>
      </c>
      <c r="H79" s="2">
        <v>355575970.25412172</v>
      </c>
      <c r="I79" s="2">
        <v>449155524.65639782</v>
      </c>
      <c r="J79" s="2">
        <v>340052382.62247121</v>
      </c>
      <c r="K79" s="2">
        <v>344370744.00218874</v>
      </c>
      <c r="L79" s="2">
        <v>246278470.2357125</v>
      </c>
      <c r="M79" s="2">
        <v>240974397.86197388</v>
      </c>
      <c r="N79" s="2">
        <v>338829029.72874826</v>
      </c>
      <c r="O79" s="2">
        <v>168728471.98424953</v>
      </c>
    </row>
    <row r="80" spans="1:15" x14ac:dyDescent="0.3">
      <c r="A80" t="s">
        <v>169</v>
      </c>
      <c r="C80" t="s">
        <v>144</v>
      </c>
      <c r="D80" s="2">
        <v>166946842.22713056</v>
      </c>
      <c r="E80" s="2">
        <v>131400579.24424186</v>
      </c>
      <c r="F80" s="2">
        <v>143008871.74439791</v>
      </c>
      <c r="G80" s="2">
        <v>159724106.39532614</v>
      </c>
      <c r="H80" s="2">
        <v>196964055.536387</v>
      </c>
      <c r="I80" s="2">
        <v>248800540.82302627</v>
      </c>
      <c r="J80" s="2">
        <v>188365080.82440296</v>
      </c>
      <c r="K80" s="2">
        <v>190757149.02297384</v>
      </c>
      <c r="L80" s="2">
        <v>136420934.89685419</v>
      </c>
      <c r="M80" s="2">
        <v>133482852.20008639</v>
      </c>
      <c r="N80" s="2">
        <v>187687429.44338402</v>
      </c>
      <c r="O80" s="2">
        <v>93463695.262433767</v>
      </c>
    </row>
    <row r="81" spans="1:15" x14ac:dyDescent="0.3">
      <c r="A81" t="s">
        <v>169</v>
      </c>
      <c r="C81" t="s">
        <v>145</v>
      </c>
      <c r="D81" s="2">
        <v>22427588.994775541</v>
      </c>
      <c r="E81" s="2">
        <v>17652314.626927234</v>
      </c>
      <c r="F81" s="2">
        <v>19211769.179355577</v>
      </c>
      <c r="G81" s="2">
        <v>21457288.817230627</v>
      </c>
      <c r="H81" s="2">
        <v>26460092.478444938</v>
      </c>
      <c r="I81" s="2">
        <v>33423790.452203594</v>
      </c>
      <c r="J81" s="2">
        <v>25304908.780184455</v>
      </c>
      <c r="K81" s="2">
        <v>25626258.508573044</v>
      </c>
      <c r="L81" s="2">
        <v>18326747.708034594</v>
      </c>
      <c r="M81" s="2">
        <v>17932046.554800909</v>
      </c>
      <c r="N81" s="2">
        <v>25213873.295760274</v>
      </c>
      <c r="O81" s="2">
        <v>12555884.947059911</v>
      </c>
    </row>
    <row r="82" spans="1:15" x14ac:dyDescent="0.3">
      <c r="A82" t="s">
        <v>169</v>
      </c>
      <c r="C82" t="s">
        <v>146</v>
      </c>
      <c r="D82" s="2">
        <v>31176672.422788814</v>
      </c>
      <c r="E82" s="2">
        <v>24538546.285822991</v>
      </c>
      <c r="F82" s="2">
        <v>26706349.688614562</v>
      </c>
      <c r="G82" s="2">
        <v>29827854.643305764</v>
      </c>
      <c r="H82" s="2">
        <v>36782270.072335616</v>
      </c>
      <c r="I82" s="2">
        <v>46462531.763848066</v>
      </c>
      <c r="J82" s="2">
        <v>35176445.043296501</v>
      </c>
      <c r="K82" s="2">
        <v>35623154.460766964</v>
      </c>
      <c r="L82" s="2">
        <v>25476078.14650023</v>
      </c>
      <c r="M82" s="2">
        <v>24927402.648561947</v>
      </c>
      <c r="N82" s="2">
        <v>35049896.287770271</v>
      </c>
      <c r="O82" s="2">
        <v>17453980.990283862</v>
      </c>
    </row>
    <row r="83" spans="1:15" x14ac:dyDescent="0.3">
      <c r="A83" t="s">
        <v>169</v>
      </c>
      <c r="C83" t="s">
        <v>147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ht="15" thickBot="1" x14ac:dyDescent="0.35">
      <c r="A84" t="s">
        <v>169</v>
      </c>
      <c r="B84" s="1"/>
      <c r="C84" s="5" t="s">
        <v>198</v>
      </c>
      <c r="D84" s="5">
        <v>521937492.36477882</v>
      </c>
      <c r="E84" s="5">
        <v>410806744.89615226</v>
      </c>
      <c r="F84" s="5">
        <v>447098554.89592052</v>
      </c>
      <c r="G84" s="5">
        <v>499356552.36151475</v>
      </c>
      <c r="H84" s="5">
        <v>615782388.34128928</v>
      </c>
      <c r="I84" s="5">
        <v>777842387.69547582</v>
      </c>
      <c r="J84" s="5">
        <v>588898817.27035511</v>
      </c>
      <c r="K84" s="5">
        <v>596377305.99450254</v>
      </c>
      <c r="L84" s="5">
        <v>426502230.9871015</v>
      </c>
      <c r="M84" s="5">
        <v>417316699.26542312</v>
      </c>
      <c r="N84" s="5">
        <v>586780228.7556628</v>
      </c>
      <c r="O84" s="5">
        <v>292202033.18402708</v>
      </c>
    </row>
    <row r="85" spans="1:15" x14ac:dyDescent="0.3">
      <c r="A85" t="s">
        <v>169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t="s">
        <v>169</v>
      </c>
      <c r="B86" s="4" t="s">
        <v>148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t="s">
        <v>169</v>
      </c>
      <c r="C87" t="s">
        <v>69</v>
      </c>
      <c r="D87" s="2">
        <v>1220491.1004581104</v>
      </c>
      <c r="E87" s="2">
        <v>960624.56422176992</v>
      </c>
      <c r="F87" s="2">
        <v>1045488.8090253932</v>
      </c>
      <c r="G87" s="2">
        <v>1167688.156203052</v>
      </c>
      <c r="H87" s="2">
        <v>1439936.6510044178</v>
      </c>
      <c r="I87" s="2">
        <v>1818895.4149281937</v>
      </c>
      <c r="J87" s="2">
        <v>1377072.4963487552</v>
      </c>
      <c r="K87" s="2">
        <v>1394560.0864648514</v>
      </c>
      <c r="L87" s="2">
        <v>997326.66240708192</v>
      </c>
      <c r="M87" s="2">
        <v>975847.34757861402</v>
      </c>
      <c r="N87" s="2">
        <v>1372118.4195377573</v>
      </c>
      <c r="O87" s="2">
        <v>683281.01784959342</v>
      </c>
    </row>
    <row r="88" spans="1:15" x14ac:dyDescent="0.3">
      <c r="A88" t="s">
        <v>169</v>
      </c>
      <c r="C88" t="s">
        <v>111</v>
      </c>
      <c r="D88" s="2">
        <v>4525067.8906005602</v>
      </c>
      <c r="E88" s="2">
        <v>3561592.0254154122</v>
      </c>
      <c r="F88" s="2">
        <v>3876232.9671451803</v>
      </c>
      <c r="G88" s="2">
        <v>4329296.772328537</v>
      </c>
      <c r="H88" s="2">
        <v>5338679.7343407841</v>
      </c>
      <c r="I88" s="2">
        <v>6743699.5119118793</v>
      </c>
      <c r="J88" s="2">
        <v>5105605.8777634492</v>
      </c>
      <c r="K88" s="2">
        <v>5170442.5099098273</v>
      </c>
      <c r="L88" s="2">
        <v>3697667.9754601824</v>
      </c>
      <c r="M88" s="2">
        <v>3618031.7062518955</v>
      </c>
      <c r="N88" s="2">
        <v>5087238.2437048312</v>
      </c>
      <c r="O88" s="2">
        <v>2533318.7542027333</v>
      </c>
    </row>
    <row r="89" spans="1:15" x14ac:dyDescent="0.3">
      <c r="A89" t="s">
        <v>169</v>
      </c>
      <c r="C89" t="s">
        <v>122</v>
      </c>
      <c r="D89" s="2">
        <v>162985.15882293589</v>
      </c>
      <c r="E89" s="2">
        <v>128282.41607835669</v>
      </c>
      <c r="F89" s="2">
        <v>139615.24137508796</v>
      </c>
      <c r="G89" s="2">
        <v>155933.82001964675</v>
      </c>
      <c r="H89" s="2">
        <v>192290.0573964295</v>
      </c>
      <c r="I89" s="2">
        <v>242896.45207007913</v>
      </c>
      <c r="J89" s="2">
        <v>183895.13814877832</v>
      </c>
      <c r="K89" s="2">
        <v>186230.44206982493</v>
      </c>
      <c r="L89" s="2">
        <v>133183.63764369441</v>
      </c>
      <c r="M89" s="2">
        <v>130315.27626243433</v>
      </c>
      <c r="N89" s="2">
        <v>183233.56757644194</v>
      </c>
      <c r="O89" s="2">
        <v>91245.782270032651</v>
      </c>
    </row>
    <row r="90" spans="1:15" x14ac:dyDescent="0.3">
      <c r="A90" t="s">
        <v>169</v>
      </c>
      <c r="C90" t="s">
        <v>127</v>
      </c>
      <c r="D90" s="2">
        <v>98411454.57751298</v>
      </c>
      <c r="E90" s="2">
        <v>77457722.25005962</v>
      </c>
      <c r="F90" s="2">
        <v>84300552.787383437</v>
      </c>
      <c r="G90" s="2">
        <v>94153812.266016275</v>
      </c>
      <c r="H90" s="2">
        <v>116105934.95653357</v>
      </c>
      <c r="I90" s="2">
        <v>146662391.4260948</v>
      </c>
      <c r="J90" s="2">
        <v>111037030.39989454</v>
      </c>
      <c r="K90" s="2">
        <v>112447101.46041632</v>
      </c>
      <c r="L90" s="2">
        <v>80417110.374321669</v>
      </c>
      <c r="M90" s="2">
        <v>78685175.897450462</v>
      </c>
      <c r="N90" s="2">
        <v>110637569.96558574</v>
      </c>
      <c r="O90" s="2">
        <v>55094771.954127826</v>
      </c>
    </row>
    <row r="91" spans="1:15" ht="15" thickBot="1" x14ac:dyDescent="0.35">
      <c r="A91" t="s">
        <v>169</v>
      </c>
      <c r="B91" s="1"/>
      <c r="C91" s="5" t="s">
        <v>199</v>
      </c>
      <c r="D91" s="5">
        <v>104319998.72739458</v>
      </c>
      <c r="E91" s="5">
        <v>82108221.255775154</v>
      </c>
      <c r="F91" s="5">
        <v>89361889.804929093</v>
      </c>
      <c r="G91" s="5">
        <v>99806731.014567509</v>
      </c>
      <c r="H91" s="5">
        <v>123076841.3992752</v>
      </c>
      <c r="I91" s="5">
        <v>155467882.80500495</v>
      </c>
      <c r="J91" s="5">
        <v>117703603.91215552</v>
      </c>
      <c r="K91" s="5">
        <v>119198334.49886082</v>
      </c>
      <c r="L91" s="5">
        <v>85245288.649832636</v>
      </c>
      <c r="M91" s="5">
        <v>83409370.227543414</v>
      </c>
      <c r="N91" s="5">
        <v>117280160.19640477</v>
      </c>
      <c r="O91" s="5">
        <v>58402617.508450188</v>
      </c>
    </row>
    <row r="92" spans="1:15" x14ac:dyDescent="0.3">
      <c r="A92" t="s">
        <v>169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t="s">
        <v>169</v>
      </c>
      <c r="B93" s="4" t="s">
        <v>149</v>
      </c>
      <c r="D93" s="30">
        <v>8223606655.3916683</v>
      </c>
      <c r="E93" s="30">
        <v>6472639216.0513783</v>
      </c>
      <c r="F93" s="30">
        <v>7044450160.1130857</v>
      </c>
      <c r="G93" s="30">
        <v>7867823115.7679987</v>
      </c>
      <c r="H93" s="30">
        <v>9702219559.0755482</v>
      </c>
      <c r="I93" s="30">
        <v>12255624341.750999</v>
      </c>
      <c r="J93" s="30">
        <v>9278644098.0026798</v>
      </c>
      <c r="K93" s="30">
        <v>9396474586.4114094</v>
      </c>
      <c r="L93" s="30">
        <v>6719936077.7739105</v>
      </c>
      <c r="M93" s="30">
        <v>6575209552.2709055</v>
      </c>
      <c r="N93" s="30">
        <v>9245263781.6538315</v>
      </c>
      <c r="O93" s="30">
        <v>4603912575.6686058</v>
      </c>
    </row>
    <row r="95" spans="1:15" x14ac:dyDescent="0.3">
      <c r="A95" t="s">
        <v>170</v>
      </c>
      <c r="C95" t="s">
        <v>132</v>
      </c>
      <c r="D95" s="2">
        <v>346.03630604973807</v>
      </c>
      <c r="E95" s="2">
        <v>270.76067989911724</v>
      </c>
      <c r="F95" s="2">
        <v>317.10129321630325</v>
      </c>
      <c r="G95" s="2">
        <v>433.77812893618432</v>
      </c>
      <c r="H95" s="2">
        <v>563.08532967849737</v>
      </c>
      <c r="I95" s="2">
        <v>562.13105526061565</v>
      </c>
      <c r="J95" s="2">
        <v>495.41806617299875</v>
      </c>
      <c r="K95" s="2">
        <v>529.38681846702161</v>
      </c>
      <c r="L95" s="2">
        <v>351.46623695220035</v>
      </c>
      <c r="M95" s="2">
        <v>293.27837875964474</v>
      </c>
      <c r="N95" s="2">
        <v>394.10790207654327</v>
      </c>
      <c r="O95" s="2">
        <v>445.13371332387635</v>
      </c>
    </row>
    <row r="96" spans="1:15" ht="15" thickBot="1" x14ac:dyDescent="0.35">
      <c r="A96" t="s">
        <v>170</v>
      </c>
      <c r="B96" s="1"/>
      <c r="C96" s="1" t="s">
        <v>133</v>
      </c>
      <c r="D96" s="3">
        <v>20663216.467157368</v>
      </c>
      <c r="E96" s="3">
        <v>20663216.467157368</v>
      </c>
      <c r="F96" s="3">
        <v>20663216.467157368</v>
      </c>
      <c r="G96" s="3">
        <v>20663216.467157368</v>
      </c>
      <c r="H96" s="3">
        <v>20663216.467157368</v>
      </c>
      <c r="I96" s="3">
        <v>20663216.467157368</v>
      </c>
      <c r="J96" s="3">
        <v>20663216.467157368</v>
      </c>
      <c r="K96" s="3">
        <v>20663216.467157368</v>
      </c>
      <c r="L96" s="3">
        <v>20663216.467157368</v>
      </c>
      <c r="M96" s="3">
        <v>20663216.467157368</v>
      </c>
      <c r="N96" s="3">
        <v>20663216.467157368</v>
      </c>
      <c r="O96" s="3">
        <v>20663216.467157368</v>
      </c>
    </row>
    <row r="97" spans="1:15" x14ac:dyDescent="0.3">
      <c r="A97" t="s">
        <v>170</v>
      </c>
      <c r="B97" s="4" t="s">
        <v>134</v>
      </c>
      <c r="D97" s="2">
        <v>7150223097.4012547</v>
      </c>
      <c r="E97" s="2">
        <v>5594786539.5501642</v>
      </c>
      <c r="F97" s="2">
        <v>6552332663.7440138</v>
      </c>
      <c r="G97" s="2">
        <v>8963251376.9268761</v>
      </c>
      <c r="H97" s="2">
        <v>11635154056.627462</v>
      </c>
      <c r="I97" s="2">
        <v>11615435677.761702</v>
      </c>
      <c r="J97" s="2">
        <v>10236930743.073166</v>
      </c>
      <c r="K97" s="2">
        <v>10938834424.843809</v>
      </c>
      <c r="L97" s="2">
        <v>7262422935.0405397</v>
      </c>
      <c r="M97" s="2">
        <v>6060074625.4475069</v>
      </c>
      <c r="N97" s="2">
        <v>8143536892.0248718</v>
      </c>
      <c r="O97" s="2">
        <v>9197894275.2408295</v>
      </c>
    </row>
    <row r="98" spans="1:15" x14ac:dyDescent="0.3">
      <c r="A98" t="s">
        <v>170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t="s">
        <v>170</v>
      </c>
      <c r="B99" s="4" t="s">
        <v>135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t="s">
        <v>170</v>
      </c>
      <c r="C100" t="s">
        <v>137</v>
      </c>
      <c r="D100" s="2">
        <v>3890160869.6779566</v>
      </c>
      <c r="E100" s="2">
        <v>3043907773.7685323</v>
      </c>
      <c r="F100" s="2">
        <v>3564871723.0758705</v>
      </c>
      <c r="G100" s="2">
        <v>4876559695.6381598</v>
      </c>
      <c r="H100" s="2">
        <v>6330238987.9579525</v>
      </c>
      <c r="I100" s="2">
        <v>6319510977.8200665</v>
      </c>
      <c r="J100" s="2">
        <v>5569519560.414875</v>
      </c>
      <c r="K100" s="2">
        <v>5951398307.4010286</v>
      </c>
      <c r="L100" s="2">
        <v>3951204477.9714103</v>
      </c>
      <c r="M100" s="2">
        <v>3297053092.4849596</v>
      </c>
      <c r="N100" s="2">
        <v>4430584630.2401342</v>
      </c>
      <c r="O100" s="2">
        <v>5004219855.1792679</v>
      </c>
    </row>
    <row r="101" spans="1:15" x14ac:dyDescent="0.3">
      <c r="A101" t="s">
        <v>170</v>
      </c>
      <c r="C101" t="s">
        <v>136</v>
      </c>
      <c r="D101" s="2">
        <v>39224489.778110802</v>
      </c>
      <c r="E101" s="2">
        <v>30691720.306049932</v>
      </c>
      <c r="F101" s="2">
        <v>35944599.502807051</v>
      </c>
      <c r="G101" s="2">
        <v>49170348.564464658</v>
      </c>
      <c r="H101" s="2">
        <v>63827796.020350821</v>
      </c>
      <c r="I101" s="2">
        <v>63719625.500392914</v>
      </c>
      <c r="J101" s="2">
        <v>56157462.476498194</v>
      </c>
      <c r="K101" s="2">
        <v>60007945.659440741</v>
      </c>
      <c r="L101" s="2">
        <v>39839992.444899946</v>
      </c>
      <c r="M101" s="2">
        <v>33244184.406895995</v>
      </c>
      <c r="N101" s="2">
        <v>44673582.240390942</v>
      </c>
      <c r="O101" s="2">
        <v>50457545.878596999</v>
      </c>
    </row>
    <row r="102" spans="1:15" x14ac:dyDescent="0.3">
      <c r="A102" t="s">
        <v>170</v>
      </c>
      <c r="C102" t="s">
        <v>138</v>
      </c>
      <c r="D102" s="2">
        <v>38704195.402801566</v>
      </c>
      <c r="E102" s="2">
        <v>30284609.097360268</v>
      </c>
      <c r="F102" s="2">
        <v>35467811.326597549</v>
      </c>
      <c r="G102" s="2">
        <v>48518127.058594055</v>
      </c>
      <c r="H102" s="2">
        <v>62981150.380200103</v>
      </c>
      <c r="I102" s="2">
        <v>62874414.691222198</v>
      </c>
      <c r="J102" s="2">
        <v>55412560.19673758</v>
      </c>
      <c r="K102" s="2">
        <v>59211968.534509659</v>
      </c>
      <c r="L102" s="2">
        <v>39311533.7167252</v>
      </c>
      <c r="M102" s="2">
        <v>32803215.96456578</v>
      </c>
      <c r="N102" s="2">
        <v>44081008.221045487</v>
      </c>
      <c r="O102" s="2">
        <v>49788250.306849577</v>
      </c>
    </row>
    <row r="103" spans="1:15" x14ac:dyDescent="0.3">
      <c r="A103" t="s">
        <v>170</v>
      </c>
      <c r="C103" t="s">
        <v>139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5" x14ac:dyDescent="0.3">
      <c r="A104" t="s">
        <v>170</v>
      </c>
      <c r="C104" t="s">
        <v>140</v>
      </c>
      <c r="D104" s="2">
        <v>353473855.65837187</v>
      </c>
      <c r="E104" s="2">
        <v>276580288.86387032</v>
      </c>
      <c r="F104" s="2">
        <v>323916926.59934831</v>
      </c>
      <c r="G104" s="2">
        <v>443101562.04623342</v>
      </c>
      <c r="H104" s="2">
        <v>575188033.93281853</v>
      </c>
      <c r="I104" s="2">
        <v>574213248.76736736</v>
      </c>
      <c r="J104" s="2">
        <v>506066360.52753818</v>
      </c>
      <c r="K104" s="2">
        <v>540765221.99193776</v>
      </c>
      <c r="L104" s="2">
        <v>359020495.06728983</v>
      </c>
      <c r="M104" s="2">
        <v>299581973.07339001</v>
      </c>
      <c r="N104" s="2">
        <v>402578681.07170326</v>
      </c>
      <c r="O104" s="2">
        <v>454701218.28633493</v>
      </c>
    </row>
    <row r="105" spans="1:15" x14ac:dyDescent="0.3">
      <c r="A105" t="s">
        <v>170</v>
      </c>
      <c r="C105" t="s">
        <v>141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ht="15" thickBot="1" x14ac:dyDescent="0.35">
      <c r="A106" t="s">
        <v>170</v>
      </c>
      <c r="B106" s="1"/>
      <c r="C106" s="5" t="s">
        <v>197</v>
      </c>
      <c r="D106" s="5">
        <v>4321563410.5172405</v>
      </c>
      <c r="E106" s="5">
        <v>3381464392.0358124</v>
      </c>
      <c r="F106" s="5">
        <v>3960201060.5046234</v>
      </c>
      <c r="G106" s="5">
        <v>5417349733.3074512</v>
      </c>
      <c r="H106" s="5">
        <v>7032235968.2913218</v>
      </c>
      <c r="I106" s="5">
        <v>7020318266.7790489</v>
      </c>
      <c r="J106" s="5">
        <v>6187155943.6156492</v>
      </c>
      <c r="K106" s="5">
        <v>6611383443.5869169</v>
      </c>
      <c r="L106" s="5">
        <v>4389376499.200325</v>
      </c>
      <c r="M106" s="5">
        <v>3662682465.9298115</v>
      </c>
      <c r="N106" s="5">
        <v>4921917901.7732735</v>
      </c>
      <c r="O106" s="5">
        <v>5559166869.6510496</v>
      </c>
    </row>
    <row r="107" spans="1:15" x14ac:dyDescent="0.3">
      <c r="A107" t="s">
        <v>170</v>
      </c>
      <c r="B107" s="4" t="s">
        <v>142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">
      <c r="A108" t="s">
        <v>170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">
      <c r="A109" t="s">
        <v>170</v>
      </c>
      <c r="B109" s="4" t="s">
        <v>143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">
      <c r="A110" t="s">
        <v>170</v>
      </c>
      <c r="C110" t="s">
        <v>138</v>
      </c>
      <c r="D110" s="2">
        <v>163228152.88480103</v>
      </c>
      <c r="E110" s="2">
        <v>127720024.98319709</v>
      </c>
      <c r="F110" s="2">
        <v>149579270.91511342</v>
      </c>
      <c r="G110" s="2">
        <v>204616687.64288908</v>
      </c>
      <c r="H110" s="2">
        <v>265611950.74929315</v>
      </c>
      <c r="I110" s="2">
        <v>265161811.70939234</v>
      </c>
      <c r="J110" s="2">
        <v>233692749.67221299</v>
      </c>
      <c r="K110" s="2">
        <v>249716087.67408648</v>
      </c>
      <c r="L110" s="2">
        <v>165789495.65723723</v>
      </c>
      <c r="M110" s="2">
        <v>138341807.51861632</v>
      </c>
      <c r="N110" s="2">
        <v>185903917.50399652</v>
      </c>
      <c r="O110" s="2">
        <v>209973209.58039942</v>
      </c>
    </row>
    <row r="111" spans="1:15" x14ac:dyDescent="0.3">
      <c r="A111" t="s">
        <v>170</v>
      </c>
      <c r="C111" t="s">
        <v>144</v>
      </c>
      <c r="D111" s="2">
        <v>90416905.695080921</v>
      </c>
      <c r="E111" s="2">
        <v>70747902.553484112</v>
      </c>
      <c r="F111" s="2">
        <v>82856385.943518817</v>
      </c>
      <c r="G111" s="2">
        <v>113343240.263853</v>
      </c>
      <c r="H111" s="2">
        <v>147130322.0550108</v>
      </c>
      <c r="I111" s="2">
        <v>146880976.71598029</v>
      </c>
      <c r="J111" s="2">
        <v>129449331.71944341</v>
      </c>
      <c r="K111" s="2">
        <v>138325132.95489749</v>
      </c>
      <c r="L111" s="2">
        <v>91835709.276541442</v>
      </c>
      <c r="M111" s="2">
        <v>76631622.321461007</v>
      </c>
      <c r="N111" s="2">
        <v>102977682.95624763</v>
      </c>
      <c r="O111" s="2">
        <v>116310376.32658423</v>
      </c>
    </row>
    <row r="112" spans="1:15" x14ac:dyDescent="0.3">
      <c r="A112" t="s">
        <v>170</v>
      </c>
      <c r="C112" t="s">
        <v>145</v>
      </c>
      <c r="D112" s="2">
        <v>12146580.145252435</v>
      </c>
      <c r="E112" s="2">
        <v>9504252.1292691883</v>
      </c>
      <c r="F112" s="2">
        <v>11130902.176667526</v>
      </c>
      <c r="G112" s="2">
        <v>15226497.093699962</v>
      </c>
      <c r="H112" s="2">
        <v>19765443.584907137</v>
      </c>
      <c r="I112" s="2">
        <v>19731946.606426217</v>
      </c>
      <c r="J112" s="2">
        <v>17390184.61638343</v>
      </c>
      <c r="K112" s="2">
        <v>18582557.107246485</v>
      </c>
      <c r="L112" s="2">
        <v>12337181.795243638</v>
      </c>
      <c r="M112" s="2">
        <v>10294669.288145987</v>
      </c>
      <c r="N112" s="2">
        <v>13833991.216407089</v>
      </c>
      <c r="O112" s="2">
        <v>15625101.267452333</v>
      </c>
    </row>
    <row r="113" spans="1:15" x14ac:dyDescent="0.3">
      <c r="A113" t="s">
        <v>170</v>
      </c>
      <c r="C113" t="s">
        <v>146</v>
      </c>
      <c r="D113" s="2">
        <v>16885004.907745577</v>
      </c>
      <c r="E113" s="2">
        <v>13211895.194211181</v>
      </c>
      <c r="F113" s="2">
        <v>15473107.297128953</v>
      </c>
      <c r="G113" s="2">
        <v>21166408.575946912</v>
      </c>
      <c r="H113" s="2">
        <v>27476014.478476025</v>
      </c>
      <c r="I113" s="2">
        <v>27429450.207769264</v>
      </c>
      <c r="J113" s="2">
        <v>24174158.411905285</v>
      </c>
      <c r="K113" s="2">
        <v>25831679.715788722</v>
      </c>
      <c r="L113" s="2">
        <v>17149960.949449528</v>
      </c>
      <c r="M113" s="2">
        <v>14310656.940085597</v>
      </c>
      <c r="N113" s="2">
        <v>19230681.129127674</v>
      </c>
      <c r="O113" s="2">
        <v>21720509.676797695</v>
      </c>
    </row>
    <row r="114" spans="1:15" x14ac:dyDescent="0.3">
      <c r="A114" t="s">
        <v>170</v>
      </c>
      <c r="C114" t="s">
        <v>147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ht="15" thickBot="1" x14ac:dyDescent="0.35">
      <c r="A115" t="s">
        <v>170</v>
      </c>
      <c r="B115" s="1"/>
      <c r="C115" s="5" t="s">
        <v>198</v>
      </c>
      <c r="D115" s="5">
        <v>282676643.63287997</v>
      </c>
      <c r="E115" s="5">
        <v>221184074.86016157</v>
      </c>
      <c r="F115" s="5">
        <v>259039666.33242872</v>
      </c>
      <c r="G115" s="5">
        <v>354352833.57638896</v>
      </c>
      <c r="H115" s="5">
        <v>459983730.86768711</v>
      </c>
      <c r="I115" s="5">
        <v>459204185.23956811</v>
      </c>
      <c r="J115" s="5">
        <v>404706424.41994512</v>
      </c>
      <c r="K115" s="5">
        <v>432455457.45201916</v>
      </c>
      <c r="L115" s="5">
        <v>287112347.67847186</v>
      </c>
      <c r="M115" s="5">
        <v>239578756.06830892</v>
      </c>
      <c r="N115" s="5">
        <v>321946272.80577892</v>
      </c>
      <c r="O115" s="5">
        <v>363629196.85123372</v>
      </c>
    </row>
    <row r="116" spans="1:15" x14ac:dyDescent="0.3">
      <c r="A116" t="s">
        <v>170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t="s">
        <v>170</v>
      </c>
      <c r="B117" s="4" t="s">
        <v>148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">
      <c r="A118" t="s">
        <v>170</v>
      </c>
      <c r="C118" t="s">
        <v>69</v>
      </c>
      <c r="D118" s="2">
        <v>661006.98437692865</v>
      </c>
      <c r="E118" s="2">
        <v>517213.64891184901</v>
      </c>
      <c r="F118" s="2">
        <v>605734.61774500844</v>
      </c>
      <c r="G118" s="2">
        <v>828613.55263560137</v>
      </c>
      <c r="H118" s="2">
        <v>1075619.3185814815</v>
      </c>
      <c r="I118" s="2">
        <v>1073796.440333725</v>
      </c>
      <c r="J118" s="2">
        <v>946359.66284934699</v>
      </c>
      <c r="K118" s="2">
        <v>1011247.6012661082</v>
      </c>
      <c r="L118" s="2">
        <v>671379.37070882926</v>
      </c>
      <c r="M118" s="2">
        <v>560227.50600916077</v>
      </c>
      <c r="N118" s="2">
        <v>752834.51856433006</v>
      </c>
      <c r="O118" s="2">
        <v>850305.26665727154</v>
      </c>
    </row>
    <row r="119" spans="1:15" x14ac:dyDescent="0.3">
      <c r="A119" t="s">
        <v>170</v>
      </c>
      <c r="C119" t="s">
        <v>111</v>
      </c>
      <c r="D119" s="2">
        <v>2450736.0023715361</v>
      </c>
      <c r="E119" s="2">
        <v>1917610.7670042678</v>
      </c>
      <c r="F119" s="2">
        <v>2245809.3041025153</v>
      </c>
      <c r="G119" s="2">
        <v>3072150.693553139</v>
      </c>
      <c r="H119" s="2">
        <v>3987944.2293317816</v>
      </c>
      <c r="I119" s="2">
        <v>3981185.763150176</v>
      </c>
      <c r="J119" s="2">
        <v>3508703.7682714597</v>
      </c>
      <c r="K119" s="2">
        <v>3749280.9642106532</v>
      </c>
      <c r="L119" s="2">
        <v>2489192.4502077969</v>
      </c>
      <c r="M119" s="2">
        <v>2077088.0655514414</v>
      </c>
      <c r="N119" s="2">
        <v>2791193.8936814102</v>
      </c>
      <c r="O119" s="2">
        <v>3152574.4496745123</v>
      </c>
    </row>
    <row r="120" spans="1:15" x14ac:dyDescent="0.3">
      <c r="A120" t="s">
        <v>170</v>
      </c>
      <c r="C120" t="s">
        <v>122</v>
      </c>
      <c r="D120" s="2">
        <v>88271.293654911249</v>
      </c>
      <c r="E120" s="2">
        <v>69069.04006235415</v>
      </c>
      <c r="F120" s="2">
        <v>80890.18661476839</v>
      </c>
      <c r="G120" s="2">
        <v>110653.5815201431</v>
      </c>
      <c r="H120" s="2">
        <v>143638.88880977372</v>
      </c>
      <c r="I120" s="2">
        <v>143395.46048767128</v>
      </c>
      <c r="J120" s="2">
        <v>126377.47206450427</v>
      </c>
      <c r="K120" s="2">
        <v>135042.64868445595</v>
      </c>
      <c r="L120" s="2">
        <v>89656.428731310516</v>
      </c>
      <c r="M120" s="2">
        <v>74813.137932433674</v>
      </c>
      <c r="N120" s="2">
        <v>100534.00105051171</v>
      </c>
      <c r="O120" s="2">
        <v>113550.3068249295</v>
      </c>
    </row>
    <row r="121" spans="1:15" x14ac:dyDescent="0.3">
      <c r="A121" t="s">
        <v>170</v>
      </c>
      <c r="C121" t="s">
        <v>127</v>
      </c>
      <c r="D121" s="2">
        <v>53298757.19209443</v>
      </c>
      <c r="E121" s="2">
        <v>41704316.809563793</v>
      </c>
      <c r="F121" s="2">
        <v>48841998.76415737</v>
      </c>
      <c r="G121" s="2">
        <v>66813322.085595131</v>
      </c>
      <c r="H121" s="2">
        <v>86730056.182748899</v>
      </c>
      <c r="I121" s="2">
        <v>86583072.644882813</v>
      </c>
      <c r="J121" s="2">
        <v>76307505.183390334</v>
      </c>
      <c r="K121" s="2">
        <v>81539592.825596556</v>
      </c>
      <c r="L121" s="2">
        <v>54135110.38301824</v>
      </c>
      <c r="M121" s="2">
        <v>45172638.899210215</v>
      </c>
      <c r="N121" s="2">
        <v>60703056.335493758</v>
      </c>
      <c r="O121" s="2">
        <v>68562382.876247942</v>
      </c>
    </row>
    <row r="122" spans="1:15" ht="15" thickBot="1" x14ac:dyDescent="0.35">
      <c r="A122" t="s">
        <v>170</v>
      </c>
      <c r="B122" s="1"/>
      <c r="C122" s="5" t="s">
        <v>199</v>
      </c>
      <c r="D122" s="5">
        <v>56498771.472497806</v>
      </c>
      <c r="E122" s="5">
        <v>44208210.265542261</v>
      </c>
      <c r="F122" s="5">
        <v>51774432.872619659</v>
      </c>
      <c r="G122" s="5">
        <v>70824739.913304016</v>
      </c>
      <c r="H122" s="5">
        <v>91937258.619471937</v>
      </c>
      <c r="I122" s="5">
        <v>91781450.308854386</v>
      </c>
      <c r="J122" s="5">
        <v>80888946.086575642</v>
      </c>
      <c r="K122" s="5">
        <v>86435164.039757773</v>
      </c>
      <c r="L122" s="5">
        <v>57385338.632666178</v>
      </c>
      <c r="M122" s="5">
        <v>47884767.608703248</v>
      </c>
      <c r="N122" s="5">
        <v>64347618.748790011</v>
      </c>
      <c r="O122" s="5">
        <v>72678812.89940466</v>
      </c>
    </row>
    <row r="123" spans="1:15" x14ac:dyDescent="0.3">
      <c r="A123" t="s">
        <v>170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t="s">
        <v>170</v>
      </c>
      <c r="B124" s="4" t="s">
        <v>149</v>
      </c>
      <c r="D124" s="30">
        <v>2489484271.778636</v>
      </c>
      <c r="E124" s="30">
        <v>1947929862.388648</v>
      </c>
      <c r="F124" s="30">
        <v>2281317504.0343418</v>
      </c>
      <c r="G124" s="30">
        <v>3120724070.1297321</v>
      </c>
      <c r="H124" s="30">
        <v>4050997098.8489814</v>
      </c>
      <c r="I124" s="30">
        <v>4044131775.4342299</v>
      </c>
      <c r="J124" s="30">
        <v>3564179428.9509959</v>
      </c>
      <c r="K124" s="30">
        <v>3808560359.7651153</v>
      </c>
      <c r="L124" s="30">
        <v>2528548749.5290766</v>
      </c>
      <c r="M124" s="30">
        <v>2109928635.8406835</v>
      </c>
      <c r="N124" s="30">
        <v>2835325098.6970296</v>
      </c>
      <c r="O124" s="30">
        <v>3202419395.8391418</v>
      </c>
    </row>
    <row r="126" spans="1:15" x14ac:dyDescent="0.3">
      <c r="A126" t="s">
        <v>171</v>
      </c>
      <c r="C126" t="s">
        <v>132</v>
      </c>
      <c r="D126" s="2">
        <v>250.04284333563092</v>
      </c>
      <c r="E126" s="2">
        <v>230.56439101296215</v>
      </c>
      <c r="F126" s="2">
        <v>254.0547580726961</v>
      </c>
      <c r="G126" s="2">
        <v>357.74039498072653</v>
      </c>
      <c r="H126" s="2">
        <v>343.70127589046285</v>
      </c>
      <c r="I126" s="2">
        <v>367.00371491138009</v>
      </c>
      <c r="J126" s="2">
        <v>374.13376583200181</v>
      </c>
      <c r="K126" s="2">
        <v>336.01731398091272</v>
      </c>
      <c r="L126" s="2">
        <v>295.426774627768</v>
      </c>
      <c r="M126" s="2">
        <v>280.96085232841654</v>
      </c>
      <c r="N126" s="2">
        <v>284.68443937714511</v>
      </c>
      <c r="O126" s="2">
        <v>437.18489701452143</v>
      </c>
    </row>
    <row r="127" spans="1:15" ht="15" thickBot="1" x14ac:dyDescent="0.35">
      <c r="A127" t="s">
        <v>171</v>
      </c>
      <c r="B127" s="1"/>
      <c r="C127" s="1" t="s">
        <v>133</v>
      </c>
      <c r="D127" s="3">
        <v>20663216.467157368</v>
      </c>
      <c r="E127" s="3">
        <v>20663216.467157368</v>
      </c>
      <c r="F127" s="3">
        <v>20663216.467157368</v>
      </c>
      <c r="G127" s="3">
        <v>20663216.467157368</v>
      </c>
      <c r="H127" s="3">
        <v>20663216.467157368</v>
      </c>
      <c r="I127" s="3">
        <v>20663216.467157368</v>
      </c>
      <c r="J127" s="3">
        <v>20663216.467157368</v>
      </c>
      <c r="K127" s="3">
        <v>20663216.467157368</v>
      </c>
      <c r="L127" s="3">
        <v>20663216.467157368</v>
      </c>
      <c r="M127" s="3">
        <v>20663216.467157368</v>
      </c>
      <c r="N127" s="3">
        <v>20663216.467157368</v>
      </c>
      <c r="O127" s="3">
        <v>20663216.467157368</v>
      </c>
    </row>
    <row r="128" spans="1:15" x14ac:dyDescent="0.3">
      <c r="A128" t="s">
        <v>171</v>
      </c>
      <c r="B128" s="4" t="s">
        <v>134</v>
      </c>
      <c r="D128" s="2">
        <v>5166689397.9076586</v>
      </c>
      <c r="E128" s="2">
        <v>4764201921.1191492</v>
      </c>
      <c r="F128" s="2">
        <v>5249588460.5674152</v>
      </c>
      <c r="G128" s="2">
        <v>7392067220.5331297</v>
      </c>
      <c r="H128" s="2">
        <v>7101973863.7628098</v>
      </c>
      <c r="I128" s="2">
        <v>7583477205.464757</v>
      </c>
      <c r="J128" s="2">
        <v>7730806991.0594187</v>
      </c>
      <c r="K128" s="2">
        <v>6943198495.5003834</v>
      </c>
      <c r="L128" s="2">
        <v>6104467394.3276844</v>
      </c>
      <c r="M128" s="2">
        <v>5805554910.4591064</v>
      </c>
      <c r="N128" s="2">
        <v>5882496195.6812878</v>
      </c>
      <c r="O128" s="2">
        <v>9033646163.1829567</v>
      </c>
    </row>
    <row r="129" spans="1:15" x14ac:dyDescent="0.3">
      <c r="A129" t="s">
        <v>171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3">
      <c r="A130" t="s">
        <v>171</v>
      </c>
      <c r="B130" s="4" t="s">
        <v>135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3">
      <c r="A131" t="s">
        <v>171</v>
      </c>
      <c r="C131" t="s">
        <v>137</v>
      </c>
      <c r="D131" s="2">
        <v>2913214673.4708128</v>
      </c>
      <c r="E131" s="2">
        <v>2686273912.5759611</v>
      </c>
      <c r="F131" s="2">
        <v>2959956938.6155262</v>
      </c>
      <c r="G131" s="2">
        <v>4167983990.4563575</v>
      </c>
      <c r="H131" s="2">
        <v>4004416150.6783485</v>
      </c>
      <c r="I131" s="2">
        <v>4275909653.0629511</v>
      </c>
      <c r="J131" s="2">
        <v>4358980892.7251396</v>
      </c>
      <c r="K131" s="2">
        <v>3914891370.4979973</v>
      </c>
      <c r="L131" s="2">
        <v>3441976596.0929136</v>
      </c>
      <c r="M131" s="2">
        <v>3273436131.0047288</v>
      </c>
      <c r="N131" s="2">
        <v>3316819130.0283852</v>
      </c>
      <c r="O131" s="2">
        <v>5093580924.0217552</v>
      </c>
    </row>
    <row r="132" spans="1:15" x14ac:dyDescent="0.3">
      <c r="A132" t="s">
        <v>171</v>
      </c>
      <c r="C132" t="s">
        <v>136</v>
      </c>
      <c r="D132" s="2">
        <v>29373941.852039132</v>
      </c>
      <c r="E132" s="2">
        <v>27085698.292411298</v>
      </c>
      <c r="F132" s="2">
        <v>29845244.084207833</v>
      </c>
      <c r="G132" s="2">
        <v>42025780.142742269</v>
      </c>
      <c r="H132" s="2">
        <v>40376525.709742092</v>
      </c>
      <c r="I132" s="2">
        <v>43113994.535803758</v>
      </c>
      <c r="J132" s="2">
        <v>43951601.796825394</v>
      </c>
      <c r="K132" s="2">
        <v>39473847.403443031</v>
      </c>
      <c r="L132" s="2">
        <v>34705448.009176992</v>
      </c>
      <c r="M132" s="2">
        <v>33006054.598077055</v>
      </c>
      <c r="N132" s="2">
        <v>33443485.351908084</v>
      </c>
      <c r="O132" s="2">
        <v>51358573.483571947</v>
      </c>
    </row>
    <row r="133" spans="1:15" x14ac:dyDescent="0.3">
      <c r="A133" t="s">
        <v>171</v>
      </c>
      <c r="C133" t="s">
        <v>138</v>
      </c>
      <c r="D133" s="2">
        <v>28984310.35363771</v>
      </c>
      <c r="E133" s="2">
        <v>26726419.266665272</v>
      </c>
      <c r="F133" s="2">
        <v>29449360.983762503</v>
      </c>
      <c r="G133" s="2">
        <v>41468327.970644072</v>
      </c>
      <c r="H133" s="2">
        <v>39840950.120610245</v>
      </c>
      <c r="I133" s="2">
        <v>42542107.712520972</v>
      </c>
      <c r="J133" s="2">
        <v>43368604.507884726</v>
      </c>
      <c r="K133" s="2">
        <v>38950245.416724823</v>
      </c>
      <c r="L133" s="2">
        <v>34245096.593673341</v>
      </c>
      <c r="M133" s="2">
        <v>32568244.835460015</v>
      </c>
      <c r="N133" s="2">
        <v>32999873.276447896</v>
      </c>
      <c r="O133" s="2">
        <v>50677326.205186173</v>
      </c>
    </row>
    <row r="134" spans="1:15" x14ac:dyDescent="0.3">
      <c r="A134" t="s">
        <v>171</v>
      </c>
      <c r="C134" t="s">
        <v>139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x14ac:dyDescent="0.3">
      <c r="A135" t="s">
        <v>171</v>
      </c>
      <c r="C135" t="s">
        <v>140</v>
      </c>
      <c r="D135" s="2">
        <v>264705048.83709845</v>
      </c>
      <c r="E135" s="2">
        <v>244084403.97256136</v>
      </c>
      <c r="F135" s="2">
        <v>268952217.33125782</v>
      </c>
      <c r="G135" s="2">
        <v>378717852.7532047</v>
      </c>
      <c r="H135" s="2">
        <v>363855496.9471246</v>
      </c>
      <c r="I135" s="2">
        <v>388524362.39741772</v>
      </c>
      <c r="J135" s="2">
        <v>396072510.75462061</v>
      </c>
      <c r="K135" s="2">
        <v>355720956.94031596</v>
      </c>
      <c r="L135" s="2">
        <v>312750238.16882914</v>
      </c>
      <c r="M135" s="2">
        <v>297436051.93721765</v>
      </c>
      <c r="N135" s="2">
        <v>301377985.56120807</v>
      </c>
      <c r="O135" s="2">
        <v>462820882.89859092</v>
      </c>
    </row>
    <row r="136" spans="1:15" x14ac:dyDescent="0.3">
      <c r="A136" t="s">
        <v>171</v>
      </c>
      <c r="C136" t="s">
        <v>141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 ht="15" thickBot="1" x14ac:dyDescent="0.35">
      <c r="A137" t="s">
        <v>171</v>
      </c>
      <c r="B137" s="1"/>
      <c r="C137" s="5" t="s">
        <v>197</v>
      </c>
      <c r="D137" s="5">
        <v>3236277974.5135884</v>
      </c>
      <c r="E137" s="5">
        <v>2984170434.1075993</v>
      </c>
      <c r="F137" s="5">
        <v>3288203761.0147543</v>
      </c>
      <c r="G137" s="5">
        <v>4630195951.3229485</v>
      </c>
      <c r="H137" s="5">
        <v>4448489123.4558258</v>
      </c>
      <c r="I137" s="5">
        <v>4750090117.7086935</v>
      </c>
      <c r="J137" s="5">
        <v>4842373609.7844706</v>
      </c>
      <c r="K137" s="5">
        <v>4349036420.258481</v>
      </c>
      <c r="L137" s="5">
        <v>3823677378.864593</v>
      </c>
      <c r="M137" s="5">
        <v>3636446482.3754835</v>
      </c>
      <c r="N137" s="5">
        <v>3684640474.2179494</v>
      </c>
      <c r="O137" s="5">
        <v>5658437706.6091042</v>
      </c>
    </row>
    <row r="138" spans="1:15" x14ac:dyDescent="0.3">
      <c r="A138" t="s">
        <v>171</v>
      </c>
      <c r="B138" s="4" t="s">
        <v>142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">
      <c r="A139" t="s">
        <v>171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3">
      <c r="A140" t="s">
        <v>171</v>
      </c>
      <c r="B140" s="4" t="s">
        <v>143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3">
      <c r="A141" t="s">
        <v>171</v>
      </c>
      <c r="C141" t="s">
        <v>138</v>
      </c>
      <c r="D141" s="2">
        <v>117947252.19923095</v>
      </c>
      <c r="E141" s="2">
        <v>108759107.08816019</v>
      </c>
      <c r="F141" s="2">
        <v>119839705.16041918</v>
      </c>
      <c r="G141" s="2">
        <v>168749067.2628724</v>
      </c>
      <c r="H141" s="2">
        <v>162126700.08009446</v>
      </c>
      <c r="I141" s="2">
        <v>173118650.96096045</v>
      </c>
      <c r="J141" s="2">
        <v>176481954.23694783</v>
      </c>
      <c r="K141" s="2">
        <v>158502112.46484938</v>
      </c>
      <c r="L141" s="2">
        <v>139355223.40327412</v>
      </c>
      <c r="M141" s="2">
        <v>132531529.65953499</v>
      </c>
      <c r="N141" s="2">
        <v>134287976.09432721</v>
      </c>
      <c r="O141" s="2">
        <v>206223687.98074946</v>
      </c>
    </row>
    <row r="142" spans="1:15" x14ac:dyDescent="0.3">
      <c r="A142" t="s">
        <v>171</v>
      </c>
      <c r="C142" t="s">
        <v>144</v>
      </c>
      <c r="D142" s="2">
        <v>65334474.418872178</v>
      </c>
      <c r="E142" s="2">
        <v>60244888.85818328</v>
      </c>
      <c r="F142" s="2">
        <v>66382760.133683242</v>
      </c>
      <c r="G142" s="2">
        <v>93475103.596915871</v>
      </c>
      <c r="H142" s="2">
        <v>89806778.381804124</v>
      </c>
      <c r="I142" s="2">
        <v>95895545.353894055</v>
      </c>
      <c r="J142" s="2">
        <v>97758578.597574323</v>
      </c>
      <c r="K142" s="2">
        <v>87799012.008178219</v>
      </c>
      <c r="L142" s="2">
        <v>77192983.378690317</v>
      </c>
      <c r="M142" s="2">
        <v>73413137.421876684</v>
      </c>
      <c r="N142" s="2">
        <v>74386085.095708117</v>
      </c>
      <c r="O142" s="2">
        <v>114233405.3207524</v>
      </c>
    </row>
    <row r="143" spans="1:15" x14ac:dyDescent="0.3">
      <c r="A143" t="s">
        <v>171</v>
      </c>
      <c r="C143" t="s">
        <v>145</v>
      </c>
      <c r="D143" s="2">
        <v>8777013.8081594482</v>
      </c>
      <c r="E143" s="2">
        <v>8093280.4018481253</v>
      </c>
      <c r="F143" s="2">
        <v>8917840.1984477453</v>
      </c>
      <c r="G143" s="2">
        <v>12557417.539311828</v>
      </c>
      <c r="H143" s="2">
        <v>12064615.823950434</v>
      </c>
      <c r="I143" s="2">
        <v>12882578.963074759</v>
      </c>
      <c r="J143" s="2">
        <v>13132858.293402063</v>
      </c>
      <c r="K143" s="2">
        <v>11794893.088111259</v>
      </c>
      <c r="L143" s="2">
        <v>10370082.365154553</v>
      </c>
      <c r="M143" s="2">
        <v>9862298.9866127335</v>
      </c>
      <c r="N143" s="2">
        <v>9993004.4869445525</v>
      </c>
      <c r="O143" s="2">
        <v>15346081.601962112</v>
      </c>
    </row>
    <row r="144" spans="1:15" x14ac:dyDescent="0.3">
      <c r="A144" t="s">
        <v>171</v>
      </c>
      <c r="C144" t="s">
        <v>146</v>
      </c>
      <c r="D144" s="2">
        <v>12200958.578785472</v>
      </c>
      <c r="E144" s="2">
        <v>11250498.302469043</v>
      </c>
      <c r="F144" s="2">
        <v>12396721.852293152</v>
      </c>
      <c r="G144" s="2">
        <v>17456111.452305745</v>
      </c>
      <c r="H144" s="2">
        <v>16771066.008821404</v>
      </c>
      <c r="I144" s="2">
        <v>17908119.521275885</v>
      </c>
      <c r="J144" s="2">
        <v>18256033.721844971</v>
      </c>
      <c r="K144" s="2">
        <v>16396123.460061692</v>
      </c>
      <c r="L144" s="2">
        <v>14415488.93066819</v>
      </c>
      <c r="M144" s="2">
        <v>13709617.423114568</v>
      </c>
      <c r="N144" s="2">
        <v>13891311.610958437</v>
      </c>
      <c r="O144" s="2">
        <v>21332643.432569169</v>
      </c>
    </row>
    <row r="145" spans="1:15" x14ac:dyDescent="0.3">
      <c r="A145" t="s">
        <v>171</v>
      </c>
      <c r="C145" t="s">
        <v>147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 ht="15" thickBot="1" x14ac:dyDescent="0.35">
      <c r="A146" t="s">
        <v>171</v>
      </c>
      <c r="B146" s="1"/>
      <c r="C146" s="5" t="s">
        <v>198</v>
      </c>
      <c r="D146" s="5">
        <v>204259699.00504807</v>
      </c>
      <c r="E146" s="5">
        <v>188347774.65066066</v>
      </c>
      <c r="F146" s="5">
        <v>207537027.34484333</v>
      </c>
      <c r="G146" s="5">
        <v>292237699.85140586</v>
      </c>
      <c r="H146" s="5">
        <v>280769160.2946704</v>
      </c>
      <c r="I146" s="5">
        <v>299804894.79920512</v>
      </c>
      <c r="J146" s="5">
        <v>305629424.84976918</v>
      </c>
      <c r="K146" s="5">
        <v>274492141.02120054</v>
      </c>
      <c r="L146" s="5">
        <v>241333778.07778716</v>
      </c>
      <c r="M146" s="5">
        <v>229516583.49113896</v>
      </c>
      <c r="N146" s="5">
        <v>232558377.28793833</v>
      </c>
      <c r="O146" s="5">
        <v>357135818.33603311</v>
      </c>
    </row>
    <row r="147" spans="1:15" x14ac:dyDescent="0.3">
      <c r="A147" t="s">
        <v>171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3">
      <c r="A148" t="s">
        <v>171</v>
      </c>
      <c r="B148" s="4" t="s">
        <v>148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3">
      <c r="A149" t="s">
        <v>171</v>
      </c>
      <c r="C149" t="s">
        <v>69</v>
      </c>
      <c r="D149" s="2">
        <v>477637.93263520004</v>
      </c>
      <c r="E149" s="2">
        <v>440429.71833792224</v>
      </c>
      <c r="F149" s="2">
        <v>485301.58993231511</v>
      </c>
      <c r="G149" s="2">
        <v>683364.42026991304</v>
      </c>
      <c r="H149" s="2">
        <v>656546.55286431802</v>
      </c>
      <c r="I149" s="2">
        <v>701059.43973934383</v>
      </c>
      <c r="J149" s="2">
        <v>714679.43676016701</v>
      </c>
      <c r="K149" s="2">
        <v>641868.46157418366</v>
      </c>
      <c r="L149" s="2">
        <v>564331.42415072129</v>
      </c>
      <c r="M149" s="2">
        <v>536698.26685435697</v>
      </c>
      <c r="N149" s="2">
        <v>543811.15357495227</v>
      </c>
      <c r="O149" s="2">
        <v>835121.24403839197</v>
      </c>
    </row>
    <row r="150" spans="1:15" x14ac:dyDescent="0.3">
      <c r="A150" t="s">
        <v>171</v>
      </c>
      <c r="C150" t="s">
        <v>111</v>
      </c>
      <c r="D150" s="2">
        <v>1770880.649182217</v>
      </c>
      <c r="E150" s="2">
        <v>1632928.2333718934</v>
      </c>
      <c r="F150" s="2">
        <v>1799294.2685414448</v>
      </c>
      <c r="G150" s="2">
        <v>2533627.9753138456</v>
      </c>
      <c r="H150" s="2">
        <v>2434198.5975446086</v>
      </c>
      <c r="I150" s="2">
        <v>2599233.6682964638</v>
      </c>
      <c r="J150" s="2">
        <v>2649730.891230633</v>
      </c>
      <c r="K150" s="2">
        <v>2379778.4058960499</v>
      </c>
      <c r="L150" s="2">
        <v>2092303.6686812446</v>
      </c>
      <c r="M150" s="2">
        <v>1989851.5387552185</v>
      </c>
      <c r="N150" s="2">
        <v>2016223.1323676293</v>
      </c>
      <c r="O150" s="2">
        <v>3096278.4773588963</v>
      </c>
    </row>
    <row r="151" spans="1:15" x14ac:dyDescent="0.3">
      <c r="A151" t="s">
        <v>171</v>
      </c>
      <c r="C151" t="s">
        <v>122</v>
      </c>
      <c r="D151" s="2">
        <v>63784.07370704029</v>
      </c>
      <c r="E151" s="2">
        <v>58815.26507379143</v>
      </c>
      <c r="F151" s="2">
        <v>64807.48338308464</v>
      </c>
      <c r="G151" s="2">
        <v>91256.919882356815</v>
      </c>
      <c r="H151" s="2">
        <v>87675.644790098682</v>
      </c>
      <c r="I151" s="2">
        <v>93619.924051348775</v>
      </c>
      <c r="J151" s="2">
        <v>95438.747127382332</v>
      </c>
      <c r="K151" s="2">
        <v>85715.523131495735</v>
      </c>
      <c r="L151" s="2">
        <v>75361.177774631171</v>
      </c>
      <c r="M151" s="2">
        <v>71671.028351143686</v>
      </c>
      <c r="N151" s="2">
        <v>72620.887773642258</v>
      </c>
      <c r="O151" s="2">
        <v>111522.62277448433</v>
      </c>
    </row>
    <row r="152" spans="1:15" x14ac:dyDescent="0.3">
      <c r="A152" t="s">
        <v>171</v>
      </c>
      <c r="C152" t="s">
        <v>127</v>
      </c>
      <c r="D152" s="2">
        <v>38513221.189718544</v>
      </c>
      <c r="E152" s="2">
        <v>35513023.572667092</v>
      </c>
      <c r="F152" s="2">
        <v>39131162.329731427</v>
      </c>
      <c r="G152" s="2">
        <v>55101496.913855806</v>
      </c>
      <c r="H152" s="2">
        <v>52939100.695595086</v>
      </c>
      <c r="I152" s="2">
        <v>56528293.556707568</v>
      </c>
      <c r="J152" s="2">
        <v>57626510.264438994</v>
      </c>
      <c r="K152" s="2">
        <v>51755567.023173012</v>
      </c>
      <c r="L152" s="2">
        <v>45503548.77116783</v>
      </c>
      <c r="M152" s="2">
        <v>43275413.553234905</v>
      </c>
      <c r="N152" s="2">
        <v>43848944.591811202</v>
      </c>
      <c r="O152" s="2">
        <v>67338054.61060068</v>
      </c>
    </row>
    <row r="153" spans="1:15" ht="15" thickBot="1" x14ac:dyDescent="0.35">
      <c r="A153" t="s">
        <v>171</v>
      </c>
      <c r="B153" s="1"/>
      <c r="C153" s="5" t="s">
        <v>199</v>
      </c>
      <c r="D153" s="5">
        <v>40825523.845242999</v>
      </c>
      <c r="E153" s="5">
        <v>37645196.789450698</v>
      </c>
      <c r="F153" s="5">
        <v>41480565.671588272</v>
      </c>
      <c r="G153" s="5">
        <v>58409746.229321919</v>
      </c>
      <c r="H153" s="5">
        <v>56117521.490794107</v>
      </c>
      <c r="I153" s="5">
        <v>59922206.588794723</v>
      </c>
      <c r="J153" s="5">
        <v>61086359.339557178</v>
      </c>
      <c r="K153" s="5">
        <v>54862929.413774744</v>
      </c>
      <c r="L153" s="5">
        <v>48235545.041774429</v>
      </c>
      <c r="M153" s="5">
        <v>45873634.387195624</v>
      </c>
      <c r="N153" s="5">
        <v>46481599.765527427</v>
      </c>
      <c r="O153" s="5">
        <v>71380976.954772457</v>
      </c>
    </row>
    <row r="154" spans="1:15" x14ac:dyDescent="0.3">
      <c r="A154" t="s">
        <v>171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t="s">
        <v>171</v>
      </c>
      <c r="B155" s="4" t="s">
        <v>149</v>
      </c>
      <c r="D155" s="30">
        <v>1685326200.5437791</v>
      </c>
      <c r="E155" s="30">
        <v>1554038515.5714386</v>
      </c>
      <c r="F155" s="30">
        <v>1712367106.5362294</v>
      </c>
      <c r="G155" s="30">
        <v>2411223823.1294532</v>
      </c>
      <c r="H155" s="30">
        <v>2316598058.5215192</v>
      </c>
      <c r="I155" s="30">
        <v>2473659986.3680634</v>
      </c>
      <c r="J155" s="30">
        <v>2521717597.0856218</v>
      </c>
      <c r="K155" s="30">
        <v>2264807004.8069267</v>
      </c>
      <c r="L155" s="30">
        <v>1991220692.3435297</v>
      </c>
      <c r="M155" s="30">
        <v>1893718210.2052884</v>
      </c>
      <c r="N155" s="30">
        <v>1918815744.4098725</v>
      </c>
      <c r="O155" s="30">
        <v>2946691661.2830472</v>
      </c>
    </row>
    <row r="157" spans="1:15" x14ac:dyDescent="0.3">
      <c r="A157" t="s">
        <v>193</v>
      </c>
      <c r="C157" t="s">
        <v>132</v>
      </c>
      <c r="D157" s="2">
        <v>2331.439861309871</v>
      </c>
      <c r="E157" s="2">
        <v>1150.9343982310058</v>
      </c>
      <c r="F157" s="2">
        <v>1897.5445038932717</v>
      </c>
      <c r="G157" s="2">
        <v>3004.360810678184</v>
      </c>
      <c r="H157" s="2">
        <v>4647.6233218284879</v>
      </c>
      <c r="I157" s="2">
        <v>5543.5080266633177</v>
      </c>
      <c r="J157" s="2">
        <v>3571.9640704666945</v>
      </c>
      <c r="K157" s="2">
        <v>2606.398765570872</v>
      </c>
      <c r="L157" s="2">
        <v>1717.823153521784</v>
      </c>
      <c r="M157" s="2">
        <v>1512.1713707711201</v>
      </c>
      <c r="N157" s="2">
        <v>1937.6826496072704</v>
      </c>
      <c r="O157" s="2">
        <v>1770.8149915147683</v>
      </c>
    </row>
    <row r="158" spans="1:15" ht="15" thickBot="1" x14ac:dyDescent="0.35">
      <c r="A158" t="s">
        <v>193</v>
      </c>
      <c r="B158" s="1"/>
      <c r="C158" s="1" t="s">
        <v>133</v>
      </c>
      <c r="D158" s="3">
        <v>20663216.467157379</v>
      </c>
      <c r="E158" s="3">
        <v>20663216.467157368</v>
      </c>
      <c r="F158" s="3">
        <v>20663216.467157371</v>
      </c>
      <c r="G158" s="3">
        <v>20663216.467157364</v>
      </c>
      <c r="H158" s="3">
        <v>20663216.46715736</v>
      </c>
      <c r="I158" s="3">
        <v>20663216.467157368</v>
      </c>
      <c r="J158" s="3">
        <v>20663216.467157371</v>
      </c>
      <c r="K158" s="3">
        <v>20663216.467157364</v>
      </c>
      <c r="L158" s="3">
        <v>20663216.467157368</v>
      </c>
      <c r="M158" s="3">
        <v>20663216.467157368</v>
      </c>
      <c r="N158" s="3">
        <v>20663216.467157371</v>
      </c>
      <c r="O158" s="3">
        <v>20663216.467157368</v>
      </c>
    </row>
    <row r="159" spans="1:15" x14ac:dyDescent="0.3">
      <c r="A159" t="s">
        <v>193</v>
      </c>
      <c r="B159" s="4" t="s">
        <v>134</v>
      </c>
      <c r="D159" s="2">
        <v>48175046534.405243</v>
      </c>
      <c r="E159" s="2">
        <v>23782006610.144775</v>
      </c>
      <c r="F159" s="2">
        <v>39209372840.011414</v>
      </c>
      <c r="G159" s="2">
        <v>62079757776.487701</v>
      </c>
      <c r="H159" s="2">
        <v>96034846756.751007</v>
      </c>
      <c r="I159" s="2">
        <v>114546706342.3685</v>
      </c>
      <c r="J159" s="2">
        <v>73808266800.961868</v>
      </c>
      <c r="K159" s="2">
        <v>53856581892.722672</v>
      </c>
      <c r="L159" s="2">
        <v>35495751673.515526</v>
      </c>
      <c r="M159" s="2">
        <v>31246324369.68174</v>
      </c>
      <c r="N159" s="2">
        <v>40038756033.490074</v>
      </c>
      <c r="O159" s="2">
        <v>36590733492.957092</v>
      </c>
    </row>
    <row r="160" spans="1:15" x14ac:dyDescent="0.3">
      <c r="A160" t="s">
        <v>193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t="s">
        <v>193</v>
      </c>
      <c r="B161" s="4" t="s">
        <v>135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t="s">
        <v>193</v>
      </c>
      <c r="C162" t="s">
        <v>137</v>
      </c>
      <c r="D162" s="2">
        <v>25816170560.575176</v>
      </c>
      <c r="E162" s="2">
        <v>10451868171.8722</v>
      </c>
      <c r="F162" s="2">
        <v>20510322031.498955</v>
      </c>
      <c r="G162" s="2">
        <v>35055913070.704735</v>
      </c>
      <c r="H162" s="2">
        <v>57091895967.255432</v>
      </c>
      <c r="I162" s="2">
        <v>68126456962.08506</v>
      </c>
      <c r="J162" s="2">
        <v>42142098470.419083</v>
      </c>
      <c r="K162" s="2">
        <v>28243481621.90873</v>
      </c>
      <c r="L162" s="2">
        <v>17859456714.672729</v>
      </c>
      <c r="M162" s="2">
        <v>15306369014.949247</v>
      </c>
      <c r="N162" s="2">
        <v>19236582840.128551</v>
      </c>
      <c r="O162" s="2">
        <v>19285700706.978077</v>
      </c>
    </row>
    <row r="163" spans="1:15" x14ac:dyDescent="0.3">
      <c r="A163" t="s">
        <v>193</v>
      </c>
      <c r="C163" t="s">
        <v>136</v>
      </c>
      <c r="D163" s="2">
        <v>260304432.69228485</v>
      </c>
      <c r="E163" s="2">
        <v>105386180.67578828</v>
      </c>
      <c r="F163" s="2">
        <v>206805565.07085833</v>
      </c>
      <c r="G163" s="2">
        <v>353468751.02829123</v>
      </c>
      <c r="H163" s="2">
        <v>575657553.71087325</v>
      </c>
      <c r="I163" s="2">
        <v>686919025.78039873</v>
      </c>
      <c r="J163" s="2">
        <v>424918754.27710372</v>
      </c>
      <c r="K163" s="2">
        <v>284779008.70678657</v>
      </c>
      <c r="L163" s="2">
        <v>180076891.6287221</v>
      </c>
      <c r="M163" s="2">
        <v>154334109.84275591</v>
      </c>
      <c r="N163" s="2">
        <v>193962453.5478062</v>
      </c>
      <c r="O163" s="2">
        <v>194457708.97057775</v>
      </c>
    </row>
    <row r="164" spans="1:15" x14ac:dyDescent="0.3">
      <c r="A164" t="s">
        <v>193</v>
      </c>
      <c r="C164" t="s">
        <v>138</v>
      </c>
      <c r="D164" s="2">
        <v>256851617.04155236</v>
      </c>
      <c r="E164" s="2">
        <v>103988282.64445341</v>
      </c>
      <c r="F164" s="2">
        <v>204062386.69179723</v>
      </c>
      <c r="G164" s="2">
        <v>348780154.5915255</v>
      </c>
      <c r="H164" s="2">
        <v>568021727.49632323</v>
      </c>
      <c r="I164" s="2">
        <v>677807368.56246614</v>
      </c>
      <c r="J164" s="2">
        <v>419282407.212695</v>
      </c>
      <c r="K164" s="2">
        <v>281001549.33702904</v>
      </c>
      <c r="L164" s="2">
        <v>177688256.50898933</v>
      </c>
      <c r="M164" s="2">
        <v>152286940.59405977</v>
      </c>
      <c r="N164" s="2">
        <v>191389632.9917458</v>
      </c>
      <c r="O164" s="2">
        <v>191878319.08468628</v>
      </c>
    </row>
    <row r="165" spans="1:15" x14ac:dyDescent="0.3">
      <c r="A165" t="s">
        <v>193</v>
      </c>
      <c r="C165" t="s">
        <v>139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t="s">
        <v>193</v>
      </c>
      <c r="C166" t="s">
        <v>140</v>
      </c>
      <c r="D166" s="2">
        <v>2345749096.7812061</v>
      </c>
      <c r="E166" s="2">
        <v>949693924.05885983</v>
      </c>
      <c r="F166" s="2">
        <v>1863640824.1567037</v>
      </c>
      <c r="G166" s="2">
        <v>3185304971.1418548</v>
      </c>
      <c r="H166" s="2">
        <v>5187572768.9541655</v>
      </c>
      <c r="I166" s="2">
        <v>6190212235.8055201</v>
      </c>
      <c r="J166" s="2">
        <v>3829180985.2858262</v>
      </c>
      <c r="K166" s="2">
        <v>2566303214.8433762</v>
      </c>
      <c r="L166" s="2">
        <v>1622773771.1581504</v>
      </c>
      <c r="M166" s="2">
        <v>1390791140.2882011</v>
      </c>
      <c r="N166" s="2">
        <v>1747904349.9696741</v>
      </c>
      <c r="O166" s="2">
        <v>1752367374.0858092</v>
      </c>
    </row>
    <row r="167" spans="1:15" x14ac:dyDescent="0.3">
      <c r="A167" t="s">
        <v>193</v>
      </c>
      <c r="C167" t="s">
        <v>141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ht="15" thickBot="1" x14ac:dyDescent="0.35">
      <c r="A168" t="s">
        <v>193</v>
      </c>
      <c r="B168" s="1"/>
      <c r="C168" s="5" t="s">
        <v>197</v>
      </c>
      <c r="D168" s="5">
        <v>28679075707.090225</v>
      </c>
      <c r="E168" s="5">
        <v>11610936559.251303</v>
      </c>
      <c r="F168" s="5">
        <v>22784830807.41832</v>
      </c>
      <c r="G168" s="5">
        <v>38943466947.4664</v>
      </c>
      <c r="H168" s="5">
        <v>63423148017.416786</v>
      </c>
      <c r="I168" s="5">
        <v>75681395592.233444</v>
      </c>
      <c r="J168" s="5">
        <v>46815480617.194702</v>
      </c>
      <c r="K168" s="5">
        <v>31375565394.795925</v>
      </c>
      <c r="L168" s="5">
        <v>19839995633.96859</v>
      </c>
      <c r="M168" s="5">
        <v>17003781205.674263</v>
      </c>
      <c r="N168" s="5">
        <v>21369839276.637775</v>
      </c>
      <c r="O168" s="5">
        <v>21424404109.119148</v>
      </c>
    </row>
    <row r="169" spans="1:15" x14ac:dyDescent="0.3">
      <c r="A169" t="s">
        <v>193</v>
      </c>
      <c r="B169" s="4" t="s">
        <v>142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3">
      <c r="A170" t="s">
        <v>193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t="s">
        <v>193</v>
      </c>
      <c r="B171" s="4" t="s">
        <v>143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t="s">
        <v>193</v>
      </c>
      <c r="C172" t="s">
        <v>138</v>
      </c>
      <c r="D172" s="2">
        <v>1099759231.8214929</v>
      </c>
      <c r="E172" s="2">
        <v>542905159.45984018</v>
      </c>
      <c r="F172" s="2">
        <v>895087246.54656625</v>
      </c>
      <c r="G172" s="2">
        <v>1417181541.8004017</v>
      </c>
      <c r="H172" s="2">
        <v>2192321894.73594</v>
      </c>
      <c r="I172" s="2">
        <v>2614918029.9140658</v>
      </c>
      <c r="J172" s="2">
        <v>1684924637.0967476</v>
      </c>
      <c r="K172" s="2">
        <v>1229459593.5381649</v>
      </c>
      <c r="L172" s="2">
        <v>810311217.14668131</v>
      </c>
      <c r="M172" s="2">
        <v>713303590.92658114</v>
      </c>
      <c r="N172" s="2">
        <v>914020737.83223283</v>
      </c>
      <c r="O172" s="2">
        <v>835307900.10260844</v>
      </c>
    </row>
    <row r="173" spans="1:15" x14ac:dyDescent="0.3">
      <c r="A173" t="s">
        <v>193</v>
      </c>
      <c r="C173" t="s">
        <v>144</v>
      </c>
      <c r="D173" s="2">
        <v>609189193.1232996</v>
      </c>
      <c r="E173" s="2">
        <v>300731238.67852116</v>
      </c>
      <c r="F173" s="2">
        <v>495815321.86416352</v>
      </c>
      <c r="G173" s="2">
        <v>785018806.82439399</v>
      </c>
      <c r="H173" s="2">
        <v>1214391993.6991341</v>
      </c>
      <c r="I173" s="2">
        <v>1448480502.4900959</v>
      </c>
      <c r="J173" s="2">
        <v>933329632.92927575</v>
      </c>
      <c r="K173" s="2">
        <v>681034062.81456351</v>
      </c>
      <c r="L173" s="2">
        <v>448855369.67465037</v>
      </c>
      <c r="M173" s="2">
        <v>395119973.9317559</v>
      </c>
      <c r="N173" s="2">
        <v>506303143.14866304</v>
      </c>
      <c r="O173" s="2">
        <v>462701772.3053962</v>
      </c>
    </row>
    <row r="174" spans="1:15" x14ac:dyDescent="0.3">
      <c r="A174" t="s">
        <v>193</v>
      </c>
      <c r="C174" t="s">
        <v>145</v>
      </c>
      <c r="D174" s="2">
        <v>81838294.52036193</v>
      </c>
      <c r="E174" s="2">
        <v>40400144.914364472</v>
      </c>
      <c r="F174" s="2">
        <v>66607682.467890978</v>
      </c>
      <c r="G174" s="2">
        <v>105459192.38576314</v>
      </c>
      <c r="H174" s="2">
        <v>163141058.25479406</v>
      </c>
      <c r="I174" s="2">
        <v>194588438.71150821</v>
      </c>
      <c r="J174" s="2">
        <v>125383224.53265785</v>
      </c>
      <c r="K174" s="2">
        <v>91489912.887762338</v>
      </c>
      <c r="L174" s="2">
        <v>60299096.496029124</v>
      </c>
      <c r="M174" s="2">
        <v>53080299.457905829</v>
      </c>
      <c r="N174" s="2">
        <v>68016613.251375973</v>
      </c>
      <c r="O174" s="2">
        <v>62159218.095909737</v>
      </c>
    </row>
    <row r="175" spans="1:15" x14ac:dyDescent="0.3">
      <c r="A175" t="s">
        <v>193</v>
      </c>
      <c r="C175" t="s">
        <v>146</v>
      </c>
      <c r="D175" s="2">
        <v>113763708.64007679</v>
      </c>
      <c r="E175" s="2">
        <v>56160387.285576992</v>
      </c>
      <c r="F175" s="2">
        <v>92591579.845087752</v>
      </c>
      <c r="G175" s="2">
        <v>146599204.03163725</v>
      </c>
      <c r="H175" s="2">
        <v>226782974.00142479</v>
      </c>
      <c r="I175" s="2">
        <v>270498091.09591836</v>
      </c>
      <c r="J175" s="2">
        <v>174295673.04261965</v>
      </c>
      <c r="K175" s="2">
        <v>127180458.17389023</v>
      </c>
      <c r="L175" s="2">
        <v>83821991.712294966</v>
      </c>
      <c r="M175" s="2">
        <v>73787115.890529394</v>
      </c>
      <c r="N175" s="2">
        <v>94550139.613296762</v>
      </c>
      <c r="O175" s="2">
        <v>86407753.463125184</v>
      </c>
    </row>
    <row r="176" spans="1:15" x14ac:dyDescent="0.3">
      <c r="A176" t="s">
        <v>193</v>
      </c>
      <c r="C176" t="s">
        <v>147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 ht="15" thickBot="1" x14ac:dyDescent="0.35">
      <c r="A177" t="s">
        <v>193</v>
      </c>
      <c r="B177" s="1"/>
      <c r="C177" s="5" t="s">
        <v>198</v>
      </c>
      <c r="D177" s="5">
        <v>1904550428.1052313</v>
      </c>
      <c r="E177" s="5">
        <v>940196930.33830285</v>
      </c>
      <c r="F177" s="5">
        <v>1550101830.7237084</v>
      </c>
      <c r="G177" s="5">
        <v>2454258745.0421963</v>
      </c>
      <c r="H177" s="5">
        <v>3796637920.6912932</v>
      </c>
      <c r="I177" s="5">
        <v>4528485062.2115889</v>
      </c>
      <c r="J177" s="5">
        <v>2917933167.6013007</v>
      </c>
      <c r="K177" s="5">
        <v>2129164027.414381</v>
      </c>
      <c r="L177" s="5">
        <v>1403287675.0296559</v>
      </c>
      <c r="M177" s="5">
        <v>1235290980.2067723</v>
      </c>
      <c r="N177" s="5">
        <v>1582890633.8455687</v>
      </c>
      <c r="O177" s="5">
        <v>1446576643.9670396</v>
      </c>
    </row>
    <row r="178" spans="1:15" x14ac:dyDescent="0.3">
      <c r="A178" t="s">
        <v>193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3">
      <c r="A179" t="s">
        <v>193</v>
      </c>
      <c r="B179" s="4" t="s">
        <v>148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t="s">
        <v>193</v>
      </c>
      <c r="C180" t="s">
        <v>69</v>
      </c>
      <c r="D180" s="2">
        <v>4453573.237945416</v>
      </c>
      <c r="E180" s="2">
        <v>2198542.9346277937</v>
      </c>
      <c r="F180" s="2">
        <v>3624735.7526097842</v>
      </c>
      <c r="G180" s="2">
        <v>5739003.2338432278</v>
      </c>
      <c r="H180" s="2">
        <v>8878003.3273160607</v>
      </c>
      <c r="I180" s="2">
        <v>10589344.122311043</v>
      </c>
      <c r="J180" s="2">
        <v>6823252.8126183217</v>
      </c>
      <c r="K180" s="2">
        <v>4978806.4373398889</v>
      </c>
      <c r="L180" s="2">
        <v>3281427.6494995542</v>
      </c>
      <c r="M180" s="2">
        <v>2888586.6025597677</v>
      </c>
      <c r="N180" s="2">
        <v>3701408.6166793667</v>
      </c>
      <c r="O180" s="2">
        <v>3382653.9497921551</v>
      </c>
    </row>
    <row r="181" spans="1:15" x14ac:dyDescent="0.3">
      <c r="A181" t="s">
        <v>193</v>
      </c>
      <c r="C181" t="s">
        <v>111</v>
      </c>
      <c r="D181" s="2">
        <v>16511977.227773691</v>
      </c>
      <c r="E181" s="2">
        <v>8151272.9063380901</v>
      </c>
      <c r="F181" s="2">
        <v>13438996.285912978</v>
      </c>
      <c r="G181" s="2">
        <v>21277811.241531529</v>
      </c>
      <c r="H181" s="2">
        <v>32915903.912780449</v>
      </c>
      <c r="I181" s="2">
        <v>39260836.1113028</v>
      </c>
      <c r="J181" s="2">
        <v>25297752.847390663</v>
      </c>
      <c r="K181" s="2">
        <v>18459321.116447054</v>
      </c>
      <c r="L181" s="2">
        <v>12166154.170649718</v>
      </c>
      <c r="M181" s="2">
        <v>10709664.723942649</v>
      </c>
      <c r="N181" s="2">
        <v>13723267.03164101</v>
      </c>
      <c r="O181" s="2">
        <v>12541458.735317502</v>
      </c>
    </row>
    <row r="182" spans="1:15" x14ac:dyDescent="0.3">
      <c r="A182" t="s">
        <v>193</v>
      </c>
      <c r="C182" t="s">
        <v>122</v>
      </c>
      <c r="D182" s="2">
        <v>594733.00644605863</v>
      </c>
      <c r="E182" s="2">
        <v>293594.82362866524</v>
      </c>
      <c r="F182" s="2">
        <v>484049.52081054234</v>
      </c>
      <c r="G182" s="2">
        <v>766390.14672224142</v>
      </c>
      <c r="H182" s="2">
        <v>1185574.2182716758</v>
      </c>
      <c r="I182" s="2">
        <v>1414107.75789989</v>
      </c>
      <c r="J182" s="2">
        <v>911181.52597443725</v>
      </c>
      <c r="K182" s="2">
        <v>664872.98238709988</v>
      </c>
      <c r="L182" s="2">
        <v>438203.93808599864</v>
      </c>
      <c r="M182" s="2">
        <v>385743.69449748169</v>
      </c>
      <c r="N182" s="2">
        <v>494288.46390738239</v>
      </c>
      <c r="O182" s="2">
        <v>451721.76269287622</v>
      </c>
    </row>
    <row r="183" spans="1:15" x14ac:dyDescent="0.3">
      <c r="A183" t="s">
        <v>193</v>
      </c>
      <c r="C183" t="s">
        <v>127</v>
      </c>
      <c r="D183" s="2">
        <v>359103495.51027757</v>
      </c>
      <c r="E183" s="2">
        <v>177274384.11195624</v>
      </c>
      <c r="F183" s="2">
        <v>292272117.13346559</v>
      </c>
      <c r="G183" s="2">
        <v>462751146.53074646</v>
      </c>
      <c r="H183" s="2">
        <v>715857101.17610216</v>
      </c>
      <c r="I183" s="2">
        <v>853847076.56394315</v>
      </c>
      <c r="J183" s="2">
        <v>550177083.62464416</v>
      </c>
      <c r="K183" s="2">
        <v>401454450.07718068</v>
      </c>
      <c r="L183" s="2">
        <v>264590268.58689022</v>
      </c>
      <c r="M183" s="2">
        <v>232914446.589838</v>
      </c>
      <c r="N183" s="2">
        <v>298454454.78171176</v>
      </c>
      <c r="O183" s="2">
        <v>272752415.3240158</v>
      </c>
    </row>
    <row r="184" spans="1:15" ht="15" thickBot="1" x14ac:dyDescent="0.35">
      <c r="A184" t="s">
        <v>193</v>
      </c>
      <c r="B184" s="1"/>
      <c r="C184" s="5" t="s">
        <v>199</v>
      </c>
      <c r="D184" s="5">
        <v>380663778.98244274</v>
      </c>
      <c r="E184" s="5">
        <v>187917794.7765508</v>
      </c>
      <c r="F184" s="5">
        <v>309819898.69279891</v>
      </c>
      <c r="G184" s="5">
        <v>490534351.15284342</v>
      </c>
      <c r="H184" s="5">
        <v>758836582.63447022</v>
      </c>
      <c r="I184" s="5">
        <v>905111364.55545688</v>
      </c>
      <c r="J184" s="5">
        <v>583209270.81062758</v>
      </c>
      <c r="K184" s="5">
        <v>425557450.61335474</v>
      </c>
      <c r="L184" s="5">
        <v>280476054.3451255</v>
      </c>
      <c r="M184" s="5">
        <v>246898441.61083791</v>
      </c>
      <c r="N184" s="5">
        <v>316373418.89393955</v>
      </c>
      <c r="O184" s="5">
        <v>289128249.77181834</v>
      </c>
    </row>
    <row r="185" spans="1:15" x14ac:dyDescent="0.3">
      <c r="A185" t="s">
        <v>193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">
      <c r="A186" t="s">
        <v>193</v>
      </c>
      <c r="B186" s="4" t="s">
        <v>149</v>
      </c>
      <c r="D186" s="30">
        <v>17210756620.227345</v>
      </c>
      <c r="E186" s="30">
        <v>11042955325.778618</v>
      </c>
      <c r="F186" s="30">
        <v>14564620303.176584</v>
      </c>
      <c r="G186" s="30">
        <v>20191497732.826263</v>
      </c>
      <c r="H186" s="30">
        <v>28056224236.008469</v>
      </c>
      <c r="I186" s="30">
        <v>33431714323.368015</v>
      </c>
      <c r="J186" s="30">
        <v>23491643745.355236</v>
      </c>
      <c r="K186" s="30">
        <v>19926295019.89901</v>
      </c>
      <c r="L186" s="30">
        <v>13971992310.17215</v>
      </c>
      <c r="M186" s="30">
        <v>12760353742.189865</v>
      </c>
      <c r="N186" s="30">
        <v>16769652704.112783</v>
      </c>
      <c r="O186" s="30">
        <v>13430624490.099083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0 7 f 2 c a - d d 1 c - 4 b 3 f - 9 1 d 8 - 9 b c e f e 3 8 f 0 5 d "   x m l n s = " h t t p : / / s c h e m a s . m i c r o s o f t . c o m / D a t a M a s h u p " > A A A A A K Y G A A B Q S w M E F A A C A A g A t I B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t I B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A S F b r y o T A o A M A A C g M A A A T A B w A R m 9 y b X V s Y X M v U 2 V j d G l v b j E u b S C i G A A o o B Q A A A A A A A A A A A A A A A A A A A A A A A A A A A C N V s 9 P 2 0 g U v i P x P z x 5 L 4 5 k o o y h 0 J Z l J R K W B V F o h A M 9 h K g a n N n Y w p 6 x 7 H F L h D j 0 s K c 9 r f a 0 t 6 L V H q q K E z d y 6 C F / S f 6 T z s Q x s T 0 e u r l E e t + b 9 7 5 v 3 o 9 x Q l z u M w p O 9 o + 2 V 1 d W V x I P x 2 Q I P x l 7 m G P Y d X m K A w N 2 I C B 8 d Q X E z 2 F p 7 B J h + f X a J U H z H Y u v L h m 7 M v f 9 g D Q 7 j H J C e W I a e 6 8 v 3 p 8 f n u x 2 9 t 9 e n P s U h z 6 / m I e 0 W w j B G h y f 7 c P G i x b w M X x Y h 7 X W K 2 Q j t P Z R R P P p q H k d J N d G w w K a B o E F P E 5 J w 8 r S l 4 i 9 d z x C u K S X s b r p H 3 I S 7 p S 4 W 0 c + H e 4 Y m e f g t i + x w V O w j o f p S O j t j S M i 4 / T w p Z D R i z F N f m d x 2 G F B G l I J J m Z d Z u v m x s h 8 k C F 4 C j / A d H x r Q W 6 2 c z M n 1 7 x g X 6 9 3 3 9 C 4 v 9 D Y N z X 2 r f r w L z X u r z R 2 1 N I B S A f o B K N 1 H a D T j H S i k U 4 1 2 t I B O u F I p 9 x u a e q p E 2 7 b m g O a S t t l 2 b f L / j 4 l I f s g W 5 J F c M o + J s u 2 d K 7 8 y K z 0 r I X U k 1 m G w s E M W J j N m h R W s Y 2 L i o o q l s w L b L s x C x k X s Q 4 I H p K 4 k H S B L O y m S s + C / s J n N w g c F w c 4 T n b k r A 8 a t f O J f j i g C h k 5 n 7 0 j 8 G a P d 6 4 H f P q A q U h 7 S P n m R l M e m h f k Z D T 9 P M 6 r M c Q 8 s 3 a 8 2 e Q L H Q G f T b 4 q N e 9 N P / t w 5 b H Z 4 7 8 1 A f f 8 2 e Q P C i N f w L 5 y 1 p l N / g I u X D 7 R H K N p e E n i O d r u d h 0 1 Y n s 2 + Q c i I e O e i r / p H Y f E p 5 4 S e s E I w t n k P 1 c 6 3 q u h j s 5 V N R 4 O w f U E 3 W + p C h 5 M P 5 3 8 V n N r B 9 O / j 6 H T V Z E 3 g s S d L w P m F M o R T 7 z p Q 6 i H 2 1 2 B T e 9 r 5 L W 7 d e m K d + O K o v 2 Z 1 s f t H a l n j 3 E U i f e m D B S 6 e y + N A t / F / K l r l y 3 4 B G W A W e 1 V M S 9 q 5 1 V N 4 i H s s G h s L D M 6 I i p f J I P L M X R Z 4 s v X u b A F p M c i 6 f P P l U J e S F b m I a d Q 2 k a C K a F r Z 4 5 8 g / U H 5 k w 4 i T N K P X G y P T 4 l E Z E p 3 x A 6 4 l 5 i 2 o 3 s 7 u t C N O t u K c f s 4 p Y p X q 3 9 w z W g v c O a d V C k U m k O L T F d t 1 Q W H N I v 4 L I e 6 5 l c h f D i C 0 t c t j h V e R V I I D 7 g p E 3 d s V I V w T J q 6 R O q 4 m X r i Z Z z 6 o n O K 1 l Y C T V L Q J 3 7 0 q j n 0 / 3 M P G c j X B j a b J l V 9 9 f T Q q / u 8 O r a V h Z 1 v n 1 1 + 1 Z X D P T / q m H n 1 T D 7 6 q Y e w M + / z L 9 3 x Y f C E H Q O h t G Y 4 2 a / U o i B Y L B p I 2 A x 1 E O 2 H t p q N F Z X f K q R t v 0 d U E s B A i 0 A F A A C A A g A t I B I V o 2 Y c i i k A A A A 9 g A A A B I A A A A A A A A A A A A A A A A A A A A A A E N v b m Z p Z y 9 Q Y W N r Y W d l L n h t b F B L A Q I t A B Q A A g A I A L S A S F Y P y u m r p A A A A O k A A A A T A A A A A A A A A A A A A A A A A P A A A A B b Q 2 9 u d G V u d F 9 U e X B l c 1 0 u e G 1 s U E s B A i 0 A F A A C A A g A t I B I V u v K h M C g A w A A K A w A A B M A A A A A A A A A A A A A A A A A 4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E A A A A A A A A i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E F j d H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w N z o w M T o w M i 4 4 M z Q 0 M j M 5 W i I g L z 4 8 R W 5 0 c n k g V H l w Z T 0 i R m l s b E N v b H V t b l R 5 c G V z I i B W Y W x 1 Z T 0 i c 0 F 3 V U R B d z 0 9 I i A v P j x F b n R y e S B U e X B l P S J G a W x s Q 2 9 s d W 1 u T m F t Z X M i I F Z h b H V l P S J z W y Z x d W 9 0 O 1 R L I G j h u q F j a C B 0 w 7 N h b i Z x d W 9 0 O y w m c X V v d D t T 4 b u R I H R p 4 b u B b i Z x d W 9 0 O y w m c X V v d D t r a G / h u q N u I G 3 h u 6 V j I H B o w 6 0 m c X V v d D s s J n F 1 b 3 Q 7 V E j D g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B Y 3 R 1 Y W w v Q 2 h h b m d l Z C B U e X B l M S 5 7 V E s g a O G 6 o W N o I H T D s 2 F u L D B 9 J n F 1 b 3 Q 7 L C Z x d W 9 0 O 1 N l Y 3 R p b 2 4 x L 0 R h d G E g Q W N 0 d W F s L 0 N o Y W 5 n Z W Q g V H l w Z T E u e 1 P h u 5 E g d G n h u 4 F u L D V 9 J n F 1 b 3 Q 7 L C Z x d W 9 0 O 1 N l Y 3 R p b 2 4 x L 0 R h d G E g Q W N 0 d W F s L 0 N o Y W 5 n Z W Q g V H l w Z T E u e 2 t o b + G 6 o 2 4 g b e G 7 p W M g c G j D r S w 4 f S Z x d W 9 0 O y w m c X V v d D t T Z W N 0 a W 9 u M S 9 E Y X R h I E F j d H V h b C 9 D a G F u Z 2 V k I F R 5 c G U x L n t U S M O B T k c s M T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E g Q W N 0 d W F s L 0 N o Y W 5 n Z W Q g V H l w Z T E u e 1 R L I G j h u q F j a C B 0 w 7 N h b i w w f S Z x d W 9 0 O y w m c X V v d D t T Z W N 0 a W 9 u M S 9 E Y X R h I E F j d H V h b C 9 D a G F u Z 2 V k I F R 5 c G U x L n t T 4 b u R I H R p 4 b u B b i w 1 f S Z x d W 9 0 O y w m c X V v d D t T Z W N 0 a W 9 u M S 9 E Y X R h I E F j d H V h b C 9 D a G F u Z 2 V k I F R 5 c G U x L n t r a G / h u q N u I G 3 h u 6 V j I H B o w 6 0 s O H 0 m c X V v d D s s J n F 1 b 3 Q 7 U 2 V j d G l v b j E v R G F 0 Y S B B Y 3 R 1 Y W w v Q 2 h h b m d l Z C B U e X B l M S 5 7 V E j D g U 5 H L D E x f S Z x d W 9 0 O 1 0 s J n F 1 b 3 Q 7 U m V s Y X R p b 2 5 z a G l w S W 5 m b y Z x d W 9 0 O z p b X X 0 i I C 8 + P E V u d H J 5 I F R 5 c G U 9 I l F 1 Z X J 5 S U Q i I F Z h b H V l P S J z O W F m M m Q 3 Z D A t M z E 0 M y 0 0 Z T B h L T k x M T I t M G M 2 Z m N h M T U z N T V m I i A v P j w v U 3 R h Y m x l R W 5 0 c m l l c z 4 8 L 0 l 0 Z W 0 + P E l 0 Z W 0 + P E l 0 Z W 1 M b 2 N h d G l v b j 4 8 S X R l b V R 5 c G U + R m 9 y b X V s Y T w v S X R l b V R 5 c G U + P E l 0 Z W 1 Q Y X R o P l N l Y 3 R p b 2 4 x L 0 R h d G E l M j B B Y 3 R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j d H V h b C 9 E Y X R h J T I w Q W N 0 d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j d H V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Y 3 R 1 Y W w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N 0 d W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j d H V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N 0 d W F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Y 3 R 1 Y W w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Y 3 R 1 Y W w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j d H V h b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N 0 d W F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Y 3 R 1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j d H V h b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N 0 d W F s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F i / t U n H U + 7 v A 9 B f L c h s g A A A A A C A A A A A A A Q Z g A A A A E A A C A A A A C N y k F m f V S g w E c z 0 G 8 U 1 M i y 0 B x w U 2 Q u L k C 5 L B a s F 4 2 c t Q A A A A A O g A A A A A I A A C A A A A B s r 1 X 6 i 1 6 R 3 d T S k w w w + / Y 0 K e Z o 6 f F 6 f D J F l i v B 4 N d d 4 l A A A A D Z W L n R T a G l v / a N 7 h 7 U Z z 2 0 e h o E f w F i n r n b U E s f 0 W G i 2 t 5 h 9 n s D 8 W x U o 5 8 F z u h m J M c l t O z f K k 7 E x g V / n t O C Y z 7 r Y / w L 9 4 n L 2 n V Z J v L h N Y e / s E A A A A B D K R l 2 0 S l b 9 d S U 9 j j v B 0 f W f H 3 f f 0 R G K m g Q G w I L G P V l D J A O K S c C 8 6 G V D t b 7 E v Q j m n W f A y t I q B 7 H t v A H O / v x C R Z Q < / D a t a M a s h u p > 
</file>

<file path=customXml/itemProps1.xml><?xml version="1.0" encoding="utf-8"?>
<ds:datastoreItem xmlns:ds="http://schemas.openxmlformats.org/officeDocument/2006/customXml" ds:itemID="{3A738234-B4A2-47B9-A148-ACDDD5007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PL</vt:lpstr>
      <vt:lpstr>COGS</vt:lpstr>
      <vt:lpstr>Data</vt:lpstr>
      <vt:lpstr>Volume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VINACFO</cp:lastModifiedBy>
  <dcterms:created xsi:type="dcterms:W3CDTF">2023-02-08T03:26:19Z</dcterms:created>
  <dcterms:modified xsi:type="dcterms:W3CDTF">2023-02-22T04:22:01Z</dcterms:modified>
</cp:coreProperties>
</file>