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nicgoebel/Desktop/"/>
    </mc:Choice>
  </mc:AlternateContent>
  <xr:revisionPtr revIDLastSave="0" documentId="13_ncr:1_{4BFDA534-C985-004D-8D4A-72BB767878A4}" xr6:coauthVersionLast="36" xr6:coauthVersionMax="36" xr10:uidLastSave="{00000000-0000-0000-0000-000000000000}"/>
  <bookViews>
    <workbookView xWindow="0" yWindow="460" windowWidth="25600" windowHeight="14060" xr2:uid="{00000000-000D-0000-FFFF-FFFF00000000}"/>
  </bookViews>
  <sheets>
    <sheet name="Builds" sheetId="5" r:id="rId1"/>
    <sheet name="Favorite Builds" sheetId="8" r:id="rId2"/>
    <sheet name="Characters" sheetId="10" r:id="rId3"/>
    <sheet name="Karts" sheetId="11" r:id="rId4"/>
    <sheet name="Tires" sheetId="12" r:id="rId5"/>
    <sheet name="Gliders" sheetId="13" r:id="rId6"/>
    <sheet name="Compiler" sheetId="6" r:id="rId7"/>
    <sheet name="Stats Tables" sheetId="1" r:id="rId8"/>
    <sheet name="Lists" sheetId="9" r:id="rId9"/>
    <sheet name="Notes" sheetId="7" r:id="rId10"/>
  </sheets>
  <definedNames>
    <definedName name="DriversLIST">Table6[Driver]</definedName>
    <definedName name="GlidersLIST">Table15[Glider]</definedName>
    <definedName name="KartsLIST">Table7[Body]</definedName>
    <definedName name="TiresLIST">Table14[Tire]</definedName>
  </definedNames>
  <calcPr calcId="191029"/>
</workbook>
</file>

<file path=xl/calcChain.xml><?xml version="1.0" encoding="utf-8"?>
<calcChain xmlns="http://schemas.openxmlformats.org/spreadsheetml/2006/main">
  <c r="F139" i="1" l="1"/>
  <c r="F140" i="1"/>
  <c r="F141" i="1"/>
  <c r="F142" i="1"/>
  <c r="F143" i="1"/>
  <c r="F144" i="1"/>
  <c r="F145" i="1"/>
  <c r="F146" i="1"/>
  <c r="F147" i="1"/>
  <c r="F148" i="1"/>
  <c r="F149" i="1"/>
  <c r="F150" i="1"/>
  <c r="F151" i="1"/>
  <c r="F152" i="1"/>
  <c r="F153" i="1"/>
  <c r="F111" i="1"/>
  <c r="F112" i="1"/>
  <c r="F113" i="1"/>
  <c r="F114" i="1"/>
  <c r="F115" i="1"/>
  <c r="F116" i="1"/>
  <c r="F117" i="1"/>
  <c r="F118" i="1"/>
  <c r="F119" i="1"/>
  <c r="F120" i="1"/>
  <c r="F121" i="1"/>
  <c r="F122" i="1"/>
  <c r="F123" i="1"/>
  <c r="F124" i="1"/>
  <c r="F125" i="1"/>
  <c r="F126" i="1"/>
  <c r="F127" i="1"/>
  <c r="F128" i="1"/>
  <c r="F129" i="1"/>
  <c r="F130" i="1"/>
  <c r="F131" i="1"/>
  <c r="F13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42" i="1" l="1"/>
  <c r="F43" i="1"/>
  <c r="F44" i="1"/>
  <c r="F45" i="1"/>
  <c r="F54" i="1"/>
  <c r="F55" i="1"/>
  <c r="F52" i="1"/>
  <c r="F53" i="1"/>
  <c r="F2" i="1"/>
  <c r="F3" i="1"/>
  <c r="F4" i="1"/>
  <c r="F5" i="1"/>
  <c r="F6" i="1"/>
  <c r="F7" i="1"/>
  <c r="F8" i="1"/>
  <c r="F9" i="1"/>
  <c r="F31" i="1"/>
  <c r="F32" i="1"/>
  <c r="F33" i="1"/>
  <c r="F34" i="1"/>
  <c r="F39" i="1"/>
  <c r="F40" i="1"/>
  <c r="F41" i="1"/>
  <c r="F49" i="1"/>
  <c r="F50" i="1"/>
  <c r="F51" i="1"/>
  <c r="F46" i="1"/>
  <c r="F47" i="1"/>
  <c r="F48" i="1"/>
  <c r="F10" i="1"/>
  <c r="F11" i="1"/>
  <c r="F12" i="1"/>
  <c r="F13" i="1"/>
  <c r="F14" i="1"/>
  <c r="F15" i="1"/>
  <c r="F16" i="1"/>
  <c r="F17" i="1"/>
  <c r="F18" i="1"/>
  <c r="F19" i="1"/>
  <c r="F20" i="1"/>
  <c r="F21" i="1"/>
  <c r="F22" i="1"/>
  <c r="F23" i="1"/>
  <c r="F24" i="1"/>
  <c r="F35" i="1"/>
  <c r="F36" i="1"/>
  <c r="F37" i="1"/>
  <c r="F38" i="1"/>
  <c r="F25" i="1"/>
  <c r="F26" i="1"/>
  <c r="F27" i="1"/>
  <c r="F28" i="1"/>
  <c r="F29" i="1"/>
  <c r="F30" i="1"/>
  <c r="B18" i="6" l="1"/>
  <c r="D18" i="6" s="1"/>
  <c r="B19" i="6"/>
  <c r="G19" i="6" s="1"/>
  <c r="B20" i="6"/>
  <c r="F20" i="6" s="1"/>
  <c r="B21" i="6"/>
  <c r="E21" i="6" s="1"/>
  <c r="B10" i="6"/>
  <c r="F10" i="6" s="1"/>
  <c r="B11" i="6"/>
  <c r="D11" i="6" s="1"/>
  <c r="B12" i="6"/>
  <c r="G12" i="6" s="1"/>
  <c r="B13" i="6"/>
  <c r="F13" i="6" s="1"/>
  <c r="B2" i="6"/>
  <c r="F2" i="6" s="1"/>
  <c r="B3" i="6"/>
  <c r="D3" i="6" s="1"/>
  <c r="B4" i="6"/>
  <c r="F4" i="6" s="1"/>
  <c r="B5" i="6"/>
  <c r="D5" i="6" s="1"/>
  <c r="J2" i="9"/>
  <c r="J13" i="9"/>
  <c r="J6" i="9"/>
  <c r="J14" i="9"/>
  <c r="J3" i="9"/>
  <c r="J5" i="9"/>
  <c r="J15" i="9"/>
  <c r="J11" i="9"/>
  <c r="J8" i="9"/>
  <c r="J7" i="9"/>
  <c r="J10" i="9"/>
  <c r="J4" i="9"/>
  <c r="J12" i="9"/>
  <c r="J9" i="9"/>
  <c r="C18" i="6" l="1"/>
  <c r="P21" i="6"/>
  <c r="L21" i="6"/>
  <c r="H21" i="6"/>
  <c r="D21" i="6"/>
  <c r="M20" i="6"/>
  <c r="I20" i="6"/>
  <c r="E20" i="6"/>
  <c r="N19" i="6"/>
  <c r="J19" i="6"/>
  <c r="F19" i="6"/>
  <c r="O18" i="6"/>
  <c r="K18" i="6"/>
  <c r="G18" i="6"/>
  <c r="C19" i="6"/>
  <c r="O21" i="6"/>
  <c r="K21" i="6"/>
  <c r="G21" i="6"/>
  <c r="P20" i="6"/>
  <c r="L20" i="6"/>
  <c r="H20" i="6"/>
  <c r="D20" i="6"/>
  <c r="M19" i="6"/>
  <c r="I19" i="6"/>
  <c r="E19" i="6"/>
  <c r="N18" i="6"/>
  <c r="J18" i="6"/>
  <c r="F18" i="6"/>
  <c r="C20" i="6"/>
  <c r="N21" i="6"/>
  <c r="J21" i="6"/>
  <c r="F21" i="6"/>
  <c r="O20" i="6"/>
  <c r="K20" i="6"/>
  <c r="G20" i="6"/>
  <c r="P19" i="6"/>
  <c r="L19" i="6"/>
  <c r="H19" i="6"/>
  <c r="D19" i="6"/>
  <c r="M18" i="6"/>
  <c r="I18" i="6"/>
  <c r="E18" i="6"/>
  <c r="C21" i="6"/>
  <c r="M21" i="6"/>
  <c r="I21" i="6"/>
  <c r="N20" i="6"/>
  <c r="J20" i="6"/>
  <c r="O19" i="6"/>
  <c r="K19" i="6"/>
  <c r="P18" i="6"/>
  <c r="L18" i="6"/>
  <c r="H18" i="6"/>
  <c r="C10" i="6"/>
  <c r="M10" i="6"/>
  <c r="I10" i="6"/>
  <c r="E10" i="6"/>
  <c r="C13" i="6"/>
  <c r="M13" i="6"/>
  <c r="I13" i="6"/>
  <c r="E13" i="6"/>
  <c r="N12" i="6"/>
  <c r="J12" i="6"/>
  <c r="F12" i="6"/>
  <c r="O11" i="6"/>
  <c r="K11" i="6"/>
  <c r="G11" i="6"/>
  <c r="P10" i="6"/>
  <c r="L10" i="6"/>
  <c r="H10" i="6"/>
  <c r="D10" i="6"/>
  <c r="P13" i="6"/>
  <c r="L13" i="6"/>
  <c r="H13" i="6"/>
  <c r="D13" i="6"/>
  <c r="M12" i="6"/>
  <c r="I12" i="6"/>
  <c r="E12" i="6"/>
  <c r="N11" i="6"/>
  <c r="J11" i="6"/>
  <c r="F11" i="6"/>
  <c r="O10" i="6"/>
  <c r="K10" i="6"/>
  <c r="G10" i="6"/>
  <c r="C11" i="6"/>
  <c r="O13" i="6"/>
  <c r="K13" i="6"/>
  <c r="G13" i="6"/>
  <c r="P12" i="6"/>
  <c r="L12" i="6"/>
  <c r="H12" i="6"/>
  <c r="D12" i="6"/>
  <c r="M11" i="6"/>
  <c r="I11" i="6"/>
  <c r="E11" i="6"/>
  <c r="N10" i="6"/>
  <c r="J10" i="6"/>
  <c r="C12" i="6"/>
  <c r="N13" i="6"/>
  <c r="J13" i="6"/>
  <c r="O12" i="6"/>
  <c r="K12" i="6"/>
  <c r="P11" i="6"/>
  <c r="L11" i="6"/>
  <c r="H11" i="6"/>
  <c r="C4" i="6"/>
  <c r="M4" i="6"/>
  <c r="I4" i="6"/>
  <c r="E4" i="6"/>
  <c r="O5" i="6"/>
  <c r="K5" i="6"/>
  <c r="G5" i="6"/>
  <c r="P4" i="6"/>
  <c r="H4" i="6"/>
  <c r="N5" i="6"/>
  <c r="F5" i="6"/>
  <c r="O4" i="6"/>
  <c r="K4" i="6"/>
  <c r="G4" i="6"/>
  <c r="C5" i="6"/>
  <c r="M5" i="6"/>
  <c r="I5" i="6"/>
  <c r="E5" i="6"/>
  <c r="L4" i="6"/>
  <c r="D4" i="6"/>
  <c r="J5" i="6"/>
  <c r="N4" i="6"/>
  <c r="J4" i="6"/>
  <c r="P5" i="6"/>
  <c r="L5" i="6"/>
  <c r="H5" i="6"/>
  <c r="C2" i="6"/>
  <c r="M2" i="6"/>
  <c r="I2" i="6"/>
  <c r="E2" i="6"/>
  <c r="O3" i="6"/>
  <c r="K3" i="6"/>
  <c r="G3" i="6"/>
  <c r="P2" i="6"/>
  <c r="L2" i="6"/>
  <c r="H2" i="6"/>
  <c r="D2" i="6"/>
  <c r="N3" i="6"/>
  <c r="J3" i="6"/>
  <c r="F3" i="6"/>
  <c r="O2" i="6"/>
  <c r="K2" i="6"/>
  <c r="G2" i="6"/>
  <c r="C3" i="6"/>
  <c r="M3" i="6"/>
  <c r="I3" i="6"/>
  <c r="E3" i="6"/>
  <c r="N2" i="6"/>
  <c r="J2" i="6"/>
  <c r="P3" i="6"/>
  <c r="L3" i="6"/>
  <c r="H3" i="6"/>
  <c r="C11" i="5"/>
  <c r="B9" i="5"/>
  <c r="C9" i="5"/>
  <c r="D6" i="5"/>
  <c r="D11" i="5"/>
  <c r="B13" i="5"/>
  <c r="D12" i="5"/>
  <c r="D14" i="5"/>
  <c r="C17" i="5"/>
  <c r="C10" i="5"/>
  <c r="B14" i="5"/>
  <c r="D15" i="5"/>
  <c r="D16" i="5"/>
  <c r="B12" i="5"/>
  <c r="C14" i="5"/>
  <c r="D7" i="5"/>
  <c r="C15" i="5"/>
  <c r="B18" i="5"/>
  <c r="B10" i="5"/>
  <c r="C13" i="5"/>
  <c r="B7" i="5"/>
  <c r="C16" i="5"/>
  <c r="B6" i="5"/>
  <c r="D17" i="5"/>
  <c r="B15" i="5"/>
  <c r="B8" i="5"/>
  <c r="D8" i="5"/>
  <c r="D9" i="5"/>
  <c r="C19" i="5"/>
  <c r="C12" i="5"/>
  <c r="D19" i="5"/>
  <c r="B19" i="5"/>
  <c r="C7" i="5"/>
  <c r="B17" i="5"/>
  <c r="B16" i="5"/>
  <c r="D18" i="5"/>
  <c r="C8" i="5"/>
  <c r="C6" i="5"/>
  <c r="D10" i="5"/>
  <c r="B11" i="5"/>
  <c r="C18" i="5"/>
  <c r="D13" i="5"/>
</calcChain>
</file>

<file path=xl/sharedStrings.xml><?xml version="1.0" encoding="utf-8"?>
<sst xmlns="http://schemas.openxmlformats.org/spreadsheetml/2006/main" count="603" uniqueCount="223">
  <si>
    <t>Driver</t>
  </si>
  <si>
    <t>Mario</t>
  </si>
  <si>
    <t>Luigi</t>
  </si>
  <si>
    <t>Peach</t>
  </si>
  <si>
    <t>Daisy</t>
  </si>
  <si>
    <t>Yoshi</t>
  </si>
  <si>
    <t>Toad</t>
  </si>
  <si>
    <t>Toadette</t>
  </si>
  <si>
    <t>Koopa Troopa</t>
  </si>
  <si>
    <t>Bowser</t>
  </si>
  <si>
    <t>Donkey Kong</t>
  </si>
  <si>
    <t>Wario</t>
  </si>
  <si>
    <t>Waluigi</t>
  </si>
  <si>
    <t>Rosalina</t>
  </si>
  <si>
    <t>Metal Mario</t>
  </si>
  <si>
    <t>Pink Gold Peach</t>
  </si>
  <si>
    <t>Lakitu</t>
  </si>
  <si>
    <t>Shy Guy</t>
  </si>
  <si>
    <t>Baby Mario</t>
  </si>
  <si>
    <t>Baby Luigi</t>
  </si>
  <si>
    <t>Baby Peach</t>
  </si>
  <si>
    <t>Baby Daisy</t>
  </si>
  <si>
    <t>Baby Rosalina</t>
  </si>
  <si>
    <t>Larry</t>
  </si>
  <si>
    <t>Lemmy</t>
  </si>
  <si>
    <t>Wendy</t>
  </si>
  <si>
    <t>Ludwig</t>
  </si>
  <si>
    <t>Iggy</t>
  </si>
  <si>
    <t>Roy</t>
  </si>
  <si>
    <t>Morton</t>
  </si>
  <si>
    <t>Mii (medium)</t>
  </si>
  <si>
    <t>Tanooki Mario</t>
  </si>
  <si>
    <t>Link</t>
  </si>
  <si>
    <t>Villager (male)</t>
  </si>
  <si>
    <t>Isabelle</t>
  </si>
  <si>
    <t>Cat Peach</t>
  </si>
  <si>
    <t>Dry Bowser</t>
  </si>
  <si>
    <t>Villager (female)</t>
  </si>
  <si>
    <t>Gold Mario</t>
  </si>
  <si>
    <t>Dry Bones</t>
  </si>
  <si>
    <t>Bowser Jr.</t>
  </si>
  <si>
    <t>King Boo</t>
  </si>
  <si>
    <t>Inkling Girl</t>
  </si>
  <si>
    <t>Inkling Boy</t>
  </si>
  <si>
    <t>Link (Breath of the Wild)</t>
  </si>
  <si>
    <t>Birdo</t>
  </si>
  <si>
    <t>Kamek</t>
  </si>
  <si>
    <t>Petey Piranha</t>
  </si>
  <si>
    <t>Wiggler</t>
  </si>
  <si>
    <t>Diddy Kong</t>
  </si>
  <si>
    <t>Funky Kong</t>
  </si>
  <si>
    <t>Peachette</t>
  </si>
  <si>
    <t>Pauline</t>
  </si>
  <si>
    <t>Body</t>
  </si>
  <si>
    <t>Standard Kart</t>
  </si>
  <si>
    <t>Pipe Frame</t>
  </si>
  <si>
    <t>Mach 8</t>
  </si>
  <si>
    <t>Steel Driver</t>
  </si>
  <si>
    <t>Cat Cruiser</t>
  </si>
  <si>
    <t>Circuit Special</t>
  </si>
  <si>
    <t>Tri-Speeder</t>
  </si>
  <si>
    <t>Badwagon</t>
  </si>
  <si>
    <t>Prancer</t>
  </si>
  <si>
    <t>Biddybuggy</t>
  </si>
  <si>
    <t>Landship</t>
  </si>
  <si>
    <t>Sneeker</t>
  </si>
  <si>
    <t>Sports Coupe</t>
  </si>
  <si>
    <t>Gold Standard</t>
  </si>
  <si>
    <t>Standard Bike</t>
  </si>
  <si>
    <t>Comet</t>
  </si>
  <si>
    <t>Sport Bike</t>
  </si>
  <si>
    <t>The Duke</t>
  </si>
  <si>
    <t>Flame Rider</t>
  </si>
  <si>
    <t>Varmint</t>
  </si>
  <si>
    <t>Mr. Scooty</t>
  </si>
  <si>
    <t>Jet Bike</t>
  </si>
  <si>
    <t>Yoshi Bike</t>
  </si>
  <si>
    <t>Standard ATV</t>
  </si>
  <si>
    <t>Wild Wiggler</t>
  </si>
  <si>
    <t>Teddy Buggy</t>
  </si>
  <si>
    <t>GLA</t>
  </si>
  <si>
    <t>W 25 Silver Arrow</t>
  </si>
  <si>
    <t>300 SL Roadster</t>
  </si>
  <si>
    <t>Blue Falcon</t>
  </si>
  <si>
    <t>Tanooki Kart</t>
  </si>
  <si>
    <t>B Dasher</t>
  </si>
  <si>
    <t>Master Cycle</t>
  </si>
  <si>
    <t>Streetle</t>
  </si>
  <si>
    <t>P-Wing</t>
  </si>
  <si>
    <t>City Tripper</t>
  </si>
  <si>
    <t>Bone Rattler</t>
  </si>
  <si>
    <t>Koopa Clown</t>
  </si>
  <si>
    <t>Splat Buggy</t>
  </si>
  <si>
    <t>Inkstriker</t>
  </si>
  <si>
    <t>Master Cycle Zero</t>
  </si>
  <si>
    <t>Tire</t>
  </si>
  <si>
    <t>Standard</t>
  </si>
  <si>
    <t>Monster</t>
  </si>
  <si>
    <t>Roller</t>
  </si>
  <si>
    <t>Slim</t>
  </si>
  <si>
    <t>Slick</t>
  </si>
  <si>
    <t>Metal</t>
  </si>
  <si>
    <t>Button</t>
  </si>
  <si>
    <t>Off-Road</t>
  </si>
  <si>
    <t>Sponge</t>
  </si>
  <si>
    <t>Wood</t>
  </si>
  <si>
    <t>Cushion</t>
  </si>
  <si>
    <t>Blue Standard</t>
  </si>
  <si>
    <t>Hot Monster</t>
  </si>
  <si>
    <t>Azure Roller</t>
  </si>
  <si>
    <t>Crimson Slim</t>
  </si>
  <si>
    <t>Cyber Slick</t>
  </si>
  <si>
    <t>Retro Off-Road</t>
  </si>
  <si>
    <t>Gold Tires</t>
  </si>
  <si>
    <t>GLA Tires</t>
  </si>
  <si>
    <t>Triforce Tires</t>
  </si>
  <si>
    <t>Leaf Tires</t>
  </si>
  <si>
    <t>Ancient Tires</t>
  </si>
  <si>
    <t>Glider</t>
  </si>
  <si>
    <t>Super Glider</t>
  </si>
  <si>
    <t>Cloud Glider</t>
  </si>
  <si>
    <t>Wario Wing</t>
  </si>
  <si>
    <t>Waddle Wing</t>
  </si>
  <si>
    <t>Peach Parasol</t>
  </si>
  <si>
    <t>Parachute</t>
  </si>
  <si>
    <t>Parafoil</t>
  </si>
  <si>
    <t>Flower Glider</t>
  </si>
  <si>
    <t>Bowser Kite</t>
  </si>
  <si>
    <t>Plane Glider</t>
  </si>
  <si>
    <t>MKTV Parafoil</t>
  </si>
  <si>
    <t>Gold Glider</t>
  </si>
  <si>
    <t>Hylian Kite</t>
  </si>
  <si>
    <t>Paper Glider</t>
  </si>
  <si>
    <t>Paraglider</t>
  </si>
  <si>
    <t>Weight</t>
  </si>
  <si>
    <t>Acceleration</t>
  </si>
  <si>
    <t>Traction (off-road)</t>
  </si>
  <si>
    <t>Traction (on-road)</t>
  </si>
  <si>
    <t>Mini-Turbo</t>
  </si>
  <si>
    <t>Speed (Water)</t>
  </si>
  <si>
    <t>Speed (Ground)</t>
  </si>
  <si>
    <t>Speed (Air)</t>
  </si>
  <si>
    <t>Handling (Ground)</t>
  </si>
  <si>
    <t>Handling (Air)</t>
  </si>
  <si>
    <t>Invincibility</t>
  </si>
  <si>
    <t>Kart</t>
  </si>
  <si>
    <t>Input</t>
  </si>
  <si>
    <t>Category</t>
  </si>
  <si>
    <t>Stat</t>
  </si>
  <si>
    <t>Build 1</t>
  </si>
  <si>
    <t>Build 2</t>
  </si>
  <si>
    <t>Build 3</t>
  </si>
  <si>
    <t>Worksheet</t>
  </si>
  <si>
    <t>Notes</t>
  </si>
  <si>
    <t>Builds</t>
  </si>
  <si>
    <t>Compiler</t>
  </si>
  <si>
    <t>Mii (small)</t>
  </si>
  <si>
    <t>Mii (Large)</t>
  </si>
  <si>
    <t>Characters/
Karts/Tires/
Gliders</t>
  </si>
  <si>
    <t>https://www.mariowiki.com/Mario_Kart_8_Deluxe_in-game_statistics</t>
  </si>
  <si>
    <t>Handling (Water)</t>
  </si>
  <si>
    <t>Handling (Anti-Gravity)</t>
  </si>
  <si>
    <t>Speed (Anti-Gravity)</t>
  </si>
  <si>
    <t>need to fix formatting so only red and green when 2 builds available</t>
  </si>
  <si>
    <t>Traction 
(on-road)</t>
  </si>
  <si>
    <t>Traction 
(off-road)</t>
  </si>
  <si>
    <t>Mini-
Turbo</t>
  </si>
  <si>
    <t>Speed 
(Ground)</t>
  </si>
  <si>
    <t>Speed 
(Water)</t>
  </si>
  <si>
    <t>Speed 
(Anti-Gravity)</t>
  </si>
  <si>
    <t>Speed 
(Air)</t>
  </si>
  <si>
    <t>Handling 
(Ground)</t>
  </si>
  <si>
    <t>Handling 
(Water)</t>
  </si>
  <si>
    <t>Handling 
(Anti-Gravity)</t>
  </si>
  <si>
    <t>Handling 
(Air)</t>
  </si>
  <si>
    <t>Max Value</t>
  </si>
  <si>
    <t>Speed +
Mini-Turbo</t>
  </si>
  <si>
    <t>Baby Peach/Baby Daisy</t>
  </si>
  <si>
    <t>Baby Rosalina/Lemmy</t>
  </si>
  <si>
    <t>Baby Mario/Baby Luigi/Dry Bones/Mii (small)</t>
  </si>
  <si>
    <t>Koopa Troopa/Lakitu/Bowser Jr.</t>
  </si>
  <si>
    <t>Toadette/Wendy/Isabelle</t>
  </si>
  <si>
    <t>Cat Peach/Villager (female)/Inkling Girl/Diddy Kong</t>
  </si>
  <si>
    <t>Toad/Shy Guy/Larry</t>
  </si>
  <si>
    <t>Peach/Daisy/Yoshi/Birdo/Peachette</t>
  </si>
  <si>
    <t>Tanooki Mario/Villager (male)/Inkling Boy</t>
  </si>
  <si>
    <t>Mario/Ludwig/Mii (medium)</t>
  </si>
  <si>
    <t>Luigi/Iggy/Kamek</t>
  </si>
  <si>
    <t>Rosalina/Link/King Boo/Link (Breath of the Wild)/Pauline</t>
  </si>
  <si>
    <t>Donkey Kong/Waluigi/Roy/Wiggler</t>
  </si>
  <si>
    <t>Wario/Dry Bowser/Funky Kong/Mii (large)</t>
  </si>
  <si>
    <t>Bowser/Morton</t>
  </si>
  <si>
    <t>Metal Mario/Pink Gold Peach/Gold Mario</t>
  </si>
  <si>
    <t>Biddybuggy/Mr. Scooty</t>
  </si>
  <si>
    <t>Sport Bike/Jet Bike</t>
  </si>
  <si>
    <t>Standard Bike/Flame Rider/Wild Wiggler/W 25 Silver Arrow</t>
  </si>
  <si>
    <t>Varmint/City Tripper</t>
  </si>
  <si>
    <t>Standard Kart/The Duke</t>
  </si>
  <si>
    <t>Comet/Yoshi Bike</t>
  </si>
  <si>
    <t>Circuit Special/B Dasher/P-Wing</t>
  </si>
  <si>
    <t>Koopa Clown/Master Cycle Zero</t>
  </si>
  <si>
    <t>Mach 8/Sports Coupe</t>
  </si>
  <si>
    <t>Badwagon/GLA</t>
  </si>
  <si>
    <t>Steel Driver/Tri-Speeder</t>
  </si>
  <si>
    <t>Button/Leaf Tires</t>
  </si>
  <si>
    <t>Roller/Azure Roller</t>
  </si>
  <si>
    <t>Slim/Wood/Crimson Slim</t>
  </si>
  <si>
    <t>Standard/Blue Standard</t>
  </si>
  <si>
    <t>Slick/Cyber Slick</t>
  </si>
  <si>
    <t>Off-Road/Retro Off-Road</t>
  </si>
  <si>
    <t>Monster/Hot Monster</t>
  </si>
  <si>
    <t>Cloud Glider/Parachute/Flower Glider/Paper Glider</t>
  </si>
  <si>
    <t>Super Glider/Waddle Wing/Hylian Kite</t>
  </si>
  <si>
    <t>Peach Parasol/Parafoil/Bowser Kite/MKTV Parafoil</t>
  </si>
  <si>
    <t>Wario Wing/Plane Glider/Gold Glider/Paraglider</t>
  </si>
  <si>
    <t>Lists</t>
  </si>
  <si>
    <t>Column names with line breaks</t>
  </si>
  <si>
    <t>Contains named ranges for each build part in alphabetical order to keep Builds table dropdowns in alphabetical order even if Stats Tables are ordered differently.
Contains table that calcs the max of each stat based on the max of each build part. All should be 20, so this table just checks to ensure that.
Contains table with stat column names formatted with a line break. Used to copy and paste formatting if a new table is pasted in.</t>
  </si>
  <si>
    <t>Stats Tables</t>
  </si>
  <si>
    <t>Same as Characters/Karts/Tires/Gliders but build parts are individual. These tables are used in the Compiler calcs.</t>
  </si>
  <si>
    <t>Tables were obtained by scraping web data in Python and exporting to Excel.
Small Mii data was added (same as Baby Mario), Large Mii was added (same as Dry Bowser)
Turned tables into heatmaps using Color Scale Conditional Formatting.
These tables are used for sorting and filtering, not calcs.</t>
  </si>
  <si>
    <t>Input column uses INDEX/MATCH to take build parts from Builds table.
Stat values are obtained using INDEX/MATCH on tables from Stats Tables worksheet. Absolute references are used on columns to allow formula to be dragged.
IFERROR is used in case no part is selected so an error is not returned on the Builds worksheet</t>
  </si>
  <si>
    <t>Dropdown lists are used to pick parts. These come from the Lists worksheet.
Stats are then summed using Build#Stats tables in the Compiler worksheet. 
INDIRECT() is used to allow the formula to be dragged.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</si>
</sst>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0;\-0;;@\,"/>
  </numFmts>
  <fonts count="7">
    <font>
      <sz val="11"/>
      <color theme="1"/>
      <name val="Calibri"/>
      <family val="2"/>
      <scheme val="minor"/>
    </font>
    <font>
      <b/>
      <sz val="11"/>
      <color theme="0" tint="-4.9989318521683403E-2"/>
      <name val="Calibri"/>
      <family val="2"/>
    </font>
    <font>
      <sz val="12"/>
      <color rgb="FF9C5700"/>
      <name val="Calibri"/>
      <family val="2"/>
      <scheme val="minor"/>
    </font>
    <font>
      <b/>
      <sz val="11"/>
      <name val="Calibri"/>
      <family val="2"/>
    </font>
    <font>
      <sz val="16"/>
      <color theme="1"/>
      <name val="Calibri"/>
      <family val="2"/>
      <scheme val="minor"/>
    </font>
    <font>
      <b/>
      <sz val="11"/>
      <color rgb="FFF2F2F2"/>
      <name val="Calibri"/>
      <family val="2"/>
      <scheme val="minor"/>
    </font>
    <font>
      <b/>
      <sz val="16"/>
      <color theme="0" tint="-4.9989318521683403E-2"/>
      <name val="Calibri"/>
      <family val="2"/>
      <scheme val="minor"/>
    </font>
  </fonts>
  <fills count="8">
    <fill>
      <patternFill patternType="none"/>
    </fill>
    <fill>
      <patternFill patternType="gray125"/>
    </fill>
    <fill>
      <patternFill patternType="solid">
        <fgColor rgb="FFFFEB9C"/>
      </patternFill>
    </fill>
    <fill>
      <patternFill patternType="solid">
        <fgColor rgb="FF7030A0"/>
        <bgColor indexed="64"/>
      </patternFill>
    </fill>
    <fill>
      <patternFill patternType="solid">
        <fgColor theme="4"/>
        <bgColor theme="4"/>
      </patternFill>
    </fill>
    <fill>
      <patternFill patternType="solid">
        <fgColor theme="0" tint="-0.14999847407452621"/>
        <bgColor theme="0" tint="-0.14999847407452621"/>
      </patternFill>
    </fill>
    <fill>
      <patternFill patternType="solid">
        <fgColor rgb="FF4F81BD"/>
        <bgColor rgb="FF4F81BD"/>
      </patternFill>
    </fill>
    <fill>
      <patternFill patternType="solid">
        <fgColor theme="0" tint="-4.9989318521683403E-2"/>
        <bgColor indexed="64"/>
      </patternFill>
    </fill>
  </fills>
  <borders count="7">
    <border>
      <left/>
      <right/>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top/>
      <bottom style="medium">
        <color theme="1"/>
      </bottom>
      <diagonal/>
    </border>
  </borders>
  <cellStyleXfs count="2">
    <xf numFmtId="0" fontId="0" fillId="0" borderId="0"/>
    <xf numFmtId="0" fontId="2" fillId="2" borderId="0" applyNumberFormat="0" applyBorder="0" applyAlignment="0" applyProtection="0"/>
  </cellStyleXfs>
  <cellXfs count="43">
    <xf numFmtId="0" fontId="0" fillId="0" borderId="0" xfId="0"/>
    <xf numFmtId="0" fontId="1" fillId="0" borderId="1" xfId="0" applyFont="1" applyBorder="1" applyAlignment="1">
      <alignment horizontal="center" vertical="top"/>
    </xf>
    <xf numFmtId="0" fontId="2" fillId="2" borderId="0" xfId="1"/>
    <xf numFmtId="0" fontId="0" fillId="0" borderId="0" xfId="0" applyNumberFormat="1"/>
    <xf numFmtId="1" fontId="0" fillId="0" borderId="0" xfId="0" applyNumberFormat="1"/>
    <xf numFmtId="0" fontId="3" fillId="0" borderId="2" xfId="0" applyFont="1" applyFill="1" applyBorder="1" applyAlignment="1">
      <alignment horizontal="center" vertical="top"/>
    </xf>
    <xf numFmtId="0" fontId="0" fillId="0" borderId="0" xfId="0" applyAlignment="1">
      <alignment wrapText="1"/>
    </xf>
    <xf numFmtId="0" fontId="1" fillId="0" borderId="3" xfId="0" applyFont="1" applyBorder="1" applyAlignment="1" applyProtection="1">
      <alignment horizontal="center" vertical="top"/>
    </xf>
    <xf numFmtId="0" fontId="0" fillId="5" borderId="0" xfId="0" applyFont="1" applyFill="1"/>
    <xf numFmtId="0" fontId="0" fillId="0" borderId="0" xfId="0" applyFont="1"/>
    <xf numFmtId="0" fontId="1" fillId="4" borderId="1" xfId="0" applyFont="1" applyFill="1" applyBorder="1" applyAlignment="1">
      <alignment horizontal="center" vertical="top"/>
    </xf>
    <xf numFmtId="0" fontId="0" fillId="0" borderId="0" xfId="0" applyFont="1" applyBorder="1"/>
    <xf numFmtId="0" fontId="0" fillId="5" borderId="0" xfId="0" applyFont="1" applyFill="1" applyBorder="1"/>
    <xf numFmtId="0" fontId="1" fillId="4" borderId="3" xfId="0" applyFont="1" applyFill="1" applyBorder="1" applyAlignment="1">
      <alignment horizontal="center" vertical="top"/>
    </xf>
    <xf numFmtId="0" fontId="4" fillId="0" borderId="0" xfId="0" applyNumberFormat="1" applyFont="1" applyAlignment="1">
      <alignment horizontal="center"/>
    </xf>
    <xf numFmtId="0" fontId="4" fillId="0" borderId="0" xfId="0" applyFont="1"/>
    <xf numFmtId="0" fontId="4" fillId="0" borderId="0" xfId="0" applyFont="1" applyBorder="1" applyProtection="1"/>
    <xf numFmtId="0" fontId="4" fillId="0" borderId="0" xfId="0" applyNumberFormat="1" applyFont="1" applyBorder="1" applyAlignment="1" applyProtection="1">
      <alignment horizontal="center"/>
    </xf>
    <xf numFmtId="0" fontId="1" fillId="0" borderId="1" xfId="0" applyFont="1" applyBorder="1" applyAlignment="1" applyProtection="1">
      <alignment horizontal="center" vertical="top" wrapText="1"/>
    </xf>
    <xf numFmtId="0" fontId="1" fillId="0" borderId="4" xfId="0" applyFont="1" applyBorder="1" applyAlignment="1" applyProtection="1">
      <alignment horizontal="center" vertical="top" wrapText="1"/>
    </xf>
    <xf numFmtId="0" fontId="1" fillId="0" borderId="1" xfId="0" applyFont="1" applyBorder="1" applyAlignment="1">
      <alignment horizontal="center" vertical="top" wrapText="1"/>
    </xf>
    <xf numFmtId="0" fontId="0" fillId="0" borderId="0" xfId="0" applyFont="1" applyFill="1"/>
    <xf numFmtId="0" fontId="0" fillId="0" borderId="6" xfId="0" applyFont="1" applyFill="1" applyBorder="1"/>
    <xf numFmtId="0" fontId="0" fillId="0" borderId="0" xfId="0" quotePrefix="1"/>
    <xf numFmtId="0" fontId="0" fillId="0" borderId="0" xfId="0" applyFont="1" applyFill="1" applyAlignment="1">
      <alignment wrapText="1"/>
    </xf>
    <xf numFmtId="0" fontId="5" fillId="6" borderId="5" xfId="0" applyFont="1" applyFill="1" applyBorder="1" applyAlignment="1">
      <alignment horizontal="center" vertical="top" wrapText="1"/>
    </xf>
    <xf numFmtId="1" fontId="0" fillId="7" borderId="0" xfId="0" applyNumberFormat="1" applyFill="1" applyProtection="1">
      <protection locked="0"/>
    </xf>
    <xf numFmtId="0" fontId="0" fillId="7" borderId="0" xfId="0" applyFill="1" applyProtection="1">
      <protection locked="0"/>
    </xf>
    <xf numFmtId="0" fontId="2" fillId="7" borderId="0" xfId="1" applyFill="1" applyProtection="1">
      <protection locked="0"/>
    </xf>
    <xf numFmtId="0" fontId="6" fillId="3" borderId="0" xfId="0" applyFont="1" applyFill="1" applyBorder="1"/>
    <xf numFmtId="164" fontId="4" fillId="0" borderId="0" xfId="0" quotePrefix="1" applyNumberFormat="1" applyFont="1" applyBorder="1" applyAlignment="1" applyProtection="1">
      <alignment wrapText="1"/>
    </xf>
    <xf numFmtId="164" fontId="4" fillId="0" borderId="0" xfId="0" applyNumberFormat="1" applyFont="1" applyBorder="1" applyProtection="1"/>
    <xf numFmtId="0" fontId="4" fillId="0" borderId="0" xfId="0" applyFont="1" applyFill="1" applyBorder="1" applyProtection="1"/>
    <xf numFmtId="0" fontId="4" fillId="7" borderId="0" xfId="0" applyFont="1" applyFill="1" applyBorder="1" applyProtection="1"/>
    <xf numFmtId="164" fontId="4" fillId="7" borderId="0" xfId="0" quotePrefix="1" applyNumberFormat="1" applyFont="1" applyFill="1" applyBorder="1" applyAlignment="1" applyProtection="1">
      <alignment wrapText="1"/>
    </xf>
    <xf numFmtId="164" fontId="4" fillId="7" borderId="0" xfId="0" applyNumberFormat="1" applyFont="1" applyFill="1" applyBorder="1" applyProtection="1"/>
    <xf numFmtId="0" fontId="0" fillId="0" borderId="0" xfId="0" applyBorder="1"/>
    <xf numFmtId="0" fontId="4" fillId="0" borderId="0" xfId="0" applyFont="1" applyBorder="1" applyAlignment="1">
      <alignment horizontal="center"/>
    </xf>
    <xf numFmtId="0" fontId="1" fillId="0" borderId="0" xfId="0" applyFont="1" applyBorder="1" applyAlignment="1">
      <alignment horizontal="center" vertical="top" wrapText="1"/>
    </xf>
    <xf numFmtId="0" fontId="1" fillId="0" borderId="0" xfId="0" applyFont="1" applyBorder="1" applyAlignment="1">
      <alignment horizontal="center" vertical="top"/>
    </xf>
    <xf numFmtId="1" fontId="4" fillId="0" borderId="0" xfId="0" applyNumberFormat="1" applyFont="1" applyAlignment="1">
      <alignment horizontal="center"/>
    </xf>
    <xf numFmtId="0" fontId="0" fillId="0" borderId="0" xfId="0" applyFill="1" applyAlignment="1">
      <alignment wrapText="1"/>
    </xf>
    <xf numFmtId="0" fontId="0" fillId="0" borderId="0" xfId="0" applyFont="1" applyBorder="1" applyAlignment="1"/>
  </cellXfs>
  <cellStyles count="2">
    <cellStyle name="Neutral" xfId="1" builtinId="28"/>
    <cellStyle name="Normal" xfId="0" builtinId="0"/>
  </cellStyles>
  <dxfs count="243">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1"/>
        <color theme="1"/>
        <name val="Calibri"/>
        <family val="2"/>
        <scheme val="minor"/>
      </font>
      <alignment horizontal="general"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thin">
          <color auto="1"/>
        </top>
        <bottom style="medium">
          <color theme="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auto="1"/>
        </bottom>
      </border>
    </dxf>
    <dxf>
      <font>
        <b/>
        <i val="0"/>
        <strike val="0"/>
        <condense val="0"/>
        <extend val="0"/>
        <outline val="0"/>
        <shadow val="0"/>
        <u val="none"/>
        <vertAlign val="baseline"/>
        <sz val="11"/>
        <color theme="0" tint="-4.9989318521683403E-2"/>
        <name val="Calibri"/>
        <family val="2"/>
        <scheme val="none"/>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border outline="0">
        <top style="thin">
          <color auto="1"/>
        </top>
        <bottom style="medium">
          <color theme="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0" tint="-4.9989318521683403E-2"/>
        <name val="Calibri"/>
        <family val="2"/>
        <scheme val="none"/>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left style="thin">
          <color auto="1"/>
        </left>
        <top style="thin">
          <color auto="1"/>
        </top>
        <bottom style="thin">
          <color auto="1"/>
        </bottom>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thin">
          <color auto="1"/>
        </bottom>
      </border>
    </dxf>
    <dxf>
      <font>
        <b/>
        <i val="0"/>
        <strike val="0"/>
        <condense val="0"/>
        <extend val="0"/>
        <outline val="0"/>
        <shadow val="0"/>
        <u val="none"/>
        <vertAlign val="baseline"/>
        <sz val="11"/>
        <color theme="0" tint="-4.9989318521683403E-2"/>
        <name val="Calibri"/>
        <family val="2"/>
        <scheme val="none"/>
      </font>
      <fill>
        <patternFill patternType="solid">
          <fgColor theme="4"/>
          <bgColor theme="4"/>
        </patternFill>
      </fill>
      <alignment horizontal="center"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border outline="0">
        <top style="thin">
          <color auto="1"/>
        </top>
        <bottom style="medium">
          <color theme="1"/>
        </bottom>
      </border>
    </dxf>
    <dxf>
      <font>
        <b val="0"/>
        <i val="0"/>
        <strike val="0"/>
        <condense val="0"/>
        <extend val="0"/>
        <outline val="0"/>
        <shadow val="0"/>
        <u val="none"/>
        <vertAlign val="baseline"/>
        <sz val="11"/>
        <color theme="1"/>
        <name val="Calibri"/>
        <family val="2"/>
        <scheme val="minor"/>
      </font>
    </dxf>
    <dxf>
      <border outline="0">
        <bottom style="thin">
          <color auto="1"/>
        </bottom>
      </border>
    </dxf>
    <dxf>
      <font>
        <b/>
        <i val="0"/>
        <strike val="0"/>
        <condense val="0"/>
        <extend val="0"/>
        <outline val="0"/>
        <shadow val="0"/>
        <u val="none"/>
        <vertAlign val="baseline"/>
        <sz val="11"/>
        <color theme="0" tint="-4.9989318521683403E-2"/>
        <name val="Calibri"/>
        <family val="2"/>
        <scheme val="none"/>
      </font>
      <fill>
        <patternFill patternType="solid">
          <fgColor theme="4"/>
          <bgColor theme="4"/>
        </patternFill>
      </fill>
      <alignment horizontal="center" vertical="top"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border outline="0">
        <top style="thin">
          <color auto="1"/>
        </top>
      </border>
    </dxf>
    <dxf>
      <font>
        <strike val="0"/>
        <outline val="0"/>
        <shadow val="0"/>
        <u val="none"/>
        <vertAlign val="baseline"/>
        <sz val="16"/>
        <color theme="1"/>
        <name val="Calibri"/>
        <family val="2"/>
        <scheme val="minor"/>
      </font>
    </dxf>
    <dxf>
      <border outline="0">
        <bottom style="thin">
          <color auto="1"/>
        </bottom>
      </border>
    </dxf>
    <dxf>
      <font>
        <b/>
        <i val="0"/>
        <strike val="0"/>
        <condense val="0"/>
        <extend val="0"/>
        <outline val="0"/>
        <shadow val="0"/>
        <u val="none"/>
        <vertAlign val="baseline"/>
        <sz val="11"/>
        <color theme="0" tint="-4.9989318521683403E-2"/>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border outline="0">
        <top style="thin">
          <color auto="1"/>
        </top>
      </border>
    </dxf>
    <dxf>
      <font>
        <strike val="0"/>
        <outline val="0"/>
        <shadow val="0"/>
        <u val="none"/>
        <vertAlign val="baseline"/>
        <sz val="16"/>
        <color theme="1"/>
        <name val="Calibri"/>
        <family val="2"/>
        <scheme val="minor"/>
      </font>
    </dxf>
    <dxf>
      <border outline="0">
        <bottom style="thin">
          <color auto="1"/>
        </bottom>
      </border>
    </dxf>
    <dxf>
      <font>
        <b/>
        <i val="0"/>
        <strike val="0"/>
        <condense val="0"/>
        <extend val="0"/>
        <outline val="0"/>
        <shadow val="0"/>
        <u val="none"/>
        <vertAlign val="baseline"/>
        <sz val="11"/>
        <color theme="0" tint="-4.9989318521683403E-2"/>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b val="0"/>
        <i val="0"/>
        <strike val="0"/>
        <condense val="0"/>
        <extend val="0"/>
        <outline val="0"/>
        <shadow val="0"/>
        <u val="none"/>
        <vertAlign val="baseline"/>
        <sz val="16"/>
        <color theme="1"/>
        <name val="Calibri"/>
        <family val="2"/>
        <scheme val="minor"/>
      </font>
      <numFmt numFmtId="0" formatCode="General"/>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alignment horizontal="center" vertical="bottom" textRotation="0" wrapText="0" indent="0" justifyLastLine="0" shrinkToFit="0" readingOrder="0"/>
      <protection locked="1" hidden="0"/>
    </dxf>
    <dxf>
      <font>
        <strike val="0"/>
        <outline val="0"/>
        <shadow val="0"/>
        <u val="none"/>
        <vertAlign val="baseline"/>
        <sz val="16"/>
        <color theme="1"/>
        <name val="Calibri"/>
        <family val="2"/>
        <scheme val="minor"/>
      </font>
      <protection locked="1" hidden="0"/>
    </dxf>
    <dxf>
      <border diagonalUp="0" diagonalDown="0">
        <left style="thin">
          <color auto="1"/>
        </left>
        <right style="thin">
          <color auto="1"/>
        </right>
        <top style="thin">
          <color auto="1"/>
        </top>
        <bottom style="thin">
          <color auto="1"/>
        </bottom>
      </border>
    </dxf>
    <dxf>
      <font>
        <strike val="0"/>
        <outline val="0"/>
        <shadow val="0"/>
        <u val="none"/>
        <vertAlign val="baseline"/>
        <sz val="16"/>
        <color theme="1"/>
        <name val="Calibri"/>
        <family val="2"/>
        <scheme val="minor"/>
      </font>
      <protection locked="1" hidden="0"/>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bottom/>
      </border>
      <protection locked="1" hidden="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numFmt numFmtId="1" formatCode="0"/>
      <alignment horizontal="center" vertical="bottom" textRotation="0" wrapText="0" indent="0" justifyLastLine="0" shrinkToFit="0" readingOrder="0"/>
    </dxf>
    <dxf>
      <font>
        <strike val="0"/>
        <outline val="0"/>
        <shadow val="0"/>
        <u val="none"/>
        <vertAlign val="baseline"/>
        <sz val="16"/>
        <color theme="1"/>
        <name val="Calibri"/>
        <family val="2"/>
        <scheme val="minor"/>
      </font>
    </dxf>
    <dxf>
      <border outline="0">
        <top style="thin">
          <color auto="1"/>
        </top>
      </border>
    </dxf>
    <dxf>
      <border outline="0">
        <bottom style="thin">
          <color auto="1"/>
        </bottom>
      </border>
    </dxf>
    <dxf>
      <font>
        <b/>
        <i val="0"/>
        <strike val="0"/>
        <condense val="0"/>
        <extend val="0"/>
        <outline val="0"/>
        <shadow val="0"/>
        <u val="none"/>
        <vertAlign val="baseline"/>
        <sz val="11"/>
        <color theme="0" tint="-4.9989318521683403E-2"/>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i val="0"/>
        <strike val="0"/>
        <condense val="0"/>
        <extend val="0"/>
        <outline val="0"/>
        <shadow val="0"/>
        <u val="none"/>
        <vertAlign val="baseline"/>
        <sz val="11"/>
        <color auto="1"/>
        <name val="Calibri"/>
        <family val="2"/>
        <scheme val="none"/>
      </font>
      <fill>
        <patternFill patternType="none">
          <fgColor indexed="64"/>
          <bgColor indexed="65"/>
        </patternFill>
      </fill>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strike val="0"/>
        <outline val="0"/>
        <shadow val="0"/>
        <u val="none"/>
        <vertAlign val="baseline"/>
        <sz val="16"/>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dxf>
    <dxf>
      <font>
        <strike val="0"/>
        <outline val="0"/>
        <shadow val="0"/>
        <u val="none"/>
        <vertAlign val="baseline"/>
        <sz val="16"/>
        <color theme="1"/>
        <name val="Calibri"/>
        <family val="2"/>
        <scheme val="minor"/>
      </font>
    </dxf>
    <dxf>
      <font>
        <b/>
        <i val="0"/>
        <strike val="0"/>
        <condense val="0"/>
        <extend val="0"/>
        <outline val="0"/>
        <shadow val="0"/>
        <u val="none"/>
        <vertAlign val="baseline"/>
        <sz val="11"/>
        <color auto="1"/>
        <name val="Calibri"/>
        <scheme val="none"/>
      </font>
      <alignment horizontal="center" vertical="top" textRotation="0" wrapText="1" indent="0" justifyLastLine="0" shrinkToFit="0" readingOrder="0"/>
    </dxf>
    <dxf>
      <protection locked="0" hidden="0"/>
    </dxf>
    <dxf>
      <protection locked="0" hidden="0"/>
    </dxf>
    <dxf>
      <protection locked="0" hidden="0"/>
    </dxf>
    <dxf>
      <protection locked="1" hidden="0"/>
    </dxf>
    <dxf>
      <protection locked="0" hidden="0"/>
    </dxf>
    <dxf>
      <protection locked="0" hidden="0"/>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patternType="none">
          <bgColor auto="1"/>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16"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550FD65-F9FA-E54A-B2A4-431CCD2E00C5}" name="Builds" displayName="Builds" ref="A1:D19" totalsRowShown="0" headerRowDxfId="219" dataDxfId="218">
  <autoFilter ref="A1:D19" xr:uid="{6666E9E7-B5D7-7744-908B-91F59761CA0B}">
    <filterColumn colId="0">
      <filters>
        <filter val="Acceleration"/>
        <filter val="Driver"/>
        <filter val="Glider"/>
        <filter val="Kart"/>
        <filter val="Mini-Turbo"/>
        <filter val="Speed (Anti-Gravity)"/>
        <filter val="Speed (Ground)"/>
        <filter val="Speed (Water)"/>
        <filter val="Tire"/>
      </filters>
    </filterColumn>
  </autoFilter>
  <tableColumns count="4">
    <tableColumn id="1" xr3:uid="{317C6F91-4C6E-5D40-B6E5-C993E5FFACBA}" name="Stat" dataDxfId="217"/>
    <tableColumn id="2" xr3:uid="{4E7C44EE-23E8-364C-B784-777F3B5B5935}" name="Build 1" dataDxfId="216"/>
    <tableColumn id="3" xr3:uid="{E4680ACF-5739-8748-BAB8-340E4413C07A}" name="Build 2" dataDxfId="215"/>
    <tableColumn id="4" xr3:uid="{884187EC-0449-0F46-9061-CD5907793985}" name="Build 3" dataDxfId="214"/>
  </tableColumns>
  <tableStyleInfo name="TableStyleMedium1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8C405-0A92-6943-A6EA-15038991A9BC}" name="Drivers" displayName="Drivers" ref="A1:P55" totalsRowShown="0" headerRowDxfId="131" headerRowBorderDxfId="130" tableBorderDxfId="129">
  <autoFilter ref="A1:P55" xr:uid="{F7950ABA-74AA-CA4B-827E-23634397C92E}"/>
  <sortState ref="A2:P55">
    <sortCondition descending="1" ref="F2:F55"/>
    <sortCondition descending="1" ref="G2:G55"/>
    <sortCondition descending="1" ref="H2:H55"/>
    <sortCondition descending="1" ref="C2:C55"/>
    <sortCondition descending="1" ref="J2:J55"/>
  </sortState>
  <tableColumns count="16">
    <tableColumn id="1" xr3:uid="{73535662-4BE2-D446-9319-A6086829D65A}" name="Driver" dataDxfId="128"/>
    <tableColumn id="2" xr3:uid="{DC1A6554-F3AD-ED4A-8F88-48FF602B88FB}" name="Weight" dataDxfId="127"/>
    <tableColumn id="3" xr3:uid="{FED1CC0E-8D00-B544-BDC9-DB1AD8722D76}" name="Acceleration" dataDxfId="126"/>
    <tableColumn id="4" xr3:uid="{11E8A0F2-3462-834C-9513-6BC0F73CE041}" name="Traction _x000a_(on-road)" dataDxfId="125"/>
    <tableColumn id="5" xr3:uid="{B95FB74F-8ECF-904D-A796-C4A95216D24C}" name="Traction _x000a_(off-road)" dataDxfId="124"/>
    <tableColumn id="16" xr3:uid="{759C8131-CAE4-0246-A176-9E10D9A2CEC5}" name="Speed +_x000a_Mini-Turbo" dataDxfId="123">
      <calculatedColumnFormula>SUM(Drivers[[#This Row],[Mini-
Turbo]:[Speed 
(Ground)]])</calculatedColumnFormula>
    </tableColumn>
    <tableColumn id="6" xr3:uid="{AC72F9CD-D1B8-FF4F-9200-23D6A910DB49}" name="Mini-_x000a_Turbo" dataDxfId="122"/>
    <tableColumn id="7" xr3:uid="{2631C307-98F3-F34D-B667-1AC6A0324866}" name="Speed _x000a_(Ground)" dataDxfId="121"/>
    <tableColumn id="8" xr3:uid="{3F634102-CC3F-AC47-970E-E3562AE209B2}" name="Speed _x000a_(Water)" dataDxfId="120"/>
    <tableColumn id="9" xr3:uid="{BA6C005A-9984-DD40-BACB-9109C57CE8B9}" name="Speed _x000a_(Anti-Gravity)" dataDxfId="119"/>
    <tableColumn id="10" xr3:uid="{D35459EA-56D5-B44F-A758-85940C0C0C40}" name="Speed _x000a_(Air)" dataDxfId="118"/>
    <tableColumn id="11" xr3:uid="{E54A5FD9-D166-EF49-BC0B-09BE979059B7}" name="Handling _x000a_(Ground)" dataDxfId="117"/>
    <tableColumn id="12" xr3:uid="{527165B7-FC88-7540-8C7E-BA0BC8F1AF92}" name="Handling _x000a_(Water)" dataDxfId="116"/>
    <tableColumn id="13" xr3:uid="{2847B2DF-EEA0-E04F-A6C6-D9F56A032CF4}" name="Handling _x000a_(Anti-Gravity)" dataDxfId="115"/>
    <tableColumn id="14" xr3:uid="{2146423D-4CFC-3241-A13B-FE4293999E88}" name="Handling _x000a_(Air)" dataDxfId="114"/>
    <tableColumn id="15" xr3:uid="{18892FA6-779E-234E-A36E-929C7D447772}" name="Invincibility" dataDxfId="113"/>
  </tableColumns>
  <tableStyleInfo name="TableStyleMedium1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B03715-1B77-C549-896D-27EC625214F4}" name="Karts" displayName="Karts" ref="A62:P103" totalsRowShown="0" headerRowDxfId="112" dataDxfId="110" headerRowBorderDxfId="111" tableBorderDxfId="109">
  <autoFilter ref="A62:P103" xr:uid="{7AC3B1CD-72D9-6840-9009-EBD38BF648A1}"/>
  <sortState ref="A63:P103">
    <sortCondition descending="1" ref="F63:F103"/>
    <sortCondition descending="1" ref="G63:G103"/>
    <sortCondition descending="1" ref="H63:H103"/>
    <sortCondition descending="1" ref="C63:C103"/>
    <sortCondition descending="1" ref="J63:J103"/>
  </sortState>
  <tableColumns count="16">
    <tableColumn id="1" xr3:uid="{F3971324-8513-2A41-9C85-DFB990D7B70D}" name="Body" dataDxfId="108"/>
    <tableColumn id="2" xr3:uid="{DA14E2E9-E6C3-324B-99DE-2BC2DB3CA8D5}" name="Weight" dataDxfId="107"/>
    <tableColumn id="3" xr3:uid="{704AC3A4-40D6-734C-AAEF-B6223E12DFB3}" name="Acceleration" dataDxfId="106"/>
    <tableColumn id="4" xr3:uid="{B4D5E43A-A3CB-7646-B64A-F1F01EBEB94D}" name="Traction _x000a_(on-road)" dataDxfId="105"/>
    <tableColumn id="5" xr3:uid="{3E4B2C35-EFE7-CF4F-BF93-678B04471454}" name="Traction _x000a_(off-road)" dataDxfId="104"/>
    <tableColumn id="16" xr3:uid="{583499D6-D676-A744-9DBD-2FFA00DE0828}" name="Speed +_x000a_Mini-Turbo" dataDxfId="103">
      <calculatedColumnFormula>SUM(Karts[[#This Row],[Mini-
Turbo]:[Speed 
(Ground)]])</calculatedColumnFormula>
    </tableColumn>
    <tableColumn id="6" xr3:uid="{B66BC897-857C-2848-BB64-FD0ADCC6C7E9}" name="Mini-_x000a_Turbo" dataDxfId="102"/>
    <tableColumn id="7" xr3:uid="{5446B6D3-F2DC-4D42-9A63-C2E88C91E7FE}" name="Speed _x000a_(Ground)" dataDxfId="101"/>
    <tableColumn id="8" xr3:uid="{D3B00A44-A51D-2140-B768-93D0F3514179}" name="Speed _x000a_(Water)" dataDxfId="100"/>
    <tableColumn id="9" xr3:uid="{0FDE3320-B492-3D42-AE8D-5BE9197717A5}" name="Speed _x000a_(Anti-Gravity)" dataDxfId="99"/>
    <tableColumn id="10" xr3:uid="{B66173A6-A7F1-FC46-AB07-2F09E419BEA3}" name="Speed _x000a_(Air)" dataDxfId="98"/>
    <tableColumn id="11" xr3:uid="{2FF9ADA4-9C05-BD4E-81F6-C577F0A99475}" name="Handling _x000a_(Ground)" dataDxfId="97"/>
    <tableColumn id="12" xr3:uid="{D868403F-A358-844D-8B02-E0C2DC980067}" name="Handling _x000a_(Water)" dataDxfId="96"/>
    <tableColumn id="13" xr3:uid="{3860D241-DA29-4246-B02E-9C976DF64305}" name="Handling _x000a_(Anti-Gravity)" dataDxfId="95"/>
    <tableColumn id="14" xr3:uid="{16173897-4AD8-A74B-8364-4C4FD724C9B8}" name="Handling _x000a_(Air)" dataDxfId="94"/>
    <tableColumn id="15" xr3:uid="{EB8D0E76-CD5B-F148-8E47-1A333C4A3446}" name="Invincibility" dataDxfId="93"/>
  </tableColumns>
  <tableStyleInfo name="TableStyleMedium16"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F41F1C3-C3DF-444E-BBBC-659DB009E669}" name="Tires" displayName="Tires" ref="A110:P132" totalsRowShown="0" headerRowDxfId="92" dataDxfId="90" headerRowBorderDxfId="91" tableBorderDxfId="89">
  <autoFilter ref="A110:P132" xr:uid="{88515207-8C78-5246-B87C-7CB788E4DF2A}"/>
  <sortState ref="A111:P132">
    <sortCondition descending="1" ref="F111:F132"/>
    <sortCondition descending="1" ref="G111:G132"/>
    <sortCondition descending="1" ref="H111:H132"/>
    <sortCondition descending="1" ref="C111:C132"/>
    <sortCondition descending="1" ref="J111:J132"/>
  </sortState>
  <tableColumns count="16">
    <tableColumn id="1" xr3:uid="{B02C4833-453B-0E4F-B1F4-B622B82A7F5C}" name="Tire" dataDxfId="88"/>
    <tableColumn id="2" xr3:uid="{95D0803A-AC40-3344-ADF6-6F0B41A0B2E1}" name="Weight" dataDxfId="87"/>
    <tableColumn id="3" xr3:uid="{8BF34209-F5EF-CB48-B014-BE2128470803}" name="Acceleration" dataDxfId="86"/>
    <tableColumn id="4" xr3:uid="{297E4E1D-2A53-EA4B-BDC7-C431C418D926}" name="Traction _x000a_(on-road)" dataDxfId="85"/>
    <tableColumn id="5" xr3:uid="{9690789A-0A15-A24D-93BD-0CCAADB7DE3D}" name="Traction _x000a_(off-road)" dataDxfId="84"/>
    <tableColumn id="16" xr3:uid="{DFB7A7F6-FAF5-FE48-8AAE-5C8182CE26A4}" name="Speed +_x000a_Mini-Turbo" dataDxfId="83">
      <calculatedColumnFormula>SUM(Tires[[#This Row],[Mini-
Turbo]:[Speed 
(Ground)]])</calculatedColumnFormula>
    </tableColumn>
    <tableColumn id="6" xr3:uid="{297E7BAA-85F6-B64C-B574-DF587419797E}" name="Mini-_x000a_Turbo" dataDxfId="82"/>
    <tableColumn id="7" xr3:uid="{D78728EF-9A03-164A-A5C4-85971E1080EC}" name="Speed _x000a_(Ground)" dataDxfId="81"/>
    <tableColumn id="8" xr3:uid="{72BA8108-64C5-FA4F-AAA1-B97D51974FBD}" name="Speed _x000a_(Water)" dataDxfId="80"/>
    <tableColumn id="9" xr3:uid="{F04C04C1-57FF-D742-A910-D935F8CFB188}" name="Speed _x000a_(Anti-Gravity)" dataDxfId="79"/>
    <tableColumn id="10" xr3:uid="{399291BF-2404-9C4C-9CF8-93DB4D0FB921}" name="Speed _x000a_(Air)" dataDxfId="78"/>
    <tableColumn id="11" xr3:uid="{8FE890D3-24EA-3640-A430-A3FCAD1A4855}" name="Handling _x000a_(Ground)" dataDxfId="77"/>
    <tableColumn id="12" xr3:uid="{6662C478-2394-8B4F-ACAE-976F961EB2B7}" name="Handling _x000a_(Water)" dataDxfId="76"/>
    <tableColumn id="13" xr3:uid="{8BCA96E8-3DDB-584F-A55D-CD195A3BA1F4}" name="Handling _x000a_(Anti-Gravity)" dataDxfId="75"/>
    <tableColumn id="14" xr3:uid="{29981315-C1F2-4249-A656-73B699BC20F3}" name="Handling _x000a_(Air)" dataDxfId="74"/>
    <tableColumn id="15" xr3:uid="{4FF7C97B-2E1E-BB41-9F1D-DC4D22D89E44}" name="Invincibility" dataDxfId="73"/>
  </tableColumns>
  <tableStyleInfo name="TableStyleMedium16"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5FE405E-2195-9940-9882-EB422C9F7495}" name="Gliders" displayName="Gliders" ref="A138:P153" totalsRowShown="0" headerRowDxfId="72" dataDxfId="70" headerRowBorderDxfId="71" tableBorderDxfId="69">
  <autoFilter ref="A138:P153" xr:uid="{21213834-0014-7D42-8712-5B035DDB1046}"/>
  <sortState ref="A139:P153">
    <sortCondition descending="1" ref="F139:F153"/>
    <sortCondition descending="1" ref="G139:G153"/>
    <sortCondition descending="1" ref="H139:H153"/>
    <sortCondition descending="1" ref="C139:C153"/>
    <sortCondition descending="1" ref="J139:J153"/>
  </sortState>
  <tableColumns count="16">
    <tableColumn id="1" xr3:uid="{19115008-F802-A442-B15B-25AB2759E8E2}" name="Glider" dataDxfId="68"/>
    <tableColumn id="2" xr3:uid="{1DD0A0D4-6BB6-374F-8F24-620A2F17BA30}" name="Weight" dataDxfId="67"/>
    <tableColumn id="3" xr3:uid="{6E49E8FF-E45E-4A4E-834D-F652355E92F7}" name="Acceleration" dataDxfId="66"/>
    <tableColumn id="4" xr3:uid="{CA8DB495-5E25-5348-8DE9-B49BB6457EA4}" name="Traction _x000a_(on-road)" dataDxfId="65"/>
    <tableColumn id="5" xr3:uid="{B6D33C7D-6C3A-5541-A041-FFEA056A0B38}" name="Traction _x000a_(off-road)" dataDxfId="64"/>
    <tableColumn id="16" xr3:uid="{6443D089-ABB9-7249-BDF2-B4A1087CA75D}" name="Speed +_x000a_Mini-Turbo" dataDxfId="63">
      <calculatedColumnFormula>SUM(Gliders[[#This Row],[Mini-
Turbo]:[Speed 
(Ground)]])</calculatedColumnFormula>
    </tableColumn>
    <tableColumn id="6" xr3:uid="{E1D88238-205D-6940-AAC0-170CF475D145}" name="Mini-_x000a_Turbo" dataDxfId="62"/>
    <tableColumn id="7" xr3:uid="{97371340-A668-F041-AF84-E1C44F241FF6}" name="Speed _x000a_(Ground)" dataDxfId="61"/>
    <tableColumn id="8" xr3:uid="{F2A90AA6-E2D0-BA4D-A77D-4DD82B5CDE3C}" name="Speed _x000a_(Water)" dataDxfId="60"/>
    <tableColumn id="9" xr3:uid="{8305F679-DBF8-FA42-B274-2787AC8C766E}" name="Speed _x000a_(Anti-Gravity)" dataDxfId="59"/>
    <tableColumn id="10" xr3:uid="{F6FA505F-8E55-4C46-A9EA-ED590F9970BB}" name="Speed _x000a_(Air)" dataDxfId="58"/>
    <tableColumn id="11" xr3:uid="{2AD549BD-574D-F647-83A5-EEE7484A857E}" name="Handling _x000a_(Ground)" dataDxfId="57"/>
    <tableColumn id="12" xr3:uid="{812BF1B5-CDDA-6B4C-9A9A-887613F1D654}" name="Handling _x000a_(Water)" dataDxfId="56"/>
    <tableColumn id="13" xr3:uid="{BA1CF236-7AE9-9241-9646-29B58A715D3C}" name="Handling _x000a_(Anti-Gravity)" dataDxfId="55"/>
    <tableColumn id="14" xr3:uid="{66DE1FAD-2652-5B4E-A35B-BDDFA21912DC}" name="Handling _x000a_(Air)" dataDxfId="54"/>
    <tableColumn id="15" xr3:uid="{3A387A72-A616-AB4D-A33E-C03335791F64}" name="Invincibility" dataDxfId="53"/>
  </tableColumns>
  <tableStyleInfo name="TableStyleMedium16"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096D984-3B05-724C-A3DD-8345C9CED3F6}" name="Table6" displayName="Table6" ref="A1:A55" totalsRowShown="0" headerRowDxfId="52" dataDxfId="50" headerRowBorderDxfId="51" tableBorderDxfId="49">
  <autoFilter ref="A1:A55" xr:uid="{C8E26F60-CD5A-704F-A7D8-AEDF4839E6A9}"/>
  <tableColumns count="1">
    <tableColumn id="1" xr3:uid="{94A0F3FA-A5E6-1A43-BFA7-D1AE8A17DABE}" name="Driver" dataDxfId="48"/>
  </tableColumns>
  <tableStyleInfo name="TableStyleMedium16"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5EF710B-648E-DF4C-9A71-07C4E4E3A63A}" name="Table7" displayName="Table7" ref="C1:C42" totalsRowShown="0" headerRowDxfId="47" dataDxfId="45" headerRowBorderDxfId="46" tableBorderDxfId="44">
  <autoFilter ref="C1:C42" xr:uid="{C9A89068-BBA7-3945-A61E-7670E8DDC50E}"/>
  <tableColumns count="1">
    <tableColumn id="1" xr3:uid="{C696246C-C6E9-A54E-8ED2-6813C4020B8A}" name="Body" dataDxfId="43"/>
  </tableColumns>
  <tableStyleInfo name="TableStyleMedium16"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3D5CF34-9914-1E4B-A8A7-75E9B96B8104}" name="Table14" displayName="Table14" ref="E1:E23" totalsRowShown="0" headerRowDxfId="42" dataDxfId="40" headerRowBorderDxfId="41" tableBorderDxfId="39">
  <autoFilter ref="E1:E23" xr:uid="{5555AC31-AE77-3345-87B5-18DDDD475623}"/>
  <tableColumns count="1">
    <tableColumn id="1" xr3:uid="{19746FF1-FE6B-DB4C-8382-17748EF79263}" name="Tire" dataDxfId="38"/>
  </tableColumns>
  <tableStyleInfo name="TableStyleMedium16"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76A4BB0-F85C-8C4F-8110-398A3A1673A8}" name="Table15" displayName="Table15" ref="G1:G16" totalsRowShown="0" headerRowDxfId="37" dataDxfId="35" headerRowBorderDxfId="36" tableBorderDxfId="34">
  <autoFilter ref="G1:G16" xr:uid="{5F41E5B9-EA59-CA42-8DB2-85BBADAAFD2D}"/>
  <tableColumns count="1">
    <tableColumn id="1" xr3:uid="{3B3CA9CA-2C9E-514A-BB4B-F22426B48C9D}" name="Glider" dataDxfId="33"/>
  </tableColumns>
  <tableStyleInfo name="TableStyleMedium16"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AD1C78DF-8FA1-B343-90FC-125FE9671B49}" name="StatMaxValues" displayName="StatMaxValues" ref="I1:J15" totalsRowShown="0">
  <autoFilter ref="I1:J15" xr:uid="{775C6EC3-3A6A-104D-866B-091EB3005F8C}"/>
  <tableColumns count="2">
    <tableColumn id="1" xr3:uid="{B7984186-3840-9044-A2DF-6DABBDD67E79}" name="Stat" dataDxfId="32"/>
    <tableColumn id="2" xr3:uid="{7FDA6BD5-96E5-3C4C-A648-0D23E0FB5FD9}" name="Max Value" dataDxfId="31">
      <calculatedColumnFormula>SUM(MAX(INDIRECT("Drivers[" &amp; StatMaxValues[[#This Row],[Stat]] &amp; "]")), MAX(INDIRECT("Karts[" &amp; StatMaxValues[[#This Row],[Stat]] &amp; "]")), MAX(INDIRECT("Tires[" &amp; StatMaxValues[[#This Row],[Stat]] &amp; "]")), MAX(INDIRECT("Gliders[" &amp; StatMaxValues[[#This Row],[Stat]] &amp; "]")))</calculatedColumnFormula>
    </tableColumn>
  </tableColumns>
  <tableStyleInfo name="TableStyleMedium16"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9EB4B49-39D3-5D4E-AD33-3E717D8E8F85}" name="Table20" displayName="Table20" ref="L1:L16" totalsRowShown="0">
  <autoFilter ref="L1:L16" xr:uid="{DA273427-FA77-834F-A835-9BA01C5747B6}"/>
  <tableColumns count="1">
    <tableColumn id="1" xr3:uid="{C3E67FC6-556D-624C-8289-CEFE978A3755}" name="Column names with line breaks"/>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14C1AA-6B80-4144-A3E0-F247369752FA}" name="Table12" displayName="Table12" ref="A1:A5" totalsRowShown="0">
  <autoFilter ref="A1:A5" xr:uid="{284FC967-4016-0D46-94C0-49E0C71460AD}"/>
  <tableColumns count="1">
    <tableColumn id="1" xr3:uid="{4A905DEB-3B28-8C41-94FC-AFF6BBB648E3}" name="Build 1"/>
  </tableColumns>
  <tableStyleInfo name="TableStyleMedium16"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09FBA4A-0A29-7549-95A8-6E70644D85E3}" name="Table11" displayName="Table11" ref="A1:B6" totalsRowShown="0">
  <autoFilter ref="A1:B6" xr:uid="{2D1275F0-9DA5-DF4F-AD50-D1AC1B75390B}"/>
  <tableColumns count="2">
    <tableColumn id="1" xr3:uid="{8A8BDBEF-A096-B841-8030-4DC4098AED31}" name="Worksheet"/>
    <tableColumn id="2" xr3:uid="{8921D40C-A82A-824F-9ECF-24E25451B41F}" name="Notes"/>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A24C5BC-A999-1B49-ACF7-05E65A9035E6}" name="DriversGrouped" displayName="DriversGrouped" ref="A1:P18" totalsRowShown="0" headerRowDxfId="213" dataDxfId="212">
  <autoFilter ref="A1:P18" xr:uid="{65F6C86C-94D7-8A4B-9C3E-273564F29E4A}"/>
  <sortState ref="A2:P18">
    <sortCondition descending="1" ref="F2:F18"/>
    <sortCondition descending="1" ref="G2:G18"/>
    <sortCondition descending="1" ref="H2:H18"/>
    <sortCondition descending="1" ref="J2:J18"/>
  </sortState>
  <tableColumns count="16">
    <tableColumn id="1" xr3:uid="{FD7FC31D-2CBD-C441-B772-15382803CAA2}" name="Driver" dataDxfId="15"/>
    <tableColumn id="2" xr3:uid="{4012336E-6984-E14D-A3BE-843A710F6482}" name="Weight" dataDxfId="14"/>
    <tableColumn id="3" xr3:uid="{CE20D0B8-3103-A44C-925D-71D5DCEB57DD}" name="Acceleration" dataDxfId="13"/>
    <tableColumn id="4" xr3:uid="{A897E59C-A483-2D4E-960B-501A9F98772F}" name="Traction _x000a_(on-road)" dataDxfId="12"/>
    <tableColumn id="5" xr3:uid="{D1871B4A-E184-524B-8B78-107AD6295C1C}" name="Traction _x000a_(off-road)" dataDxfId="11"/>
    <tableColumn id="6" xr3:uid="{6A39C27B-3D81-424C-93FF-68FC2C89F26B}" name="Speed +_x000a_Mini-Turbo" dataDxfId="10"/>
    <tableColumn id="7" xr3:uid="{232F8479-FEE7-1D4D-9D44-848E246F4322}" name="Mini-_x000a_Turbo" dataDxfId="9"/>
    <tableColumn id="8" xr3:uid="{99FEF3BA-8DE1-3948-A0D2-C6D1F1E2733A}" name="Speed _x000a_(Ground)" dataDxfId="8"/>
    <tableColumn id="9" xr3:uid="{A2A1CC5F-04BD-2845-B281-9BD84474407D}" name="Speed _x000a_(Water)" dataDxfId="7"/>
    <tableColumn id="10" xr3:uid="{05DF39B3-35FB-3A47-A42E-11EC24B30F65}" name="Speed _x000a_(Anti-Gravity)" dataDxfId="6"/>
    <tableColumn id="11" xr3:uid="{489C4C58-7B3F-C540-B118-FFEC67DA27EE}" name="Speed _x000a_(Air)" dataDxfId="5"/>
    <tableColumn id="12" xr3:uid="{D2DF8344-AB6B-9D4C-A5BA-20924E05E110}" name="Handling _x000a_(Ground)" dataDxfId="4"/>
    <tableColumn id="13" xr3:uid="{9BFBCEA9-9F30-844F-8161-133CAE1ED209}" name="Handling _x000a_(Water)" dataDxfId="3"/>
    <tableColumn id="14" xr3:uid="{9F3CC36C-B095-254B-BB8E-9315C6470A97}" name="Handling _x000a_(Anti-Gravity)" dataDxfId="2"/>
    <tableColumn id="15" xr3:uid="{E79412BF-7A00-D447-90CF-D9801D494E29}" name="Handling _x000a_(Air)" dataDxfId="1"/>
    <tableColumn id="16" xr3:uid="{8BE472E3-F4EF-E84C-BB3F-05256005DB4C}" name="Invincibility" dataDxfId="0"/>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D5124DB-796E-AB4A-8760-569E2E95BDD2}" name="KartsGrouped" displayName="KartsGrouped" ref="A1:P28" totalsRowShown="0" headerRowDxfId="211">
  <autoFilter ref="A1:P28" xr:uid="{557E8747-C5B7-1A40-9A1C-0D7F74788C41}"/>
  <sortState ref="A2:P28">
    <sortCondition descending="1" ref="F2:F28"/>
    <sortCondition descending="1" ref="G2:G28"/>
    <sortCondition descending="1" ref="H2:H28"/>
    <sortCondition descending="1" ref="J2:J28"/>
  </sortState>
  <tableColumns count="16">
    <tableColumn id="1" xr3:uid="{B367CD57-C4FB-C34B-85AE-9C35866D1838}" name="Body"/>
    <tableColumn id="2" xr3:uid="{D433B5A7-32AA-C148-B7D0-FAE6BEFE7277}" name="Weight" dataDxfId="30"/>
    <tableColumn id="3" xr3:uid="{BA54C871-7D52-444D-9295-E20F0E48CB6C}" name="Acceleration" dataDxfId="29"/>
    <tableColumn id="4" xr3:uid="{2670306F-BF9C-BF49-BAC0-8EDE383F906E}" name="Traction _x000a_(on-road)" dataDxfId="28"/>
    <tableColumn id="5" xr3:uid="{0E523B43-497C-374E-8DEB-1463A8DEB468}" name="Traction _x000a_(off-road)" dataDxfId="27"/>
    <tableColumn id="6" xr3:uid="{9E45CA42-9556-FA47-8F95-74BA2A1730D2}" name="Speed +_x000a_Mini-Turbo" dataDxfId="26"/>
    <tableColumn id="7" xr3:uid="{9C397FAC-96C2-864B-9372-3554CD0F8798}" name="Mini-_x000a_Turbo" dataDxfId="25"/>
    <tableColumn id="8" xr3:uid="{8EDD586B-5448-6F4E-A922-6134CD99A246}" name="Speed _x000a_(Ground)" dataDxfId="24"/>
    <tableColumn id="9" xr3:uid="{A84DFF6E-90B2-8F41-8F2C-CCC3C467596C}" name="Speed _x000a_(Water)" dataDxfId="23"/>
    <tableColumn id="10" xr3:uid="{6760A90B-540E-0440-B4C2-BE433122EDF6}" name="Speed _x000a_(Anti-Gravity)" dataDxfId="22"/>
    <tableColumn id="11" xr3:uid="{A8C35081-52B9-C44A-962F-2E7024B2D527}" name="Speed _x000a_(Air)" dataDxfId="21"/>
    <tableColumn id="12" xr3:uid="{B12FA062-A6D0-FB40-8C5A-FA2BF09EDEA4}" name="Handling _x000a_(Ground)" dataDxfId="20"/>
    <tableColumn id="13" xr3:uid="{A3BB7441-7A63-6641-BB98-108CCD17C399}" name="Handling _x000a_(Water)" dataDxfId="19"/>
    <tableColumn id="14" xr3:uid="{5CBB3582-B692-404F-BBB3-98FAF8938E7A}" name="Handling _x000a_(Anti-Gravity)" dataDxfId="18"/>
    <tableColumn id="15" xr3:uid="{5F96F3DB-A270-0D42-9D55-1F846407B111}" name="Handling _x000a_(Air)" dataDxfId="17"/>
    <tableColumn id="16" xr3:uid="{9CF6614E-4B03-FC4A-BDD7-31B1A3D04172}" name="Invincibility" dataDxfId="16"/>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A2D569B-8F09-7247-AEE7-0CD0959D5F4A}" name="TiresGrouped" displayName="TiresGrouped" ref="A1:P15" totalsRowShown="0" headerRowDxfId="210">
  <autoFilter ref="A1:P15" xr:uid="{971B6F30-3BA0-AC4F-9752-DC15D0ACE611}"/>
  <sortState ref="A2:P15">
    <sortCondition descending="1" ref="F2:F15"/>
    <sortCondition descending="1" ref="G2:G15"/>
    <sortCondition descending="1" ref="H2:H15"/>
    <sortCondition descending="1" ref="J2:J15"/>
  </sortState>
  <tableColumns count="16">
    <tableColumn id="1" xr3:uid="{ED1327C8-F3CF-3147-9E40-13F61224C236}" name="Tire"/>
    <tableColumn id="2" xr3:uid="{8592CDF1-2DBF-7D4A-A970-BF6BC22ACE8A}" name="Weight" dataDxfId="209"/>
    <tableColumn id="3" xr3:uid="{EEDFF2AE-EE7B-8D46-82BC-EF067F008563}" name="Acceleration" dataDxfId="208"/>
    <tableColumn id="4" xr3:uid="{526FDD87-E634-6B47-92D5-7149DA616B76}" name="Traction _x000a_(on-road)" dataDxfId="207"/>
    <tableColumn id="5" xr3:uid="{86C96408-1BC7-6142-B8F5-13EB62BF87D2}" name="Traction _x000a_(off-road)" dataDxfId="206"/>
    <tableColumn id="6" xr3:uid="{A9094140-6A2E-D940-B1F5-7B2EFFFE5FF0}" name="Speed +_x000a_Mini-Turbo" dataDxfId="205"/>
    <tableColumn id="7" xr3:uid="{0C51E616-12E3-2E42-A0BB-8C74D7FD378D}" name="Mini-_x000a_Turbo" dataDxfId="204"/>
    <tableColumn id="8" xr3:uid="{7E59552F-3DD5-9C4B-A9E5-94126768899E}" name="Speed _x000a_(Ground)" dataDxfId="203"/>
    <tableColumn id="9" xr3:uid="{F15296E6-EB05-FC46-960A-F9E2557E20B9}" name="Speed _x000a_(Water)" dataDxfId="202"/>
    <tableColumn id="10" xr3:uid="{BDDE8B3B-EA8D-1544-9D61-30C7E32DF371}" name="Speed _x000a_(Anti-Gravity)" dataDxfId="201"/>
    <tableColumn id="11" xr3:uid="{A430E732-E0F3-BB48-84DB-F704B02E4CA1}" name="Speed _x000a_(Air)" dataDxfId="200"/>
    <tableColumn id="12" xr3:uid="{78B31554-D44B-2B4D-A5A0-0F3D8885CA0F}" name="Handling _x000a_(Ground)" dataDxfId="199"/>
    <tableColumn id="13" xr3:uid="{E0096245-BD82-794C-925E-706F9DF848E5}" name="Handling _x000a_(Water)" dataDxfId="198"/>
    <tableColumn id="14" xr3:uid="{65FC3766-3DF8-5943-AE13-E04D19ECB68B}" name="Handling _x000a_(Anti-Gravity)" dataDxfId="197"/>
    <tableColumn id="15" xr3:uid="{417C0538-8BFD-E14F-ABD5-0F2CF4B06DC9}" name="Handling _x000a_(Air)" dataDxfId="196"/>
    <tableColumn id="16" xr3:uid="{BD6C435A-5E5F-6646-9E53-B9B3EAA52D8A}" name="Invincibility" dataDxfId="195"/>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2B6E0C68-3B6F-674D-9192-8B0ADE722DBD}" name="GlidersGrouped" displayName="GlidersGrouped" ref="A1:P5" totalsRowShown="0" headerRowDxfId="194">
  <autoFilter ref="A1:P5" xr:uid="{EAB890B4-DFA7-6F40-ACC5-57C673E0B123}"/>
  <sortState ref="A2:P5">
    <sortCondition descending="1" ref="F2:F5"/>
    <sortCondition descending="1" ref="G2:G5"/>
    <sortCondition descending="1" ref="H2:H5"/>
    <sortCondition descending="1" ref="J2:J5"/>
  </sortState>
  <tableColumns count="16">
    <tableColumn id="1" xr3:uid="{DD97E7A2-A380-4449-B8D6-56691E8217FB}" name="Glider"/>
    <tableColumn id="2" xr3:uid="{ECB538B2-E849-C840-BF91-A6A8E787C5F2}" name="Weight" dataDxfId="193"/>
    <tableColumn id="3" xr3:uid="{382CD9F1-8AD5-D749-B1B3-5554324780E3}" name="Acceleration" dataDxfId="192"/>
    <tableColumn id="4" xr3:uid="{8DC3B348-60F9-1741-931E-7C8E1270324F}" name="Traction _x000a_(on-road)" dataDxfId="191"/>
    <tableColumn id="5" xr3:uid="{4CABDD1C-0600-BB49-BEDB-1AC4A3408609}" name="Traction _x000a_(off-road)" dataDxfId="190"/>
    <tableColumn id="6" xr3:uid="{AEAD4B91-DDD3-5B4E-A12F-949E35CAF361}" name="Speed +_x000a_Mini-Turbo" dataDxfId="189"/>
    <tableColumn id="7" xr3:uid="{2A71452A-9A91-E246-85AB-76F1B3848C2B}" name="Mini-_x000a_Turbo" dataDxfId="188"/>
    <tableColumn id="8" xr3:uid="{B37D7E8D-74B5-4940-B071-6DF15C95CABC}" name="Speed _x000a_(Ground)" dataDxfId="187"/>
    <tableColumn id="9" xr3:uid="{3D2DCC81-27D5-0B45-8427-89C9F1881B52}" name="Speed _x000a_(Water)" dataDxfId="186"/>
    <tableColumn id="10" xr3:uid="{5EE03619-7A6F-F543-8790-E595C4A5BDA1}" name="Speed _x000a_(Anti-Gravity)" dataDxfId="185"/>
    <tableColumn id="11" xr3:uid="{EFCB0163-0D9A-844F-8E53-68FCB7D0094D}" name="Speed _x000a_(Air)" dataDxfId="184"/>
    <tableColumn id="12" xr3:uid="{EC80B3B3-7169-2B4E-B809-ECE77868B2EA}" name="Handling _x000a_(Ground)" dataDxfId="183"/>
    <tableColumn id="13" xr3:uid="{D99442DB-0651-0548-AC6E-F92923622D96}" name="Handling _x000a_(Water)" dataDxfId="182"/>
    <tableColumn id="14" xr3:uid="{8D7BCABA-E3C8-8E43-9D83-228E592744DF}" name="Handling _x000a_(Anti-Gravity)" dataDxfId="181"/>
    <tableColumn id="15" xr3:uid="{6FEE78CC-8BEC-BE41-914D-6BC1126148DC}" name="Handling _x000a_(Air)" dataDxfId="180"/>
    <tableColumn id="16" xr3:uid="{E5D79226-887B-784C-AF72-3D8D8A1485BE}" name="Invincibility" dataDxfId="179"/>
  </tableColumns>
  <tableStyleInfo name="TableStyleMedium1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AE77C8-ED46-D841-A90F-8F3AA7372CB7}" name="Build1Stats" displayName="Build1Stats" ref="A1:P5" totalsRowShown="0" headerRowDxfId="178">
  <autoFilter ref="A1:P5" xr:uid="{091A1035-C18B-DF41-8C16-D9FFE7D3105C}"/>
  <tableColumns count="16">
    <tableColumn id="1" xr3:uid="{107FC462-5ECE-7647-A22B-4CCF03A7684C}" name="Category"/>
    <tableColumn id="2" xr3:uid="{E1F50DDB-004B-E841-B4F1-66078134BB49}" name="Input" dataCellStyle="Neutral">
      <calculatedColumnFormula>INDEX(Builds[Build 1], MATCH(Build1Stats[[#This Row],[Category]], Builds[Stat], FALSE))</calculatedColumnFormula>
    </tableColumn>
    <tableColumn id="3" xr3:uid="{16016B9F-8D60-EB49-A874-30A1DD5A0F25}" name="Weight" dataDxfId="177">
      <calculatedColumnFormula>INDEX(Drivers[Weight], MATCH(Build1Stats[[#This Row],[Input]], Drivers[Driver], FALSE))</calculatedColumnFormula>
    </tableColumn>
    <tableColumn id="4" xr3:uid="{5F37FE11-FD8C-8E4D-A55A-F948954C3CEF}" name="Acceleration" dataDxfId="176"/>
    <tableColumn id="5" xr3:uid="{625CFB3F-2F7D-6D43-AB65-FD818B2E9148}" name="Traction (on-road)" dataDxfId="175"/>
    <tableColumn id="6" xr3:uid="{66F98E19-FFD6-5E4A-B9D1-9ACAA3D7BEC0}" name="Traction (off-road)" dataDxfId="174"/>
    <tableColumn id="7" xr3:uid="{7530FDC3-2080-504D-A2BD-F8226AE1FF0B}" name="Mini-Turbo" dataDxfId="173"/>
    <tableColumn id="8" xr3:uid="{01AC7D05-77BD-7A4C-AC5A-27688D5E756C}" name="Speed (Ground)" dataDxfId="172"/>
    <tableColumn id="9" xr3:uid="{65749B3C-4F35-5541-A2AA-77B791439061}" name="Speed (Water)" dataDxfId="171"/>
    <tableColumn id="10" xr3:uid="{5FC4F55B-DB7B-2644-BBFA-3C8E1CB5A233}" name="Speed (Anti-Gravity)" dataDxfId="170"/>
    <tableColumn id="11" xr3:uid="{9763981A-5A0B-5A48-A2B3-61AF57D7D772}" name="Speed (Air)" dataDxfId="169"/>
    <tableColumn id="12" xr3:uid="{35C774C9-55B5-0548-93CC-7275C0C5E036}" name="Handling (Ground)" dataDxfId="168"/>
    <tableColumn id="13" xr3:uid="{D2192EC3-79B7-EB4D-88EB-899DBFEADB23}" name="Handling (Water)" dataDxfId="167"/>
    <tableColumn id="14" xr3:uid="{049E6EA6-6D1D-2140-AEF8-D592739F556B}" name="Handling (Anti-Gravity)" dataDxfId="166"/>
    <tableColumn id="15" xr3:uid="{BEE9946B-7E17-C549-9EA4-742F19B98843}" name="Handling (Air)" dataDxfId="165"/>
    <tableColumn id="16" xr3:uid="{14B742B2-1398-7247-9DC4-57DA35FAD8A3}" name="Invincibility" dataDxfId="164"/>
  </tableColumns>
  <tableStyleInfo name="TableStyleMedium16"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A98316-ADA0-564F-8ADB-4A19CFD9C87F}" name="Build2Stats" displayName="Build2Stats" ref="A9:P13" totalsRowShown="0" headerRowDxfId="163">
  <autoFilter ref="A9:P13" xr:uid="{165F20FE-F59A-5D41-AA9D-64C6DD229A02}"/>
  <tableColumns count="16">
    <tableColumn id="1" xr3:uid="{8E7F7B85-91BF-714A-A8FE-FA7DDF84A63C}" name="Category"/>
    <tableColumn id="2" xr3:uid="{92327A12-94E3-B74E-8E2D-DDE2A426E276}" name="Input" dataDxfId="162" dataCellStyle="Neutral">
      <calculatedColumnFormula>INDEX(Builds[Build 2], MATCH(Build2Stats[[#This Row],[Category]], Builds[Stat], FALSE))</calculatedColumnFormula>
    </tableColumn>
    <tableColumn id="3" xr3:uid="{92F29119-129E-AB46-8027-314E52AC8463}" name="Weight" dataDxfId="161">
      <calculatedColumnFormula>INDEX(Drivers[Weight], MATCH(Build2Stats[[#This Row],[Input]], Drivers[Driver], FALSE))</calculatedColumnFormula>
    </tableColumn>
    <tableColumn id="4" xr3:uid="{85B3B873-6981-7243-B0B0-C42DD64CBDB1}" name="Acceleration" dataDxfId="160"/>
    <tableColumn id="5" xr3:uid="{8720134C-1C15-844C-85C7-C8B37229B71E}" name="Traction (on-road)" dataDxfId="159"/>
    <tableColumn id="6" xr3:uid="{DF8A14A3-D8D9-C647-AE38-2888DFF2DF10}" name="Traction (off-road)" dataDxfId="158"/>
    <tableColumn id="7" xr3:uid="{CAD4BE41-10D9-464A-8E09-DE74084A235F}" name="Mini-Turbo" dataDxfId="157"/>
    <tableColumn id="8" xr3:uid="{D111B25C-875C-7944-A7A1-4160E0862E87}" name="Speed (Ground)" dataDxfId="156"/>
    <tableColumn id="9" xr3:uid="{B8066E15-DD07-A84E-9A68-C5B55D8C6AC7}" name="Speed (Water)" dataDxfId="155"/>
    <tableColumn id="10" xr3:uid="{28767AE9-6B4D-5745-9FE0-D85E37D87F52}" name="Speed (Anti-Gravity)" dataDxfId="154"/>
    <tableColumn id="11" xr3:uid="{614FE608-96A9-7B45-B640-0D648024DD36}" name="Speed (Air)" dataDxfId="153"/>
    <tableColumn id="12" xr3:uid="{F40C9B69-83E0-F44C-A99B-8A1AB0EDB646}" name="Handling (Ground)" dataDxfId="152"/>
    <tableColumn id="13" xr3:uid="{CA5124AF-96D4-EF45-A041-201D1662DED1}" name="Handling (Water)" dataDxfId="151"/>
    <tableColumn id="14" xr3:uid="{CDECFADF-7C0D-244B-847B-561AE9B20764}" name="Handling (Anti-Gravity)" dataDxfId="150"/>
    <tableColumn id="15" xr3:uid="{0E7F3B14-C2C4-AC47-AD69-CEF7D64511CD}" name="Handling (Air)" dataDxfId="149"/>
    <tableColumn id="16" xr3:uid="{4405368C-D0C7-734A-A68E-82BD2E4709F0}" name="Invincibility" dataDxfId="148"/>
  </tableColumns>
  <tableStyleInfo name="TableStyleMedium1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0A63A3D-7CCA-F645-8393-B0BFD8BCDD36}" name="Build3Stats" displayName="Build3Stats" ref="A17:P21" totalsRowShown="0" headerRowDxfId="147">
  <autoFilter ref="A17:P21" xr:uid="{CD268E95-CF16-C24D-A281-50C783A3D6FF}"/>
  <tableColumns count="16">
    <tableColumn id="1" xr3:uid="{DBF80EFF-8C7B-0542-8506-50C8661273D6}" name="Category"/>
    <tableColumn id="2" xr3:uid="{43B45354-F2F7-2E4F-B587-BD2A79A05CF2}" name="Input" dataDxfId="146" dataCellStyle="Neutral">
      <calculatedColumnFormula>INDEX(Builds[Build 3], MATCH(Build3Stats[[#This Row],[Category]], Builds[Stat], FALSE))</calculatedColumnFormula>
    </tableColumn>
    <tableColumn id="3" xr3:uid="{C1402C77-E54B-9347-BA25-6A78C68B3B35}" name="Weight" dataDxfId="145">
      <calculatedColumnFormula>INDEX(Drivers[Weight], MATCH(Build3Stats[[#This Row],[Input]], Drivers[Driver], FALSE))</calculatedColumnFormula>
    </tableColumn>
    <tableColumn id="4" xr3:uid="{4D408B2C-8CF1-E848-9771-F71D34CEEA81}" name="Acceleration" dataDxfId="144"/>
    <tableColumn id="5" xr3:uid="{3C7A503B-93D1-2A49-A890-49553B712F75}" name="Traction (on-road)" dataDxfId="143"/>
    <tableColumn id="6" xr3:uid="{199DF462-93BC-D543-8E67-BC632835A760}" name="Traction (off-road)" dataDxfId="142"/>
    <tableColumn id="7" xr3:uid="{BE14763D-F81B-3F43-AB95-5F9615735F47}" name="Mini-Turbo" dataDxfId="141"/>
    <tableColumn id="8" xr3:uid="{E45E00F4-8878-B64B-9664-BEEC61AF60D0}" name="Speed (Ground)" dataDxfId="140"/>
    <tableColumn id="9" xr3:uid="{29F88193-E341-AC41-8C83-8EF16305D724}" name="Speed (Water)" dataDxfId="139"/>
    <tableColumn id="10" xr3:uid="{56B45315-F753-8245-AE81-D28DC934433E}" name="Speed (Anti-Gravity)" dataDxfId="138"/>
    <tableColumn id="11" xr3:uid="{E1D691A3-5A3F-0C45-9925-9CE2A41487B8}" name="Speed (Air)" dataDxfId="137"/>
    <tableColumn id="12" xr3:uid="{8BA87147-D8B3-1E4E-94EA-DA7B1E2434FE}" name="Handling (Ground)" dataDxfId="136"/>
    <tableColumn id="13" xr3:uid="{6B2B9DDC-21C9-464E-94FF-47A75D21A808}" name="Handling (Water)" dataDxfId="135"/>
    <tableColumn id="14" xr3:uid="{8EEDCDE3-3FCF-434B-B7D5-26E7435F95D2}" name="Handling (Anti-Gravity)" dataDxfId="134"/>
    <tableColumn id="15" xr3:uid="{5CB90B0A-0781-444F-8D23-791E88CDA924}" name="Handling (Air)" dataDxfId="133"/>
    <tableColumn id="16" xr3:uid="{23BEA1DA-0755-7044-A3FA-385485EF7421}" name="Invincibility" dataDxfId="13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table" Target="../tables/table11.xml"/><Relationship Id="rId1" Type="http://schemas.openxmlformats.org/officeDocument/2006/relationships/table" Target="../tables/table10.xml"/><Relationship Id="rId4" Type="http://schemas.openxmlformats.org/officeDocument/2006/relationships/table" Target="../tables/table13.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table" Target="../tables/table14.xml"/><Relationship Id="rId6" Type="http://schemas.openxmlformats.org/officeDocument/2006/relationships/table" Target="../tables/table19.xml"/><Relationship Id="rId5" Type="http://schemas.openxmlformats.org/officeDocument/2006/relationships/table" Target="../tables/table18.xml"/><Relationship Id="rId4"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78C71-622D-9349-A5CA-AB827132A212}">
  <sheetPr>
    <tabColor rgb="FF00B050"/>
  </sheetPr>
  <dimension ref="A1:H19"/>
  <sheetViews>
    <sheetView tabSelected="1" zoomScaleNormal="100" workbookViewId="0">
      <selection activeCell="B5" sqref="B5"/>
    </sheetView>
  </sheetViews>
  <sheetFormatPr baseColWidth="10" defaultRowHeight="15"/>
  <cols>
    <col min="1" max="1" width="23.33203125" style="27" bestFit="1" customWidth="1"/>
    <col min="2" max="2" width="19.33203125" style="27" bestFit="1" customWidth="1"/>
    <col min="3" max="3" width="18" style="27" bestFit="1" customWidth="1"/>
    <col min="4" max="4" width="15.83203125" style="27" bestFit="1" customWidth="1"/>
    <col min="5" max="8" width="17.1640625" style="27" customWidth="1"/>
    <col min="9" max="9" width="14.5" style="27" customWidth="1"/>
    <col min="10" max="10" width="19" style="27" customWidth="1"/>
    <col min="11" max="11" width="14.5" style="27" customWidth="1"/>
    <col min="12" max="12" width="19" style="27" customWidth="1"/>
    <col min="13" max="13" width="16" style="27" customWidth="1"/>
    <col min="14" max="14" width="20.5" style="27" customWidth="1"/>
    <col min="15" max="15" width="16" style="27" customWidth="1"/>
    <col min="16" max="16" width="20.5" style="27" customWidth="1"/>
    <col min="17" max="17" width="14" style="27" customWidth="1"/>
    <col min="18" max="18" width="12.6640625" style="27" customWidth="1"/>
    <col min="19" max="16384" width="10.83203125" style="27"/>
  </cols>
  <sheetData>
    <row r="1" spans="1:8" ht="21">
      <c r="A1" s="16" t="s">
        <v>148</v>
      </c>
      <c r="B1" s="16" t="s">
        <v>149</v>
      </c>
      <c r="C1" s="16" t="s">
        <v>150</v>
      </c>
      <c r="D1" s="32" t="s">
        <v>151</v>
      </c>
      <c r="E1" s="28"/>
      <c r="F1" s="28"/>
      <c r="G1" s="28"/>
      <c r="H1" s="28"/>
    </row>
    <row r="2" spans="1:8" ht="21">
      <c r="A2" s="16" t="s">
        <v>0</v>
      </c>
      <c r="B2" s="29" t="s">
        <v>10</v>
      </c>
      <c r="C2" s="29" t="s">
        <v>31</v>
      </c>
      <c r="D2" s="29" t="s">
        <v>5</v>
      </c>
      <c r="E2" s="26"/>
    </row>
    <row r="3" spans="1:8" ht="21">
      <c r="A3" s="16" t="s">
        <v>145</v>
      </c>
      <c r="B3" s="29" t="s">
        <v>63</v>
      </c>
      <c r="C3" s="29" t="s">
        <v>87</v>
      </c>
      <c r="D3" s="29" t="s">
        <v>79</v>
      </c>
      <c r="E3" s="26"/>
    </row>
    <row r="4" spans="1:8" ht="21">
      <c r="A4" s="16" t="s">
        <v>95</v>
      </c>
      <c r="B4" s="29" t="s">
        <v>109</v>
      </c>
      <c r="C4" s="29" t="s">
        <v>116</v>
      </c>
      <c r="D4" s="29" t="s">
        <v>109</v>
      </c>
      <c r="E4" s="26"/>
    </row>
    <row r="5" spans="1:8" ht="21">
      <c r="A5" s="16" t="s">
        <v>118</v>
      </c>
      <c r="B5" s="29" t="s">
        <v>120</v>
      </c>
      <c r="C5" s="29" t="s">
        <v>132</v>
      </c>
      <c r="D5" s="29" t="s">
        <v>132</v>
      </c>
      <c r="E5" s="26"/>
    </row>
    <row r="6" spans="1:8" ht="21" hidden="1">
      <c r="A6" s="16" t="s">
        <v>134</v>
      </c>
      <c r="B6" s="30">
        <f ca="1">SUM(INDIRECT("Build1Stats[" &amp; Builds[[#This Row],[Stat]] &amp; "]"))</f>
        <v>8</v>
      </c>
      <c r="C6" s="31">
        <f ca="1">SUM(INDIRECT("Build2Stats[" &amp; Builds[[#This Row],[Stat]] &amp; "]"))</f>
        <v>5</v>
      </c>
      <c r="D6" s="31">
        <f ca="1">SUM(INDIRECT("Build3Stats[" &amp; Builds[[#This Row],[Stat]] &amp; "]"))</f>
        <v>6</v>
      </c>
      <c r="E6" s="26"/>
      <c r="F6" s="27" t="s">
        <v>163</v>
      </c>
    </row>
    <row r="7" spans="1:8" ht="21">
      <c r="A7" s="16" t="s">
        <v>135</v>
      </c>
      <c r="B7" s="30">
        <f ca="1">SUM(INDIRECT("Build1Stats[" &amp; Builds[[#This Row],[Stat]] &amp; "]"))</f>
        <v>16</v>
      </c>
      <c r="C7" s="31">
        <f ca="1">SUM(INDIRECT("Build2Stats[" &amp; Builds[[#This Row],[Stat]] &amp; "]"))</f>
        <v>16</v>
      </c>
      <c r="D7" s="31">
        <f ca="1">SUM(INDIRECT("Build3Stats[" &amp; Builds[[#This Row],[Stat]] &amp; "]"))</f>
        <v>16</v>
      </c>
      <c r="E7" s="26"/>
    </row>
    <row r="8" spans="1:8" ht="21" hidden="1">
      <c r="A8" s="16" t="s">
        <v>137</v>
      </c>
      <c r="B8" s="30">
        <f ca="1">SUM(INDIRECT("Build1Stats[" &amp; Builds[[#This Row],[Stat]] &amp; "]"))</f>
        <v>12</v>
      </c>
      <c r="C8" s="31">
        <f ca="1">SUM(INDIRECT("Build2Stats[" &amp; Builds[[#This Row],[Stat]] &amp; "]"))</f>
        <v>9</v>
      </c>
      <c r="D8" s="31">
        <f ca="1">SUM(INDIRECT("Build3Stats[" &amp; Builds[[#This Row],[Stat]] &amp; "]"))</f>
        <v>8</v>
      </c>
      <c r="E8" s="26"/>
    </row>
    <row r="9" spans="1:8" ht="21" hidden="1">
      <c r="A9" s="16" t="s">
        <v>136</v>
      </c>
      <c r="B9" s="30">
        <f ca="1">SUM(INDIRECT("Build1Stats[" &amp; Builds[[#This Row],[Stat]] &amp; "]"))</f>
        <v>9</v>
      </c>
      <c r="C9" s="31">
        <f ca="1">SUM(INDIRECT("Build2Stats[" &amp; Builds[[#This Row],[Stat]] &amp; "]"))</f>
        <v>11</v>
      </c>
      <c r="D9" s="31">
        <f ca="1">SUM(INDIRECT("Build3Stats[" &amp; Builds[[#This Row],[Stat]] &amp; "]"))</f>
        <v>11</v>
      </c>
      <c r="E9" s="26"/>
    </row>
    <row r="10" spans="1:8" ht="21">
      <c r="A10" s="16" t="s">
        <v>138</v>
      </c>
      <c r="B10" s="30">
        <f ca="1">SUM(INDIRECT("Build1Stats[" &amp; Builds[[#This Row],[Stat]] &amp; "]"))</f>
        <v>16</v>
      </c>
      <c r="C10" s="31">
        <f ca="1">SUM(INDIRECT("Build2Stats[" &amp; Builds[[#This Row],[Stat]] &amp; "]"))</f>
        <v>17</v>
      </c>
      <c r="D10" s="31">
        <f ca="1">SUM(INDIRECT("Build3Stats[" &amp; Builds[[#This Row],[Stat]] &amp; "]"))</f>
        <v>18</v>
      </c>
      <c r="E10" s="26"/>
    </row>
    <row r="11" spans="1:8" ht="21">
      <c r="A11" s="16" t="s">
        <v>140</v>
      </c>
      <c r="B11" s="30">
        <f ca="1">SUM(INDIRECT("Build1Stats[" &amp; Builds[[#This Row],[Stat]] &amp; "]"))</f>
        <v>9</v>
      </c>
      <c r="C11" s="31">
        <f ca="1">SUM(INDIRECT("Build2Stats[" &amp; Builds[[#This Row],[Stat]] &amp; "]"))</f>
        <v>9</v>
      </c>
      <c r="D11" s="31">
        <f ca="1">SUM(INDIRECT("Build3Stats[" &amp; Builds[[#This Row],[Stat]] &amp; "]"))</f>
        <v>8</v>
      </c>
      <c r="E11" s="26"/>
    </row>
    <row r="12" spans="1:8" ht="21">
      <c r="A12" s="16" t="s">
        <v>139</v>
      </c>
      <c r="B12" s="30">
        <f ca="1">SUM(INDIRECT("Build1Stats[" &amp; Builds[[#This Row],[Stat]] &amp; "]"))</f>
        <v>14</v>
      </c>
      <c r="C12" s="31">
        <f ca="1">SUM(INDIRECT("Build2Stats[" &amp; Builds[[#This Row],[Stat]] &amp; "]"))</f>
        <v>14</v>
      </c>
      <c r="D12" s="31">
        <f ca="1">SUM(INDIRECT("Build3Stats[" &amp; Builds[[#This Row],[Stat]] &amp; "]"))</f>
        <v>12</v>
      </c>
      <c r="E12" s="26"/>
    </row>
    <row r="13" spans="1:8" ht="21">
      <c r="A13" s="16" t="s">
        <v>162</v>
      </c>
      <c r="B13" s="30">
        <f ca="1">SUM(INDIRECT("Build1Stats[" &amp; Builds[[#This Row],[Stat]] &amp; "]"))</f>
        <v>12</v>
      </c>
      <c r="C13" s="31">
        <f ca="1">SUM(INDIRECT("Build2Stats[" &amp; Builds[[#This Row],[Stat]] &amp; "]"))</f>
        <v>9</v>
      </c>
      <c r="D13" s="31">
        <f ca="1">SUM(INDIRECT("Build3Stats[" &amp; Builds[[#This Row],[Stat]] &amp; "]"))</f>
        <v>10</v>
      </c>
      <c r="E13" s="26"/>
    </row>
    <row r="14" spans="1:8" ht="21" hidden="1">
      <c r="A14" s="33" t="s">
        <v>141</v>
      </c>
      <c r="B14" s="34">
        <f ca="1">SUM(INDIRECT("Build1Stats[" &amp; Builds[[#This Row],[Stat]] &amp; "]"))</f>
        <v>14</v>
      </c>
      <c r="C14" s="35">
        <f ca="1">SUM(INDIRECT("Build2Stats[" &amp; Builds[[#This Row],[Stat]] &amp; "]"))</f>
        <v>11</v>
      </c>
      <c r="D14" s="35">
        <f ca="1">SUM(INDIRECT("Build3Stats[" &amp; Builds[[#This Row],[Stat]] &amp; "]"))</f>
        <v>14</v>
      </c>
      <c r="E14" s="26"/>
    </row>
    <row r="15" spans="1:8" ht="21" hidden="1">
      <c r="A15" s="33" t="s">
        <v>142</v>
      </c>
      <c r="B15" s="34">
        <f ca="1">SUM(INDIRECT("Build1Stats[" &amp; Builds[[#This Row],[Stat]] &amp; "]"))</f>
        <v>12</v>
      </c>
      <c r="C15" s="35">
        <f ca="1">SUM(INDIRECT("Build2Stats[" &amp; Builds[[#This Row],[Stat]] &amp; "]"))</f>
        <v>13</v>
      </c>
      <c r="D15" s="35">
        <f ca="1">SUM(INDIRECT("Build3Stats[" &amp; Builds[[#This Row],[Stat]] &amp; "]"))</f>
        <v>14</v>
      </c>
      <c r="E15" s="26"/>
    </row>
    <row r="16" spans="1:8" ht="21" hidden="1">
      <c r="A16" s="33" t="s">
        <v>160</v>
      </c>
      <c r="B16" s="34">
        <f ca="1">SUM(INDIRECT("Build1Stats[" &amp; Builds[[#This Row],[Stat]] &amp; "]"))</f>
        <v>10</v>
      </c>
      <c r="C16" s="35">
        <f ca="1">SUM(INDIRECT("Build2Stats[" &amp; Builds[[#This Row],[Stat]] &amp; "]"))</f>
        <v>13</v>
      </c>
      <c r="D16" s="35">
        <f ca="1">SUM(INDIRECT("Build3Stats[" &amp; Builds[[#This Row],[Stat]] &amp; "]"))</f>
        <v>11</v>
      </c>
    </row>
    <row r="17" spans="1:4" ht="21" hidden="1">
      <c r="A17" s="33" t="s">
        <v>161</v>
      </c>
      <c r="B17" s="34">
        <f ca="1">SUM(INDIRECT("Build1Stats[" &amp; Builds[[#This Row],[Stat]] &amp; "]"))</f>
        <v>12</v>
      </c>
      <c r="C17" s="35">
        <f ca="1">SUM(INDIRECT("Build2Stats[" &amp; Builds[[#This Row],[Stat]] &amp; "]"))</f>
        <v>12</v>
      </c>
      <c r="D17" s="35">
        <f ca="1">SUM(INDIRECT("Build3Stats[" &amp; Builds[[#This Row],[Stat]] &amp; "]"))</f>
        <v>13</v>
      </c>
    </row>
    <row r="18" spans="1:4" ht="21" hidden="1">
      <c r="A18" s="33" t="s">
        <v>143</v>
      </c>
      <c r="B18" s="34">
        <f ca="1">SUM(INDIRECT("Build1Stats[" &amp; Builds[[#This Row],[Stat]] &amp; "]"))</f>
        <v>12</v>
      </c>
      <c r="C18" s="35">
        <f ca="1">SUM(INDIRECT("Build2Stats[" &amp; Builds[[#This Row],[Stat]] &amp; "]"))</f>
        <v>12</v>
      </c>
      <c r="D18" s="35">
        <f ca="1">SUM(INDIRECT("Build3Stats[" &amp; Builds[[#This Row],[Stat]] &amp; "]"))</f>
        <v>15</v>
      </c>
    </row>
    <row r="19" spans="1:4" ht="21" hidden="1">
      <c r="A19" s="33" t="s">
        <v>144</v>
      </c>
      <c r="B19" s="34">
        <f ca="1">SUM(INDIRECT("Build1Stats[" &amp; Builds[[#This Row],[Stat]] &amp; "]"))</f>
        <v>4</v>
      </c>
      <c r="C19" s="35">
        <f ca="1">SUM(INDIRECT("Build2Stats[" &amp; Builds[[#This Row],[Stat]] &amp; "]"))</f>
        <v>7</v>
      </c>
      <c r="D19" s="35">
        <f ca="1">SUM(INDIRECT("Build3Stats[" &amp; Builds[[#This Row],[Stat]] &amp; "]"))</f>
        <v>2</v>
      </c>
    </row>
  </sheetData>
  <sheetProtection autoFilter="0"/>
  <conditionalFormatting sqref="B6:B19">
    <cfRule type="expression" dxfId="242" priority="2">
      <formula xml:space="preserve"> AND(B6 &gt;= C6, B6 &gt;= D6)</formula>
    </cfRule>
    <cfRule type="expression" dxfId="241" priority="7">
      <formula xml:space="preserve"> OR(AND(B6 &gt; C6, B6 = D6), AND(B6 = C6, B6 &gt; D6))</formula>
    </cfRule>
    <cfRule type="expression" dxfId="240" priority="8">
      <formula>OR(AND(B6 &gt; C6, D6 = 0), AND(B6 &gt; D6, C6 = 0))</formula>
    </cfRule>
    <cfRule type="expression" dxfId="239" priority="19">
      <formula xml:space="preserve"> OR(B6 &gt; C6, B6 &gt; D6)</formula>
    </cfRule>
    <cfRule type="expression" dxfId="238" priority="20">
      <formula>OR(AND(B6 = C6, D6 = 0), AND(B6 = D6, C6 = 0))</formula>
    </cfRule>
    <cfRule type="expression" dxfId="237" priority="21">
      <formula xml:space="preserve"> AND(B6 &lt; C6, B6 &lt; D6)</formula>
    </cfRule>
    <cfRule type="expression" dxfId="236" priority="22">
      <formula xml:space="preserve"> OR(AND(B6 &lt; C6, B6 = D6), AND(B6 = C6, B6 &lt; D6))</formula>
    </cfRule>
    <cfRule type="expression" dxfId="235" priority="25">
      <formula>OR(AND(B6 &lt; C6, D6 = ""), AND(B6 &lt; D6, C6 = ""))</formula>
    </cfRule>
  </conditionalFormatting>
  <conditionalFormatting sqref="C6:C19">
    <cfRule type="expression" dxfId="234" priority="6">
      <formula>OR(AND(C6 &gt; B6, D6 = ""), AND(C6 &gt; D6, B6 = ""))</formula>
    </cfRule>
    <cfRule type="expression" dxfId="233" priority="14">
      <formula xml:space="preserve"> AND(C6 &gt;= D6, C6 &gt;= B6)</formula>
    </cfRule>
    <cfRule type="expression" dxfId="232" priority="15">
      <formula xml:space="preserve"> OR(AND(C6 &gt; D6, C6 = B6), AND(C6 = D6, C6 &gt; B6))</formula>
    </cfRule>
    <cfRule type="expression" dxfId="231" priority="16">
      <formula xml:space="preserve"> OR(C6 &gt; D6, C6 &gt; B6)</formula>
    </cfRule>
    <cfRule type="expression" dxfId="230" priority="17">
      <formula xml:space="preserve"> AND(C6 &lt; D6, C6 &lt; B6)</formula>
    </cfRule>
    <cfRule type="expression" dxfId="229" priority="18">
      <formula xml:space="preserve"> OR(AND(C6 &lt; D6, C6 = B6), AND(C6 = D6, C6 &lt; B6))</formula>
    </cfRule>
  </conditionalFormatting>
  <conditionalFormatting sqref="D6:D19">
    <cfRule type="expression" dxfId="228" priority="1">
      <formula>0</formula>
    </cfRule>
    <cfRule type="expression" dxfId="227" priority="4">
      <formula>OR(AND(D6 &gt; C6, B6 = ""), AND(D6 &gt; B6, C6 = ""))</formula>
    </cfRule>
    <cfRule type="expression" dxfId="226" priority="5">
      <formula xml:space="preserve"> AND(D6 &gt;= B6, D6 &gt;= C6)</formula>
    </cfRule>
    <cfRule type="expression" dxfId="225" priority="9">
      <formula xml:space="preserve"> OR(AND(D6 &gt; B6, D6 = C6), AND(D6 = B6, D6 &gt; C6))</formula>
    </cfRule>
    <cfRule type="expression" dxfId="224" priority="10">
      <formula xml:space="preserve"> OR(D6 &gt; B6, D6 &gt; C6)</formula>
    </cfRule>
    <cfRule type="expression" dxfId="223" priority="11">
      <formula xml:space="preserve"> AND(D6 &lt; B6, D6 &lt; C6)</formula>
    </cfRule>
    <cfRule type="expression" dxfId="222" priority="12">
      <formula xml:space="preserve"> OR(AND(D6 &lt; B6, D6 = C6), AND(D6 = B6, D6 &lt; C6))</formula>
    </cfRule>
    <cfRule type="expression" dxfId="221" priority="13">
      <formula>OR(AND(D6 &lt; C6, B6 = ""), AND(D6 &lt; B6, C6 = ""))</formula>
    </cfRule>
  </conditionalFormatting>
  <conditionalFormatting sqref="E5">
    <cfRule type="expression" dxfId="220" priority="3">
      <formula>OR(AND(B6 = C6, D6 = “”), AND(B6 = D6, C6 = “”))</formula>
    </cfRule>
  </conditionalFormatting>
  <dataValidations count="4">
    <dataValidation type="list" allowBlank="1" showInputMessage="1" showErrorMessage="1" sqref="B2:D2 E1" xr:uid="{F636D947-A2EE-FF4D-81E0-8674230481BA}">
      <formula1>DriversLIST</formula1>
    </dataValidation>
    <dataValidation type="list" allowBlank="1" showInputMessage="1" showErrorMessage="1" sqref="F1 B3:D3" xr:uid="{EDDF891D-E36D-A541-BBEA-0501A2C17F4D}">
      <formula1>KartsLIST</formula1>
    </dataValidation>
    <dataValidation type="list" allowBlank="1" showInputMessage="1" showErrorMessage="1" sqref="B4:D4 G1" xr:uid="{F91A68B6-F993-D54D-811A-F3C7FD1312E8}">
      <formula1>TiresLIST</formula1>
    </dataValidation>
    <dataValidation type="list" allowBlank="1" showInputMessage="1" showErrorMessage="1" sqref="B5:D5 H1" xr:uid="{2B4E54C5-BFD1-8D4E-B97B-25502F065F30}">
      <formula1>GlidersLIST</formula1>
    </dataValidation>
  </dataValidations>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75E1FB-B166-6C41-B4F6-284ADB98EBAD}">
  <sheetPr>
    <tabColor theme="1"/>
  </sheetPr>
  <dimension ref="A1:B12"/>
  <sheetViews>
    <sheetView workbookViewId="0">
      <selection activeCell="B5" sqref="B5"/>
    </sheetView>
  </sheetViews>
  <sheetFormatPr baseColWidth="10" defaultRowHeight="15"/>
  <cols>
    <col min="1" max="1" width="12" customWidth="1"/>
    <col min="2" max="2" width="67" customWidth="1"/>
  </cols>
  <sheetData>
    <row r="1" spans="1:2">
      <c r="A1" t="s">
        <v>152</v>
      </c>
      <c r="B1" t="s">
        <v>153</v>
      </c>
    </row>
    <row r="2" spans="1:2" ht="48">
      <c r="A2" t="s">
        <v>154</v>
      </c>
      <c r="B2" s="6" t="s">
        <v>222</v>
      </c>
    </row>
    <row r="3" spans="1:2" ht="80">
      <c r="A3" t="s">
        <v>155</v>
      </c>
      <c r="B3" s="6" t="s">
        <v>221</v>
      </c>
    </row>
    <row r="4" spans="1:2" ht="80">
      <c r="A4" s="41" t="s">
        <v>158</v>
      </c>
      <c r="B4" s="41" t="s">
        <v>220</v>
      </c>
    </row>
    <row r="5" spans="1:2" ht="96">
      <c r="A5" t="s">
        <v>215</v>
      </c>
      <c r="B5" s="6" t="s">
        <v>217</v>
      </c>
    </row>
    <row r="6" spans="1:2" ht="32">
      <c r="A6" t="s">
        <v>218</v>
      </c>
      <c r="B6" s="6" t="s">
        <v>219</v>
      </c>
    </row>
    <row r="12" spans="1:2">
      <c r="B12" t="s">
        <v>159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6485C-CA34-DF4A-A230-B7424583F784}">
  <sheetPr>
    <tabColor rgb="FF7030A0"/>
  </sheetPr>
  <dimension ref="A1:A5"/>
  <sheetViews>
    <sheetView workbookViewId="0">
      <selection activeCell="B1" sqref="B1"/>
    </sheetView>
  </sheetViews>
  <sheetFormatPr baseColWidth="10" defaultRowHeight="15"/>
  <cols>
    <col min="1" max="1" width="12" bestFit="1" customWidth="1"/>
  </cols>
  <sheetData>
    <row r="1" spans="1:1">
      <c r="A1" t="s">
        <v>149</v>
      </c>
    </row>
    <row r="2" spans="1:1">
      <c r="A2" t="s">
        <v>31</v>
      </c>
    </row>
    <row r="3" spans="1:1">
      <c r="A3" t="s">
        <v>87</v>
      </c>
    </row>
    <row r="4" spans="1:1">
      <c r="A4" t="s">
        <v>116</v>
      </c>
    </row>
    <row r="5" spans="1:1">
      <c r="A5" t="s">
        <v>132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98645-B776-C84B-A974-F92D9909F436}">
  <sheetPr>
    <tabColor rgb="FFFFC000"/>
  </sheetPr>
  <dimension ref="A1:P18"/>
  <sheetViews>
    <sheetView workbookViewId="0">
      <selection activeCell="C10" sqref="C10"/>
    </sheetView>
  </sheetViews>
  <sheetFormatPr baseColWidth="10" defaultRowHeight="15"/>
  <cols>
    <col min="1" max="1" width="44.83203125" bestFit="1" customWidth="1"/>
    <col min="2" max="2" width="11.83203125" bestFit="1" customWidth="1"/>
    <col min="3" max="3" width="16.1640625" bestFit="1" customWidth="1"/>
    <col min="4" max="4" width="13.1640625" bestFit="1" customWidth="1"/>
    <col min="5" max="5" width="11.6640625" customWidth="1"/>
    <col min="6" max="6" width="14.83203125" bestFit="1" customWidth="1"/>
    <col min="7" max="7" width="10.6640625" bestFit="1" customWidth="1"/>
    <col min="8" max="8" width="12.5" bestFit="1" customWidth="1"/>
    <col min="9" max="9" width="12" bestFit="1" customWidth="1"/>
    <col min="10" max="10" width="12.1640625" bestFit="1" customWidth="1"/>
    <col min="11" max="11" width="12" customWidth="1"/>
    <col min="12" max="13" width="13" bestFit="1" customWidth="1"/>
    <col min="14" max="14" width="16.5" bestFit="1" customWidth="1"/>
    <col min="15" max="15" width="13" bestFit="1" customWidth="1"/>
    <col min="16" max="16" width="12.6640625" customWidth="1"/>
  </cols>
  <sheetData>
    <row r="1" spans="1:16" ht="32">
      <c r="A1" s="38" t="s">
        <v>0</v>
      </c>
      <c r="B1" s="20" t="s">
        <v>134</v>
      </c>
      <c r="C1" s="20" t="s">
        <v>135</v>
      </c>
      <c r="D1" s="20" t="s">
        <v>164</v>
      </c>
      <c r="E1" s="20" t="s">
        <v>165</v>
      </c>
      <c r="F1" s="20" t="s">
        <v>176</v>
      </c>
      <c r="G1" s="20" t="s">
        <v>166</v>
      </c>
      <c r="H1" s="20" t="s">
        <v>167</v>
      </c>
      <c r="I1" s="20" t="s">
        <v>168</v>
      </c>
      <c r="J1" s="20" t="s">
        <v>169</v>
      </c>
      <c r="K1" s="20" t="s">
        <v>170</v>
      </c>
      <c r="L1" s="20" t="s">
        <v>171</v>
      </c>
      <c r="M1" s="20" t="s">
        <v>172</v>
      </c>
      <c r="N1" s="20" t="s">
        <v>173</v>
      </c>
      <c r="O1" s="20" t="s">
        <v>174</v>
      </c>
      <c r="P1" s="20" t="s">
        <v>144</v>
      </c>
    </row>
    <row r="2" spans="1:16" ht="21">
      <c r="A2" s="42" t="s">
        <v>184</v>
      </c>
      <c r="B2" s="37">
        <v>4</v>
      </c>
      <c r="C2" s="37">
        <v>3</v>
      </c>
      <c r="D2" s="37">
        <v>3</v>
      </c>
      <c r="E2" s="37">
        <v>3</v>
      </c>
      <c r="F2" s="37">
        <v>10</v>
      </c>
      <c r="G2" s="37">
        <v>4</v>
      </c>
      <c r="H2" s="37">
        <v>6</v>
      </c>
      <c r="I2" s="37">
        <v>6</v>
      </c>
      <c r="J2" s="37">
        <v>6</v>
      </c>
      <c r="K2" s="37">
        <v>6</v>
      </c>
      <c r="L2" s="37">
        <v>5</v>
      </c>
      <c r="M2" s="37">
        <v>5</v>
      </c>
      <c r="N2" s="37">
        <v>5</v>
      </c>
      <c r="O2" s="37">
        <v>5</v>
      </c>
      <c r="P2" s="37">
        <v>1</v>
      </c>
    </row>
    <row r="3" spans="1:16" ht="21">
      <c r="A3" s="42" t="s">
        <v>185</v>
      </c>
      <c r="B3" s="37">
        <v>5</v>
      </c>
      <c r="C3" s="37">
        <v>3</v>
      </c>
      <c r="D3" s="37">
        <v>7</v>
      </c>
      <c r="E3" s="37">
        <v>1</v>
      </c>
      <c r="F3" s="37">
        <v>10</v>
      </c>
      <c r="G3" s="37">
        <v>4</v>
      </c>
      <c r="H3" s="37">
        <v>6</v>
      </c>
      <c r="I3" s="37">
        <v>6</v>
      </c>
      <c r="J3" s="37">
        <v>6</v>
      </c>
      <c r="K3" s="37">
        <v>6</v>
      </c>
      <c r="L3" s="37">
        <v>5</v>
      </c>
      <c r="M3" s="37">
        <v>5</v>
      </c>
      <c r="N3" s="37">
        <v>5</v>
      </c>
      <c r="O3" s="37">
        <v>5</v>
      </c>
      <c r="P3" s="37">
        <v>1</v>
      </c>
    </row>
    <row r="4" spans="1:16" ht="21">
      <c r="A4" s="42" t="s">
        <v>186</v>
      </c>
      <c r="B4" s="37">
        <v>6</v>
      </c>
      <c r="C4" s="37">
        <v>2</v>
      </c>
      <c r="D4" s="37">
        <v>4</v>
      </c>
      <c r="E4" s="37">
        <v>2</v>
      </c>
      <c r="F4" s="37">
        <v>10</v>
      </c>
      <c r="G4" s="37">
        <v>3</v>
      </c>
      <c r="H4" s="37">
        <v>7</v>
      </c>
      <c r="I4" s="37">
        <v>7</v>
      </c>
      <c r="J4" s="37">
        <v>7</v>
      </c>
      <c r="K4" s="37">
        <v>7</v>
      </c>
      <c r="L4" s="37">
        <v>4</v>
      </c>
      <c r="M4" s="37">
        <v>4</v>
      </c>
      <c r="N4" s="37">
        <v>4</v>
      </c>
      <c r="O4" s="37">
        <v>4</v>
      </c>
      <c r="P4" s="37">
        <v>3</v>
      </c>
    </row>
    <row r="5" spans="1:16" ht="21">
      <c r="A5" s="42" t="s">
        <v>187</v>
      </c>
      <c r="B5" s="37">
        <v>6</v>
      </c>
      <c r="C5" s="37">
        <v>2</v>
      </c>
      <c r="D5" s="37">
        <v>5</v>
      </c>
      <c r="E5" s="37">
        <v>1</v>
      </c>
      <c r="F5" s="37">
        <v>10</v>
      </c>
      <c r="G5" s="37">
        <v>3</v>
      </c>
      <c r="H5" s="37">
        <v>7</v>
      </c>
      <c r="I5" s="37">
        <v>7</v>
      </c>
      <c r="J5" s="37">
        <v>7</v>
      </c>
      <c r="K5" s="37">
        <v>7</v>
      </c>
      <c r="L5" s="37">
        <v>5</v>
      </c>
      <c r="M5" s="37">
        <v>5</v>
      </c>
      <c r="N5" s="37">
        <v>5</v>
      </c>
      <c r="O5" s="37">
        <v>5</v>
      </c>
      <c r="P5" s="37">
        <v>3</v>
      </c>
    </row>
    <row r="6" spans="1:16" ht="21">
      <c r="A6" s="42" t="s">
        <v>188</v>
      </c>
      <c r="B6" s="37">
        <v>7</v>
      </c>
      <c r="C6" s="37">
        <v>1</v>
      </c>
      <c r="D6" s="37">
        <v>9</v>
      </c>
      <c r="E6" s="37">
        <v>3</v>
      </c>
      <c r="F6" s="37">
        <v>10</v>
      </c>
      <c r="G6" s="37">
        <v>2</v>
      </c>
      <c r="H6" s="37">
        <v>8</v>
      </c>
      <c r="I6" s="37">
        <v>8</v>
      </c>
      <c r="J6" s="37">
        <v>8</v>
      </c>
      <c r="K6" s="37">
        <v>8</v>
      </c>
      <c r="L6" s="37">
        <v>3</v>
      </c>
      <c r="M6" s="37">
        <v>3</v>
      </c>
      <c r="N6" s="37">
        <v>3</v>
      </c>
      <c r="O6" s="37">
        <v>3</v>
      </c>
      <c r="P6" s="37">
        <v>4</v>
      </c>
    </row>
    <row r="7" spans="1:16" ht="21">
      <c r="A7" s="42" t="s">
        <v>189</v>
      </c>
      <c r="B7" s="37">
        <v>8</v>
      </c>
      <c r="C7" s="37">
        <v>1</v>
      </c>
      <c r="D7" s="37">
        <v>10</v>
      </c>
      <c r="E7" s="37">
        <v>0</v>
      </c>
      <c r="F7" s="37">
        <v>10</v>
      </c>
      <c r="G7" s="37">
        <v>1</v>
      </c>
      <c r="H7" s="37">
        <v>9</v>
      </c>
      <c r="I7" s="37">
        <v>9</v>
      </c>
      <c r="J7" s="37">
        <v>9</v>
      </c>
      <c r="K7" s="37">
        <v>9</v>
      </c>
      <c r="L7" s="37">
        <v>2</v>
      </c>
      <c r="M7" s="37">
        <v>2</v>
      </c>
      <c r="N7" s="37">
        <v>2</v>
      </c>
      <c r="O7" s="37">
        <v>2</v>
      </c>
      <c r="P7" s="37">
        <v>4</v>
      </c>
    </row>
    <row r="8" spans="1:16" ht="21">
      <c r="A8" s="42" t="s">
        <v>190</v>
      </c>
      <c r="B8" s="37">
        <v>9</v>
      </c>
      <c r="C8" s="37">
        <v>0</v>
      </c>
      <c r="D8" s="37">
        <v>5</v>
      </c>
      <c r="E8" s="37">
        <v>1</v>
      </c>
      <c r="F8" s="37">
        <v>10</v>
      </c>
      <c r="G8" s="37">
        <v>0</v>
      </c>
      <c r="H8" s="37">
        <v>10</v>
      </c>
      <c r="I8" s="37">
        <v>10</v>
      </c>
      <c r="J8" s="37">
        <v>10</v>
      </c>
      <c r="K8" s="37">
        <v>10</v>
      </c>
      <c r="L8" s="37">
        <v>1</v>
      </c>
      <c r="M8" s="37">
        <v>1</v>
      </c>
      <c r="N8" s="37">
        <v>1</v>
      </c>
      <c r="O8" s="37">
        <v>1</v>
      </c>
      <c r="P8" s="37">
        <v>5</v>
      </c>
    </row>
    <row r="9" spans="1:16" ht="21">
      <c r="A9" s="42" t="s">
        <v>191</v>
      </c>
      <c r="B9" s="37">
        <v>10</v>
      </c>
      <c r="C9" s="37">
        <v>0</v>
      </c>
      <c r="D9" s="37">
        <v>6</v>
      </c>
      <c r="E9" s="37">
        <v>0</v>
      </c>
      <c r="F9" s="37">
        <v>10</v>
      </c>
      <c r="G9" s="37">
        <v>0</v>
      </c>
      <c r="H9" s="37">
        <v>10</v>
      </c>
      <c r="I9" s="37">
        <v>10</v>
      </c>
      <c r="J9" s="37">
        <v>10</v>
      </c>
      <c r="K9" s="37">
        <v>10</v>
      </c>
      <c r="L9" s="37">
        <v>0</v>
      </c>
      <c r="M9" s="37">
        <v>0</v>
      </c>
      <c r="N9" s="37">
        <v>0</v>
      </c>
      <c r="O9" s="37">
        <v>0</v>
      </c>
      <c r="P9" s="37">
        <v>6</v>
      </c>
    </row>
    <row r="10" spans="1:16" ht="21">
      <c r="A10" s="42" t="s">
        <v>182</v>
      </c>
      <c r="B10" s="37">
        <v>3</v>
      </c>
      <c r="C10" s="37">
        <v>4</v>
      </c>
      <c r="D10" s="37">
        <v>2</v>
      </c>
      <c r="E10" s="37">
        <v>3</v>
      </c>
      <c r="F10" s="37">
        <v>9</v>
      </c>
      <c r="G10" s="37">
        <v>4</v>
      </c>
      <c r="H10" s="37">
        <v>5</v>
      </c>
      <c r="I10" s="37">
        <v>5</v>
      </c>
      <c r="J10" s="37">
        <v>5</v>
      </c>
      <c r="K10" s="37">
        <v>5</v>
      </c>
      <c r="L10" s="37">
        <v>6</v>
      </c>
      <c r="M10" s="37">
        <v>6</v>
      </c>
      <c r="N10" s="37">
        <v>6</v>
      </c>
      <c r="O10" s="37">
        <v>6</v>
      </c>
      <c r="P10" s="37">
        <v>3</v>
      </c>
    </row>
    <row r="11" spans="1:16" ht="21">
      <c r="A11" s="42" t="s">
        <v>192</v>
      </c>
      <c r="B11" s="37">
        <v>10</v>
      </c>
      <c r="C11" s="37">
        <v>1</v>
      </c>
      <c r="D11" s="37">
        <v>8</v>
      </c>
      <c r="E11" s="37">
        <v>1</v>
      </c>
      <c r="F11" s="37">
        <v>9</v>
      </c>
      <c r="G11" s="37">
        <v>1</v>
      </c>
      <c r="H11" s="37">
        <v>8</v>
      </c>
      <c r="I11" s="37">
        <v>8</v>
      </c>
      <c r="J11" s="37">
        <v>8</v>
      </c>
      <c r="K11" s="37">
        <v>8</v>
      </c>
      <c r="L11" s="37">
        <v>3</v>
      </c>
      <c r="M11" s="37">
        <v>3</v>
      </c>
      <c r="N11" s="37">
        <v>3</v>
      </c>
      <c r="O11" s="37">
        <v>3</v>
      </c>
      <c r="P11" s="37">
        <v>3</v>
      </c>
    </row>
    <row r="12" spans="1:16" ht="21">
      <c r="A12" s="42" t="s">
        <v>47</v>
      </c>
      <c r="B12" s="37">
        <v>10</v>
      </c>
      <c r="C12" s="37">
        <v>1</v>
      </c>
      <c r="D12" s="37">
        <v>8</v>
      </c>
      <c r="E12" s="37">
        <v>1</v>
      </c>
      <c r="F12" s="37">
        <v>9</v>
      </c>
      <c r="G12" s="37">
        <v>1</v>
      </c>
      <c r="H12" s="37">
        <v>8</v>
      </c>
      <c r="I12" s="37">
        <v>8</v>
      </c>
      <c r="J12" s="37">
        <v>8</v>
      </c>
      <c r="K12" s="37">
        <v>8</v>
      </c>
      <c r="L12" s="37">
        <v>3</v>
      </c>
      <c r="M12" s="37">
        <v>3</v>
      </c>
      <c r="N12" s="37">
        <v>3</v>
      </c>
      <c r="O12" s="37">
        <v>3</v>
      </c>
      <c r="P12" s="37">
        <v>6</v>
      </c>
    </row>
    <row r="13" spans="1:16" ht="21">
      <c r="A13" s="42" t="s">
        <v>183</v>
      </c>
      <c r="B13" s="37">
        <v>3</v>
      </c>
      <c r="C13" s="37">
        <v>4</v>
      </c>
      <c r="D13" s="37">
        <v>3</v>
      </c>
      <c r="E13" s="37">
        <v>4</v>
      </c>
      <c r="F13" s="37">
        <v>8</v>
      </c>
      <c r="G13" s="37">
        <v>4</v>
      </c>
      <c r="H13" s="37">
        <v>4</v>
      </c>
      <c r="I13" s="37">
        <v>4</v>
      </c>
      <c r="J13" s="37">
        <v>4</v>
      </c>
      <c r="K13" s="37">
        <v>4</v>
      </c>
      <c r="L13" s="37">
        <v>7</v>
      </c>
      <c r="M13" s="37">
        <v>7</v>
      </c>
      <c r="N13" s="37">
        <v>7</v>
      </c>
      <c r="O13" s="37">
        <v>7</v>
      </c>
      <c r="P13" s="37">
        <v>3</v>
      </c>
    </row>
    <row r="14" spans="1:16" ht="21">
      <c r="A14" s="42" t="s">
        <v>179</v>
      </c>
      <c r="B14" s="37">
        <v>1</v>
      </c>
      <c r="C14" s="37">
        <v>5</v>
      </c>
      <c r="D14" s="37">
        <v>2</v>
      </c>
      <c r="E14" s="37">
        <v>4</v>
      </c>
      <c r="F14" s="37">
        <v>7</v>
      </c>
      <c r="G14" s="37">
        <v>5</v>
      </c>
      <c r="H14" s="37">
        <v>2</v>
      </c>
      <c r="I14" s="37">
        <v>2</v>
      </c>
      <c r="J14" s="37">
        <v>2</v>
      </c>
      <c r="K14" s="37">
        <v>2</v>
      </c>
      <c r="L14" s="37">
        <v>8</v>
      </c>
      <c r="M14" s="37">
        <v>8</v>
      </c>
      <c r="N14" s="37">
        <v>8</v>
      </c>
      <c r="O14" s="37">
        <v>8</v>
      </c>
      <c r="P14" s="37">
        <v>5</v>
      </c>
    </row>
    <row r="15" spans="1:16" ht="21">
      <c r="A15" s="42" t="s">
        <v>180</v>
      </c>
      <c r="B15" s="37">
        <v>2</v>
      </c>
      <c r="C15" s="37">
        <v>4</v>
      </c>
      <c r="D15" s="37">
        <v>1</v>
      </c>
      <c r="E15" s="37">
        <v>5</v>
      </c>
      <c r="F15" s="37">
        <v>7</v>
      </c>
      <c r="G15" s="37">
        <v>4</v>
      </c>
      <c r="H15" s="37">
        <v>3</v>
      </c>
      <c r="I15" s="37">
        <v>3</v>
      </c>
      <c r="J15" s="37">
        <v>3</v>
      </c>
      <c r="K15" s="37">
        <v>3</v>
      </c>
      <c r="L15" s="37">
        <v>8</v>
      </c>
      <c r="M15" s="37">
        <v>8</v>
      </c>
      <c r="N15" s="37">
        <v>8</v>
      </c>
      <c r="O15" s="37">
        <v>8</v>
      </c>
      <c r="P15" s="37">
        <v>4</v>
      </c>
    </row>
    <row r="16" spans="1:16" ht="21">
      <c r="A16" s="42" t="s">
        <v>181</v>
      </c>
      <c r="B16" s="37">
        <v>2</v>
      </c>
      <c r="C16" s="37">
        <v>5</v>
      </c>
      <c r="D16" s="37">
        <v>4</v>
      </c>
      <c r="E16" s="37">
        <v>2</v>
      </c>
      <c r="F16" s="37">
        <v>7</v>
      </c>
      <c r="G16" s="37">
        <v>4</v>
      </c>
      <c r="H16" s="37">
        <v>3</v>
      </c>
      <c r="I16" s="37">
        <v>3</v>
      </c>
      <c r="J16" s="37">
        <v>3</v>
      </c>
      <c r="K16" s="37">
        <v>3</v>
      </c>
      <c r="L16" s="37">
        <v>7</v>
      </c>
      <c r="M16" s="37">
        <v>7</v>
      </c>
      <c r="N16" s="37">
        <v>7</v>
      </c>
      <c r="O16" s="37">
        <v>7</v>
      </c>
      <c r="P16" s="37">
        <v>3</v>
      </c>
    </row>
    <row r="17" spans="1:16" ht="21">
      <c r="A17" s="42" t="s">
        <v>177</v>
      </c>
      <c r="B17" s="37">
        <v>0</v>
      </c>
      <c r="C17" s="37">
        <v>4</v>
      </c>
      <c r="D17" s="37">
        <v>3</v>
      </c>
      <c r="E17" s="37">
        <v>5</v>
      </c>
      <c r="F17" s="37">
        <v>6</v>
      </c>
      <c r="G17" s="37">
        <v>5</v>
      </c>
      <c r="H17" s="37">
        <v>1</v>
      </c>
      <c r="I17" s="37">
        <v>1</v>
      </c>
      <c r="J17" s="37">
        <v>1</v>
      </c>
      <c r="K17" s="37">
        <v>1</v>
      </c>
      <c r="L17" s="37">
        <v>10</v>
      </c>
      <c r="M17" s="37">
        <v>10</v>
      </c>
      <c r="N17" s="37">
        <v>10</v>
      </c>
      <c r="O17" s="37">
        <v>10</v>
      </c>
      <c r="P17" s="37">
        <v>6</v>
      </c>
    </row>
    <row r="18" spans="1:16" ht="21">
      <c r="A18" s="42" t="s">
        <v>178</v>
      </c>
      <c r="B18" s="37">
        <v>0</v>
      </c>
      <c r="C18" s="37">
        <v>5</v>
      </c>
      <c r="D18" s="37">
        <v>4</v>
      </c>
      <c r="E18" s="37">
        <v>3</v>
      </c>
      <c r="F18" s="37">
        <v>6</v>
      </c>
      <c r="G18" s="37">
        <v>5</v>
      </c>
      <c r="H18" s="37">
        <v>1</v>
      </c>
      <c r="I18" s="37">
        <v>1</v>
      </c>
      <c r="J18" s="37">
        <v>1</v>
      </c>
      <c r="K18" s="37">
        <v>1</v>
      </c>
      <c r="L18" s="37">
        <v>9</v>
      </c>
      <c r="M18" s="37">
        <v>9</v>
      </c>
      <c r="N18" s="37">
        <v>9</v>
      </c>
      <c r="O18" s="37">
        <v>9</v>
      </c>
      <c r="P18" s="37">
        <v>6</v>
      </c>
    </row>
  </sheetData>
  <conditionalFormatting sqref="B2:P18">
    <cfRule type="colorScale" priority="29">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0F0F9-4EA8-B04D-9C19-989599395434}">
  <sheetPr>
    <tabColor rgb="FFFFC000"/>
  </sheetPr>
  <dimension ref="A1:P28"/>
  <sheetViews>
    <sheetView workbookViewId="0">
      <selection activeCell="D11" sqref="D11"/>
    </sheetView>
  </sheetViews>
  <sheetFormatPr baseColWidth="10" defaultRowHeight="15"/>
  <cols>
    <col min="1" max="1" width="46.6640625" bestFit="1" customWidth="1"/>
    <col min="3" max="3" width="13.5" customWidth="1"/>
    <col min="4" max="5" width="17.1640625" customWidth="1"/>
    <col min="6" max="6" width="12.33203125" customWidth="1"/>
    <col min="7" max="7" width="12.1640625" customWidth="1"/>
    <col min="8" max="8" width="15.5" customWidth="1"/>
    <col min="9" max="9" width="14.5" customWidth="1"/>
    <col min="10" max="10" width="19" customWidth="1"/>
    <col min="11" max="11" width="12" customWidth="1"/>
    <col min="12" max="12" width="17.5" customWidth="1"/>
    <col min="13" max="13" width="16.5" customWidth="1"/>
    <col min="14" max="14" width="21" customWidth="1"/>
    <col min="15" max="15" width="14" customWidth="1"/>
    <col min="16" max="16" width="12.6640625" customWidth="1"/>
  </cols>
  <sheetData>
    <row r="1" spans="1:16" ht="32">
      <c r="A1" s="39" t="s">
        <v>53</v>
      </c>
      <c r="B1" s="20" t="s">
        <v>134</v>
      </c>
      <c r="C1" s="20" t="s">
        <v>135</v>
      </c>
      <c r="D1" s="20" t="s">
        <v>164</v>
      </c>
      <c r="E1" s="20" t="s">
        <v>165</v>
      </c>
      <c r="F1" s="20" t="s">
        <v>176</v>
      </c>
      <c r="G1" s="20" t="s">
        <v>166</v>
      </c>
      <c r="H1" s="20" t="s">
        <v>167</v>
      </c>
      <c r="I1" s="20" t="s">
        <v>168</v>
      </c>
      <c r="J1" s="20" t="s">
        <v>169</v>
      </c>
      <c r="K1" s="20" t="s">
        <v>170</v>
      </c>
      <c r="L1" s="20" t="s">
        <v>171</v>
      </c>
      <c r="M1" s="20" t="s">
        <v>172</v>
      </c>
      <c r="N1" s="20" t="s">
        <v>173</v>
      </c>
      <c r="O1" s="20" t="s">
        <v>174</v>
      </c>
      <c r="P1" s="20" t="s">
        <v>144</v>
      </c>
    </row>
    <row r="2" spans="1:16" ht="21">
      <c r="A2" s="36" t="s">
        <v>79</v>
      </c>
      <c r="B2" s="37">
        <v>2</v>
      </c>
      <c r="C2" s="37">
        <v>5</v>
      </c>
      <c r="D2" s="37">
        <v>4</v>
      </c>
      <c r="E2" s="37">
        <v>3</v>
      </c>
      <c r="F2" s="37">
        <v>8</v>
      </c>
      <c r="G2" s="37">
        <v>6</v>
      </c>
      <c r="H2" s="37">
        <v>2</v>
      </c>
      <c r="I2" s="37">
        <v>2</v>
      </c>
      <c r="J2" s="37">
        <v>3</v>
      </c>
      <c r="K2" s="37">
        <v>4</v>
      </c>
      <c r="L2" s="37">
        <v>4</v>
      </c>
      <c r="M2" s="37">
        <v>2</v>
      </c>
      <c r="N2" s="37">
        <v>3</v>
      </c>
      <c r="O2" s="37">
        <v>4</v>
      </c>
      <c r="P2" s="37">
        <v>1</v>
      </c>
    </row>
    <row r="3" spans="1:16" ht="21">
      <c r="A3" s="36" t="s">
        <v>198</v>
      </c>
      <c r="B3" s="37">
        <v>2</v>
      </c>
      <c r="C3" s="37">
        <v>5</v>
      </c>
      <c r="D3" s="37">
        <v>4</v>
      </c>
      <c r="E3" s="37">
        <v>3</v>
      </c>
      <c r="F3" s="37">
        <v>8</v>
      </c>
      <c r="G3" s="37">
        <v>6</v>
      </c>
      <c r="H3" s="37">
        <v>2</v>
      </c>
      <c r="I3" s="37">
        <v>2</v>
      </c>
      <c r="J3" s="37">
        <v>3</v>
      </c>
      <c r="K3" s="37">
        <v>4</v>
      </c>
      <c r="L3" s="37">
        <v>4</v>
      </c>
      <c r="M3" s="37">
        <v>2</v>
      </c>
      <c r="N3" s="37">
        <v>3</v>
      </c>
      <c r="O3" s="37">
        <v>4</v>
      </c>
      <c r="P3" s="37">
        <v>2</v>
      </c>
    </row>
    <row r="4" spans="1:16" ht="21">
      <c r="A4" s="36" t="s">
        <v>58</v>
      </c>
      <c r="B4" s="37">
        <v>2</v>
      </c>
      <c r="C4" s="37">
        <v>5</v>
      </c>
      <c r="D4" s="37">
        <v>4</v>
      </c>
      <c r="E4" s="37">
        <v>3</v>
      </c>
      <c r="F4" s="37">
        <v>8</v>
      </c>
      <c r="G4" s="37">
        <v>6</v>
      </c>
      <c r="H4" s="37">
        <v>2</v>
      </c>
      <c r="I4" s="37">
        <v>2</v>
      </c>
      <c r="J4" s="37">
        <v>3</v>
      </c>
      <c r="K4" s="37">
        <v>4</v>
      </c>
      <c r="L4" s="37">
        <v>4</v>
      </c>
      <c r="M4" s="37">
        <v>2</v>
      </c>
      <c r="N4" s="37">
        <v>3</v>
      </c>
      <c r="O4" s="37">
        <v>4</v>
      </c>
      <c r="P4" s="37">
        <v>3</v>
      </c>
    </row>
    <row r="5" spans="1:16" ht="21">
      <c r="A5" s="36" t="s">
        <v>196</v>
      </c>
      <c r="B5" s="37">
        <v>1</v>
      </c>
      <c r="C5" s="37">
        <v>6</v>
      </c>
      <c r="D5" s="37">
        <v>3</v>
      </c>
      <c r="E5" s="37">
        <v>4</v>
      </c>
      <c r="F5" s="37">
        <v>8</v>
      </c>
      <c r="G5" s="37">
        <v>6</v>
      </c>
      <c r="H5" s="37">
        <v>2</v>
      </c>
      <c r="I5" s="37">
        <v>3</v>
      </c>
      <c r="J5" s="37">
        <v>1</v>
      </c>
      <c r="K5" s="37">
        <v>1</v>
      </c>
      <c r="L5" s="37">
        <v>5</v>
      </c>
      <c r="M5" s="37">
        <v>4</v>
      </c>
      <c r="N5" s="37">
        <v>4</v>
      </c>
      <c r="O5" s="37">
        <v>2</v>
      </c>
      <c r="P5" s="37">
        <v>2</v>
      </c>
    </row>
    <row r="6" spans="1:16" ht="21">
      <c r="A6" s="36" t="s">
        <v>55</v>
      </c>
      <c r="B6" s="37">
        <v>1</v>
      </c>
      <c r="C6" s="37">
        <v>6</v>
      </c>
      <c r="D6" s="37">
        <v>3</v>
      </c>
      <c r="E6" s="37">
        <v>4</v>
      </c>
      <c r="F6" s="37">
        <v>8</v>
      </c>
      <c r="G6" s="37">
        <v>6</v>
      </c>
      <c r="H6" s="37">
        <v>2</v>
      </c>
      <c r="I6" s="37">
        <v>3</v>
      </c>
      <c r="J6" s="37">
        <v>1</v>
      </c>
      <c r="K6" s="37">
        <v>1</v>
      </c>
      <c r="L6" s="37">
        <v>5</v>
      </c>
      <c r="M6" s="37">
        <v>4</v>
      </c>
      <c r="N6" s="37">
        <v>4</v>
      </c>
      <c r="O6" s="37">
        <v>2</v>
      </c>
      <c r="P6" s="37">
        <v>3</v>
      </c>
    </row>
    <row r="7" spans="1:16" ht="21">
      <c r="A7" s="36" t="s">
        <v>64</v>
      </c>
      <c r="B7" s="37">
        <v>0</v>
      </c>
      <c r="C7" s="37">
        <v>6</v>
      </c>
      <c r="D7" s="37">
        <v>0</v>
      </c>
      <c r="E7" s="37">
        <v>6</v>
      </c>
      <c r="F7" s="37">
        <v>8</v>
      </c>
      <c r="G7" s="37">
        <v>6</v>
      </c>
      <c r="H7" s="37">
        <v>2</v>
      </c>
      <c r="I7" s="37">
        <v>5</v>
      </c>
      <c r="J7" s="37">
        <v>0</v>
      </c>
      <c r="K7" s="37">
        <v>2</v>
      </c>
      <c r="L7" s="37">
        <v>4</v>
      </c>
      <c r="M7" s="37">
        <v>5</v>
      </c>
      <c r="N7" s="37">
        <v>2</v>
      </c>
      <c r="O7" s="37">
        <v>3</v>
      </c>
      <c r="P7" s="37">
        <v>2</v>
      </c>
    </row>
    <row r="8" spans="1:16" ht="21">
      <c r="A8" s="36" t="s">
        <v>87</v>
      </c>
      <c r="B8" s="37">
        <v>0</v>
      </c>
      <c r="C8" s="37">
        <v>6</v>
      </c>
      <c r="D8" s="37">
        <v>0</v>
      </c>
      <c r="E8" s="37">
        <v>6</v>
      </c>
      <c r="F8" s="37">
        <v>8</v>
      </c>
      <c r="G8" s="37">
        <v>6</v>
      </c>
      <c r="H8" s="37">
        <v>2</v>
      </c>
      <c r="I8" s="37">
        <v>5</v>
      </c>
      <c r="J8" s="37">
        <v>0</v>
      </c>
      <c r="K8" s="37">
        <v>2</v>
      </c>
      <c r="L8" s="37">
        <v>4</v>
      </c>
      <c r="M8" s="37">
        <v>5</v>
      </c>
      <c r="N8" s="37">
        <v>2</v>
      </c>
      <c r="O8" s="37">
        <v>3</v>
      </c>
      <c r="P8" s="37">
        <v>3</v>
      </c>
    </row>
    <row r="9" spans="1:16" ht="21">
      <c r="A9" s="36" t="s">
        <v>93</v>
      </c>
      <c r="B9" s="37">
        <v>3</v>
      </c>
      <c r="C9" s="37">
        <v>3</v>
      </c>
      <c r="D9" s="37">
        <v>2</v>
      </c>
      <c r="E9" s="37">
        <v>4</v>
      </c>
      <c r="F9" s="37">
        <v>8</v>
      </c>
      <c r="G9" s="37">
        <v>5</v>
      </c>
      <c r="H9" s="37">
        <v>3</v>
      </c>
      <c r="I9" s="37">
        <v>3</v>
      </c>
      <c r="J9" s="37">
        <v>5</v>
      </c>
      <c r="K9" s="37">
        <v>4</v>
      </c>
      <c r="L9" s="37">
        <v>2</v>
      </c>
      <c r="M9" s="37">
        <v>2</v>
      </c>
      <c r="N9" s="37">
        <v>4</v>
      </c>
      <c r="O9" s="37">
        <v>2</v>
      </c>
      <c r="P9" s="37">
        <v>1</v>
      </c>
    </row>
    <row r="10" spans="1:16" ht="21">
      <c r="A10" s="36" t="s">
        <v>201</v>
      </c>
      <c r="B10" s="37">
        <v>3</v>
      </c>
      <c r="C10" s="37">
        <v>3</v>
      </c>
      <c r="D10" s="37">
        <v>2</v>
      </c>
      <c r="E10" s="37">
        <v>4</v>
      </c>
      <c r="F10" s="37">
        <v>8</v>
      </c>
      <c r="G10" s="37">
        <v>5</v>
      </c>
      <c r="H10" s="37">
        <v>3</v>
      </c>
      <c r="I10" s="37">
        <v>3</v>
      </c>
      <c r="J10" s="37">
        <v>5</v>
      </c>
      <c r="K10" s="37">
        <v>4</v>
      </c>
      <c r="L10" s="37">
        <v>2</v>
      </c>
      <c r="M10" s="37">
        <v>2</v>
      </c>
      <c r="N10" s="37">
        <v>4</v>
      </c>
      <c r="O10" s="37">
        <v>2</v>
      </c>
      <c r="P10" s="37">
        <v>3</v>
      </c>
    </row>
    <row r="11" spans="1:16" ht="21">
      <c r="A11" s="36" t="s">
        <v>197</v>
      </c>
      <c r="B11" s="37">
        <v>2</v>
      </c>
      <c r="C11" s="37">
        <v>4</v>
      </c>
      <c r="D11" s="37">
        <v>3</v>
      </c>
      <c r="E11" s="37">
        <v>3</v>
      </c>
      <c r="F11" s="37">
        <v>8</v>
      </c>
      <c r="G11" s="37">
        <v>5</v>
      </c>
      <c r="H11" s="37">
        <v>3</v>
      </c>
      <c r="I11" s="37">
        <v>3</v>
      </c>
      <c r="J11" s="37">
        <v>3</v>
      </c>
      <c r="K11" s="37">
        <v>3</v>
      </c>
      <c r="L11" s="37">
        <v>3</v>
      </c>
      <c r="M11" s="37">
        <v>2</v>
      </c>
      <c r="N11" s="37">
        <v>3</v>
      </c>
      <c r="O11" s="37">
        <v>3</v>
      </c>
      <c r="P11" s="37">
        <v>3</v>
      </c>
    </row>
    <row r="12" spans="1:16" ht="21">
      <c r="A12" s="36" t="s">
        <v>82</v>
      </c>
      <c r="B12" s="37">
        <v>2</v>
      </c>
      <c r="C12" s="37">
        <v>4</v>
      </c>
      <c r="D12" s="37">
        <v>3</v>
      </c>
      <c r="E12" s="37">
        <v>3</v>
      </c>
      <c r="F12" s="37">
        <v>8</v>
      </c>
      <c r="G12" s="37">
        <v>5</v>
      </c>
      <c r="H12" s="37">
        <v>3</v>
      </c>
      <c r="I12" s="37">
        <v>3</v>
      </c>
      <c r="J12" s="37">
        <v>3</v>
      </c>
      <c r="K12" s="37">
        <v>3</v>
      </c>
      <c r="L12" s="37">
        <v>3</v>
      </c>
      <c r="M12" s="37">
        <v>2</v>
      </c>
      <c r="N12" s="37">
        <v>3</v>
      </c>
      <c r="O12" s="37">
        <v>3</v>
      </c>
      <c r="P12" s="37">
        <v>4</v>
      </c>
    </row>
    <row r="13" spans="1:16" ht="21">
      <c r="A13" s="36" t="s">
        <v>200</v>
      </c>
      <c r="B13" s="37">
        <v>3</v>
      </c>
      <c r="C13" s="37">
        <v>2</v>
      </c>
      <c r="D13" s="37">
        <v>4</v>
      </c>
      <c r="E13" s="37">
        <v>7</v>
      </c>
      <c r="F13" s="37">
        <v>8</v>
      </c>
      <c r="G13" s="37">
        <v>5</v>
      </c>
      <c r="H13" s="37">
        <v>3</v>
      </c>
      <c r="I13" s="37">
        <v>4</v>
      </c>
      <c r="J13" s="37">
        <v>3</v>
      </c>
      <c r="K13" s="37">
        <v>3</v>
      </c>
      <c r="L13" s="37">
        <v>4</v>
      </c>
      <c r="M13" s="37">
        <v>4</v>
      </c>
      <c r="N13" s="37">
        <v>3</v>
      </c>
      <c r="O13" s="37">
        <v>3</v>
      </c>
      <c r="P13" s="37">
        <v>3</v>
      </c>
    </row>
    <row r="14" spans="1:16" ht="21">
      <c r="A14" s="36" t="s">
        <v>84</v>
      </c>
      <c r="B14" s="37">
        <v>3</v>
      </c>
      <c r="C14" s="37">
        <v>2</v>
      </c>
      <c r="D14" s="37">
        <v>4</v>
      </c>
      <c r="E14" s="37">
        <v>7</v>
      </c>
      <c r="F14" s="37">
        <v>8</v>
      </c>
      <c r="G14" s="37">
        <v>5</v>
      </c>
      <c r="H14" s="37">
        <v>3</v>
      </c>
      <c r="I14" s="37">
        <v>4</v>
      </c>
      <c r="J14" s="37">
        <v>3</v>
      </c>
      <c r="K14" s="37">
        <v>3</v>
      </c>
      <c r="L14" s="37">
        <v>4</v>
      </c>
      <c r="M14" s="37">
        <v>4</v>
      </c>
      <c r="N14" s="37">
        <v>3</v>
      </c>
      <c r="O14" s="37">
        <v>3</v>
      </c>
      <c r="P14" s="37">
        <v>4</v>
      </c>
    </row>
    <row r="15" spans="1:16" ht="21">
      <c r="A15" s="36" t="s">
        <v>92</v>
      </c>
      <c r="B15" s="37">
        <v>0</v>
      </c>
      <c r="C15" s="37">
        <v>3</v>
      </c>
      <c r="D15" s="37">
        <v>1</v>
      </c>
      <c r="E15" s="37">
        <v>3</v>
      </c>
      <c r="F15" s="37">
        <v>8</v>
      </c>
      <c r="G15" s="37">
        <v>4</v>
      </c>
      <c r="H15" s="37">
        <v>4</v>
      </c>
      <c r="I15" s="37">
        <v>2</v>
      </c>
      <c r="J15" s="37">
        <v>4</v>
      </c>
      <c r="K15" s="37">
        <v>3</v>
      </c>
      <c r="L15" s="37">
        <v>2</v>
      </c>
      <c r="M15" s="37">
        <v>3</v>
      </c>
      <c r="N15" s="37">
        <v>5</v>
      </c>
      <c r="O15" s="37">
        <v>1</v>
      </c>
      <c r="P15" s="37">
        <v>3</v>
      </c>
    </row>
    <row r="16" spans="1:16" ht="21">
      <c r="A16" s="36" t="s">
        <v>83</v>
      </c>
      <c r="B16" s="37">
        <v>0</v>
      </c>
      <c r="C16" s="37">
        <v>3</v>
      </c>
      <c r="D16" s="37">
        <v>1</v>
      </c>
      <c r="E16" s="37">
        <v>3</v>
      </c>
      <c r="F16" s="37">
        <v>8</v>
      </c>
      <c r="G16" s="37">
        <v>4</v>
      </c>
      <c r="H16" s="37">
        <v>4</v>
      </c>
      <c r="I16" s="37">
        <v>2</v>
      </c>
      <c r="J16" s="37">
        <v>4</v>
      </c>
      <c r="K16" s="37">
        <v>3</v>
      </c>
      <c r="L16" s="37">
        <v>2</v>
      </c>
      <c r="M16" s="37">
        <v>3</v>
      </c>
      <c r="N16" s="37">
        <v>5</v>
      </c>
      <c r="O16" s="37">
        <v>1</v>
      </c>
      <c r="P16" s="37">
        <v>4</v>
      </c>
    </row>
    <row r="17" spans="1:16" ht="21">
      <c r="A17" s="36" t="s">
        <v>194</v>
      </c>
      <c r="B17" s="37">
        <v>1</v>
      </c>
      <c r="C17" s="37">
        <v>2</v>
      </c>
      <c r="D17" s="37">
        <v>1</v>
      </c>
      <c r="E17" s="37">
        <v>2</v>
      </c>
      <c r="F17" s="37">
        <v>8</v>
      </c>
      <c r="G17" s="37">
        <v>4</v>
      </c>
      <c r="H17" s="37">
        <v>4</v>
      </c>
      <c r="I17" s="37">
        <v>3</v>
      </c>
      <c r="J17" s="37">
        <v>3</v>
      </c>
      <c r="K17" s="37">
        <v>3</v>
      </c>
      <c r="L17" s="37">
        <v>3</v>
      </c>
      <c r="M17" s="37">
        <v>3</v>
      </c>
      <c r="N17" s="37">
        <v>2</v>
      </c>
      <c r="O17" s="37">
        <v>3</v>
      </c>
      <c r="P17" s="37">
        <v>3</v>
      </c>
    </row>
    <row r="18" spans="1:16" ht="21">
      <c r="A18" s="36" t="s">
        <v>62</v>
      </c>
      <c r="B18" s="37">
        <v>1</v>
      </c>
      <c r="C18" s="37">
        <v>2</v>
      </c>
      <c r="D18" s="37">
        <v>1</v>
      </c>
      <c r="E18" s="37">
        <v>2</v>
      </c>
      <c r="F18" s="37">
        <v>8</v>
      </c>
      <c r="G18" s="37">
        <v>4</v>
      </c>
      <c r="H18" s="37">
        <v>4</v>
      </c>
      <c r="I18" s="37">
        <v>3</v>
      </c>
      <c r="J18" s="37">
        <v>3</v>
      </c>
      <c r="K18" s="37">
        <v>3</v>
      </c>
      <c r="L18" s="37">
        <v>3</v>
      </c>
      <c r="M18" s="37">
        <v>3</v>
      </c>
      <c r="N18" s="37">
        <v>2</v>
      </c>
      <c r="O18" s="37">
        <v>3</v>
      </c>
      <c r="P18" s="37">
        <v>5</v>
      </c>
    </row>
    <row r="19" spans="1:16" ht="21">
      <c r="A19" s="36" t="s">
        <v>86</v>
      </c>
      <c r="B19" s="37">
        <v>2</v>
      </c>
      <c r="C19" s="37">
        <v>2</v>
      </c>
      <c r="D19" s="37">
        <v>1</v>
      </c>
      <c r="E19" s="37">
        <v>0</v>
      </c>
      <c r="F19" s="37">
        <v>8</v>
      </c>
      <c r="G19" s="37">
        <v>4</v>
      </c>
      <c r="H19" s="37">
        <v>4</v>
      </c>
      <c r="I19" s="37">
        <v>2</v>
      </c>
      <c r="J19" s="37">
        <v>3</v>
      </c>
      <c r="K19" s="37">
        <v>3</v>
      </c>
      <c r="L19" s="37">
        <v>3</v>
      </c>
      <c r="M19" s="37">
        <v>2</v>
      </c>
      <c r="N19" s="37">
        <v>3</v>
      </c>
      <c r="O19" s="37">
        <v>2</v>
      </c>
      <c r="P19" s="37">
        <v>3</v>
      </c>
    </row>
    <row r="20" spans="1:16" ht="21">
      <c r="A20" s="36" t="s">
        <v>67</v>
      </c>
      <c r="B20" s="37">
        <v>2</v>
      </c>
      <c r="C20" s="37">
        <v>2</v>
      </c>
      <c r="D20" s="37">
        <v>1</v>
      </c>
      <c r="E20" s="37">
        <v>0</v>
      </c>
      <c r="F20" s="37">
        <v>8</v>
      </c>
      <c r="G20" s="37">
        <v>4</v>
      </c>
      <c r="H20" s="37">
        <v>4</v>
      </c>
      <c r="I20" s="37">
        <v>2</v>
      </c>
      <c r="J20" s="37">
        <v>3</v>
      </c>
      <c r="K20" s="37">
        <v>3</v>
      </c>
      <c r="L20" s="37">
        <v>3</v>
      </c>
      <c r="M20" s="37">
        <v>2</v>
      </c>
      <c r="N20" s="37">
        <v>3</v>
      </c>
      <c r="O20" s="37">
        <v>2</v>
      </c>
      <c r="P20" s="37">
        <v>4</v>
      </c>
    </row>
    <row r="21" spans="1:16" ht="21">
      <c r="A21" s="36" t="s">
        <v>65</v>
      </c>
      <c r="B21" s="37">
        <v>2</v>
      </c>
      <c r="C21" s="37">
        <v>2</v>
      </c>
      <c r="D21" s="37">
        <v>1</v>
      </c>
      <c r="E21" s="37">
        <v>0</v>
      </c>
      <c r="F21" s="37">
        <v>8</v>
      </c>
      <c r="G21" s="37">
        <v>4</v>
      </c>
      <c r="H21" s="37">
        <v>4</v>
      </c>
      <c r="I21" s="37">
        <v>2</v>
      </c>
      <c r="J21" s="37">
        <v>3</v>
      </c>
      <c r="K21" s="37">
        <v>3</v>
      </c>
      <c r="L21" s="37">
        <v>3</v>
      </c>
      <c r="M21" s="37">
        <v>2</v>
      </c>
      <c r="N21" s="37">
        <v>3</v>
      </c>
      <c r="O21" s="37">
        <v>2</v>
      </c>
      <c r="P21" s="37">
        <v>5</v>
      </c>
    </row>
    <row r="22" spans="1:16" ht="21">
      <c r="A22" s="36" t="s">
        <v>199</v>
      </c>
      <c r="B22" s="37">
        <v>3</v>
      </c>
      <c r="C22" s="37">
        <v>1</v>
      </c>
      <c r="D22" s="37">
        <v>3</v>
      </c>
      <c r="E22" s="37">
        <v>1</v>
      </c>
      <c r="F22" s="37">
        <v>8</v>
      </c>
      <c r="G22" s="37">
        <v>3</v>
      </c>
      <c r="H22" s="37">
        <v>5</v>
      </c>
      <c r="I22" s="37">
        <v>1</v>
      </c>
      <c r="J22" s="37">
        <v>4</v>
      </c>
      <c r="K22" s="37">
        <v>2</v>
      </c>
      <c r="L22" s="37">
        <v>1</v>
      </c>
      <c r="M22" s="37">
        <v>1</v>
      </c>
      <c r="N22" s="37">
        <v>2</v>
      </c>
      <c r="O22" s="37">
        <v>0</v>
      </c>
      <c r="P22" s="37">
        <v>6</v>
      </c>
    </row>
    <row r="23" spans="1:16" ht="21">
      <c r="A23" s="36" t="s">
        <v>77</v>
      </c>
      <c r="B23" s="37">
        <v>4</v>
      </c>
      <c r="C23" s="37">
        <v>0</v>
      </c>
      <c r="D23" s="37">
        <v>2</v>
      </c>
      <c r="E23" s="37">
        <v>5</v>
      </c>
      <c r="F23" s="37">
        <v>8</v>
      </c>
      <c r="G23" s="37">
        <v>3</v>
      </c>
      <c r="H23" s="37">
        <v>5</v>
      </c>
      <c r="I23" s="37">
        <v>2</v>
      </c>
      <c r="J23" s="37">
        <v>3</v>
      </c>
      <c r="K23" s="37">
        <v>1</v>
      </c>
      <c r="L23" s="37">
        <v>0</v>
      </c>
      <c r="M23" s="37">
        <v>1</v>
      </c>
      <c r="N23" s="37">
        <v>1</v>
      </c>
      <c r="O23" s="37">
        <v>0</v>
      </c>
      <c r="P23" s="37">
        <v>6</v>
      </c>
    </row>
    <row r="24" spans="1:16" ht="21">
      <c r="A24" s="36" t="s">
        <v>202</v>
      </c>
      <c r="B24" s="37">
        <v>4</v>
      </c>
      <c r="C24" s="37">
        <v>0</v>
      </c>
      <c r="D24" s="37">
        <v>2</v>
      </c>
      <c r="E24" s="37">
        <v>5</v>
      </c>
      <c r="F24" s="37">
        <v>8</v>
      </c>
      <c r="G24" s="37">
        <v>3</v>
      </c>
      <c r="H24" s="37">
        <v>5</v>
      </c>
      <c r="I24" s="37">
        <v>2</v>
      </c>
      <c r="J24" s="37">
        <v>3</v>
      </c>
      <c r="K24" s="37">
        <v>1</v>
      </c>
      <c r="L24" s="37">
        <v>0</v>
      </c>
      <c r="M24" s="37">
        <v>1</v>
      </c>
      <c r="N24" s="37">
        <v>1</v>
      </c>
      <c r="O24" s="37">
        <v>0</v>
      </c>
      <c r="P24" s="37">
        <v>7</v>
      </c>
    </row>
    <row r="25" spans="1:16" ht="21">
      <c r="A25" s="36" t="s">
        <v>193</v>
      </c>
      <c r="B25" s="37">
        <v>0</v>
      </c>
      <c r="C25" s="37">
        <v>7</v>
      </c>
      <c r="D25" s="37">
        <v>1</v>
      </c>
      <c r="E25" s="37">
        <v>4</v>
      </c>
      <c r="F25" s="37">
        <v>7</v>
      </c>
      <c r="G25" s="37">
        <v>7</v>
      </c>
      <c r="H25" s="37">
        <v>0</v>
      </c>
      <c r="I25" s="37">
        <v>1</v>
      </c>
      <c r="J25" s="37">
        <v>2</v>
      </c>
      <c r="K25" s="37">
        <v>1</v>
      </c>
      <c r="L25" s="37">
        <v>5</v>
      </c>
      <c r="M25" s="37">
        <v>4</v>
      </c>
      <c r="N25" s="37">
        <v>5</v>
      </c>
      <c r="O25" s="37">
        <v>4</v>
      </c>
      <c r="P25" s="37">
        <v>0</v>
      </c>
    </row>
    <row r="26" spans="1:16" ht="21">
      <c r="A26" s="36" t="s">
        <v>195</v>
      </c>
      <c r="B26" s="37">
        <v>1</v>
      </c>
      <c r="C26" s="37">
        <v>5</v>
      </c>
      <c r="D26" s="37">
        <v>3</v>
      </c>
      <c r="E26" s="37">
        <v>5</v>
      </c>
      <c r="F26" s="37">
        <v>7</v>
      </c>
      <c r="G26" s="37">
        <v>5</v>
      </c>
      <c r="H26" s="37">
        <v>2</v>
      </c>
      <c r="I26" s="37">
        <v>2</v>
      </c>
      <c r="J26" s="37">
        <v>4</v>
      </c>
      <c r="K26" s="37">
        <v>3</v>
      </c>
      <c r="L26" s="37">
        <v>4</v>
      </c>
      <c r="M26" s="37">
        <v>3</v>
      </c>
      <c r="N26" s="37">
        <v>4</v>
      </c>
      <c r="O26" s="37">
        <v>3</v>
      </c>
      <c r="P26" s="37">
        <v>4</v>
      </c>
    </row>
    <row r="27" spans="1:16" ht="21">
      <c r="A27" s="36" t="s">
        <v>90</v>
      </c>
      <c r="B27" s="37">
        <v>4</v>
      </c>
      <c r="C27" s="37">
        <v>1</v>
      </c>
      <c r="D27" s="37">
        <v>1</v>
      </c>
      <c r="E27" s="37">
        <v>3</v>
      </c>
      <c r="F27" s="37">
        <v>7</v>
      </c>
      <c r="G27" s="37">
        <v>3</v>
      </c>
      <c r="H27" s="37">
        <v>4</v>
      </c>
      <c r="I27" s="37">
        <v>5</v>
      </c>
      <c r="J27" s="37">
        <v>2</v>
      </c>
      <c r="K27" s="37">
        <v>0</v>
      </c>
      <c r="L27" s="37">
        <v>1</v>
      </c>
      <c r="M27" s="37">
        <v>5</v>
      </c>
      <c r="N27" s="37">
        <v>1</v>
      </c>
      <c r="O27" s="37">
        <v>1</v>
      </c>
      <c r="P27" s="37">
        <v>5</v>
      </c>
    </row>
    <row r="28" spans="1:16" ht="21">
      <c r="A28" s="36" t="s">
        <v>203</v>
      </c>
      <c r="B28" s="37">
        <v>4</v>
      </c>
      <c r="C28" s="37">
        <v>1</v>
      </c>
      <c r="D28" s="37">
        <v>1</v>
      </c>
      <c r="E28" s="37">
        <v>3</v>
      </c>
      <c r="F28" s="37">
        <v>7</v>
      </c>
      <c r="G28" s="37">
        <v>3</v>
      </c>
      <c r="H28" s="37">
        <v>4</v>
      </c>
      <c r="I28" s="37">
        <v>5</v>
      </c>
      <c r="J28" s="37">
        <v>2</v>
      </c>
      <c r="K28" s="37">
        <v>0</v>
      </c>
      <c r="L28" s="37">
        <v>1</v>
      </c>
      <c r="M28" s="37">
        <v>5</v>
      </c>
      <c r="N28" s="37">
        <v>1</v>
      </c>
      <c r="O28" s="37">
        <v>1</v>
      </c>
      <c r="P28" s="37">
        <v>6</v>
      </c>
    </row>
  </sheetData>
  <conditionalFormatting sqref="B2:P28">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3DB4E-FB92-A247-801D-7E7569DEC42A}">
  <sheetPr>
    <tabColor rgb="FFFFC000"/>
  </sheetPr>
  <dimension ref="A1:P15"/>
  <sheetViews>
    <sheetView workbookViewId="0">
      <selection activeCell="E3" sqref="E3"/>
    </sheetView>
  </sheetViews>
  <sheetFormatPr baseColWidth="10" defaultRowHeight="15"/>
  <cols>
    <col min="1" max="1" width="20.6640625" bestFit="1" customWidth="1"/>
    <col min="3" max="3" width="13.5" customWidth="1"/>
    <col min="4" max="5" width="13.1640625" bestFit="1" customWidth="1"/>
    <col min="6" max="6" width="12.33203125" customWidth="1"/>
    <col min="7" max="7" width="12.1640625" customWidth="1"/>
    <col min="8" max="8" width="15.5" customWidth="1"/>
    <col min="9" max="9" width="14.5" customWidth="1"/>
    <col min="10" max="10" width="16.5" bestFit="1" customWidth="1"/>
    <col min="11" max="11" width="12" customWidth="1"/>
    <col min="12" max="12" width="13" bestFit="1" customWidth="1"/>
    <col min="13" max="13" width="16.5" customWidth="1"/>
    <col min="14" max="14" width="16.5" bestFit="1" customWidth="1"/>
    <col min="15" max="15" width="14" customWidth="1"/>
    <col min="16" max="16" width="12.6640625" customWidth="1"/>
  </cols>
  <sheetData>
    <row r="1" spans="1:16" ht="32">
      <c r="A1" s="39" t="s">
        <v>95</v>
      </c>
      <c r="B1" s="20" t="s">
        <v>134</v>
      </c>
      <c r="C1" s="20" t="s">
        <v>135</v>
      </c>
      <c r="D1" s="20" t="s">
        <v>164</v>
      </c>
      <c r="E1" s="20" t="s">
        <v>165</v>
      </c>
      <c r="F1" s="20" t="s">
        <v>176</v>
      </c>
      <c r="G1" s="20" t="s">
        <v>166</v>
      </c>
      <c r="H1" s="20" t="s">
        <v>167</v>
      </c>
      <c r="I1" s="20" t="s">
        <v>168</v>
      </c>
      <c r="J1" s="20" t="s">
        <v>169</v>
      </c>
      <c r="K1" s="20" t="s">
        <v>170</v>
      </c>
      <c r="L1" s="20" t="s">
        <v>171</v>
      </c>
      <c r="M1" s="20" t="s">
        <v>172</v>
      </c>
      <c r="N1" s="20" t="s">
        <v>173</v>
      </c>
      <c r="O1" s="20" t="s">
        <v>174</v>
      </c>
      <c r="P1" s="20" t="s">
        <v>144</v>
      </c>
    </row>
    <row r="2" spans="1:16" ht="21">
      <c r="A2" s="36" t="s">
        <v>205</v>
      </c>
      <c r="B2" s="37">
        <v>0</v>
      </c>
      <c r="C2" s="37">
        <v>6</v>
      </c>
      <c r="D2" s="37">
        <v>0</v>
      </c>
      <c r="E2" s="37">
        <v>4</v>
      </c>
      <c r="F2" s="37">
        <v>6</v>
      </c>
      <c r="G2" s="37">
        <v>6</v>
      </c>
      <c r="H2" s="37">
        <v>0</v>
      </c>
      <c r="I2" s="37">
        <v>3</v>
      </c>
      <c r="J2" s="37">
        <v>0</v>
      </c>
      <c r="K2" s="37">
        <v>3</v>
      </c>
      <c r="L2" s="37">
        <v>4</v>
      </c>
      <c r="M2" s="37">
        <v>4</v>
      </c>
      <c r="N2" s="37">
        <v>4</v>
      </c>
      <c r="O2" s="37">
        <v>4</v>
      </c>
      <c r="P2" s="37">
        <v>0</v>
      </c>
    </row>
    <row r="3" spans="1:16" ht="21">
      <c r="A3" s="36" t="s">
        <v>204</v>
      </c>
      <c r="B3" s="37">
        <v>0</v>
      </c>
      <c r="C3" s="37">
        <v>5</v>
      </c>
      <c r="D3" s="37">
        <v>1</v>
      </c>
      <c r="E3" s="37">
        <v>3</v>
      </c>
      <c r="F3" s="37">
        <v>6</v>
      </c>
      <c r="G3" s="37">
        <v>5</v>
      </c>
      <c r="H3" s="37">
        <v>1</v>
      </c>
      <c r="I3" s="37">
        <v>2</v>
      </c>
      <c r="J3" s="37">
        <v>2</v>
      </c>
      <c r="K3" s="37">
        <v>2</v>
      </c>
      <c r="L3" s="37">
        <v>3</v>
      </c>
      <c r="M3" s="37">
        <v>3</v>
      </c>
      <c r="N3" s="37">
        <v>4</v>
      </c>
      <c r="O3" s="37">
        <v>2</v>
      </c>
      <c r="P3" s="37">
        <v>3</v>
      </c>
    </row>
    <row r="4" spans="1:16" ht="21">
      <c r="A4" s="36" t="s">
        <v>104</v>
      </c>
      <c r="B4" s="37">
        <v>1</v>
      </c>
      <c r="C4" s="37">
        <v>4</v>
      </c>
      <c r="D4" s="37">
        <v>2</v>
      </c>
      <c r="E4" s="37">
        <v>6</v>
      </c>
      <c r="F4" s="37">
        <v>6</v>
      </c>
      <c r="G4" s="37">
        <v>5</v>
      </c>
      <c r="H4" s="37">
        <v>1</v>
      </c>
      <c r="I4" s="37">
        <v>1</v>
      </c>
      <c r="J4" s="37">
        <v>1</v>
      </c>
      <c r="K4" s="37">
        <v>4</v>
      </c>
      <c r="L4" s="37">
        <v>2</v>
      </c>
      <c r="M4" s="37">
        <v>1</v>
      </c>
      <c r="N4" s="37">
        <v>2</v>
      </c>
      <c r="O4" s="37">
        <v>3</v>
      </c>
      <c r="P4" s="37">
        <v>4</v>
      </c>
    </row>
    <row r="5" spans="1:16" ht="21">
      <c r="A5" s="36" t="s">
        <v>106</v>
      </c>
      <c r="B5" s="37">
        <v>1</v>
      </c>
      <c r="C5" s="37">
        <v>4</v>
      </c>
      <c r="D5" s="37">
        <v>2</v>
      </c>
      <c r="E5" s="37">
        <v>6</v>
      </c>
      <c r="F5" s="37">
        <v>6</v>
      </c>
      <c r="G5" s="37">
        <v>5</v>
      </c>
      <c r="H5" s="37">
        <v>1</v>
      </c>
      <c r="I5" s="37">
        <v>1</v>
      </c>
      <c r="J5" s="37">
        <v>1</v>
      </c>
      <c r="K5" s="37">
        <v>4</v>
      </c>
      <c r="L5" s="37">
        <v>2</v>
      </c>
      <c r="M5" s="37">
        <v>1</v>
      </c>
      <c r="N5" s="37">
        <v>2</v>
      </c>
      <c r="O5" s="37">
        <v>3</v>
      </c>
      <c r="P5" s="37">
        <v>6</v>
      </c>
    </row>
    <row r="6" spans="1:16" ht="21">
      <c r="A6" s="36" t="s">
        <v>207</v>
      </c>
      <c r="B6" s="37">
        <v>2</v>
      </c>
      <c r="C6" s="37">
        <v>4</v>
      </c>
      <c r="D6" s="37">
        <v>2</v>
      </c>
      <c r="E6" s="37">
        <v>5</v>
      </c>
      <c r="F6" s="37">
        <v>6</v>
      </c>
      <c r="G6" s="37">
        <v>4</v>
      </c>
      <c r="H6" s="37">
        <v>2</v>
      </c>
      <c r="I6" s="37">
        <v>3</v>
      </c>
      <c r="J6" s="37">
        <v>2</v>
      </c>
      <c r="K6" s="37">
        <v>3</v>
      </c>
      <c r="L6" s="37">
        <v>3</v>
      </c>
      <c r="M6" s="37">
        <v>3</v>
      </c>
      <c r="N6" s="37">
        <v>3</v>
      </c>
      <c r="O6" s="37">
        <v>3</v>
      </c>
      <c r="P6" s="37">
        <v>4</v>
      </c>
    </row>
    <row r="7" spans="1:16" ht="21">
      <c r="A7" s="36" t="s">
        <v>114</v>
      </c>
      <c r="B7" s="37">
        <v>2</v>
      </c>
      <c r="C7" s="37">
        <v>4</v>
      </c>
      <c r="D7" s="37">
        <v>2</v>
      </c>
      <c r="E7" s="37">
        <v>5</v>
      </c>
      <c r="F7" s="37">
        <v>6</v>
      </c>
      <c r="G7" s="37">
        <v>4</v>
      </c>
      <c r="H7" s="37">
        <v>2</v>
      </c>
      <c r="I7" s="37">
        <v>3</v>
      </c>
      <c r="J7" s="37">
        <v>2</v>
      </c>
      <c r="K7" s="37">
        <v>3</v>
      </c>
      <c r="L7" s="37">
        <v>3</v>
      </c>
      <c r="M7" s="37">
        <v>3</v>
      </c>
      <c r="N7" s="37">
        <v>3</v>
      </c>
      <c r="O7" s="37">
        <v>3</v>
      </c>
      <c r="P7" s="37">
        <v>5</v>
      </c>
    </row>
    <row r="8" spans="1:16" ht="21">
      <c r="A8" s="36" t="s">
        <v>206</v>
      </c>
      <c r="B8" s="37">
        <v>2</v>
      </c>
      <c r="C8" s="37">
        <v>2</v>
      </c>
      <c r="D8" s="37">
        <v>4</v>
      </c>
      <c r="E8" s="37">
        <v>1</v>
      </c>
      <c r="F8" s="37">
        <v>6</v>
      </c>
      <c r="G8" s="37">
        <v>3</v>
      </c>
      <c r="H8" s="37">
        <v>3</v>
      </c>
      <c r="I8" s="37">
        <v>2</v>
      </c>
      <c r="J8" s="37">
        <v>4</v>
      </c>
      <c r="K8" s="37">
        <v>2</v>
      </c>
      <c r="L8" s="37">
        <v>4</v>
      </c>
      <c r="M8" s="37">
        <v>4</v>
      </c>
      <c r="N8" s="37">
        <v>3</v>
      </c>
      <c r="O8" s="37">
        <v>4</v>
      </c>
      <c r="P8" s="37">
        <v>5</v>
      </c>
    </row>
    <row r="9" spans="1:16" ht="21">
      <c r="A9" s="36" t="s">
        <v>115</v>
      </c>
      <c r="B9" s="37">
        <v>3</v>
      </c>
      <c r="C9" s="37">
        <v>3</v>
      </c>
      <c r="D9" s="37">
        <v>3</v>
      </c>
      <c r="E9" s="37">
        <v>6</v>
      </c>
      <c r="F9" s="37">
        <v>6</v>
      </c>
      <c r="G9" s="37">
        <v>3</v>
      </c>
      <c r="H9" s="37">
        <v>3</v>
      </c>
      <c r="I9" s="37">
        <v>4</v>
      </c>
      <c r="J9" s="37">
        <v>2</v>
      </c>
      <c r="K9" s="37">
        <v>1</v>
      </c>
      <c r="L9" s="37">
        <v>1</v>
      </c>
      <c r="M9" s="37">
        <v>1</v>
      </c>
      <c r="N9" s="37">
        <v>2</v>
      </c>
      <c r="O9" s="37">
        <v>2</v>
      </c>
      <c r="P9" s="37">
        <v>5</v>
      </c>
    </row>
    <row r="10" spans="1:16" ht="21">
      <c r="A10" s="36" t="s">
        <v>209</v>
      </c>
      <c r="B10" s="37">
        <v>3</v>
      </c>
      <c r="C10" s="37">
        <v>3</v>
      </c>
      <c r="D10" s="37">
        <v>3</v>
      </c>
      <c r="E10" s="37">
        <v>6</v>
      </c>
      <c r="F10" s="37">
        <v>6</v>
      </c>
      <c r="G10" s="37">
        <v>3</v>
      </c>
      <c r="H10" s="37">
        <v>3</v>
      </c>
      <c r="I10" s="37">
        <v>4</v>
      </c>
      <c r="J10" s="37">
        <v>2</v>
      </c>
      <c r="K10" s="37">
        <v>1</v>
      </c>
      <c r="L10" s="37">
        <v>1</v>
      </c>
      <c r="M10" s="37">
        <v>1</v>
      </c>
      <c r="N10" s="37">
        <v>2</v>
      </c>
      <c r="O10" s="37">
        <v>2</v>
      </c>
      <c r="P10" s="37">
        <v>6</v>
      </c>
    </row>
    <row r="11" spans="1:16" ht="21">
      <c r="A11" s="36" t="s">
        <v>117</v>
      </c>
      <c r="B11" s="37">
        <v>4</v>
      </c>
      <c r="C11" s="37">
        <v>2</v>
      </c>
      <c r="D11" s="37">
        <v>3</v>
      </c>
      <c r="E11" s="37">
        <v>7</v>
      </c>
      <c r="F11" s="37">
        <v>6</v>
      </c>
      <c r="G11" s="37">
        <v>3</v>
      </c>
      <c r="H11" s="37">
        <v>3</v>
      </c>
      <c r="I11" s="37">
        <v>2</v>
      </c>
      <c r="J11" s="37">
        <v>2</v>
      </c>
      <c r="K11" s="37">
        <v>1</v>
      </c>
      <c r="L11" s="37">
        <v>0</v>
      </c>
      <c r="M11" s="37">
        <v>1</v>
      </c>
      <c r="N11" s="37">
        <v>0</v>
      </c>
      <c r="O11" s="37">
        <v>1</v>
      </c>
      <c r="P11" s="37">
        <v>5</v>
      </c>
    </row>
    <row r="12" spans="1:16" ht="21">
      <c r="A12" s="36" t="s">
        <v>210</v>
      </c>
      <c r="B12" s="37">
        <v>4</v>
      </c>
      <c r="C12" s="37">
        <v>2</v>
      </c>
      <c r="D12" s="37">
        <v>3</v>
      </c>
      <c r="E12" s="37">
        <v>7</v>
      </c>
      <c r="F12" s="37">
        <v>6</v>
      </c>
      <c r="G12" s="37">
        <v>3</v>
      </c>
      <c r="H12" s="37">
        <v>3</v>
      </c>
      <c r="I12" s="37">
        <v>2</v>
      </c>
      <c r="J12" s="37">
        <v>2</v>
      </c>
      <c r="K12" s="37">
        <v>1</v>
      </c>
      <c r="L12" s="37">
        <v>0</v>
      </c>
      <c r="M12" s="37">
        <v>1</v>
      </c>
      <c r="N12" s="37">
        <v>0</v>
      </c>
      <c r="O12" s="37">
        <v>1</v>
      </c>
      <c r="P12" s="37">
        <v>6</v>
      </c>
    </row>
    <row r="13" spans="1:16" ht="21">
      <c r="A13" s="36" t="s">
        <v>208</v>
      </c>
      <c r="B13" s="37">
        <v>3</v>
      </c>
      <c r="C13" s="37">
        <v>1</v>
      </c>
      <c r="D13" s="37">
        <v>4</v>
      </c>
      <c r="E13" s="37">
        <v>0</v>
      </c>
      <c r="F13" s="37">
        <v>6</v>
      </c>
      <c r="G13" s="37">
        <v>2</v>
      </c>
      <c r="H13" s="37">
        <v>4</v>
      </c>
      <c r="I13" s="37">
        <v>0</v>
      </c>
      <c r="J13" s="37">
        <v>4</v>
      </c>
      <c r="K13" s="37">
        <v>0</v>
      </c>
      <c r="L13" s="37">
        <v>2</v>
      </c>
      <c r="M13" s="37">
        <v>0</v>
      </c>
      <c r="N13" s="37">
        <v>2</v>
      </c>
      <c r="O13" s="37">
        <v>1</v>
      </c>
      <c r="P13" s="37">
        <v>5</v>
      </c>
    </row>
    <row r="14" spans="1:16" ht="21">
      <c r="A14" s="36" t="s">
        <v>113</v>
      </c>
      <c r="B14" s="37">
        <v>4</v>
      </c>
      <c r="C14" s="37">
        <v>0</v>
      </c>
      <c r="D14" s="37">
        <v>1</v>
      </c>
      <c r="E14" s="37">
        <v>2</v>
      </c>
      <c r="F14" s="37">
        <v>6</v>
      </c>
      <c r="G14" s="37">
        <v>2</v>
      </c>
      <c r="H14" s="37">
        <v>4</v>
      </c>
      <c r="I14" s="37">
        <v>3</v>
      </c>
      <c r="J14" s="37">
        <v>1</v>
      </c>
      <c r="K14" s="37">
        <v>2</v>
      </c>
      <c r="L14" s="37">
        <v>2</v>
      </c>
      <c r="M14" s="37">
        <v>2</v>
      </c>
      <c r="N14" s="37">
        <v>1</v>
      </c>
      <c r="O14" s="37">
        <v>0</v>
      </c>
      <c r="P14" s="37">
        <v>5</v>
      </c>
    </row>
    <row r="15" spans="1:16" ht="21">
      <c r="A15" s="36" t="s">
        <v>101</v>
      </c>
      <c r="B15" s="37">
        <v>4</v>
      </c>
      <c r="C15" s="37">
        <v>0</v>
      </c>
      <c r="D15" s="37">
        <v>1</v>
      </c>
      <c r="E15" s="37">
        <v>2</v>
      </c>
      <c r="F15" s="37">
        <v>6</v>
      </c>
      <c r="G15" s="37">
        <v>2</v>
      </c>
      <c r="H15" s="37">
        <v>4</v>
      </c>
      <c r="I15" s="37">
        <v>3</v>
      </c>
      <c r="J15" s="37">
        <v>1</v>
      </c>
      <c r="K15" s="37">
        <v>2</v>
      </c>
      <c r="L15" s="37">
        <v>2</v>
      </c>
      <c r="M15" s="37">
        <v>2</v>
      </c>
      <c r="N15" s="37">
        <v>1</v>
      </c>
      <c r="O15" s="37">
        <v>0</v>
      </c>
      <c r="P15" s="37">
        <v>6</v>
      </c>
    </row>
  </sheetData>
  <conditionalFormatting sqref="B2:P1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2FEB2-3A6D-DB4A-A7DB-747184BA7101}">
  <sheetPr>
    <tabColor rgb="FFFFC000"/>
  </sheetPr>
  <dimension ref="A1:P5"/>
  <sheetViews>
    <sheetView workbookViewId="0">
      <selection activeCell="B2" sqref="B2"/>
    </sheetView>
  </sheetViews>
  <sheetFormatPr baseColWidth="10" defaultRowHeight="15"/>
  <cols>
    <col min="1" max="1" width="40.6640625" bestFit="1" customWidth="1"/>
    <col min="3" max="3" width="13.5" customWidth="1"/>
    <col min="4" max="5" width="13.1640625" bestFit="1" customWidth="1"/>
    <col min="6" max="6" width="12.33203125" customWidth="1"/>
    <col min="7" max="7" width="12.1640625" customWidth="1"/>
    <col min="8" max="8" width="13" bestFit="1" customWidth="1"/>
    <col min="9" max="9" width="14.5" customWidth="1"/>
    <col min="10" max="10" width="16.5" bestFit="1" customWidth="1"/>
    <col min="11" max="11" width="12" customWidth="1"/>
    <col min="12" max="13" width="13" bestFit="1" customWidth="1"/>
    <col min="14" max="14" width="16.5" bestFit="1" customWidth="1"/>
    <col min="15" max="15" width="13" bestFit="1" customWidth="1"/>
    <col min="16" max="16" width="12.6640625" customWidth="1"/>
  </cols>
  <sheetData>
    <row r="1" spans="1:16" ht="32">
      <c r="A1" s="39" t="s">
        <v>118</v>
      </c>
      <c r="B1" s="20" t="s">
        <v>134</v>
      </c>
      <c r="C1" s="20" t="s">
        <v>135</v>
      </c>
      <c r="D1" s="20" t="s">
        <v>164</v>
      </c>
      <c r="E1" s="20" t="s">
        <v>165</v>
      </c>
      <c r="F1" s="20" t="s">
        <v>176</v>
      </c>
      <c r="G1" s="20" t="s">
        <v>166</v>
      </c>
      <c r="H1" s="20" t="s">
        <v>167</v>
      </c>
      <c r="I1" s="20" t="s">
        <v>168</v>
      </c>
      <c r="J1" s="20" t="s">
        <v>169</v>
      </c>
      <c r="K1" s="20" t="s">
        <v>170</v>
      </c>
      <c r="L1" s="20" t="s">
        <v>171</v>
      </c>
      <c r="M1" s="20" t="s">
        <v>172</v>
      </c>
      <c r="N1" s="20" t="s">
        <v>173</v>
      </c>
      <c r="O1" s="20" t="s">
        <v>174</v>
      </c>
      <c r="P1" s="20" t="s">
        <v>144</v>
      </c>
    </row>
    <row r="2" spans="1:16" ht="21">
      <c r="A2" s="36" t="s">
        <v>211</v>
      </c>
      <c r="B2" s="37">
        <v>0</v>
      </c>
      <c r="C2" s="37">
        <v>2</v>
      </c>
      <c r="D2" s="37">
        <v>1</v>
      </c>
      <c r="E2" s="37">
        <v>1</v>
      </c>
      <c r="F2" s="37">
        <v>2</v>
      </c>
      <c r="G2" s="37">
        <v>2</v>
      </c>
      <c r="H2" s="37">
        <v>0</v>
      </c>
      <c r="I2" s="37">
        <v>1</v>
      </c>
      <c r="J2" s="37">
        <v>1</v>
      </c>
      <c r="K2" s="37">
        <v>1</v>
      </c>
      <c r="L2" s="37">
        <v>1</v>
      </c>
      <c r="M2" s="37">
        <v>0</v>
      </c>
      <c r="N2" s="37">
        <v>1</v>
      </c>
      <c r="O2" s="37">
        <v>2</v>
      </c>
      <c r="P2" s="37">
        <v>0</v>
      </c>
    </row>
    <row r="3" spans="1:16" ht="21">
      <c r="A3" s="36" t="s">
        <v>213</v>
      </c>
      <c r="B3" s="37">
        <v>1</v>
      </c>
      <c r="C3" s="37">
        <v>2</v>
      </c>
      <c r="D3" s="37">
        <v>2</v>
      </c>
      <c r="E3" s="37">
        <v>0</v>
      </c>
      <c r="F3" s="37">
        <v>2</v>
      </c>
      <c r="G3" s="37">
        <v>2</v>
      </c>
      <c r="H3" s="37">
        <v>0</v>
      </c>
      <c r="I3" s="37">
        <v>0</v>
      </c>
      <c r="J3" s="37">
        <v>1</v>
      </c>
      <c r="K3" s="37">
        <v>1</v>
      </c>
      <c r="L3" s="37">
        <v>1</v>
      </c>
      <c r="M3" s="37">
        <v>1</v>
      </c>
      <c r="N3" s="37">
        <v>0</v>
      </c>
      <c r="O3" s="37">
        <v>2</v>
      </c>
      <c r="P3" s="37">
        <v>0</v>
      </c>
    </row>
    <row r="4" spans="1:16" ht="21">
      <c r="A4" s="36" t="s">
        <v>214</v>
      </c>
      <c r="B4" s="37">
        <v>2</v>
      </c>
      <c r="C4" s="37">
        <v>1</v>
      </c>
      <c r="D4" s="37">
        <v>2</v>
      </c>
      <c r="E4" s="37">
        <v>0</v>
      </c>
      <c r="F4" s="37">
        <v>2</v>
      </c>
      <c r="G4" s="37">
        <v>1</v>
      </c>
      <c r="H4" s="37">
        <v>1</v>
      </c>
      <c r="I4" s="37">
        <v>0</v>
      </c>
      <c r="J4" s="37">
        <v>1</v>
      </c>
      <c r="K4" s="37">
        <v>2</v>
      </c>
      <c r="L4" s="37">
        <v>1</v>
      </c>
      <c r="M4" s="37">
        <v>1</v>
      </c>
      <c r="N4" s="37">
        <v>0</v>
      </c>
      <c r="O4" s="37">
        <v>1</v>
      </c>
      <c r="P4" s="37">
        <v>1</v>
      </c>
    </row>
    <row r="5" spans="1:16" ht="21">
      <c r="A5" s="36" t="s">
        <v>212</v>
      </c>
      <c r="B5" s="37">
        <v>1</v>
      </c>
      <c r="C5" s="37">
        <v>1</v>
      </c>
      <c r="D5" s="37">
        <v>1</v>
      </c>
      <c r="E5" s="37">
        <v>1</v>
      </c>
      <c r="F5" s="37">
        <v>2</v>
      </c>
      <c r="G5" s="37">
        <v>1</v>
      </c>
      <c r="H5" s="37">
        <v>1</v>
      </c>
      <c r="I5" s="37">
        <v>1</v>
      </c>
      <c r="J5" s="37">
        <v>0</v>
      </c>
      <c r="K5" s="37">
        <v>2</v>
      </c>
      <c r="L5" s="37">
        <v>1</v>
      </c>
      <c r="M5" s="37">
        <v>0</v>
      </c>
      <c r="N5" s="37">
        <v>1</v>
      </c>
      <c r="O5" s="37">
        <v>1</v>
      </c>
      <c r="P5" s="37">
        <v>1</v>
      </c>
    </row>
  </sheetData>
  <conditionalFormatting sqref="B2:P5">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F701D-E93E-C14E-B2B8-D2092A6509A8}">
  <sheetPr>
    <tabColor theme="1"/>
  </sheetPr>
  <dimension ref="A1:P21"/>
  <sheetViews>
    <sheetView zoomScaleNormal="100" workbookViewId="0">
      <selection activeCell="B12" sqref="B12"/>
    </sheetView>
  </sheetViews>
  <sheetFormatPr baseColWidth="10" defaultRowHeight="15"/>
  <sheetData>
    <row r="1" spans="1:16">
      <c r="A1" s="5" t="s">
        <v>147</v>
      </c>
      <c r="B1" s="5" t="s">
        <v>146</v>
      </c>
      <c r="C1" s="5" t="s">
        <v>134</v>
      </c>
      <c r="D1" s="5" t="s">
        <v>135</v>
      </c>
      <c r="E1" s="5" t="s">
        <v>137</v>
      </c>
      <c r="F1" s="5" t="s">
        <v>136</v>
      </c>
      <c r="G1" s="5" t="s">
        <v>138</v>
      </c>
      <c r="H1" s="5" t="s">
        <v>140</v>
      </c>
      <c r="I1" s="5" t="s">
        <v>139</v>
      </c>
      <c r="J1" s="5" t="s">
        <v>162</v>
      </c>
      <c r="K1" s="5" t="s">
        <v>141</v>
      </c>
      <c r="L1" s="5" t="s">
        <v>142</v>
      </c>
      <c r="M1" s="5" t="s">
        <v>160</v>
      </c>
      <c r="N1" s="5" t="s">
        <v>161</v>
      </c>
      <c r="O1" s="5" t="s">
        <v>143</v>
      </c>
      <c r="P1" s="5" t="s">
        <v>144</v>
      </c>
    </row>
    <row r="2" spans="1:16" ht="16">
      <c r="A2" t="s">
        <v>0</v>
      </c>
      <c r="B2" s="2" t="str">
        <f>INDEX(Builds[Build 1], MATCH(Build1Stats[[#This Row],[Category]], Builds[Stat], FALSE))</f>
        <v>Donkey Kong</v>
      </c>
      <c r="C2" s="4">
        <f>IFERROR(
INDEX(Drivers[Weight], MATCH(Build1Stats[[#This Row],[Input]:[Input]], Drivers[[Driver]:[Driver]], FALSE)),
0)</f>
        <v>8</v>
      </c>
      <c r="D2" s="4">
        <f>IFERROR(
INDEX(Drivers[Acceleration], MATCH(Build1Stats[[#This Row],[Input]:[Input]], Drivers[[Driver]:[Driver]], FALSE)),
0)</f>
        <v>1</v>
      </c>
      <c r="E2" s="4">
        <f>IFERROR(
INDEX(Drivers[Traction 
(on-road)], MATCH(Build1Stats[[#This Row],[Input]:[Input]], Drivers[[Driver]:[Driver]], FALSE)),
0)</f>
        <v>10</v>
      </c>
      <c r="F2" s="4">
        <f>IFERROR(
INDEX(Drivers[Traction 
(off-road)], MATCH(Build1Stats[[#This Row],[Input]:[Input]], Drivers[[Driver]:[Driver]], FALSE)),
0)</f>
        <v>0</v>
      </c>
      <c r="G2" s="4">
        <f>IFERROR(
INDEX(Drivers[Mini-
Turbo], MATCH(Build1Stats[[#This Row],[Input]:[Input]], Drivers[[Driver]:[Driver]], FALSE)),
0)</f>
        <v>1</v>
      </c>
      <c r="H2" s="4">
        <f>IFERROR(
INDEX(Drivers[Speed 
(Ground)], MATCH(Build1Stats[[#This Row],[Input]:[Input]], Drivers[[Driver]:[Driver]], FALSE)),
0)</f>
        <v>9</v>
      </c>
      <c r="I2" s="4">
        <f>IFERROR(
INDEX(Drivers[Speed 
(Water)], MATCH(Build1Stats[[#This Row],[Input]:[Input]], Drivers[[Driver]:[Driver]], FALSE)),
0)</f>
        <v>9</v>
      </c>
      <c r="J2" s="4">
        <f>IFERROR(
INDEX(Drivers[Speed 
(Anti-Gravity)], MATCH(Build1Stats[[#This Row],[Input]:[Input]], Drivers[[Driver]:[Driver]], FALSE)),
0)</f>
        <v>9</v>
      </c>
      <c r="K2" s="4">
        <f>IFERROR(
INDEX(Drivers[Speed 
(Air)], MATCH(Build1Stats[[#This Row],[Input]:[Input]], Drivers[[Driver]:[Driver]], FALSE)),
0)</f>
        <v>9</v>
      </c>
      <c r="L2" s="4">
        <f>IFERROR(
INDEX(Drivers[Handling 
(Ground)], MATCH(Build1Stats[[#This Row],[Input]:[Input]], Drivers[[Driver]:[Driver]], FALSE)),
0)</f>
        <v>2</v>
      </c>
      <c r="M2" s="4">
        <f>IFERROR(
INDEX(Drivers[Handling 
(Water)], MATCH(Build1Stats[[#This Row],[Input]:[Input]], Drivers[[Driver]:[Driver]], FALSE)),
0)</f>
        <v>2</v>
      </c>
      <c r="N2" s="4">
        <f>IFERROR(
INDEX(Drivers[Handling 
(Anti-Gravity)], MATCH(Build1Stats[[#This Row],[Input]:[Input]], Drivers[[Driver]:[Driver]], FALSE)),
0)</f>
        <v>2</v>
      </c>
      <c r="O2" s="4">
        <f>IFERROR(
INDEX(Drivers[Handling 
(Air)], MATCH(Build1Stats[[#This Row],[Input]:[Input]], Drivers[[Driver]:[Driver]], FALSE)),
0)</f>
        <v>2</v>
      </c>
      <c r="P2" s="4">
        <f>IFERROR(
INDEX(Drivers[Invincibility], MATCH(Build1Stats[[#This Row],[Input]:[Input]], Drivers[[Driver]:[Driver]], FALSE)),
0)</f>
        <v>4</v>
      </c>
    </row>
    <row r="3" spans="1:16" ht="16">
      <c r="A3" t="s">
        <v>145</v>
      </c>
      <c r="B3" s="2" t="str">
        <f>INDEX(Builds[Build 1], MATCH(Build1Stats[[#This Row],[Category]], Builds[Stat], FALSE))</f>
        <v>Biddybuggy</v>
      </c>
      <c r="C3" s="4">
        <f>IFERROR(
INDEX(Karts[Weight], MATCH(Build1Stats[[#This Row],[Input]:[Input]], Karts[[Body]:[Body]], FALSE)),
0)</f>
        <v>0</v>
      </c>
      <c r="D3" s="4">
        <f>IFERROR(
INDEX(Karts[Acceleration], MATCH(Build1Stats[[#This Row],[Input]:[Input]], Karts[[Body]:[Body]], FALSE)),
0)</f>
        <v>7</v>
      </c>
      <c r="E3" s="4">
        <f>IFERROR(
INDEX(Karts[Traction 
(on-road)], MATCH(Build1Stats[[#This Row],[Input]:[Input]], Karts[[Body]:[Body]], FALSE)),
0)</f>
        <v>1</v>
      </c>
      <c r="F3" s="4">
        <f>IFERROR(
INDEX(Karts[Traction 
(off-road)], MATCH(Build1Stats[[#This Row],[Input]:[Input]], Karts[[Body]:[Body]], FALSE)),
0)</f>
        <v>4</v>
      </c>
      <c r="G3" s="4">
        <f>IFERROR(
INDEX(Karts[Mini-
Turbo], MATCH(Build1Stats[[#This Row],[Input]:[Input]], Karts[[Body]:[Body]], FALSE)),
0)</f>
        <v>7</v>
      </c>
      <c r="H3" s="4">
        <f>IFERROR(
INDEX(Karts[Speed 
(Ground)], MATCH(Build1Stats[[#This Row],[Input]:[Input]], Karts[[Body]:[Body]], FALSE)),
0)</f>
        <v>0</v>
      </c>
      <c r="I3" s="4">
        <f>IFERROR(
INDEX(Karts[Speed 
(Water)], MATCH(Build1Stats[[#This Row],[Input]:[Input]], Karts[[Body]:[Body]], FALSE)),
0)</f>
        <v>1</v>
      </c>
      <c r="J3" s="4">
        <f>IFERROR(
INDEX(Karts[Speed 
(Anti-Gravity)], MATCH(Build1Stats[[#This Row],[Input]:[Input]], Karts[[Body]:[Body]], FALSE)),
0)</f>
        <v>2</v>
      </c>
      <c r="K3" s="4">
        <f>IFERROR(
INDEX(Karts[Speed 
(Air)], MATCH(Build1Stats[[#This Row],[Input]:[Input]], Karts[[Body]:[Body]], FALSE)),
0)</f>
        <v>1</v>
      </c>
      <c r="L3" s="4">
        <f>IFERROR(
INDEX(Karts[Handling 
(Ground)], MATCH(Build1Stats[[#This Row],[Input]:[Input]], Karts[[Body]:[Body]], FALSE)),
0)</f>
        <v>5</v>
      </c>
      <c r="M3" s="4">
        <f>IFERROR(
INDEX(Karts[Handling 
(Water)], MATCH(Build1Stats[[#This Row],[Input]:[Input]], Karts[[Body]:[Body]], FALSE)),
0)</f>
        <v>4</v>
      </c>
      <c r="N3" s="4">
        <f>IFERROR(
INDEX(Karts[Handling 
(Anti-Gravity)], MATCH(Build1Stats[[#This Row],[Input]:[Input]], Karts[[Body]:[Body]], FALSE)),
0)</f>
        <v>5</v>
      </c>
      <c r="O3" s="4">
        <f>IFERROR(
INDEX(Karts[Handling 
(Air)], MATCH(Build1Stats[[#This Row],[Input]:[Input]], Karts[[Body]:[Body]], FALSE)),
0)</f>
        <v>4</v>
      </c>
      <c r="P3" s="4">
        <f>IFERROR(
INDEX(Karts[Invincibility], MATCH(Build1Stats[[#This Row],[Input]:[Input]], Karts[[Body]:[Body]], FALSE)),
0)</f>
        <v>0</v>
      </c>
    </row>
    <row r="4" spans="1:16" ht="16">
      <c r="A4" t="s">
        <v>95</v>
      </c>
      <c r="B4" s="2" t="str">
        <f>INDEX(Builds[Build 1], MATCH(Build1Stats[[#This Row],[Category]], Builds[Stat], FALSE))</f>
        <v>Azure Roller</v>
      </c>
      <c r="C4" s="4">
        <f>IFERROR(
INDEX(Tires[Weight], MATCH(Build1Stats[[#This Row],[Input]:[Input]], Tires[[Tire]:[Tire]], FALSE)),
0)</f>
        <v>0</v>
      </c>
      <c r="D4" s="4">
        <f>IFERROR(
INDEX(Tires[Acceleration], MATCH(Build1Stats[[#This Row],[Input]:[Input]], Tires[[Tire]:[Tire]], FALSE)),
0)</f>
        <v>6</v>
      </c>
      <c r="E4" s="4">
        <f>IFERROR(
INDEX(Tires[Traction 
(on-road)], MATCH(Build1Stats[[#This Row],[Input]:[Input]], Tires[[Tire]:[Tire]], FALSE)),
0)</f>
        <v>0</v>
      </c>
      <c r="F4" s="4">
        <f>IFERROR(
INDEX(Tires[Traction 
(off-road)], MATCH(Build1Stats[[#This Row],[Input]:[Input]], Tires[[Tire]:[Tire]], FALSE)),
0)</f>
        <v>4</v>
      </c>
      <c r="G4" s="4">
        <f>IFERROR(
INDEX(Tires[Mini-
Turbo], MATCH(Build1Stats[[#This Row],[Input]:[Input]], Tires[[Tire]:[Tire]], FALSE)),
0)</f>
        <v>6</v>
      </c>
      <c r="H4" s="4">
        <f>IFERROR(
INDEX(Tires[Speed 
(Ground)], MATCH(Build1Stats[[#This Row],[Input]:[Input]], Tires[[Tire]:[Tire]], FALSE)),
0)</f>
        <v>0</v>
      </c>
      <c r="I4" s="4">
        <f>IFERROR(
INDEX(Tires[Speed 
(Water)], MATCH(Build1Stats[[#This Row],[Input]:[Input]], Tires[[Tire]:[Tire]], FALSE)),
0)</f>
        <v>3</v>
      </c>
      <c r="J4" s="4">
        <f>IFERROR(
INDEX(Tires[Speed 
(Anti-Gravity)], MATCH(Build1Stats[[#This Row],[Input]:[Input]], Tires[[Tire]:[Tire]], FALSE)),
0)</f>
        <v>0</v>
      </c>
      <c r="K4" s="4">
        <f>IFERROR(
INDEX(Tires[Speed 
(Air)], MATCH(Build1Stats[[#This Row],[Input]:[Input]], Tires[[Tire]:[Tire]], FALSE)),
0)</f>
        <v>3</v>
      </c>
      <c r="L4" s="4">
        <f>IFERROR(
INDEX(Tires[Handling 
(Ground)], MATCH(Build1Stats[[#This Row],[Input]:[Input]], Tires[[Tire]:[Tire]], FALSE)),
0)</f>
        <v>4</v>
      </c>
      <c r="M4" s="4">
        <f>IFERROR(
INDEX(Tires[Handling 
(Water)], MATCH(Build1Stats[[#This Row],[Input]:[Input]], Tires[[Tire]:[Tire]], FALSE)),
0)</f>
        <v>4</v>
      </c>
      <c r="N4" s="4">
        <f>IFERROR(
INDEX(Tires[Handling 
(Anti-Gravity)], MATCH(Build1Stats[[#This Row],[Input]:[Input]], Tires[[Tire]:[Tire]], FALSE)),
0)</f>
        <v>4</v>
      </c>
      <c r="O4" s="4">
        <f>IFERROR(
INDEX(Tires[Handling 
(Air)], MATCH(Build1Stats[[#This Row],[Input]:[Input]], Tires[[Tire]:[Tire]], FALSE)),
0)</f>
        <v>4</v>
      </c>
      <c r="P4" s="4">
        <f>IFERROR(
INDEX(Tires[Invincibility], MATCH(Build1Stats[[#This Row],[Input]:[Input]], Tires[[Tire]:[Tire]], FALSE)),
0)</f>
        <v>0</v>
      </c>
    </row>
    <row r="5" spans="1:16" ht="16">
      <c r="A5" t="s">
        <v>118</v>
      </c>
      <c r="B5" s="2" t="str">
        <f>INDEX(Builds[Build 1], MATCH(Build1Stats[[#This Row],[Category]], Builds[Stat], FALSE))</f>
        <v>Cloud Glider</v>
      </c>
      <c r="C5" s="4">
        <f>IFERROR(
INDEX(Gliders[Weight], MATCH(Build1Stats[[#This Row],[Input]:[Input]], Gliders[[Glider]:[Glider]], FALSE)),
0)</f>
        <v>0</v>
      </c>
      <c r="D5" s="4">
        <f>IFERROR(
INDEX(Gliders[Acceleration], MATCH(Build1Stats[[#This Row],[Input]:[Input]], Gliders[[Glider]:[Glider]], FALSE)),
0)</f>
        <v>2</v>
      </c>
      <c r="E5" s="4">
        <f>IFERROR(
INDEX(Gliders[Traction 
(on-road)], MATCH(Build1Stats[[#This Row],[Input]:[Input]], Gliders[[Glider]:[Glider]], FALSE)),
0)</f>
        <v>1</v>
      </c>
      <c r="F5" s="4">
        <f>IFERROR(
INDEX(Gliders[Traction 
(off-road)], MATCH(Build1Stats[[#This Row],[Input]:[Input]], Gliders[[Glider]:[Glider]], FALSE)),
0)</f>
        <v>1</v>
      </c>
      <c r="G5" s="4">
        <f>IFERROR(
INDEX(Gliders[Mini-
Turbo], MATCH(Build1Stats[[#This Row],[Input]:[Input]], Gliders[[Glider]:[Glider]], FALSE)),
0)</f>
        <v>2</v>
      </c>
      <c r="H5" s="4">
        <f>IFERROR(
INDEX(Gliders[Speed 
(Ground)], MATCH(Build1Stats[[#This Row],[Input]:[Input]], Gliders[[Glider]:[Glider]], FALSE)),
0)</f>
        <v>0</v>
      </c>
      <c r="I5" s="4">
        <f>IFERROR(
INDEX(Gliders[Speed 
(Water)], MATCH(Build1Stats[[#This Row],[Input]:[Input]], Gliders[[Glider]:[Glider]], FALSE)),
0)</f>
        <v>1</v>
      </c>
      <c r="J5" s="4">
        <f>IFERROR(
INDEX(Gliders[Speed 
(Anti-Gravity)], MATCH(Build1Stats[[#This Row],[Input]:[Input]], Gliders[[Glider]:[Glider]], FALSE)),
0)</f>
        <v>1</v>
      </c>
      <c r="K5" s="4">
        <f>IFERROR(
INDEX(Gliders[Speed 
(Air)], MATCH(Build1Stats[[#This Row],[Input]:[Input]], Gliders[[Glider]:[Glider]], FALSE)),
0)</f>
        <v>1</v>
      </c>
      <c r="L5" s="4">
        <f>IFERROR(
INDEX(Gliders[Handling 
(Ground)], MATCH(Build1Stats[[#This Row],[Input]:[Input]], Gliders[[Glider]:[Glider]], FALSE)),
0)</f>
        <v>1</v>
      </c>
      <c r="M5" s="4">
        <f>IFERROR(
INDEX(Gliders[Handling 
(Water)], MATCH(Build1Stats[[#This Row],[Input]:[Input]], Gliders[[Glider]:[Glider]], FALSE)),
0)</f>
        <v>0</v>
      </c>
      <c r="N5" s="4">
        <f>IFERROR(
INDEX(Gliders[Handling 
(Anti-Gravity)], MATCH(Build1Stats[[#This Row],[Input]:[Input]], Gliders[[Glider]:[Glider]], FALSE)),
0)</f>
        <v>1</v>
      </c>
      <c r="O5" s="4">
        <f>IFERROR(
INDEX(Gliders[Handling 
(Air)], MATCH(Build1Stats[[#This Row],[Input]:[Input]], Gliders[[Glider]:[Glider]], FALSE)),
0)</f>
        <v>2</v>
      </c>
      <c r="P5" s="4">
        <f>IFERROR(
INDEX(Gliders[Invincibility], MATCH(Build1Stats[[#This Row],[Input]:[Input]], Gliders[[Glider]:[Glider]], FALSE)),
0)</f>
        <v>0</v>
      </c>
    </row>
    <row r="9" spans="1:16">
      <c r="A9" s="5" t="s">
        <v>147</v>
      </c>
      <c r="B9" s="5" t="s">
        <v>146</v>
      </c>
      <c r="C9" s="5" t="s">
        <v>134</v>
      </c>
      <c r="D9" s="5" t="s">
        <v>135</v>
      </c>
      <c r="E9" s="5" t="s">
        <v>137</v>
      </c>
      <c r="F9" s="5" t="s">
        <v>136</v>
      </c>
      <c r="G9" s="5" t="s">
        <v>138</v>
      </c>
      <c r="H9" s="5" t="s">
        <v>140</v>
      </c>
      <c r="I9" s="5" t="s">
        <v>139</v>
      </c>
      <c r="J9" s="5" t="s">
        <v>162</v>
      </c>
      <c r="K9" s="5" t="s">
        <v>141</v>
      </c>
      <c r="L9" s="5" t="s">
        <v>142</v>
      </c>
      <c r="M9" s="5" t="s">
        <v>160</v>
      </c>
      <c r="N9" s="5" t="s">
        <v>161</v>
      </c>
      <c r="O9" s="5" t="s">
        <v>143</v>
      </c>
      <c r="P9" s="5" t="s">
        <v>144</v>
      </c>
    </row>
    <row r="10" spans="1:16" ht="16">
      <c r="A10" t="s">
        <v>0</v>
      </c>
      <c r="B10" s="2" t="str">
        <f>INDEX(Builds[Build 2], MATCH(Build2Stats[[#This Row],[Category]], Builds[Stat], FALSE))</f>
        <v>Tanooki Mario</v>
      </c>
      <c r="C10" s="4">
        <f>IFERROR(
INDEX(Drivers[Weight], MATCH(Build2Stats[[#This Row],[Input]:[Input]], Drivers[[Driver]:[Driver]], FALSE)),
0)</f>
        <v>5</v>
      </c>
      <c r="D10" s="4">
        <f>IFERROR(
INDEX(Drivers[Acceleration], MATCH(Build2Stats[[#This Row],[Input]:[Input]], Drivers[[Driver]:[Driver]], FALSE)),
0)</f>
        <v>3</v>
      </c>
      <c r="E10" s="4">
        <f>IFERROR(
INDEX(Drivers[Traction 
(on-road)], MATCH(Build2Stats[[#This Row],[Input]:[Input]], Drivers[[Driver]:[Driver]], FALSE)),
0)</f>
        <v>7</v>
      </c>
      <c r="F10" s="4">
        <f>IFERROR(
INDEX(Drivers[Traction 
(off-road)], MATCH(Build2Stats[[#This Row],[Input]:[Input]], Drivers[[Driver]:[Driver]], FALSE)),
0)</f>
        <v>1</v>
      </c>
      <c r="G10" s="4">
        <f>IFERROR(
INDEX(Drivers[Mini-
Turbo], MATCH(Build2Stats[[#This Row],[Input]:[Input]], Drivers[[Driver]:[Driver]], FALSE)),
0)</f>
        <v>4</v>
      </c>
      <c r="H10" s="4">
        <f>IFERROR(
INDEX(Drivers[Speed 
(Ground)], MATCH(Build2Stats[[#This Row],[Input]:[Input]], Drivers[[Driver]:[Driver]], FALSE)),
0)</f>
        <v>6</v>
      </c>
      <c r="I10" s="4">
        <f>IFERROR(
INDEX(Drivers[Speed 
(Water)], MATCH(Build2Stats[[#This Row],[Input]:[Input]], Drivers[[Driver]:[Driver]], FALSE)),
0)</f>
        <v>6</v>
      </c>
      <c r="J10" s="4">
        <f>IFERROR(
INDEX(Drivers[Speed 
(Anti-Gravity)], MATCH(Build2Stats[[#This Row],[Input]:[Input]], Drivers[[Driver]:[Driver]], FALSE)),
0)</f>
        <v>6</v>
      </c>
      <c r="K10" s="4">
        <f>IFERROR(
INDEX(Drivers[Speed 
(Air)], MATCH(Build2Stats[[#This Row],[Input]:[Input]], Drivers[[Driver]:[Driver]], FALSE)),
0)</f>
        <v>6</v>
      </c>
      <c r="L10" s="4">
        <f>IFERROR(
INDEX(Drivers[Handling 
(Ground)], MATCH(Build2Stats[[#This Row],[Input]:[Input]], Drivers[[Driver]:[Driver]], FALSE)),
0)</f>
        <v>5</v>
      </c>
      <c r="M10" s="4">
        <f>IFERROR(
INDEX(Drivers[Handling 
(Water)], MATCH(Build2Stats[[#This Row],[Input]:[Input]], Drivers[[Driver]:[Driver]], FALSE)),
0)</f>
        <v>5</v>
      </c>
      <c r="N10" s="4">
        <f>IFERROR(
INDEX(Drivers[Handling 
(Anti-Gravity)], MATCH(Build2Stats[[#This Row],[Input]:[Input]], Drivers[[Driver]:[Driver]], FALSE)),
0)</f>
        <v>5</v>
      </c>
      <c r="O10" s="4">
        <f>IFERROR(
INDEX(Drivers[Handling 
(Air)], MATCH(Build2Stats[[#This Row],[Input]:[Input]], Drivers[[Driver]:[Driver]], FALSE)),
0)</f>
        <v>5</v>
      </c>
      <c r="P10" s="4">
        <f>IFERROR(
INDEX(Drivers[Invincibility], MATCH(Build2Stats[[#This Row],[Input]:[Input]], Drivers[[Driver]:[Driver]], FALSE)),
0)</f>
        <v>1</v>
      </c>
    </row>
    <row r="11" spans="1:16" ht="16">
      <c r="A11" t="s">
        <v>145</v>
      </c>
      <c r="B11" s="2" t="str">
        <f>INDEX(Builds[Build 2], MATCH(Build2Stats[[#This Row],[Category]], Builds[Stat], FALSE))</f>
        <v>Streetle</v>
      </c>
      <c r="C11" s="4">
        <f>IFERROR(
INDEX(Karts[Weight], MATCH(Build2Stats[[#This Row],[Input]:[Input]], Karts[[Body]:[Body]], FALSE)),
0)</f>
        <v>0</v>
      </c>
      <c r="D11" s="4">
        <f>IFERROR(
INDEX(Karts[Acceleration], MATCH(Build2Stats[[#This Row],[Input]:[Input]], Karts[[Body]:[Body]], FALSE)),
0)</f>
        <v>6</v>
      </c>
      <c r="E11" s="4">
        <f>IFERROR(
INDEX(Karts[Traction 
(on-road)], MATCH(Build2Stats[[#This Row],[Input]:[Input]], Karts[[Body]:[Body]], FALSE)),
0)</f>
        <v>0</v>
      </c>
      <c r="F11" s="4">
        <f>IFERROR(
INDEX(Karts[Traction 
(off-road)], MATCH(Build2Stats[[#This Row],[Input]:[Input]], Karts[[Body]:[Body]], FALSE)),
0)</f>
        <v>6</v>
      </c>
      <c r="G11" s="4">
        <f>IFERROR(
INDEX(Karts[Mini-
Turbo], MATCH(Build2Stats[[#This Row],[Input]:[Input]], Karts[[Body]:[Body]], FALSE)),
0)</f>
        <v>6</v>
      </c>
      <c r="H11" s="4">
        <f>IFERROR(
INDEX(Karts[Speed 
(Ground)], MATCH(Build2Stats[[#This Row],[Input]:[Input]], Karts[[Body]:[Body]], FALSE)),
0)</f>
        <v>2</v>
      </c>
      <c r="I11" s="4">
        <f>IFERROR(
INDEX(Karts[Speed 
(Water)], MATCH(Build2Stats[[#This Row],[Input]:[Input]], Karts[[Body]:[Body]], FALSE)),
0)</f>
        <v>5</v>
      </c>
      <c r="J11" s="4">
        <f>IFERROR(
INDEX(Karts[Speed 
(Anti-Gravity)], MATCH(Build2Stats[[#This Row],[Input]:[Input]], Karts[[Body]:[Body]], FALSE)),
0)</f>
        <v>0</v>
      </c>
      <c r="K11" s="4">
        <f>IFERROR(
INDEX(Karts[Speed 
(Air)], MATCH(Build2Stats[[#This Row],[Input]:[Input]], Karts[[Body]:[Body]], FALSE)),
0)</f>
        <v>2</v>
      </c>
      <c r="L11" s="4">
        <f>IFERROR(
INDEX(Karts[Handling 
(Ground)], MATCH(Build2Stats[[#This Row],[Input]:[Input]], Karts[[Body]:[Body]], FALSE)),
0)</f>
        <v>4</v>
      </c>
      <c r="M11" s="4">
        <f>IFERROR(
INDEX(Karts[Handling 
(Water)], MATCH(Build2Stats[[#This Row],[Input]:[Input]], Karts[[Body]:[Body]], FALSE)),
0)</f>
        <v>5</v>
      </c>
      <c r="N11" s="4">
        <f>IFERROR(
INDEX(Karts[Handling 
(Anti-Gravity)], MATCH(Build2Stats[[#This Row],[Input]:[Input]], Karts[[Body]:[Body]], FALSE)),
0)</f>
        <v>2</v>
      </c>
      <c r="O11" s="4">
        <f>IFERROR(
INDEX(Karts[Handling 
(Air)], MATCH(Build2Stats[[#This Row],[Input]:[Input]], Karts[[Body]:[Body]], FALSE)),
0)</f>
        <v>3</v>
      </c>
      <c r="P11" s="4">
        <f>IFERROR(
INDEX(Karts[Invincibility], MATCH(Build2Stats[[#This Row],[Input]:[Input]], Karts[[Body]:[Body]], FALSE)),
0)</f>
        <v>3</v>
      </c>
    </row>
    <row r="12" spans="1:16" ht="16">
      <c r="A12" t="s">
        <v>95</v>
      </c>
      <c r="B12" s="2" t="str">
        <f>INDEX(Builds[Build 2], MATCH(Build2Stats[[#This Row],[Category]], Builds[Stat], FALSE))</f>
        <v>Leaf Tires</v>
      </c>
      <c r="C12" s="4">
        <f>IFERROR(
INDEX(Tires[Weight], MATCH(Build2Stats[[#This Row],[Input]:[Input]], Tires[[Tire]:[Tire]], FALSE)),
0)</f>
        <v>0</v>
      </c>
      <c r="D12" s="4">
        <f>IFERROR(
INDEX(Tires[Acceleration], MATCH(Build2Stats[[#This Row],[Input]:[Input]], Tires[[Tire]:[Tire]], FALSE)),
0)</f>
        <v>5</v>
      </c>
      <c r="E12" s="4">
        <f>IFERROR(
INDEX(Tires[Traction 
(on-road)], MATCH(Build2Stats[[#This Row],[Input]:[Input]], Tires[[Tire]:[Tire]], FALSE)),
0)</f>
        <v>1</v>
      </c>
      <c r="F12" s="4">
        <f>IFERROR(
INDEX(Tires[Traction 
(off-road)], MATCH(Build2Stats[[#This Row],[Input]:[Input]], Tires[[Tire]:[Tire]], FALSE)),
0)</f>
        <v>3</v>
      </c>
      <c r="G12" s="4">
        <f>IFERROR(
INDEX(Tires[Mini-
Turbo], MATCH(Build2Stats[[#This Row],[Input]:[Input]], Tires[[Tire]:[Tire]], FALSE)),
0)</f>
        <v>5</v>
      </c>
      <c r="H12" s="4">
        <f>IFERROR(
INDEX(Tires[Speed 
(Ground)], MATCH(Build2Stats[[#This Row],[Input]:[Input]], Tires[[Tire]:[Tire]], FALSE)),
0)</f>
        <v>1</v>
      </c>
      <c r="I12" s="4">
        <f>IFERROR(
INDEX(Tires[Speed 
(Water)], MATCH(Build2Stats[[#This Row],[Input]:[Input]], Tires[[Tire]:[Tire]], FALSE)),
0)</f>
        <v>2</v>
      </c>
      <c r="J12" s="4">
        <f>IFERROR(
INDEX(Tires[Speed 
(Anti-Gravity)], MATCH(Build2Stats[[#This Row],[Input]:[Input]], Tires[[Tire]:[Tire]], FALSE)),
0)</f>
        <v>2</v>
      </c>
      <c r="K12" s="4">
        <f>IFERROR(
INDEX(Tires[Speed 
(Air)], MATCH(Build2Stats[[#This Row],[Input]:[Input]], Tires[[Tire]:[Tire]], FALSE)),
0)</f>
        <v>2</v>
      </c>
      <c r="L12" s="4">
        <f>IFERROR(
INDEX(Tires[Handling 
(Ground)], MATCH(Build2Stats[[#This Row],[Input]:[Input]], Tires[[Tire]:[Tire]], FALSE)),
0)</f>
        <v>3</v>
      </c>
      <c r="M12" s="4">
        <f>IFERROR(
INDEX(Tires[Handling 
(Water)], MATCH(Build2Stats[[#This Row],[Input]:[Input]], Tires[[Tire]:[Tire]], FALSE)),
0)</f>
        <v>3</v>
      </c>
      <c r="N12" s="4">
        <f>IFERROR(
INDEX(Tires[Handling 
(Anti-Gravity)], MATCH(Build2Stats[[#This Row],[Input]:[Input]], Tires[[Tire]:[Tire]], FALSE)),
0)</f>
        <v>4</v>
      </c>
      <c r="O12" s="4">
        <f>IFERROR(
INDEX(Tires[Handling 
(Air)], MATCH(Build2Stats[[#This Row],[Input]:[Input]], Tires[[Tire]:[Tire]], FALSE)),
0)</f>
        <v>2</v>
      </c>
      <c r="P12" s="4">
        <f>IFERROR(
INDEX(Tires[Invincibility], MATCH(Build2Stats[[#This Row],[Input]:[Input]], Tires[[Tire]:[Tire]], FALSE)),
0)</f>
        <v>3</v>
      </c>
    </row>
    <row r="13" spans="1:16" ht="16">
      <c r="A13" t="s">
        <v>118</v>
      </c>
      <c r="B13" s="2" t="str">
        <f>INDEX(Builds[Build 2], MATCH(Build2Stats[[#This Row],[Category]], Builds[Stat], FALSE))</f>
        <v>Paper Glider</v>
      </c>
      <c r="C13" s="4">
        <f>IFERROR(
INDEX(Gliders[Weight], MATCH(Build2Stats[[#This Row],[Input]:[Input]], Gliders[[Glider]:[Glider]], FALSE)),
0)</f>
        <v>0</v>
      </c>
      <c r="D13" s="4">
        <f>IFERROR(
INDEX(Gliders[Acceleration], MATCH(Build2Stats[[#This Row],[Input]:[Input]], Gliders[[Glider]:[Glider]], FALSE)),
0)</f>
        <v>2</v>
      </c>
      <c r="E13" s="4">
        <f>IFERROR(
INDEX(Gliders[Traction 
(on-road)], MATCH(Build2Stats[[#This Row],[Input]:[Input]], Gliders[[Glider]:[Glider]], FALSE)),
0)</f>
        <v>1</v>
      </c>
      <c r="F13" s="4">
        <f>IFERROR(
INDEX(Gliders[Traction 
(off-road)], MATCH(Build2Stats[[#This Row],[Input]:[Input]], Gliders[[Glider]:[Glider]], FALSE)),
0)</f>
        <v>1</v>
      </c>
      <c r="G13" s="4">
        <f>IFERROR(
INDEX(Gliders[Mini-
Turbo], MATCH(Build2Stats[[#This Row],[Input]:[Input]], Gliders[[Glider]:[Glider]], FALSE)),
0)</f>
        <v>2</v>
      </c>
      <c r="H13" s="4">
        <f>IFERROR(
INDEX(Gliders[Speed 
(Ground)], MATCH(Build2Stats[[#This Row],[Input]:[Input]], Gliders[[Glider]:[Glider]], FALSE)),
0)</f>
        <v>0</v>
      </c>
      <c r="I13" s="4">
        <f>IFERROR(
INDEX(Gliders[Speed 
(Water)], MATCH(Build2Stats[[#This Row],[Input]:[Input]], Gliders[[Glider]:[Glider]], FALSE)),
0)</f>
        <v>1</v>
      </c>
      <c r="J13" s="4">
        <f>IFERROR(
INDEX(Gliders[Speed 
(Anti-Gravity)], MATCH(Build2Stats[[#This Row],[Input]:[Input]], Gliders[[Glider]:[Glider]], FALSE)),
0)</f>
        <v>1</v>
      </c>
      <c r="K13" s="4">
        <f>IFERROR(
INDEX(Gliders[Speed 
(Air)], MATCH(Build2Stats[[#This Row],[Input]:[Input]], Gliders[[Glider]:[Glider]], FALSE)),
0)</f>
        <v>1</v>
      </c>
      <c r="L13" s="4">
        <f>IFERROR(
INDEX(Gliders[Handling 
(Ground)], MATCH(Build2Stats[[#This Row],[Input]:[Input]], Gliders[[Glider]:[Glider]], FALSE)),
0)</f>
        <v>1</v>
      </c>
      <c r="M13" s="4">
        <f>IFERROR(
INDEX(Gliders[Handling 
(Water)], MATCH(Build2Stats[[#This Row],[Input]:[Input]], Gliders[[Glider]:[Glider]], FALSE)),
0)</f>
        <v>0</v>
      </c>
      <c r="N13" s="4">
        <f>IFERROR(
INDEX(Gliders[Handling 
(Anti-Gravity)], MATCH(Build2Stats[[#This Row],[Input]:[Input]], Gliders[[Glider]:[Glider]], FALSE)),
0)</f>
        <v>1</v>
      </c>
      <c r="O13" s="4">
        <f>IFERROR(
INDEX(Gliders[Handling 
(Air)], MATCH(Build2Stats[[#This Row],[Input]:[Input]], Gliders[[Glider]:[Glider]], FALSE)),
0)</f>
        <v>2</v>
      </c>
      <c r="P13" s="4">
        <f>IFERROR(
INDEX(Gliders[Invincibility], MATCH(Build2Stats[[#This Row],[Input]:[Input]], Gliders[[Glider]:[Glider]], FALSE)),
0)</f>
        <v>0</v>
      </c>
    </row>
    <row r="17" spans="1:16">
      <c r="A17" s="5" t="s">
        <v>147</v>
      </c>
      <c r="B17" s="5" t="s">
        <v>146</v>
      </c>
      <c r="C17" s="5" t="s">
        <v>134</v>
      </c>
      <c r="D17" s="5" t="s">
        <v>135</v>
      </c>
      <c r="E17" s="5" t="s">
        <v>137</v>
      </c>
      <c r="F17" s="5" t="s">
        <v>136</v>
      </c>
      <c r="G17" s="5" t="s">
        <v>138</v>
      </c>
      <c r="H17" s="5" t="s">
        <v>140</v>
      </c>
      <c r="I17" s="5" t="s">
        <v>139</v>
      </c>
      <c r="J17" s="5" t="s">
        <v>162</v>
      </c>
      <c r="K17" s="5" t="s">
        <v>141</v>
      </c>
      <c r="L17" s="5" t="s">
        <v>142</v>
      </c>
      <c r="M17" s="5" t="s">
        <v>160</v>
      </c>
      <c r="N17" s="5" t="s">
        <v>161</v>
      </c>
      <c r="O17" s="5" t="s">
        <v>143</v>
      </c>
      <c r="P17" s="5" t="s">
        <v>144</v>
      </c>
    </row>
    <row r="18" spans="1:16" ht="16">
      <c r="A18" t="s">
        <v>0</v>
      </c>
      <c r="B18" s="2" t="str">
        <f>INDEX(Builds[Build 3], MATCH(Build3Stats[[#This Row],[Category]], Builds[Stat], FALSE))</f>
        <v>Yoshi</v>
      </c>
      <c r="C18" s="4">
        <f>IFERROR(
INDEX(Drivers[Weight], MATCH(Build3Stats[[#This Row],[Input]:[Input]], Drivers[[Driver]:[Driver]], FALSE)),
0)</f>
        <v>4</v>
      </c>
      <c r="D18" s="4">
        <f>IFERROR(
INDEX(Drivers[Acceleration], MATCH(Build3Stats[[#This Row],[Input]:[Input]], Drivers[[Driver]:[Driver]], FALSE)),
0)</f>
        <v>3</v>
      </c>
      <c r="E18" s="4">
        <f>IFERROR(
INDEX(Drivers[Traction 
(on-road)], MATCH(Build3Stats[[#This Row],[Input]:[Input]], Drivers[[Driver]:[Driver]], FALSE)),
0)</f>
        <v>3</v>
      </c>
      <c r="F18" s="4">
        <f>IFERROR(
INDEX(Drivers[Traction 
(off-road)], MATCH(Build3Stats[[#This Row],[Input]:[Input]], Drivers[[Driver]:[Driver]], FALSE)),
0)</f>
        <v>3</v>
      </c>
      <c r="G18" s="4">
        <f>IFERROR(
INDEX(Drivers[Mini-
Turbo], MATCH(Build3Stats[[#This Row],[Input]:[Input]], Drivers[[Driver]:[Driver]], FALSE)),
0)</f>
        <v>4</v>
      </c>
      <c r="H18" s="4">
        <f>IFERROR(
INDEX(Drivers[Speed 
(Ground)], MATCH(Build3Stats[[#This Row],[Input]:[Input]], Drivers[[Driver]:[Driver]], FALSE)),
0)</f>
        <v>6</v>
      </c>
      <c r="I18" s="4">
        <f>IFERROR(
INDEX(Drivers[Speed 
(Water)], MATCH(Build3Stats[[#This Row],[Input]:[Input]], Drivers[[Driver]:[Driver]], FALSE)),
0)</f>
        <v>6</v>
      </c>
      <c r="J18" s="4">
        <f>IFERROR(
INDEX(Drivers[Speed 
(Anti-Gravity)], MATCH(Build3Stats[[#This Row],[Input]:[Input]], Drivers[[Driver]:[Driver]], FALSE)),
0)</f>
        <v>6</v>
      </c>
      <c r="K18" s="4">
        <f>IFERROR(
INDEX(Drivers[Speed 
(Air)], MATCH(Build3Stats[[#This Row],[Input]:[Input]], Drivers[[Driver]:[Driver]], FALSE)),
0)</f>
        <v>6</v>
      </c>
      <c r="L18" s="4">
        <f>IFERROR(
INDEX(Drivers[Handling 
(Ground)], MATCH(Build3Stats[[#This Row],[Input]:[Input]], Drivers[[Driver]:[Driver]], FALSE)),
0)</f>
        <v>5</v>
      </c>
      <c r="M18" s="4">
        <f>IFERROR(
INDEX(Drivers[Handling 
(Water)], MATCH(Build3Stats[[#This Row],[Input]:[Input]], Drivers[[Driver]:[Driver]], FALSE)),
0)</f>
        <v>5</v>
      </c>
      <c r="N18" s="4">
        <f>IFERROR(
INDEX(Drivers[Handling 
(Anti-Gravity)], MATCH(Build3Stats[[#This Row],[Input]:[Input]], Drivers[[Driver]:[Driver]], FALSE)),
0)</f>
        <v>5</v>
      </c>
      <c r="O18" s="4">
        <f>IFERROR(
INDEX(Drivers[Handling 
(Air)], MATCH(Build3Stats[[#This Row],[Input]:[Input]], Drivers[[Driver]:[Driver]], FALSE)),
0)</f>
        <v>5</v>
      </c>
      <c r="P18" s="4">
        <f>IFERROR(
INDEX(Drivers[Invincibility], MATCH(Build3Stats[[#This Row],[Input]:[Input]], Drivers[[Driver]:[Driver]], FALSE)),
0)</f>
        <v>1</v>
      </c>
    </row>
    <row r="19" spans="1:16" ht="16">
      <c r="A19" t="s">
        <v>145</v>
      </c>
      <c r="B19" s="2" t="str">
        <f>INDEX(Builds[Build 3], MATCH(Build3Stats[[#This Row],[Category]], Builds[Stat], FALSE))</f>
        <v>Teddy Buggy</v>
      </c>
      <c r="C19" s="4">
        <f>IFERROR(
INDEX(Karts[Weight], MATCH(Build3Stats[[#This Row],[Input]:[Input]], Karts[[Body]:[Body]], FALSE)),
0)</f>
        <v>2</v>
      </c>
      <c r="D19" s="4">
        <f>IFERROR(
INDEX(Karts[Acceleration], MATCH(Build3Stats[[#This Row],[Input]:[Input]], Karts[[Body]:[Body]], FALSE)),
0)</f>
        <v>5</v>
      </c>
      <c r="E19" s="4">
        <f>IFERROR(
INDEX(Karts[Traction 
(on-road)], MATCH(Build3Stats[[#This Row],[Input]:[Input]], Karts[[Body]:[Body]], FALSE)),
0)</f>
        <v>4</v>
      </c>
      <c r="F19" s="4">
        <f>IFERROR(
INDEX(Karts[Traction 
(off-road)], MATCH(Build3Stats[[#This Row],[Input]:[Input]], Karts[[Body]:[Body]], FALSE)),
0)</f>
        <v>3</v>
      </c>
      <c r="G19" s="4">
        <f>IFERROR(
INDEX(Karts[Mini-
Turbo], MATCH(Build3Stats[[#This Row],[Input]:[Input]], Karts[[Body]:[Body]], FALSE)),
0)</f>
        <v>6</v>
      </c>
      <c r="H19" s="4">
        <f>IFERROR(
INDEX(Karts[Speed 
(Ground)], MATCH(Build3Stats[[#This Row],[Input]:[Input]], Karts[[Body]:[Body]], FALSE)),
0)</f>
        <v>2</v>
      </c>
      <c r="I19" s="4">
        <f>IFERROR(
INDEX(Karts[Speed 
(Water)], MATCH(Build3Stats[[#This Row],[Input]:[Input]], Karts[[Body]:[Body]], FALSE)),
0)</f>
        <v>2</v>
      </c>
      <c r="J19" s="4">
        <f>IFERROR(
INDEX(Karts[Speed 
(Anti-Gravity)], MATCH(Build3Stats[[#This Row],[Input]:[Input]], Karts[[Body]:[Body]], FALSE)),
0)</f>
        <v>3</v>
      </c>
      <c r="K19" s="4">
        <f>IFERROR(
INDEX(Karts[Speed 
(Air)], MATCH(Build3Stats[[#This Row],[Input]:[Input]], Karts[[Body]:[Body]], FALSE)),
0)</f>
        <v>4</v>
      </c>
      <c r="L19" s="4">
        <f>IFERROR(
INDEX(Karts[Handling 
(Ground)], MATCH(Build3Stats[[#This Row],[Input]:[Input]], Karts[[Body]:[Body]], FALSE)),
0)</f>
        <v>4</v>
      </c>
      <c r="M19" s="4">
        <f>IFERROR(
INDEX(Karts[Handling 
(Water)], MATCH(Build3Stats[[#This Row],[Input]:[Input]], Karts[[Body]:[Body]], FALSE)),
0)</f>
        <v>2</v>
      </c>
      <c r="N19" s="4">
        <f>IFERROR(
INDEX(Karts[Handling 
(Anti-Gravity)], MATCH(Build3Stats[[#This Row],[Input]:[Input]], Karts[[Body]:[Body]], FALSE)),
0)</f>
        <v>3</v>
      </c>
      <c r="O19" s="4">
        <f>IFERROR(
INDEX(Karts[Handling 
(Air)], MATCH(Build3Stats[[#This Row],[Input]:[Input]], Karts[[Body]:[Body]], FALSE)),
0)</f>
        <v>4</v>
      </c>
      <c r="P19" s="4">
        <f>IFERROR(
INDEX(Karts[Invincibility], MATCH(Build3Stats[[#This Row],[Input]:[Input]], Karts[[Body]:[Body]], FALSE)),
0)</f>
        <v>1</v>
      </c>
    </row>
    <row r="20" spans="1:16" ht="16">
      <c r="A20" t="s">
        <v>95</v>
      </c>
      <c r="B20" s="2" t="str">
        <f>INDEX(Builds[Build 3], MATCH(Build3Stats[[#This Row],[Category]], Builds[Stat], FALSE))</f>
        <v>Azure Roller</v>
      </c>
      <c r="C20" s="4">
        <f>IFERROR(
INDEX(Tires[Weight], MATCH(Build3Stats[[#This Row],[Input]:[Input]], Tires[[Tire]:[Tire]], FALSE)),
0)</f>
        <v>0</v>
      </c>
      <c r="D20" s="4">
        <f>IFERROR(
INDEX(Tires[Acceleration], MATCH(Build3Stats[[#This Row],[Input]:[Input]], Tires[[Tire]:[Tire]], FALSE)),
0)</f>
        <v>6</v>
      </c>
      <c r="E20" s="4">
        <f>IFERROR(
INDEX(Tires[Traction 
(on-road)], MATCH(Build3Stats[[#This Row],[Input]:[Input]], Tires[[Tire]:[Tire]], FALSE)),
0)</f>
        <v>0</v>
      </c>
      <c r="F20" s="4">
        <f>IFERROR(
INDEX(Tires[Traction 
(off-road)], MATCH(Build3Stats[[#This Row],[Input]:[Input]], Tires[[Tire]:[Tire]], FALSE)),
0)</f>
        <v>4</v>
      </c>
      <c r="G20" s="4">
        <f>IFERROR(
INDEX(Tires[Mini-
Turbo], MATCH(Build3Stats[[#This Row],[Input]:[Input]], Tires[[Tire]:[Tire]], FALSE)),
0)</f>
        <v>6</v>
      </c>
      <c r="H20" s="4">
        <f>IFERROR(
INDEX(Tires[Speed 
(Ground)], MATCH(Build3Stats[[#This Row],[Input]:[Input]], Tires[[Tire]:[Tire]], FALSE)),
0)</f>
        <v>0</v>
      </c>
      <c r="I20" s="4">
        <f>IFERROR(
INDEX(Tires[Speed 
(Water)], MATCH(Build3Stats[[#This Row],[Input]:[Input]], Tires[[Tire]:[Tire]], FALSE)),
0)</f>
        <v>3</v>
      </c>
      <c r="J20" s="4">
        <f>IFERROR(
INDEX(Tires[Speed 
(Anti-Gravity)], MATCH(Build3Stats[[#This Row],[Input]:[Input]], Tires[[Tire]:[Tire]], FALSE)),
0)</f>
        <v>0</v>
      </c>
      <c r="K20" s="4">
        <f>IFERROR(
INDEX(Tires[Speed 
(Air)], MATCH(Build3Stats[[#This Row],[Input]:[Input]], Tires[[Tire]:[Tire]], FALSE)),
0)</f>
        <v>3</v>
      </c>
      <c r="L20" s="4">
        <f>IFERROR(
INDEX(Tires[Handling 
(Ground)], MATCH(Build3Stats[[#This Row],[Input]:[Input]], Tires[[Tire]:[Tire]], FALSE)),
0)</f>
        <v>4</v>
      </c>
      <c r="M20" s="4">
        <f>IFERROR(
INDEX(Tires[Handling 
(Water)], MATCH(Build3Stats[[#This Row],[Input]:[Input]], Tires[[Tire]:[Tire]], FALSE)),
0)</f>
        <v>4</v>
      </c>
      <c r="N20" s="4">
        <f>IFERROR(
INDEX(Tires[Handling 
(Anti-Gravity)], MATCH(Build3Stats[[#This Row],[Input]:[Input]], Tires[[Tire]:[Tire]], FALSE)),
0)</f>
        <v>4</v>
      </c>
      <c r="O20" s="4">
        <f>IFERROR(
INDEX(Tires[Handling 
(Air)], MATCH(Build3Stats[[#This Row],[Input]:[Input]], Tires[[Tire]:[Tire]], FALSE)),
0)</f>
        <v>4</v>
      </c>
      <c r="P20" s="4">
        <f>IFERROR(
INDEX(Tires[Invincibility], MATCH(Build3Stats[[#This Row],[Input]:[Input]], Tires[[Tire]:[Tire]], FALSE)),
0)</f>
        <v>0</v>
      </c>
    </row>
    <row r="21" spans="1:16" ht="16">
      <c r="A21" t="s">
        <v>118</v>
      </c>
      <c r="B21" s="2" t="str">
        <f>INDEX(Builds[Build 3], MATCH(Build3Stats[[#This Row],[Category]], Builds[Stat], FALSE))</f>
        <v>Paper Glider</v>
      </c>
      <c r="C21" s="4">
        <f>IFERROR(
INDEX(Gliders[Weight], MATCH(Build3Stats[[#This Row],[Input]:[Input]], Gliders[[Glider]:[Glider]], FALSE)),
0)</f>
        <v>0</v>
      </c>
      <c r="D21" s="4">
        <f>IFERROR(
INDEX(Gliders[Acceleration], MATCH(Build3Stats[[#This Row],[Input]:[Input]], Gliders[[Glider]:[Glider]], FALSE)),
0)</f>
        <v>2</v>
      </c>
      <c r="E21" s="4">
        <f>IFERROR(
INDEX(Gliders[Traction 
(on-road)], MATCH(Build3Stats[[#This Row],[Input]:[Input]], Gliders[[Glider]:[Glider]], FALSE)),
0)</f>
        <v>1</v>
      </c>
      <c r="F21" s="4">
        <f>IFERROR(
INDEX(Gliders[Traction 
(off-road)], MATCH(Build3Stats[[#This Row],[Input]:[Input]], Gliders[[Glider]:[Glider]], FALSE)),
0)</f>
        <v>1</v>
      </c>
      <c r="G21" s="4">
        <f>IFERROR(
INDEX(Gliders[Mini-
Turbo], MATCH(Build3Stats[[#This Row],[Input]:[Input]], Gliders[[Glider]:[Glider]], FALSE)),
0)</f>
        <v>2</v>
      </c>
      <c r="H21" s="4">
        <f>IFERROR(
INDEX(Gliders[Speed 
(Ground)], MATCH(Build3Stats[[#This Row],[Input]:[Input]], Gliders[[Glider]:[Glider]], FALSE)),
0)</f>
        <v>0</v>
      </c>
      <c r="I21" s="4">
        <f>IFERROR(
INDEX(Gliders[Speed 
(Water)], MATCH(Build3Stats[[#This Row],[Input]:[Input]], Gliders[[Glider]:[Glider]], FALSE)),
0)</f>
        <v>1</v>
      </c>
      <c r="J21" s="4">
        <f>IFERROR(
INDEX(Gliders[Speed 
(Anti-Gravity)], MATCH(Build3Stats[[#This Row],[Input]:[Input]], Gliders[[Glider]:[Glider]], FALSE)),
0)</f>
        <v>1</v>
      </c>
      <c r="K21" s="4">
        <f>IFERROR(
INDEX(Gliders[Speed 
(Air)], MATCH(Build3Stats[[#This Row],[Input]:[Input]], Gliders[[Glider]:[Glider]], FALSE)),
0)</f>
        <v>1</v>
      </c>
      <c r="L21" s="4">
        <f>IFERROR(
INDEX(Gliders[Handling 
(Ground)], MATCH(Build3Stats[[#This Row],[Input]:[Input]], Gliders[[Glider]:[Glider]], FALSE)),
0)</f>
        <v>1</v>
      </c>
      <c r="M21" s="4">
        <f>IFERROR(
INDEX(Gliders[Handling 
(Water)], MATCH(Build3Stats[[#This Row],[Input]:[Input]], Gliders[[Glider]:[Glider]], FALSE)),
0)</f>
        <v>0</v>
      </c>
      <c r="N21" s="4">
        <f>IFERROR(
INDEX(Gliders[Handling 
(Anti-Gravity)], MATCH(Build3Stats[[#This Row],[Input]:[Input]], Gliders[[Glider]:[Glider]], FALSE)),
0)</f>
        <v>1</v>
      </c>
      <c r="O21" s="4">
        <f>IFERROR(
INDEX(Gliders[Handling 
(Air)], MATCH(Build3Stats[[#This Row],[Input]:[Input]], Gliders[[Glider]:[Glider]], FALSE)),
0)</f>
        <v>2</v>
      </c>
      <c r="P21" s="4">
        <f>IFERROR(
INDEX(Gliders[Invincibility], MATCH(Build3Stats[[#This Row],[Input]:[Input]], Gliders[[Glider]:[Glider]], FALSE)),
0)</f>
        <v>0</v>
      </c>
    </row>
  </sheetData>
  <sheetProtection sheet="1" objects="1" scenarios="1"/>
  <pageMargins left="0.7" right="0.7" top="0.75" bottom="0.75" header="0.3" footer="0.3"/>
  <tableParts count="3">
    <tablePart r:id="rId1"/>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sheetPr>
  <dimension ref="A1:P153"/>
  <sheetViews>
    <sheetView zoomScale="50" workbookViewId="0">
      <selection activeCell="H15" sqref="H15"/>
    </sheetView>
  </sheetViews>
  <sheetFormatPr baseColWidth="10" defaultColWidth="8.83203125" defaultRowHeight="15"/>
  <cols>
    <col min="1" max="1" width="28.33203125" bestFit="1" customWidth="1"/>
    <col min="2" max="2" width="11.83203125" bestFit="1" customWidth="1"/>
    <col min="3" max="3" width="16.1640625" bestFit="1" customWidth="1"/>
    <col min="4" max="4" width="13.1640625" bestFit="1" customWidth="1"/>
    <col min="5" max="5" width="11.5" bestFit="1" customWidth="1"/>
    <col min="6" max="6" width="11.5" customWidth="1"/>
    <col min="7" max="7" width="10.6640625" bestFit="1" customWidth="1"/>
    <col min="8" max="8" width="13" bestFit="1" customWidth="1"/>
    <col min="9" max="9" width="12" bestFit="1" customWidth="1"/>
    <col min="10" max="10" width="12.1640625" bestFit="1" customWidth="1"/>
    <col min="11" max="11" width="11" bestFit="1" customWidth="1"/>
    <col min="12" max="15" width="13" bestFit="1" customWidth="1"/>
    <col min="16" max="16" width="13.33203125" bestFit="1" customWidth="1"/>
  </cols>
  <sheetData>
    <row r="1" spans="1:16">
      <c r="A1" s="1" t="s">
        <v>0</v>
      </c>
      <c r="B1" s="1" t="s">
        <v>134</v>
      </c>
      <c r="C1" s="1" t="s">
        <v>135</v>
      </c>
      <c r="D1" s="1" t="s">
        <v>164</v>
      </c>
      <c r="E1" s="1" t="s">
        <v>165</v>
      </c>
      <c r="F1" s="1" t="s">
        <v>176</v>
      </c>
      <c r="G1" s="1" t="s">
        <v>166</v>
      </c>
      <c r="H1" s="1" t="s">
        <v>167</v>
      </c>
      <c r="I1" s="1" t="s">
        <v>168</v>
      </c>
      <c r="J1" s="1" t="s">
        <v>169</v>
      </c>
      <c r="K1" s="1" t="s">
        <v>170</v>
      </c>
      <c r="L1" s="1" t="s">
        <v>171</v>
      </c>
      <c r="M1" s="1" t="s">
        <v>172</v>
      </c>
      <c r="N1" s="1" t="s">
        <v>173</v>
      </c>
      <c r="O1" s="1" t="s">
        <v>174</v>
      </c>
      <c r="P1" s="1" t="s">
        <v>144</v>
      </c>
    </row>
    <row r="2" spans="1:16" ht="21">
      <c r="A2" s="15" t="s">
        <v>45</v>
      </c>
      <c r="B2" s="40">
        <v>4</v>
      </c>
      <c r="C2" s="40">
        <v>3</v>
      </c>
      <c r="D2" s="40">
        <v>3</v>
      </c>
      <c r="E2" s="40">
        <v>3</v>
      </c>
      <c r="F2" s="40">
        <f>SUM(Drivers[[#This Row],[Mini-
Turbo]:[Speed 
(Ground)]])</f>
        <v>10</v>
      </c>
      <c r="G2" s="40">
        <v>4</v>
      </c>
      <c r="H2" s="40">
        <v>6</v>
      </c>
      <c r="I2" s="40">
        <v>6</v>
      </c>
      <c r="J2" s="40">
        <v>6</v>
      </c>
      <c r="K2" s="40">
        <v>6</v>
      </c>
      <c r="L2" s="40">
        <v>5</v>
      </c>
      <c r="M2" s="40">
        <v>5</v>
      </c>
      <c r="N2" s="40">
        <v>5</v>
      </c>
      <c r="O2" s="40">
        <v>5</v>
      </c>
      <c r="P2" s="40">
        <v>1</v>
      </c>
    </row>
    <row r="3" spans="1:16" ht="21">
      <c r="A3" s="15" t="s">
        <v>4</v>
      </c>
      <c r="B3" s="40">
        <v>4</v>
      </c>
      <c r="C3" s="40">
        <v>3</v>
      </c>
      <c r="D3" s="40">
        <v>3</v>
      </c>
      <c r="E3" s="40">
        <v>3</v>
      </c>
      <c r="F3" s="40">
        <f>SUM(Drivers[[#This Row],[Mini-
Turbo]:[Speed 
(Ground)]])</f>
        <v>10</v>
      </c>
      <c r="G3" s="40">
        <v>4</v>
      </c>
      <c r="H3" s="40">
        <v>6</v>
      </c>
      <c r="I3" s="40">
        <v>6</v>
      </c>
      <c r="J3" s="40">
        <v>6</v>
      </c>
      <c r="K3" s="40">
        <v>6</v>
      </c>
      <c r="L3" s="40">
        <v>5</v>
      </c>
      <c r="M3" s="40">
        <v>5</v>
      </c>
      <c r="N3" s="40">
        <v>5</v>
      </c>
      <c r="O3" s="40">
        <v>5</v>
      </c>
      <c r="P3" s="40">
        <v>1</v>
      </c>
    </row>
    <row r="4" spans="1:16" ht="21">
      <c r="A4" s="15" t="s">
        <v>43</v>
      </c>
      <c r="B4" s="40">
        <v>5</v>
      </c>
      <c r="C4" s="40">
        <v>3</v>
      </c>
      <c r="D4" s="40">
        <v>7</v>
      </c>
      <c r="E4" s="40">
        <v>1</v>
      </c>
      <c r="F4" s="40">
        <f>SUM(Drivers[[#This Row],[Mini-
Turbo]:[Speed 
(Ground)]])</f>
        <v>10</v>
      </c>
      <c r="G4" s="40">
        <v>4</v>
      </c>
      <c r="H4" s="40">
        <v>6</v>
      </c>
      <c r="I4" s="40">
        <v>6</v>
      </c>
      <c r="J4" s="40">
        <v>6</v>
      </c>
      <c r="K4" s="40">
        <v>6</v>
      </c>
      <c r="L4" s="40">
        <v>5</v>
      </c>
      <c r="M4" s="40">
        <v>5</v>
      </c>
      <c r="N4" s="40">
        <v>5</v>
      </c>
      <c r="O4" s="40">
        <v>5</v>
      </c>
      <c r="P4" s="40">
        <v>1</v>
      </c>
    </row>
    <row r="5" spans="1:16" ht="21">
      <c r="A5" s="15" t="s">
        <v>3</v>
      </c>
      <c r="B5" s="40">
        <v>4</v>
      </c>
      <c r="C5" s="40">
        <v>3</v>
      </c>
      <c r="D5" s="40">
        <v>3</v>
      </c>
      <c r="E5" s="40">
        <v>3</v>
      </c>
      <c r="F5" s="40">
        <f>SUM(Drivers[[#This Row],[Mini-
Turbo]:[Speed 
(Ground)]])</f>
        <v>10</v>
      </c>
      <c r="G5" s="40">
        <v>4</v>
      </c>
      <c r="H5" s="40">
        <v>6</v>
      </c>
      <c r="I5" s="40">
        <v>6</v>
      </c>
      <c r="J5" s="40">
        <v>6</v>
      </c>
      <c r="K5" s="40">
        <v>6</v>
      </c>
      <c r="L5" s="40">
        <v>5</v>
      </c>
      <c r="M5" s="40">
        <v>5</v>
      </c>
      <c r="N5" s="40">
        <v>5</v>
      </c>
      <c r="O5" s="40">
        <v>5</v>
      </c>
      <c r="P5" s="40">
        <v>1</v>
      </c>
    </row>
    <row r="6" spans="1:16" ht="21">
      <c r="A6" s="15" t="s">
        <v>51</v>
      </c>
      <c r="B6" s="40">
        <v>4</v>
      </c>
      <c r="C6" s="40">
        <v>3</v>
      </c>
      <c r="D6" s="40">
        <v>3</v>
      </c>
      <c r="E6" s="40">
        <v>3</v>
      </c>
      <c r="F6" s="40">
        <f>SUM(Drivers[[#This Row],[Mini-
Turbo]:[Speed 
(Ground)]])</f>
        <v>10</v>
      </c>
      <c r="G6" s="40">
        <v>4</v>
      </c>
      <c r="H6" s="40">
        <v>6</v>
      </c>
      <c r="I6" s="40">
        <v>6</v>
      </c>
      <c r="J6" s="40">
        <v>6</v>
      </c>
      <c r="K6" s="40">
        <v>6</v>
      </c>
      <c r="L6" s="40">
        <v>5</v>
      </c>
      <c r="M6" s="40">
        <v>5</v>
      </c>
      <c r="N6" s="40">
        <v>5</v>
      </c>
      <c r="O6" s="40">
        <v>5</v>
      </c>
      <c r="P6" s="40">
        <v>1</v>
      </c>
    </row>
    <row r="7" spans="1:16" ht="21">
      <c r="A7" s="15" t="s">
        <v>31</v>
      </c>
      <c r="B7" s="40">
        <v>5</v>
      </c>
      <c r="C7" s="40">
        <v>3</v>
      </c>
      <c r="D7" s="40">
        <v>7</v>
      </c>
      <c r="E7" s="40">
        <v>1</v>
      </c>
      <c r="F7" s="40">
        <f>SUM(Drivers[[#This Row],[Mini-
Turbo]:[Speed 
(Ground)]])</f>
        <v>10</v>
      </c>
      <c r="G7" s="40">
        <v>4</v>
      </c>
      <c r="H7" s="40">
        <v>6</v>
      </c>
      <c r="I7" s="40">
        <v>6</v>
      </c>
      <c r="J7" s="40">
        <v>6</v>
      </c>
      <c r="K7" s="40">
        <v>6</v>
      </c>
      <c r="L7" s="40">
        <v>5</v>
      </c>
      <c r="M7" s="40">
        <v>5</v>
      </c>
      <c r="N7" s="40">
        <v>5</v>
      </c>
      <c r="O7" s="40">
        <v>5</v>
      </c>
      <c r="P7" s="40">
        <v>1</v>
      </c>
    </row>
    <row r="8" spans="1:16" ht="21">
      <c r="A8" s="15" t="s">
        <v>33</v>
      </c>
      <c r="B8" s="40">
        <v>5</v>
      </c>
      <c r="C8" s="40">
        <v>3</v>
      </c>
      <c r="D8" s="40">
        <v>7</v>
      </c>
      <c r="E8" s="40">
        <v>1</v>
      </c>
      <c r="F8" s="40">
        <f>SUM(Drivers[[#This Row],[Mini-
Turbo]:[Speed 
(Ground)]])</f>
        <v>10</v>
      </c>
      <c r="G8" s="40">
        <v>4</v>
      </c>
      <c r="H8" s="40">
        <v>6</v>
      </c>
      <c r="I8" s="40">
        <v>6</v>
      </c>
      <c r="J8" s="40">
        <v>6</v>
      </c>
      <c r="K8" s="40">
        <v>6</v>
      </c>
      <c r="L8" s="40">
        <v>5</v>
      </c>
      <c r="M8" s="40">
        <v>5</v>
      </c>
      <c r="N8" s="40">
        <v>5</v>
      </c>
      <c r="O8" s="40">
        <v>5</v>
      </c>
      <c r="P8" s="40">
        <v>1</v>
      </c>
    </row>
    <row r="9" spans="1:16" ht="21">
      <c r="A9" s="15" t="s">
        <v>5</v>
      </c>
      <c r="B9" s="40">
        <v>4</v>
      </c>
      <c r="C9" s="40">
        <v>3</v>
      </c>
      <c r="D9" s="40">
        <v>3</v>
      </c>
      <c r="E9" s="40">
        <v>3</v>
      </c>
      <c r="F9" s="40">
        <f>SUM(Drivers[[#This Row],[Mini-
Turbo]:[Speed 
(Ground)]])</f>
        <v>10</v>
      </c>
      <c r="G9" s="40">
        <v>4</v>
      </c>
      <c r="H9" s="40">
        <v>6</v>
      </c>
      <c r="I9" s="40">
        <v>6</v>
      </c>
      <c r="J9" s="40">
        <v>6</v>
      </c>
      <c r="K9" s="40">
        <v>6</v>
      </c>
      <c r="L9" s="40">
        <v>5</v>
      </c>
      <c r="M9" s="40">
        <v>5</v>
      </c>
      <c r="N9" s="40">
        <v>5</v>
      </c>
      <c r="O9" s="40">
        <v>5</v>
      </c>
      <c r="P9" s="40">
        <v>1</v>
      </c>
    </row>
    <row r="10" spans="1:16" ht="21">
      <c r="A10" s="15" t="s">
        <v>27</v>
      </c>
      <c r="B10" s="40">
        <v>6</v>
      </c>
      <c r="C10" s="40">
        <v>2</v>
      </c>
      <c r="D10" s="40">
        <v>5</v>
      </c>
      <c r="E10" s="40">
        <v>1</v>
      </c>
      <c r="F10" s="40">
        <f>SUM(Drivers[[#This Row],[Mini-
Turbo]:[Speed 
(Ground)]])</f>
        <v>10</v>
      </c>
      <c r="G10" s="40">
        <v>3</v>
      </c>
      <c r="H10" s="40">
        <v>7</v>
      </c>
      <c r="I10" s="40">
        <v>7</v>
      </c>
      <c r="J10" s="40">
        <v>7</v>
      </c>
      <c r="K10" s="40">
        <v>7</v>
      </c>
      <c r="L10" s="40">
        <v>5</v>
      </c>
      <c r="M10" s="40">
        <v>5</v>
      </c>
      <c r="N10" s="40">
        <v>5</v>
      </c>
      <c r="O10" s="40">
        <v>5</v>
      </c>
      <c r="P10" s="40">
        <v>3</v>
      </c>
    </row>
    <row r="11" spans="1:16" ht="21">
      <c r="A11" s="15" t="s">
        <v>46</v>
      </c>
      <c r="B11" s="40">
        <v>6</v>
      </c>
      <c r="C11" s="40">
        <v>2</v>
      </c>
      <c r="D11" s="40">
        <v>5</v>
      </c>
      <c r="E11" s="40">
        <v>1</v>
      </c>
      <c r="F11" s="40">
        <f>SUM(Drivers[[#This Row],[Mini-
Turbo]:[Speed 
(Ground)]])</f>
        <v>10</v>
      </c>
      <c r="G11" s="40">
        <v>3</v>
      </c>
      <c r="H11" s="40">
        <v>7</v>
      </c>
      <c r="I11" s="40">
        <v>7</v>
      </c>
      <c r="J11" s="40">
        <v>7</v>
      </c>
      <c r="K11" s="40">
        <v>7</v>
      </c>
      <c r="L11" s="40">
        <v>5</v>
      </c>
      <c r="M11" s="40">
        <v>5</v>
      </c>
      <c r="N11" s="40">
        <v>5</v>
      </c>
      <c r="O11" s="40">
        <v>5</v>
      </c>
      <c r="P11" s="40">
        <v>3</v>
      </c>
    </row>
    <row r="12" spans="1:16" ht="21">
      <c r="A12" s="15" t="s">
        <v>2</v>
      </c>
      <c r="B12" s="40">
        <v>6</v>
      </c>
      <c r="C12" s="40">
        <v>2</v>
      </c>
      <c r="D12" s="40">
        <v>5</v>
      </c>
      <c r="E12" s="40">
        <v>1</v>
      </c>
      <c r="F12" s="40">
        <f>SUM(Drivers[[#This Row],[Mini-
Turbo]:[Speed 
(Ground)]])</f>
        <v>10</v>
      </c>
      <c r="G12" s="40">
        <v>3</v>
      </c>
      <c r="H12" s="40">
        <v>7</v>
      </c>
      <c r="I12" s="40">
        <v>7</v>
      </c>
      <c r="J12" s="40">
        <v>7</v>
      </c>
      <c r="K12" s="40">
        <v>7</v>
      </c>
      <c r="L12" s="40">
        <v>5</v>
      </c>
      <c r="M12" s="40">
        <v>5</v>
      </c>
      <c r="N12" s="40">
        <v>5</v>
      </c>
      <c r="O12" s="40">
        <v>5</v>
      </c>
      <c r="P12" s="40">
        <v>3</v>
      </c>
    </row>
    <row r="13" spans="1:16" ht="21">
      <c r="A13" s="15" t="s">
        <v>26</v>
      </c>
      <c r="B13" s="40">
        <v>6</v>
      </c>
      <c r="C13" s="40">
        <v>2</v>
      </c>
      <c r="D13" s="40">
        <v>4</v>
      </c>
      <c r="E13" s="40">
        <v>2</v>
      </c>
      <c r="F13" s="40">
        <f>SUM(Drivers[[#This Row],[Mini-
Turbo]:[Speed 
(Ground)]])</f>
        <v>10</v>
      </c>
      <c r="G13" s="40">
        <v>3</v>
      </c>
      <c r="H13" s="40">
        <v>7</v>
      </c>
      <c r="I13" s="40">
        <v>7</v>
      </c>
      <c r="J13" s="40">
        <v>7</v>
      </c>
      <c r="K13" s="40">
        <v>7</v>
      </c>
      <c r="L13" s="40">
        <v>4</v>
      </c>
      <c r="M13" s="40">
        <v>4</v>
      </c>
      <c r="N13" s="40">
        <v>4</v>
      </c>
      <c r="O13" s="40">
        <v>4</v>
      </c>
      <c r="P13" s="40">
        <v>3</v>
      </c>
    </row>
    <row r="14" spans="1:16" ht="21">
      <c r="A14" s="15" t="s">
        <v>1</v>
      </c>
      <c r="B14" s="40">
        <v>6</v>
      </c>
      <c r="C14" s="40">
        <v>2</v>
      </c>
      <c r="D14" s="40">
        <v>4</v>
      </c>
      <c r="E14" s="40">
        <v>2</v>
      </c>
      <c r="F14" s="40">
        <f>SUM(Drivers[[#This Row],[Mini-
Turbo]:[Speed 
(Ground)]])</f>
        <v>10</v>
      </c>
      <c r="G14" s="40">
        <v>3</v>
      </c>
      <c r="H14" s="40">
        <v>7</v>
      </c>
      <c r="I14" s="40">
        <v>7</v>
      </c>
      <c r="J14" s="40">
        <v>7</v>
      </c>
      <c r="K14" s="40">
        <v>7</v>
      </c>
      <c r="L14" s="40">
        <v>4</v>
      </c>
      <c r="M14" s="40">
        <v>4</v>
      </c>
      <c r="N14" s="40">
        <v>4</v>
      </c>
      <c r="O14" s="40">
        <v>4</v>
      </c>
      <c r="P14" s="40">
        <v>3</v>
      </c>
    </row>
    <row r="15" spans="1:16" ht="21">
      <c r="A15" s="15" t="s">
        <v>30</v>
      </c>
      <c r="B15" s="40">
        <v>6</v>
      </c>
      <c r="C15" s="40">
        <v>2</v>
      </c>
      <c r="D15" s="40">
        <v>4</v>
      </c>
      <c r="E15" s="40">
        <v>2</v>
      </c>
      <c r="F15" s="40">
        <f>SUM(Drivers[[#This Row],[Mini-
Turbo]:[Speed 
(Ground)]])</f>
        <v>10</v>
      </c>
      <c r="G15" s="40">
        <v>3</v>
      </c>
      <c r="H15" s="40">
        <v>7</v>
      </c>
      <c r="I15" s="40">
        <v>7</v>
      </c>
      <c r="J15" s="40">
        <v>7</v>
      </c>
      <c r="K15" s="40">
        <v>7</v>
      </c>
      <c r="L15" s="40">
        <v>4</v>
      </c>
      <c r="M15" s="40">
        <v>4</v>
      </c>
      <c r="N15" s="40">
        <v>4</v>
      </c>
      <c r="O15" s="40">
        <v>4</v>
      </c>
      <c r="P15" s="40">
        <v>3</v>
      </c>
    </row>
    <row r="16" spans="1:16" ht="21">
      <c r="A16" s="15" t="s">
        <v>41</v>
      </c>
      <c r="B16" s="40">
        <v>7</v>
      </c>
      <c r="C16" s="40">
        <v>1</v>
      </c>
      <c r="D16" s="40">
        <v>9</v>
      </c>
      <c r="E16" s="40">
        <v>3</v>
      </c>
      <c r="F16" s="40">
        <f>SUM(Drivers[[#This Row],[Mini-
Turbo]:[Speed 
(Ground)]])</f>
        <v>10</v>
      </c>
      <c r="G16" s="40">
        <v>2</v>
      </c>
      <c r="H16" s="40">
        <v>8</v>
      </c>
      <c r="I16" s="40">
        <v>8</v>
      </c>
      <c r="J16" s="40">
        <v>8</v>
      </c>
      <c r="K16" s="40">
        <v>8</v>
      </c>
      <c r="L16" s="40">
        <v>3</v>
      </c>
      <c r="M16" s="40">
        <v>3</v>
      </c>
      <c r="N16" s="40">
        <v>3</v>
      </c>
      <c r="O16" s="40">
        <v>3</v>
      </c>
      <c r="P16" s="40">
        <v>4</v>
      </c>
    </row>
    <row r="17" spans="1:16" ht="21">
      <c r="A17" s="15" t="s">
        <v>32</v>
      </c>
      <c r="B17" s="40">
        <v>7</v>
      </c>
      <c r="C17" s="40">
        <v>1</v>
      </c>
      <c r="D17" s="40">
        <v>9</v>
      </c>
      <c r="E17" s="40">
        <v>3</v>
      </c>
      <c r="F17" s="40">
        <f>SUM(Drivers[[#This Row],[Mini-
Turbo]:[Speed 
(Ground)]])</f>
        <v>10</v>
      </c>
      <c r="G17" s="40">
        <v>2</v>
      </c>
      <c r="H17" s="40">
        <v>8</v>
      </c>
      <c r="I17" s="40">
        <v>8</v>
      </c>
      <c r="J17" s="40">
        <v>8</v>
      </c>
      <c r="K17" s="40">
        <v>8</v>
      </c>
      <c r="L17" s="40">
        <v>3</v>
      </c>
      <c r="M17" s="40">
        <v>3</v>
      </c>
      <c r="N17" s="40">
        <v>3</v>
      </c>
      <c r="O17" s="40">
        <v>3</v>
      </c>
      <c r="P17" s="40">
        <v>4</v>
      </c>
    </row>
    <row r="18" spans="1:16" ht="21">
      <c r="A18" s="15" t="s">
        <v>44</v>
      </c>
      <c r="B18" s="40">
        <v>7</v>
      </c>
      <c r="C18" s="40">
        <v>1</v>
      </c>
      <c r="D18" s="40">
        <v>9</v>
      </c>
      <c r="E18" s="40">
        <v>3</v>
      </c>
      <c r="F18" s="40">
        <f>SUM(Drivers[[#This Row],[Mini-
Turbo]:[Speed 
(Ground)]])</f>
        <v>10</v>
      </c>
      <c r="G18" s="40">
        <v>2</v>
      </c>
      <c r="H18" s="40">
        <v>8</v>
      </c>
      <c r="I18" s="40">
        <v>8</v>
      </c>
      <c r="J18" s="40">
        <v>8</v>
      </c>
      <c r="K18" s="40">
        <v>8</v>
      </c>
      <c r="L18" s="40">
        <v>3</v>
      </c>
      <c r="M18" s="40">
        <v>3</v>
      </c>
      <c r="N18" s="40">
        <v>3</v>
      </c>
      <c r="O18" s="40">
        <v>3</v>
      </c>
      <c r="P18" s="40">
        <v>4</v>
      </c>
    </row>
    <row r="19" spans="1:16" ht="21">
      <c r="A19" s="15" t="s">
        <v>52</v>
      </c>
      <c r="B19" s="40">
        <v>7</v>
      </c>
      <c r="C19" s="40">
        <v>1</v>
      </c>
      <c r="D19" s="40">
        <v>9</v>
      </c>
      <c r="E19" s="40">
        <v>3</v>
      </c>
      <c r="F19" s="40">
        <f>SUM(Drivers[[#This Row],[Mini-
Turbo]:[Speed 
(Ground)]])</f>
        <v>10</v>
      </c>
      <c r="G19" s="40">
        <v>2</v>
      </c>
      <c r="H19" s="40">
        <v>8</v>
      </c>
      <c r="I19" s="40">
        <v>8</v>
      </c>
      <c r="J19" s="40">
        <v>8</v>
      </c>
      <c r="K19" s="40">
        <v>8</v>
      </c>
      <c r="L19" s="40">
        <v>3</v>
      </c>
      <c r="M19" s="40">
        <v>3</v>
      </c>
      <c r="N19" s="40">
        <v>3</v>
      </c>
      <c r="O19" s="40">
        <v>3</v>
      </c>
      <c r="P19" s="40">
        <v>4</v>
      </c>
    </row>
    <row r="20" spans="1:16" ht="21">
      <c r="A20" s="15" t="s">
        <v>13</v>
      </c>
      <c r="B20" s="40">
        <v>7</v>
      </c>
      <c r="C20" s="40">
        <v>1</v>
      </c>
      <c r="D20" s="40">
        <v>9</v>
      </c>
      <c r="E20" s="40">
        <v>3</v>
      </c>
      <c r="F20" s="40">
        <f>SUM(Drivers[[#This Row],[Mini-
Turbo]:[Speed 
(Ground)]])</f>
        <v>10</v>
      </c>
      <c r="G20" s="40">
        <v>2</v>
      </c>
      <c r="H20" s="40">
        <v>8</v>
      </c>
      <c r="I20" s="40">
        <v>8</v>
      </c>
      <c r="J20" s="40">
        <v>8</v>
      </c>
      <c r="K20" s="40">
        <v>8</v>
      </c>
      <c r="L20" s="40">
        <v>3</v>
      </c>
      <c r="M20" s="40">
        <v>3</v>
      </c>
      <c r="N20" s="40">
        <v>3</v>
      </c>
      <c r="O20" s="40">
        <v>3</v>
      </c>
      <c r="P20" s="40">
        <v>4</v>
      </c>
    </row>
    <row r="21" spans="1:16" ht="21">
      <c r="A21" s="15" t="s">
        <v>10</v>
      </c>
      <c r="B21" s="40">
        <v>8</v>
      </c>
      <c r="C21" s="40">
        <v>1</v>
      </c>
      <c r="D21" s="40">
        <v>10</v>
      </c>
      <c r="E21" s="40">
        <v>0</v>
      </c>
      <c r="F21" s="40">
        <f>SUM(Drivers[[#This Row],[Mini-
Turbo]:[Speed 
(Ground)]])</f>
        <v>10</v>
      </c>
      <c r="G21" s="40">
        <v>1</v>
      </c>
      <c r="H21" s="40">
        <v>9</v>
      </c>
      <c r="I21" s="40">
        <v>9</v>
      </c>
      <c r="J21" s="40">
        <v>9</v>
      </c>
      <c r="K21" s="40">
        <v>9</v>
      </c>
      <c r="L21" s="40">
        <v>2</v>
      </c>
      <c r="M21" s="40">
        <v>2</v>
      </c>
      <c r="N21" s="40">
        <v>2</v>
      </c>
      <c r="O21" s="40">
        <v>2</v>
      </c>
      <c r="P21" s="40">
        <v>4</v>
      </c>
    </row>
    <row r="22" spans="1:16" ht="21">
      <c r="A22" s="15" t="s">
        <v>28</v>
      </c>
      <c r="B22" s="40">
        <v>8</v>
      </c>
      <c r="C22" s="40">
        <v>1</v>
      </c>
      <c r="D22" s="40">
        <v>10</v>
      </c>
      <c r="E22" s="40">
        <v>0</v>
      </c>
      <c r="F22" s="40">
        <f>SUM(Drivers[[#This Row],[Mini-
Turbo]:[Speed 
(Ground)]])</f>
        <v>10</v>
      </c>
      <c r="G22" s="40">
        <v>1</v>
      </c>
      <c r="H22" s="40">
        <v>9</v>
      </c>
      <c r="I22" s="40">
        <v>9</v>
      </c>
      <c r="J22" s="40">
        <v>9</v>
      </c>
      <c r="K22" s="40">
        <v>9</v>
      </c>
      <c r="L22" s="40">
        <v>2</v>
      </c>
      <c r="M22" s="40">
        <v>2</v>
      </c>
      <c r="N22" s="40">
        <v>2</v>
      </c>
      <c r="O22" s="40">
        <v>2</v>
      </c>
      <c r="P22" s="40">
        <v>4</v>
      </c>
    </row>
    <row r="23" spans="1:16" ht="21">
      <c r="A23" s="15" t="s">
        <v>12</v>
      </c>
      <c r="B23" s="40">
        <v>8</v>
      </c>
      <c r="C23" s="40">
        <v>1</v>
      </c>
      <c r="D23" s="40">
        <v>10</v>
      </c>
      <c r="E23" s="40">
        <v>0</v>
      </c>
      <c r="F23" s="40">
        <f>SUM(Drivers[[#This Row],[Mini-
Turbo]:[Speed 
(Ground)]])</f>
        <v>10</v>
      </c>
      <c r="G23" s="40">
        <v>1</v>
      </c>
      <c r="H23" s="40">
        <v>9</v>
      </c>
      <c r="I23" s="40">
        <v>9</v>
      </c>
      <c r="J23" s="40">
        <v>9</v>
      </c>
      <c r="K23" s="40">
        <v>9</v>
      </c>
      <c r="L23" s="40">
        <v>2</v>
      </c>
      <c r="M23" s="40">
        <v>2</v>
      </c>
      <c r="N23" s="40">
        <v>2</v>
      </c>
      <c r="O23" s="40">
        <v>2</v>
      </c>
      <c r="P23" s="40">
        <v>4</v>
      </c>
    </row>
    <row r="24" spans="1:16" ht="21">
      <c r="A24" s="15" t="s">
        <v>48</v>
      </c>
      <c r="B24" s="40">
        <v>8</v>
      </c>
      <c r="C24" s="40">
        <v>1</v>
      </c>
      <c r="D24" s="40">
        <v>10</v>
      </c>
      <c r="E24" s="40">
        <v>0</v>
      </c>
      <c r="F24" s="40">
        <f>SUM(Drivers[[#This Row],[Mini-
Turbo]:[Speed 
(Ground)]])</f>
        <v>10</v>
      </c>
      <c r="G24" s="40">
        <v>1</v>
      </c>
      <c r="H24" s="40">
        <v>9</v>
      </c>
      <c r="I24" s="40">
        <v>9</v>
      </c>
      <c r="J24" s="40">
        <v>9</v>
      </c>
      <c r="K24" s="40">
        <v>9</v>
      </c>
      <c r="L24" s="40">
        <v>2</v>
      </c>
      <c r="M24" s="40">
        <v>2</v>
      </c>
      <c r="N24" s="40">
        <v>2</v>
      </c>
      <c r="O24" s="40">
        <v>2</v>
      </c>
      <c r="P24" s="40">
        <v>4</v>
      </c>
    </row>
    <row r="25" spans="1:16" ht="21">
      <c r="A25" s="15" t="s">
        <v>36</v>
      </c>
      <c r="B25" s="40">
        <v>9</v>
      </c>
      <c r="C25" s="40">
        <v>0</v>
      </c>
      <c r="D25" s="40">
        <v>5</v>
      </c>
      <c r="E25" s="40">
        <v>1</v>
      </c>
      <c r="F25" s="40">
        <f>SUM(Drivers[[#This Row],[Mini-
Turbo]:[Speed 
(Ground)]])</f>
        <v>10</v>
      </c>
      <c r="G25" s="40">
        <v>0</v>
      </c>
      <c r="H25" s="40">
        <v>10</v>
      </c>
      <c r="I25" s="40">
        <v>10</v>
      </c>
      <c r="J25" s="40">
        <v>10</v>
      </c>
      <c r="K25" s="40">
        <v>10</v>
      </c>
      <c r="L25" s="40">
        <v>1</v>
      </c>
      <c r="M25" s="40">
        <v>1</v>
      </c>
      <c r="N25" s="40">
        <v>1</v>
      </c>
      <c r="O25" s="40">
        <v>1</v>
      </c>
      <c r="P25" s="40">
        <v>5</v>
      </c>
    </row>
    <row r="26" spans="1:16" ht="21">
      <c r="A26" s="15" t="s">
        <v>50</v>
      </c>
      <c r="B26" s="40">
        <v>9</v>
      </c>
      <c r="C26" s="40">
        <v>0</v>
      </c>
      <c r="D26" s="40">
        <v>5</v>
      </c>
      <c r="E26" s="40">
        <v>1</v>
      </c>
      <c r="F26" s="40">
        <f>SUM(Drivers[[#This Row],[Mini-
Turbo]:[Speed 
(Ground)]])</f>
        <v>10</v>
      </c>
      <c r="G26" s="40">
        <v>0</v>
      </c>
      <c r="H26" s="40">
        <v>10</v>
      </c>
      <c r="I26" s="40">
        <v>10</v>
      </c>
      <c r="J26" s="40">
        <v>10</v>
      </c>
      <c r="K26" s="40">
        <v>10</v>
      </c>
      <c r="L26" s="40">
        <v>1</v>
      </c>
      <c r="M26" s="40">
        <v>1</v>
      </c>
      <c r="N26" s="40">
        <v>1</v>
      </c>
      <c r="O26" s="40">
        <v>1</v>
      </c>
      <c r="P26" s="40">
        <v>5</v>
      </c>
    </row>
    <row r="27" spans="1:16" ht="21">
      <c r="A27" s="15" t="s">
        <v>157</v>
      </c>
      <c r="B27" s="40">
        <v>9</v>
      </c>
      <c r="C27" s="40">
        <v>0</v>
      </c>
      <c r="D27" s="40">
        <v>5</v>
      </c>
      <c r="E27" s="40">
        <v>1</v>
      </c>
      <c r="F27" s="40">
        <f>SUM(Drivers[[#This Row],[Mini-
Turbo]:[Speed 
(Ground)]])</f>
        <v>10</v>
      </c>
      <c r="G27" s="40">
        <v>0</v>
      </c>
      <c r="H27" s="40">
        <v>10</v>
      </c>
      <c r="I27" s="40">
        <v>10</v>
      </c>
      <c r="J27" s="40">
        <v>10</v>
      </c>
      <c r="K27" s="40">
        <v>10</v>
      </c>
      <c r="L27" s="40">
        <v>1</v>
      </c>
      <c r="M27" s="40">
        <v>1</v>
      </c>
      <c r="N27" s="40">
        <v>1</v>
      </c>
      <c r="O27" s="40">
        <v>1</v>
      </c>
      <c r="P27" s="40">
        <v>5</v>
      </c>
    </row>
    <row r="28" spans="1:16" ht="21">
      <c r="A28" s="15" t="s">
        <v>11</v>
      </c>
      <c r="B28" s="40">
        <v>9</v>
      </c>
      <c r="C28" s="40">
        <v>0</v>
      </c>
      <c r="D28" s="40">
        <v>5</v>
      </c>
      <c r="E28" s="40">
        <v>1</v>
      </c>
      <c r="F28" s="40">
        <f>SUM(Drivers[[#This Row],[Mini-
Turbo]:[Speed 
(Ground)]])</f>
        <v>10</v>
      </c>
      <c r="G28" s="40">
        <v>0</v>
      </c>
      <c r="H28" s="40">
        <v>10</v>
      </c>
      <c r="I28" s="40">
        <v>10</v>
      </c>
      <c r="J28" s="40">
        <v>10</v>
      </c>
      <c r="K28" s="40">
        <v>10</v>
      </c>
      <c r="L28" s="40">
        <v>1</v>
      </c>
      <c r="M28" s="40">
        <v>1</v>
      </c>
      <c r="N28" s="40">
        <v>1</v>
      </c>
      <c r="O28" s="40">
        <v>1</v>
      </c>
      <c r="P28" s="40">
        <v>5</v>
      </c>
    </row>
    <row r="29" spans="1:16" ht="21">
      <c r="A29" s="15" t="s">
        <v>9</v>
      </c>
      <c r="B29" s="40">
        <v>10</v>
      </c>
      <c r="C29" s="40">
        <v>0</v>
      </c>
      <c r="D29" s="40">
        <v>6</v>
      </c>
      <c r="E29" s="40">
        <v>0</v>
      </c>
      <c r="F29" s="40">
        <f>SUM(Drivers[[#This Row],[Mini-
Turbo]:[Speed 
(Ground)]])</f>
        <v>10</v>
      </c>
      <c r="G29" s="40">
        <v>0</v>
      </c>
      <c r="H29" s="40">
        <v>10</v>
      </c>
      <c r="I29" s="40">
        <v>10</v>
      </c>
      <c r="J29" s="40">
        <v>10</v>
      </c>
      <c r="K29" s="40">
        <v>10</v>
      </c>
      <c r="L29" s="40">
        <v>0</v>
      </c>
      <c r="M29" s="40">
        <v>0</v>
      </c>
      <c r="N29" s="40">
        <v>0</v>
      </c>
      <c r="O29" s="40">
        <v>0</v>
      </c>
      <c r="P29" s="40">
        <v>6</v>
      </c>
    </row>
    <row r="30" spans="1:16" ht="21">
      <c r="A30" s="15" t="s">
        <v>29</v>
      </c>
      <c r="B30" s="40">
        <v>10</v>
      </c>
      <c r="C30" s="40">
        <v>0</v>
      </c>
      <c r="D30" s="40">
        <v>6</v>
      </c>
      <c r="E30" s="40">
        <v>0</v>
      </c>
      <c r="F30" s="40">
        <f>SUM(Drivers[[#This Row],[Mini-
Turbo]:[Speed 
(Ground)]])</f>
        <v>10</v>
      </c>
      <c r="G30" s="40">
        <v>0</v>
      </c>
      <c r="H30" s="40">
        <v>10</v>
      </c>
      <c r="I30" s="40">
        <v>10</v>
      </c>
      <c r="J30" s="40">
        <v>10</v>
      </c>
      <c r="K30" s="40">
        <v>10</v>
      </c>
      <c r="L30" s="40">
        <v>0</v>
      </c>
      <c r="M30" s="40">
        <v>0</v>
      </c>
      <c r="N30" s="40">
        <v>0</v>
      </c>
      <c r="O30" s="40">
        <v>0</v>
      </c>
      <c r="P30" s="40">
        <v>6</v>
      </c>
    </row>
    <row r="31" spans="1:16" ht="21">
      <c r="A31" s="15" t="s">
        <v>35</v>
      </c>
      <c r="B31" s="40">
        <v>3</v>
      </c>
      <c r="C31" s="40">
        <v>4</v>
      </c>
      <c r="D31" s="40">
        <v>2</v>
      </c>
      <c r="E31" s="40">
        <v>3</v>
      </c>
      <c r="F31" s="40">
        <f>SUM(Drivers[[#This Row],[Mini-
Turbo]:[Speed 
(Ground)]])</f>
        <v>9</v>
      </c>
      <c r="G31" s="40">
        <v>4</v>
      </c>
      <c r="H31" s="40">
        <v>5</v>
      </c>
      <c r="I31" s="40">
        <v>5</v>
      </c>
      <c r="J31" s="40">
        <v>5</v>
      </c>
      <c r="K31" s="40">
        <v>5</v>
      </c>
      <c r="L31" s="40">
        <v>6</v>
      </c>
      <c r="M31" s="40">
        <v>6</v>
      </c>
      <c r="N31" s="40">
        <v>6</v>
      </c>
      <c r="O31" s="40">
        <v>6</v>
      </c>
      <c r="P31" s="40">
        <v>3</v>
      </c>
    </row>
    <row r="32" spans="1:16" ht="21">
      <c r="A32" s="15" t="s">
        <v>49</v>
      </c>
      <c r="B32" s="40">
        <v>3</v>
      </c>
      <c r="C32" s="40">
        <v>4</v>
      </c>
      <c r="D32" s="40">
        <v>2</v>
      </c>
      <c r="E32" s="40">
        <v>3</v>
      </c>
      <c r="F32" s="40">
        <f>SUM(Drivers[[#This Row],[Mini-
Turbo]:[Speed 
(Ground)]])</f>
        <v>9</v>
      </c>
      <c r="G32" s="40">
        <v>4</v>
      </c>
      <c r="H32" s="40">
        <v>5</v>
      </c>
      <c r="I32" s="40">
        <v>5</v>
      </c>
      <c r="J32" s="40">
        <v>5</v>
      </c>
      <c r="K32" s="40">
        <v>5</v>
      </c>
      <c r="L32" s="40">
        <v>6</v>
      </c>
      <c r="M32" s="40">
        <v>6</v>
      </c>
      <c r="N32" s="40">
        <v>6</v>
      </c>
      <c r="O32" s="40">
        <v>6</v>
      </c>
      <c r="P32" s="40">
        <v>3</v>
      </c>
    </row>
    <row r="33" spans="1:16" ht="21">
      <c r="A33" s="15" t="s">
        <v>42</v>
      </c>
      <c r="B33" s="40">
        <v>3</v>
      </c>
      <c r="C33" s="40">
        <v>4</v>
      </c>
      <c r="D33" s="40">
        <v>2</v>
      </c>
      <c r="E33" s="40">
        <v>3</v>
      </c>
      <c r="F33" s="40">
        <f>SUM(Drivers[[#This Row],[Mini-
Turbo]:[Speed 
(Ground)]])</f>
        <v>9</v>
      </c>
      <c r="G33" s="40">
        <v>4</v>
      </c>
      <c r="H33" s="40">
        <v>5</v>
      </c>
      <c r="I33" s="40">
        <v>5</v>
      </c>
      <c r="J33" s="40">
        <v>5</v>
      </c>
      <c r="K33" s="40">
        <v>5</v>
      </c>
      <c r="L33" s="40">
        <v>6</v>
      </c>
      <c r="M33" s="40">
        <v>6</v>
      </c>
      <c r="N33" s="40">
        <v>6</v>
      </c>
      <c r="O33" s="40">
        <v>6</v>
      </c>
      <c r="P33" s="40">
        <v>3</v>
      </c>
    </row>
    <row r="34" spans="1:16" ht="21">
      <c r="A34" s="15" t="s">
        <v>37</v>
      </c>
      <c r="B34" s="40">
        <v>3</v>
      </c>
      <c r="C34" s="40">
        <v>4</v>
      </c>
      <c r="D34" s="40">
        <v>2</v>
      </c>
      <c r="E34" s="40">
        <v>3</v>
      </c>
      <c r="F34" s="40">
        <f>SUM(Drivers[[#This Row],[Mini-
Turbo]:[Speed 
(Ground)]])</f>
        <v>9</v>
      </c>
      <c r="G34" s="40">
        <v>4</v>
      </c>
      <c r="H34" s="40">
        <v>5</v>
      </c>
      <c r="I34" s="40">
        <v>5</v>
      </c>
      <c r="J34" s="40">
        <v>5</v>
      </c>
      <c r="K34" s="40">
        <v>5</v>
      </c>
      <c r="L34" s="40">
        <v>6</v>
      </c>
      <c r="M34" s="40">
        <v>6</v>
      </c>
      <c r="N34" s="40">
        <v>6</v>
      </c>
      <c r="O34" s="40">
        <v>6</v>
      </c>
      <c r="P34" s="40">
        <v>3</v>
      </c>
    </row>
    <row r="35" spans="1:16" ht="21">
      <c r="A35" s="15" t="s">
        <v>38</v>
      </c>
      <c r="B35" s="40">
        <v>10</v>
      </c>
      <c r="C35" s="40">
        <v>1</v>
      </c>
      <c r="D35" s="40">
        <v>8</v>
      </c>
      <c r="E35" s="40">
        <v>1</v>
      </c>
      <c r="F35" s="40">
        <f>SUM(Drivers[[#This Row],[Mini-
Turbo]:[Speed 
(Ground)]])</f>
        <v>9</v>
      </c>
      <c r="G35" s="40">
        <v>1</v>
      </c>
      <c r="H35" s="40">
        <v>8</v>
      </c>
      <c r="I35" s="40">
        <v>8</v>
      </c>
      <c r="J35" s="40">
        <v>8</v>
      </c>
      <c r="K35" s="40">
        <v>8</v>
      </c>
      <c r="L35" s="40">
        <v>3</v>
      </c>
      <c r="M35" s="40">
        <v>3</v>
      </c>
      <c r="N35" s="40">
        <v>3</v>
      </c>
      <c r="O35" s="40">
        <v>3</v>
      </c>
      <c r="P35" s="40">
        <v>3</v>
      </c>
    </row>
    <row r="36" spans="1:16" ht="21">
      <c r="A36" s="15" t="s">
        <v>14</v>
      </c>
      <c r="B36" s="40">
        <v>10</v>
      </c>
      <c r="C36" s="40">
        <v>1</v>
      </c>
      <c r="D36" s="40">
        <v>8</v>
      </c>
      <c r="E36" s="40">
        <v>1</v>
      </c>
      <c r="F36" s="40">
        <f>SUM(Drivers[[#This Row],[Mini-
Turbo]:[Speed 
(Ground)]])</f>
        <v>9</v>
      </c>
      <c r="G36" s="40">
        <v>1</v>
      </c>
      <c r="H36" s="40">
        <v>8</v>
      </c>
      <c r="I36" s="40">
        <v>8</v>
      </c>
      <c r="J36" s="40">
        <v>8</v>
      </c>
      <c r="K36" s="40">
        <v>8</v>
      </c>
      <c r="L36" s="40">
        <v>3</v>
      </c>
      <c r="M36" s="40">
        <v>3</v>
      </c>
      <c r="N36" s="40">
        <v>3</v>
      </c>
      <c r="O36" s="40">
        <v>3</v>
      </c>
      <c r="P36" s="40">
        <v>3</v>
      </c>
    </row>
    <row r="37" spans="1:16" ht="21">
      <c r="A37" s="15" t="s">
        <v>47</v>
      </c>
      <c r="B37" s="40">
        <v>10</v>
      </c>
      <c r="C37" s="40">
        <v>1</v>
      </c>
      <c r="D37" s="40">
        <v>8</v>
      </c>
      <c r="E37" s="40">
        <v>1</v>
      </c>
      <c r="F37" s="40">
        <f>SUM(Drivers[[#This Row],[Mini-
Turbo]:[Speed 
(Ground)]])</f>
        <v>9</v>
      </c>
      <c r="G37" s="40">
        <v>1</v>
      </c>
      <c r="H37" s="40">
        <v>8</v>
      </c>
      <c r="I37" s="40">
        <v>8</v>
      </c>
      <c r="J37" s="40">
        <v>8</v>
      </c>
      <c r="K37" s="40">
        <v>8</v>
      </c>
      <c r="L37" s="40">
        <v>3</v>
      </c>
      <c r="M37" s="40">
        <v>3</v>
      </c>
      <c r="N37" s="40">
        <v>3</v>
      </c>
      <c r="O37" s="40">
        <v>3</v>
      </c>
      <c r="P37" s="40">
        <v>6</v>
      </c>
    </row>
    <row r="38" spans="1:16" ht="21">
      <c r="A38" s="15" t="s">
        <v>15</v>
      </c>
      <c r="B38" s="40">
        <v>10</v>
      </c>
      <c r="C38" s="40">
        <v>1</v>
      </c>
      <c r="D38" s="40">
        <v>8</v>
      </c>
      <c r="E38" s="40">
        <v>1</v>
      </c>
      <c r="F38" s="40">
        <f>SUM(Drivers[[#This Row],[Mini-
Turbo]:[Speed 
(Ground)]])</f>
        <v>9</v>
      </c>
      <c r="G38" s="40">
        <v>1</v>
      </c>
      <c r="H38" s="40">
        <v>8</v>
      </c>
      <c r="I38" s="40">
        <v>8</v>
      </c>
      <c r="J38" s="40">
        <v>8</v>
      </c>
      <c r="K38" s="40">
        <v>8</v>
      </c>
      <c r="L38" s="40">
        <v>3</v>
      </c>
      <c r="M38" s="40">
        <v>3</v>
      </c>
      <c r="N38" s="40">
        <v>3</v>
      </c>
      <c r="O38" s="40">
        <v>3</v>
      </c>
      <c r="P38" s="40">
        <v>3</v>
      </c>
    </row>
    <row r="39" spans="1:16" ht="21">
      <c r="A39" s="15" t="s">
        <v>23</v>
      </c>
      <c r="B39" s="40">
        <v>3</v>
      </c>
      <c r="C39" s="40">
        <v>4</v>
      </c>
      <c r="D39" s="40">
        <v>3</v>
      </c>
      <c r="E39" s="40">
        <v>4</v>
      </c>
      <c r="F39" s="40">
        <f>SUM(Drivers[[#This Row],[Mini-
Turbo]:[Speed 
(Ground)]])</f>
        <v>8</v>
      </c>
      <c r="G39" s="40">
        <v>4</v>
      </c>
      <c r="H39" s="40">
        <v>4</v>
      </c>
      <c r="I39" s="40">
        <v>4</v>
      </c>
      <c r="J39" s="40">
        <v>4</v>
      </c>
      <c r="K39" s="40">
        <v>4</v>
      </c>
      <c r="L39" s="40">
        <v>7</v>
      </c>
      <c r="M39" s="40">
        <v>7</v>
      </c>
      <c r="N39" s="40">
        <v>7</v>
      </c>
      <c r="O39" s="40">
        <v>7</v>
      </c>
      <c r="P39" s="40">
        <v>3</v>
      </c>
    </row>
    <row r="40" spans="1:16" ht="21">
      <c r="A40" s="15" t="s">
        <v>17</v>
      </c>
      <c r="B40" s="40">
        <v>3</v>
      </c>
      <c r="C40" s="40">
        <v>4</v>
      </c>
      <c r="D40" s="40">
        <v>3</v>
      </c>
      <c r="E40" s="40">
        <v>4</v>
      </c>
      <c r="F40" s="40">
        <f>SUM(Drivers[[#This Row],[Mini-
Turbo]:[Speed 
(Ground)]])</f>
        <v>8</v>
      </c>
      <c r="G40" s="40">
        <v>4</v>
      </c>
      <c r="H40" s="40">
        <v>4</v>
      </c>
      <c r="I40" s="40">
        <v>4</v>
      </c>
      <c r="J40" s="40">
        <v>4</v>
      </c>
      <c r="K40" s="40">
        <v>4</v>
      </c>
      <c r="L40" s="40">
        <v>7</v>
      </c>
      <c r="M40" s="40">
        <v>7</v>
      </c>
      <c r="N40" s="40">
        <v>7</v>
      </c>
      <c r="O40" s="40">
        <v>7</v>
      </c>
      <c r="P40" s="40">
        <v>3</v>
      </c>
    </row>
    <row r="41" spans="1:16" ht="21">
      <c r="A41" s="15" t="s">
        <v>6</v>
      </c>
      <c r="B41" s="40">
        <v>3</v>
      </c>
      <c r="C41" s="40">
        <v>4</v>
      </c>
      <c r="D41" s="40">
        <v>3</v>
      </c>
      <c r="E41" s="40">
        <v>4</v>
      </c>
      <c r="F41" s="40">
        <f>SUM(Drivers[[#This Row],[Mini-
Turbo]:[Speed 
(Ground)]])</f>
        <v>8</v>
      </c>
      <c r="G41" s="40">
        <v>4</v>
      </c>
      <c r="H41" s="40">
        <v>4</v>
      </c>
      <c r="I41" s="40">
        <v>4</v>
      </c>
      <c r="J41" s="40">
        <v>4</v>
      </c>
      <c r="K41" s="40">
        <v>4</v>
      </c>
      <c r="L41" s="40">
        <v>7</v>
      </c>
      <c r="M41" s="40">
        <v>7</v>
      </c>
      <c r="N41" s="40">
        <v>7</v>
      </c>
      <c r="O41" s="40">
        <v>7</v>
      </c>
      <c r="P41" s="40">
        <v>3</v>
      </c>
    </row>
    <row r="42" spans="1:16" ht="21">
      <c r="A42" s="15" t="s">
        <v>19</v>
      </c>
      <c r="B42" s="40">
        <v>1</v>
      </c>
      <c r="C42" s="40">
        <v>5</v>
      </c>
      <c r="D42" s="40">
        <v>2</v>
      </c>
      <c r="E42" s="40">
        <v>4</v>
      </c>
      <c r="F42" s="40">
        <f>SUM(Drivers[[#This Row],[Mini-
Turbo]:[Speed 
(Ground)]])</f>
        <v>7</v>
      </c>
      <c r="G42" s="40">
        <v>5</v>
      </c>
      <c r="H42" s="40">
        <v>2</v>
      </c>
      <c r="I42" s="40">
        <v>2</v>
      </c>
      <c r="J42" s="40">
        <v>2</v>
      </c>
      <c r="K42" s="40">
        <v>2</v>
      </c>
      <c r="L42" s="40">
        <v>8</v>
      </c>
      <c r="M42" s="40">
        <v>8</v>
      </c>
      <c r="N42" s="40">
        <v>8</v>
      </c>
      <c r="O42" s="40">
        <v>8</v>
      </c>
      <c r="P42" s="40">
        <v>5</v>
      </c>
    </row>
    <row r="43" spans="1:16" ht="21">
      <c r="A43" s="15" t="s">
        <v>18</v>
      </c>
      <c r="B43" s="40">
        <v>1</v>
      </c>
      <c r="C43" s="40">
        <v>5</v>
      </c>
      <c r="D43" s="40">
        <v>2</v>
      </c>
      <c r="E43" s="40">
        <v>4</v>
      </c>
      <c r="F43" s="40">
        <f>SUM(Drivers[[#This Row],[Mini-
Turbo]:[Speed 
(Ground)]])</f>
        <v>7</v>
      </c>
      <c r="G43" s="40">
        <v>5</v>
      </c>
      <c r="H43" s="40">
        <v>2</v>
      </c>
      <c r="I43" s="40">
        <v>2</v>
      </c>
      <c r="J43" s="40">
        <v>2</v>
      </c>
      <c r="K43" s="40">
        <v>2</v>
      </c>
      <c r="L43" s="40">
        <v>8</v>
      </c>
      <c r="M43" s="40">
        <v>8</v>
      </c>
      <c r="N43" s="40">
        <v>8</v>
      </c>
      <c r="O43" s="40">
        <v>8</v>
      </c>
      <c r="P43" s="40">
        <v>5</v>
      </c>
    </row>
    <row r="44" spans="1:16" ht="21">
      <c r="A44" s="15" t="s">
        <v>39</v>
      </c>
      <c r="B44" s="40">
        <v>1</v>
      </c>
      <c r="C44" s="40">
        <v>5</v>
      </c>
      <c r="D44" s="40">
        <v>2</v>
      </c>
      <c r="E44" s="40">
        <v>4</v>
      </c>
      <c r="F44" s="40">
        <f>SUM(Drivers[[#This Row],[Mini-
Turbo]:[Speed 
(Ground)]])</f>
        <v>7</v>
      </c>
      <c r="G44" s="40">
        <v>5</v>
      </c>
      <c r="H44" s="40">
        <v>2</v>
      </c>
      <c r="I44" s="40">
        <v>2</v>
      </c>
      <c r="J44" s="40">
        <v>2</v>
      </c>
      <c r="K44" s="40">
        <v>2</v>
      </c>
      <c r="L44" s="40">
        <v>8</v>
      </c>
      <c r="M44" s="40">
        <v>8</v>
      </c>
      <c r="N44" s="40">
        <v>8</v>
      </c>
      <c r="O44" s="40">
        <v>8</v>
      </c>
      <c r="P44" s="40">
        <v>5</v>
      </c>
    </row>
    <row r="45" spans="1:16" ht="21">
      <c r="A45" s="15" t="s">
        <v>156</v>
      </c>
      <c r="B45" s="40">
        <v>1</v>
      </c>
      <c r="C45" s="40">
        <v>5</v>
      </c>
      <c r="D45" s="40">
        <v>2</v>
      </c>
      <c r="E45" s="40">
        <v>4</v>
      </c>
      <c r="F45" s="40">
        <f>SUM(Drivers[[#This Row],[Mini-
Turbo]:[Speed 
(Ground)]])</f>
        <v>7</v>
      </c>
      <c r="G45" s="40">
        <v>5</v>
      </c>
      <c r="H45" s="40">
        <v>2</v>
      </c>
      <c r="I45" s="40">
        <v>2</v>
      </c>
      <c r="J45" s="40">
        <v>2</v>
      </c>
      <c r="K45" s="40">
        <v>2</v>
      </c>
      <c r="L45" s="40">
        <v>8</v>
      </c>
      <c r="M45" s="40">
        <v>8</v>
      </c>
      <c r="N45" s="40">
        <v>8</v>
      </c>
      <c r="O45" s="40">
        <v>8</v>
      </c>
      <c r="P45" s="40">
        <v>5</v>
      </c>
    </row>
    <row r="46" spans="1:16" ht="21">
      <c r="A46" s="15" t="s">
        <v>34</v>
      </c>
      <c r="B46" s="40">
        <v>2</v>
      </c>
      <c r="C46" s="40">
        <v>5</v>
      </c>
      <c r="D46" s="40">
        <v>4</v>
      </c>
      <c r="E46" s="40">
        <v>2</v>
      </c>
      <c r="F46" s="40">
        <f>SUM(Drivers[[#This Row],[Mini-
Turbo]:[Speed 
(Ground)]])</f>
        <v>7</v>
      </c>
      <c r="G46" s="40">
        <v>4</v>
      </c>
      <c r="H46" s="40">
        <v>3</v>
      </c>
      <c r="I46" s="40">
        <v>3</v>
      </c>
      <c r="J46" s="40">
        <v>3</v>
      </c>
      <c r="K46" s="40">
        <v>3</v>
      </c>
      <c r="L46" s="40">
        <v>7</v>
      </c>
      <c r="M46" s="40">
        <v>7</v>
      </c>
      <c r="N46" s="40">
        <v>7</v>
      </c>
      <c r="O46" s="40">
        <v>7</v>
      </c>
      <c r="P46" s="40">
        <v>3</v>
      </c>
    </row>
    <row r="47" spans="1:16" ht="21">
      <c r="A47" s="15" t="s">
        <v>7</v>
      </c>
      <c r="B47" s="40">
        <v>2</v>
      </c>
      <c r="C47" s="40">
        <v>5</v>
      </c>
      <c r="D47" s="40">
        <v>4</v>
      </c>
      <c r="E47" s="40">
        <v>2</v>
      </c>
      <c r="F47" s="40">
        <f>SUM(Drivers[[#This Row],[Mini-
Turbo]:[Speed 
(Ground)]])</f>
        <v>7</v>
      </c>
      <c r="G47" s="40">
        <v>4</v>
      </c>
      <c r="H47" s="40">
        <v>3</v>
      </c>
      <c r="I47" s="40">
        <v>3</v>
      </c>
      <c r="J47" s="40">
        <v>3</v>
      </c>
      <c r="K47" s="40">
        <v>3</v>
      </c>
      <c r="L47" s="40">
        <v>7</v>
      </c>
      <c r="M47" s="40">
        <v>7</v>
      </c>
      <c r="N47" s="40">
        <v>7</v>
      </c>
      <c r="O47" s="40">
        <v>7</v>
      </c>
      <c r="P47" s="40">
        <v>3</v>
      </c>
    </row>
    <row r="48" spans="1:16" ht="21">
      <c r="A48" s="15" t="s">
        <v>25</v>
      </c>
      <c r="B48" s="40">
        <v>2</v>
      </c>
      <c r="C48" s="40">
        <v>5</v>
      </c>
      <c r="D48" s="40">
        <v>4</v>
      </c>
      <c r="E48" s="40">
        <v>2</v>
      </c>
      <c r="F48" s="40">
        <f>SUM(Drivers[[#This Row],[Mini-
Turbo]:[Speed 
(Ground)]])</f>
        <v>7</v>
      </c>
      <c r="G48" s="40">
        <v>4</v>
      </c>
      <c r="H48" s="40">
        <v>3</v>
      </c>
      <c r="I48" s="40">
        <v>3</v>
      </c>
      <c r="J48" s="40">
        <v>3</v>
      </c>
      <c r="K48" s="40">
        <v>3</v>
      </c>
      <c r="L48" s="40">
        <v>7</v>
      </c>
      <c r="M48" s="40">
        <v>7</v>
      </c>
      <c r="N48" s="40">
        <v>7</v>
      </c>
      <c r="O48" s="40">
        <v>7</v>
      </c>
      <c r="P48" s="40">
        <v>3</v>
      </c>
    </row>
    <row r="49" spans="1:16" ht="21">
      <c r="A49" s="15" t="s">
        <v>40</v>
      </c>
      <c r="B49" s="40">
        <v>2</v>
      </c>
      <c r="C49" s="40">
        <v>4</v>
      </c>
      <c r="D49" s="40">
        <v>1</v>
      </c>
      <c r="E49" s="40">
        <v>5</v>
      </c>
      <c r="F49" s="40">
        <f>SUM(Drivers[[#This Row],[Mini-
Turbo]:[Speed 
(Ground)]])</f>
        <v>7</v>
      </c>
      <c r="G49" s="40">
        <v>4</v>
      </c>
      <c r="H49" s="40">
        <v>3</v>
      </c>
      <c r="I49" s="40">
        <v>3</v>
      </c>
      <c r="J49" s="40">
        <v>3</v>
      </c>
      <c r="K49" s="40">
        <v>3</v>
      </c>
      <c r="L49" s="40">
        <v>8</v>
      </c>
      <c r="M49" s="40">
        <v>8</v>
      </c>
      <c r="N49" s="40">
        <v>8</v>
      </c>
      <c r="O49" s="40">
        <v>8</v>
      </c>
      <c r="P49" s="40">
        <v>4</v>
      </c>
    </row>
    <row r="50" spans="1:16" ht="21">
      <c r="A50" s="15" t="s">
        <v>8</v>
      </c>
      <c r="B50" s="40">
        <v>2</v>
      </c>
      <c r="C50" s="40">
        <v>4</v>
      </c>
      <c r="D50" s="40">
        <v>1</v>
      </c>
      <c r="E50" s="40">
        <v>5</v>
      </c>
      <c r="F50" s="40">
        <f>SUM(Drivers[[#This Row],[Mini-
Turbo]:[Speed 
(Ground)]])</f>
        <v>7</v>
      </c>
      <c r="G50" s="40">
        <v>4</v>
      </c>
      <c r="H50" s="40">
        <v>3</v>
      </c>
      <c r="I50" s="40">
        <v>3</v>
      </c>
      <c r="J50" s="40">
        <v>3</v>
      </c>
      <c r="K50" s="40">
        <v>3</v>
      </c>
      <c r="L50" s="40">
        <v>8</v>
      </c>
      <c r="M50" s="40">
        <v>8</v>
      </c>
      <c r="N50" s="40">
        <v>8</v>
      </c>
      <c r="O50" s="40">
        <v>8</v>
      </c>
      <c r="P50" s="40">
        <v>4</v>
      </c>
    </row>
    <row r="51" spans="1:16" ht="21">
      <c r="A51" s="15" t="s">
        <v>16</v>
      </c>
      <c r="B51" s="40">
        <v>2</v>
      </c>
      <c r="C51" s="40">
        <v>4</v>
      </c>
      <c r="D51" s="40">
        <v>1</v>
      </c>
      <c r="E51" s="40">
        <v>5</v>
      </c>
      <c r="F51" s="40">
        <f>SUM(Drivers[[#This Row],[Mini-
Turbo]:[Speed 
(Ground)]])</f>
        <v>7</v>
      </c>
      <c r="G51" s="40">
        <v>4</v>
      </c>
      <c r="H51" s="40">
        <v>3</v>
      </c>
      <c r="I51" s="40">
        <v>3</v>
      </c>
      <c r="J51" s="40">
        <v>3</v>
      </c>
      <c r="K51" s="40">
        <v>3</v>
      </c>
      <c r="L51" s="40">
        <v>8</v>
      </c>
      <c r="M51" s="40">
        <v>8</v>
      </c>
      <c r="N51" s="40">
        <v>8</v>
      </c>
      <c r="O51" s="40">
        <v>8</v>
      </c>
      <c r="P51" s="40">
        <v>4</v>
      </c>
    </row>
    <row r="52" spans="1:16" ht="21">
      <c r="A52" s="15" t="s">
        <v>22</v>
      </c>
      <c r="B52" s="40">
        <v>0</v>
      </c>
      <c r="C52" s="40">
        <v>5</v>
      </c>
      <c r="D52" s="40">
        <v>4</v>
      </c>
      <c r="E52" s="40">
        <v>3</v>
      </c>
      <c r="F52" s="40">
        <f>SUM(Drivers[[#This Row],[Mini-
Turbo]:[Speed 
(Ground)]])</f>
        <v>6</v>
      </c>
      <c r="G52" s="40">
        <v>5</v>
      </c>
      <c r="H52" s="40">
        <v>1</v>
      </c>
      <c r="I52" s="40">
        <v>1</v>
      </c>
      <c r="J52" s="40">
        <v>1</v>
      </c>
      <c r="K52" s="40">
        <v>1</v>
      </c>
      <c r="L52" s="40">
        <v>9</v>
      </c>
      <c r="M52" s="40">
        <v>9</v>
      </c>
      <c r="N52" s="40">
        <v>9</v>
      </c>
      <c r="O52" s="40">
        <v>9</v>
      </c>
      <c r="P52" s="40">
        <v>6</v>
      </c>
    </row>
    <row r="53" spans="1:16" ht="21">
      <c r="A53" s="15" t="s">
        <v>24</v>
      </c>
      <c r="B53" s="40">
        <v>0</v>
      </c>
      <c r="C53" s="40">
        <v>5</v>
      </c>
      <c r="D53" s="40">
        <v>4</v>
      </c>
      <c r="E53" s="40">
        <v>3</v>
      </c>
      <c r="F53" s="40">
        <f>SUM(Drivers[[#This Row],[Mini-
Turbo]:[Speed 
(Ground)]])</f>
        <v>6</v>
      </c>
      <c r="G53" s="40">
        <v>5</v>
      </c>
      <c r="H53" s="40">
        <v>1</v>
      </c>
      <c r="I53" s="40">
        <v>1</v>
      </c>
      <c r="J53" s="40">
        <v>1</v>
      </c>
      <c r="K53" s="40">
        <v>1</v>
      </c>
      <c r="L53" s="40">
        <v>9</v>
      </c>
      <c r="M53" s="40">
        <v>9</v>
      </c>
      <c r="N53" s="40">
        <v>9</v>
      </c>
      <c r="O53" s="40">
        <v>9</v>
      </c>
      <c r="P53" s="40">
        <v>6</v>
      </c>
    </row>
    <row r="54" spans="1:16" ht="21">
      <c r="A54" s="15" t="s">
        <v>21</v>
      </c>
      <c r="B54" s="40">
        <v>0</v>
      </c>
      <c r="C54" s="40">
        <v>4</v>
      </c>
      <c r="D54" s="40">
        <v>3</v>
      </c>
      <c r="E54" s="40">
        <v>5</v>
      </c>
      <c r="F54" s="40">
        <f>SUM(Drivers[[#This Row],[Mini-
Turbo]:[Speed 
(Ground)]])</f>
        <v>6</v>
      </c>
      <c r="G54" s="40">
        <v>5</v>
      </c>
      <c r="H54" s="40">
        <v>1</v>
      </c>
      <c r="I54" s="40">
        <v>1</v>
      </c>
      <c r="J54" s="40">
        <v>1</v>
      </c>
      <c r="K54" s="40">
        <v>1</v>
      </c>
      <c r="L54" s="40">
        <v>10</v>
      </c>
      <c r="M54" s="40">
        <v>10</v>
      </c>
      <c r="N54" s="40">
        <v>10</v>
      </c>
      <c r="O54" s="40">
        <v>10</v>
      </c>
      <c r="P54" s="40">
        <v>6</v>
      </c>
    </row>
    <row r="55" spans="1:16" ht="21">
      <c r="A55" s="15" t="s">
        <v>20</v>
      </c>
      <c r="B55" s="40">
        <v>0</v>
      </c>
      <c r="C55" s="40">
        <v>4</v>
      </c>
      <c r="D55" s="40">
        <v>3</v>
      </c>
      <c r="E55" s="40">
        <v>5</v>
      </c>
      <c r="F55" s="40">
        <f>SUM(Drivers[[#This Row],[Mini-
Turbo]:[Speed 
(Ground)]])</f>
        <v>6</v>
      </c>
      <c r="G55" s="40">
        <v>5</v>
      </c>
      <c r="H55" s="40">
        <v>1</v>
      </c>
      <c r="I55" s="40">
        <v>1</v>
      </c>
      <c r="J55" s="40">
        <v>1</v>
      </c>
      <c r="K55" s="40">
        <v>1</v>
      </c>
      <c r="L55" s="40">
        <v>10</v>
      </c>
      <c r="M55" s="40">
        <v>10</v>
      </c>
      <c r="N55" s="40">
        <v>10</v>
      </c>
      <c r="O55" s="40">
        <v>10</v>
      </c>
      <c r="P55" s="40">
        <v>6</v>
      </c>
    </row>
    <row r="62" spans="1:16" ht="32">
      <c r="A62" s="7" t="s">
        <v>53</v>
      </c>
      <c r="B62" s="18" t="s">
        <v>134</v>
      </c>
      <c r="C62" s="18" t="s">
        <v>135</v>
      </c>
      <c r="D62" s="18" t="s">
        <v>164</v>
      </c>
      <c r="E62" s="18" t="s">
        <v>165</v>
      </c>
      <c r="F62" s="20" t="s">
        <v>176</v>
      </c>
      <c r="G62" s="18" t="s">
        <v>166</v>
      </c>
      <c r="H62" s="18" t="s">
        <v>167</v>
      </c>
      <c r="I62" s="18" t="s">
        <v>168</v>
      </c>
      <c r="J62" s="18" t="s">
        <v>169</v>
      </c>
      <c r="K62" s="18" t="s">
        <v>170</v>
      </c>
      <c r="L62" s="18" t="s">
        <v>171</v>
      </c>
      <c r="M62" s="18" t="s">
        <v>172</v>
      </c>
      <c r="N62" s="18" t="s">
        <v>173</v>
      </c>
      <c r="O62" s="18" t="s">
        <v>174</v>
      </c>
      <c r="P62" s="19" t="s">
        <v>144</v>
      </c>
    </row>
    <row r="63" spans="1:16" ht="21">
      <c r="A63" s="16" t="s">
        <v>89</v>
      </c>
      <c r="B63" s="17">
        <v>1</v>
      </c>
      <c r="C63" s="17">
        <v>6</v>
      </c>
      <c r="D63" s="17">
        <v>3</v>
      </c>
      <c r="E63" s="17">
        <v>4</v>
      </c>
      <c r="F63" s="17">
        <f>SUM(Karts[[#This Row],[Mini-
Turbo]:[Speed 
(Ground)]])</f>
        <v>8</v>
      </c>
      <c r="G63" s="17">
        <v>6</v>
      </c>
      <c r="H63" s="17">
        <v>2</v>
      </c>
      <c r="I63" s="17">
        <v>3</v>
      </c>
      <c r="J63" s="17">
        <v>1</v>
      </c>
      <c r="K63" s="17">
        <v>1</v>
      </c>
      <c r="L63" s="17">
        <v>5</v>
      </c>
      <c r="M63" s="17">
        <v>4</v>
      </c>
      <c r="N63" s="17">
        <v>4</v>
      </c>
      <c r="O63" s="17">
        <v>2</v>
      </c>
      <c r="P63" s="17">
        <v>2</v>
      </c>
    </row>
    <row r="64" spans="1:16" ht="21">
      <c r="A64" s="16" t="s">
        <v>55</v>
      </c>
      <c r="B64" s="17">
        <v>1</v>
      </c>
      <c r="C64" s="17">
        <v>6</v>
      </c>
      <c r="D64" s="17">
        <v>3</v>
      </c>
      <c r="E64" s="17">
        <v>4</v>
      </c>
      <c r="F64" s="17">
        <f>SUM(Karts[[#This Row],[Mini-
Turbo]:[Speed 
(Ground)]])</f>
        <v>8</v>
      </c>
      <c r="G64" s="17">
        <v>6</v>
      </c>
      <c r="H64" s="17">
        <v>2</v>
      </c>
      <c r="I64" s="17">
        <v>3</v>
      </c>
      <c r="J64" s="17">
        <v>1</v>
      </c>
      <c r="K64" s="17">
        <v>1</v>
      </c>
      <c r="L64" s="17">
        <v>5</v>
      </c>
      <c r="M64" s="17">
        <v>4</v>
      </c>
      <c r="N64" s="17">
        <v>4</v>
      </c>
      <c r="O64" s="17">
        <v>2</v>
      </c>
      <c r="P64" s="17">
        <v>3</v>
      </c>
    </row>
    <row r="65" spans="1:16" ht="21">
      <c r="A65" s="16" t="s">
        <v>73</v>
      </c>
      <c r="B65" s="17">
        <v>1</v>
      </c>
      <c r="C65" s="17">
        <v>6</v>
      </c>
      <c r="D65" s="17">
        <v>3</v>
      </c>
      <c r="E65" s="17">
        <v>4</v>
      </c>
      <c r="F65" s="17">
        <f>SUM(Karts[[#This Row],[Mini-
Turbo]:[Speed 
(Ground)]])</f>
        <v>8</v>
      </c>
      <c r="G65" s="17">
        <v>6</v>
      </c>
      <c r="H65" s="17">
        <v>2</v>
      </c>
      <c r="I65" s="17">
        <v>3</v>
      </c>
      <c r="J65" s="17">
        <v>1</v>
      </c>
      <c r="K65" s="17">
        <v>1</v>
      </c>
      <c r="L65" s="17">
        <v>5</v>
      </c>
      <c r="M65" s="17">
        <v>4</v>
      </c>
      <c r="N65" s="17">
        <v>4</v>
      </c>
      <c r="O65" s="17">
        <v>2</v>
      </c>
      <c r="P65" s="17">
        <v>2</v>
      </c>
    </row>
    <row r="66" spans="1:16" ht="21">
      <c r="A66" s="16" t="s">
        <v>64</v>
      </c>
      <c r="B66" s="17">
        <v>0</v>
      </c>
      <c r="C66" s="17">
        <v>6</v>
      </c>
      <c r="D66" s="17">
        <v>0</v>
      </c>
      <c r="E66" s="17">
        <v>6</v>
      </c>
      <c r="F66" s="17">
        <f>SUM(Karts[[#This Row],[Mini-
Turbo]:[Speed 
(Ground)]])</f>
        <v>8</v>
      </c>
      <c r="G66" s="17">
        <v>6</v>
      </c>
      <c r="H66" s="17">
        <v>2</v>
      </c>
      <c r="I66" s="17">
        <v>5</v>
      </c>
      <c r="J66" s="17">
        <v>0</v>
      </c>
      <c r="K66" s="17">
        <v>2</v>
      </c>
      <c r="L66" s="17">
        <v>4</v>
      </c>
      <c r="M66" s="17">
        <v>5</v>
      </c>
      <c r="N66" s="17">
        <v>2</v>
      </c>
      <c r="O66" s="17">
        <v>3</v>
      </c>
      <c r="P66" s="17">
        <v>2</v>
      </c>
    </row>
    <row r="67" spans="1:16" ht="21">
      <c r="A67" s="16" t="s">
        <v>87</v>
      </c>
      <c r="B67" s="17">
        <v>0</v>
      </c>
      <c r="C67" s="17">
        <v>6</v>
      </c>
      <c r="D67" s="17">
        <v>0</v>
      </c>
      <c r="E67" s="17">
        <v>6</v>
      </c>
      <c r="F67" s="17">
        <f>SUM(Karts[[#This Row],[Mini-
Turbo]:[Speed 
(Ground)]])</f>
        <v>8</v>
      </c>
      <c r="G67" s="17">
        <v>6</v>
      </c>
      <c r="H67" s="17">
        <v>2</v>
      </c>
      <c r="I67" s="17">
        <v>5</v>
      </c>
      <c r="J67" s="17">
        <v>0</v>
      </c>
      <c r="K67" s="17">
        <v>2</v>
      </c>
      <c r="L67" s="17">
        <v>4</v>
      </c>
      <c r="M67" s="17">
        <v>5</v>
      </c>
      <c r="N67" s="17">
        <v>2</v>
      </c>
      <c r="O67" s="17">
        <v>3</v>
      </c>
      <c r="P67" s="17">
        <v>3</v>
      </c>
    </row>
    <row r="68" spans="1:16" ht="21">
      <c r="A68" s="16" t="s">
        <v>58</v>
      </c>
      <c r="B68" s="17">
        <v>2</v>
      </c>
      <c r="C68" s="17">
        <v>5</v>
      </c>
      <c r="D68" s="17">
        <v>4</v>
      </c>
      <c r="E68" s="17">
        <v>3</v>
      </c>
      <c r="F68" s="17">
        <f>SUM(Karts[[#This Row],[Mini-
Turbo]:[Speed 
(Ground)]])</f>
        <v>8</v>
      </c>
      <c r="G68" s="17">
        <v>6</v>
      </c>
      <c r="H68" s="17">
        <v>2</v>
      </c>
      <c r="I68" s="17">
        <v>2</v>
      </c>
      <c r="J68" s="17">
        <v>3</v>
      </c>
      <c r="K68" s="17">
        <v>4</v>
      </c>
      <c r="L68" s="17">
        <v>4</v>
      </c>
      <c r="M68" s="17">
        <v>2</v>
      </c>
      <c r="N68" s="17">
        <v>3</v>
      </c>
      <c r="O68" s="17">
        <v>4</v>
      </c>
      <c r="P68" s="17">
        <v>3</v>
      </c>
    </row>
    <row r="69" spans="1:16" ht="21">
      <c r="A69" s="16" t="s">
        <v>69</v>
      </c>
      <c r="B69" s="17">
        <v>2</v>
      </c>
      <c r="C69" s="17">
        <v>5</v>
      </c>
      <c r="D69" s="17">
        <v>4</v>
      </c>
      <c r="E69" s="17">
        <v>3</v>
      </c>
      <c r="F69" s="17">
        <f>SUM(Karts[[#This Row],[Mini-
Turbo]:[Speed 
(Ground)]])</f>
        <v>8</v>
      </c>
      <c r="G69" s="17">
        <v>6</v>
      </c>
      <c r="H69" s="17">
        <v>2</v>
      </c>
      <c r="I69" s="17">
        <v>2</v>
      </c>
      <c r="J69" s="17">
        <v>3</v>
      </c>
      <c r="K69" s="17">
        <v>4</v>
      </c>
      <c r="L69" s="17">
        <v>4</v>
      </c>
      <c r="M69" s="17">
        <v>2</v>
      </c>
      <c r="N69" s="17">
        <v>3</v>
      </c>
      <c r="O69" s="17">
        <v>4</v>
      </c>
      <c r="P69" s="17">
        <v>2</v>
      </c>
    </row>
    <row r="70" spans="1:16" ht="21">
      <c r="A70" s="16" t="s">
        <v>79</v>
      </c>
      <c r="B70" s="17">
        <v>2</v>
      </c>
      <c r="C70" s="17">
        <v>5</v>
      </c>
      <c r="D70" s="17">
        <v>4</v>
      </c>
      <c r="E70" s="17">
        <v>3</v>
      </c>
      <c r="F70" s="17">
        <f>SUM(Karts[[#This Row],[Mini-
Turbo]:[Speed 
(Ground)]])</f>
        <v>8</v>
      </c>
      <c r="G70" s="17">
        <v>6</v>
      </c>
      <c r="H70" s="17">
        <v>2</v>
      </c>
      <c r="I70" s="17">
        <v>2</v>
      </c>
      <c r="J70" s="17">
        <v>3</v>
      </c>
      <c r="K70" s="17">
        <v>4</v>
      </c>
      <c r="L70" s="17">
        <v>4</v>
      </c>
      <c r="M70" s="17">
        <v>2</v>
      </c>
      <c r="N70" s="17">
        <v>3</v>
      </c>
      <c r="O70" s="17">
        <v>4</v>
      </c>
      <c r="P70" s="17">
        <v>1</v>
      </c>
    </row>
    <row r="71" spans="1:16" ht="21">
      <c r="A71" s="16" t="s">
        <v>76</v>
      </c>
      <c r="B71" s="17">
        <v>2</v>
      </c>
      <c r="C71" s="17">
        <v>5</v>
      </c>
      <c r="D71" s="17">
        <v>4</v>
      </c>
      <c r="E71" s="17">
        <v>3</v>
      </c>
      <c r="F71" s="17">
        <f>SUM(Karts[[#This Row],[Mini-
Turbo]:[Speed 
(Ground)]])</f>
        <v>8</v>
      </c>
      <c r="G71" s="17">
        <v>6</v>
      </c>
      <c r="H71" s="17">
        <v>2</v>
      </c>
      <c r="I71" s="17">
        <v>2</v>
      </c>
      <c r="J71" s="17">
        <v>3</v>
      </c>
      <c r="K71" s="17">
        <v>4</v>
      </c>
      <c r="L71" s="17">
        <v>4</v>
      </c>
      <c r="M71" s="17">
        <v>2</v>
      </c>
      <c r="N71" s="17">
        <v>3</v>
      </c>
      <c r="O71" s="17">
        <v>4</v>
      </c>
      <c r="P71" s="17">
        <v>2</v>
      </c>
    </row>
    <row r="72" spans="1:16" ht="21">
      <c r="A72" s="16" t="s">
        <v>82</v>
      </c>
      <c r="B72" s="17">
        <v>2</v>
      </c>
      <c r="C72" s="17">
        <v>4</v>
      </c>
      <c r="D72" s="17">
        <v>3</v>
      </c>
      <c r="E72" s="17">
        <v>3</v>
      </c>
      <c r="F72" s="17">
        <f>SUM(Karts[[#This Row],[Mini-
Turbo]:[Speed 
(Ground)]])</f>
        <v>8</v>
      </c>
      <c r="G72" s="17">
        <v>5</v>
      </c>
      <c r="H72" s="17">
        <v>3</v>
      </c>
      <c r="I72" s="17">
        <v>3</v>
      </c>
      <c r="J72" s="17">
        <v>3</v>
      </c>
      <c r="K72" s="17">
        <v>3</v>
      </c>
      <c r="L72" s="17">
        <v>3</v>
      </c>
      <c r="M72" s="17">
        <v>2</v>
      </c>
      <c r="N72" s="17">
        <v>3</v>
      </c>
      <c r="O72" s="17">
        <v>3</v>
      </c>
      <c r="P72" s="17">
        <v>4</v>
      </c>
    </row>
    <row r="73" spans="1:16" ht="21">
      <c r="A73" s="16" t="s">
        <v>54</v>
      </c>
      <c r="B73" s="17">
        <v>2</v>
      </c>
      <c r="C73" s="17">
        <v>4</v>
      </c>
      <c r="D73" s="17">
        <v>3</v>
      </c>
      <c r="E73" s="17">
        <v>3</v>
      </c>
      <c r="F73" s="17">
        <f>SUM(Karts[[#This Row],[Mini-
Turbo]:[Speed 
(Ground)]])</f>
        <v>8</v>
      </c>
      <c r="G73" s="17">
        <v>5</v>
      </c>
      <c r="H73" s="17">
        <v>3</v>
      </c>
      <c r="I73" s="17">
        <v>3</v>
      </c>
      <c r="J73" s="17">
        <v>3</v>
      </c>
      <c r="K73" s="17">
        <v>3</v>
      </c>
      <c r="L73" s="17">
        <v>3</v>
      </c>
      <c r="M73" s="17">
        <v>2</v>
      </c>
      <c r="N73" s="17">
        <v>3</v>
      </c>
      <c r="O73" s="17">
        <v>3</v>
      </c>
      <c r="P73" s="17">
        <v>3</v>
      </c>
    </row>
    <row r="74" spans="1:16" ht="21">
      <c r="A74" s="16" t="s">
        <v>71</v>
      </c>
      <c r="B74" s="17">
        <v>2</v>
      </c>
      <c r="C74" s="17">
        <v>4</v>
      </c>
      <c r="D74" s="17">
        <v>3</v>
      </c>
      <c r="E74" s="17">
        <v>3</v>
      </c>
      <c r="F74" s="17">
        <f>SUM(Karts[[#This Row],[Mini-
Turbo]:[Speed 
(Ground)]])</f>
        <v>8</v>
      </c>
      <c r="G74" s="17">
        <v>5</v>
      </c>
      <c r="H74" s="17">
        <v>3</v>
      </c>
      <c r="I74" s="17">
        <v>3</v>
      </c>
      <c r="J74" s="17">
        <v>3</v>
      </c>
      <c r="K74" s="17">
        <v>3</v>
      </c>
      <c r="L74" s="17">
        <v>3</v>
      </c>
      <c r="M74" s="17">
        <v>2</v>
      </c>
      <c r="N74" s="17">
        <v>3</v>
      </c>
      <c r="O74" s="17">
        <v>3</v>
      </c>
      <c r="P74" s="17">
        <v>3</v>
      </c>
    </row>
    <row r="75" spans="1:16" ht="21">
      <c r="A75" s="16" t="s">
        <v>93</v>
      </c>
      <c r="B75" s="17">
        <v>3</v>
      </c>
      <c r="C75" s="17">
        <v>3</v>
      </c>
      <c r="D75" s="17">
        <v>2</v>
      </c>
      <c r="E75" s="17">
        <v>4</v>
      </c>
      <c r="F75" s="17">
        <f>SUM(Karts[[#This Row],[Mini-
Turbo]:[Speed 
(Ground)]])</f>
        <v>8</v>
      </c>
      <c r="G75" s="17">
        <v>5</v>
      </c>
      <c r="H75" s="17">
        <v>3</v>
      </c>
      <c r="I75" s="17">
        <v>3</v>
      </c>
      <c r="J75" s="17">
        <v>5</v>
      </c>
      <c r="K75" s="17">
        <v>4</v>
      </c>
      <c r="L75" s="17">
        <v>2</v>
      </c>
      <c r="M75" s="17">
        <v>2</v>
      </c>
      <c r="N75" s="17">
        <v>4</v>
      </c>
      <c r="O75" s="17">
        <v>2</v>
      </c>
      <c r="P75" s="17">
        <v>1</v>
      </c>
    </row>
    <row r="76" spans="1:16" ht="21">
      <c r="A76" s="16" t="s">
        <v>56</v>
      </c>
      <c r="B76" s="17">
        <v>3</v>
      </c>
      <c r="C76" s="17">
        <v>3</v>
      </c>
      <c r="D76" s="17">
        <v>2</v>
      </c>
      <c r="E76" s="17">
        <v>4</v>
      </c>
      <c r="F76" s="17">
        <f>SUM(Karts[[#This Row],[Mini-
Turbo]:[Speed 
(Ground)]])</f>
        <v>8</v>
      </c>
      <c r="G76" s="17">
        <v>5</v>
      </c>
      <c r="H76" s="17">
        <v>3</v>
      </c>
      <c r="I76" s="17">
        <v>3</v>
      </c>
      <c r="J76" s="17">
        <v>5</v>
      </c>
      <c r="K76" s="17">
        <v>4</v>
      </c>
      <c r="L76" s="17">
        <v>2</v>
      </c>
      <c r="M76" s="17">
        <v>2</v>
      </c>
      <c r="N76" s="17">
        <v>4</v>
      </c>
      <c r="O76" s="17">
        <v>2</v>
      </c>
      <c r="P76" s="17">
        <v>3</v>
      </c>
    </row>
    <row r="77" spans="1:16" ht="21">
      <c r="A77" s="16" t="s">
        <v>66</v>
      </c>
      <c r="B77" s="17">
        <v>3</v>
      </c>
      <c r="C77" s="17">
        <v>3</v>
      </c>
      <c r="D77" s="17">
        <v>2</v>
      </c>
      <c r="E77" s="17">
        <v>4</v>
      </c>
      <c r="F77" s="17">
        <f>SUM(Karts[[#This Row],[Mini-
Turbo]:[Speed 
(Ground)]])</f>
        <v>8</v>
      </c>
      <c r="G77" s="17">
        <v>5</v>
      </c>
      <c r="H77" s="17">
        <v>3</v>
      </c>
      <c r="I77" s="17">
        <v>3</v>
      </c>
      <c r="J77" s="17">
        <v>5</v>
      </c>
      <c r="K77" s="17">
        <v>4</v>
      </c>
      <c r="L77" s="17">
        <v>2</v>
      </c>
      <c r="M77" s="17">
        <v>2</v>
      </c>
      <c r="N77" s="17">
        <v>4</v>
      </c>
      <c r="O77" s="17">
        <v>2</v>
      </c>
      <c r="P77" s="17">
        <v>3</v>
      </c>
    </row>
    <row r="78" spans="1:16" ht="21">
      <c r="A78" s="16" t="s">
        <v>91</v>
      </c>
      <c r="B78" s="17">
        <v>3</v>
      </c>
      <c r="C78" s="17">
        <v>2</v>
      </c>
      <c r="D78" s="17">
        <v>4</v>
      </c>
      <c r="E78" s="17">
        <v>7</v>
      </c>
      <c r="F78" s="17">
        <f>SUM(Karts[[#This Row],[Mini-
Turbo]:[Speed 
(Ground)]])</f>
        <v>8</v>
      </c>
      <c r="G78" s="17">
        <v>5</v>
      </c>
      <c r="H78" s="17">
        <v>3</v>
      </c>
      <c r="I78" s="17">
        <v>4</v>
      </c>
      <c r="J78" s="17">
        <v>3</v>
      </c>
      <c r="K78" s="17">
        <v>3</v>
      </c>
      <c r="L78" s="17">
        <v>4</v>
      </c>
      <c r="M78" s="17">
        <v>4</v>
      </c>
      <c r="N78" s="17">
        <v>3</v>
      </c>
      <c r="O78" s="17">
        <v>3</v>
      </c>
      <c r="P78" s="17">
        <v>3</v>
      </c>
    </row>
    <row r="79" spans="1:16" ht="21">
      <c r="A79" s="16" t="s">
        <v>94</v>
      </c>
      <c r="B79" s="17">
        <v>3</v>
      </c>
      <c r="C79" s="17">
        <v>2</v>
      </c>
      <c r="D79" s="17">
        <v>4</v>
      </c>
      <c r="E79" s="17">
        <v>7</v>
      </c>
      <c r="F79" s="17">
        <f>SUM(Karts[[#This Row],[Mini-
Turbo]:[Speed 
(Ground)]])</f>
        <v>8</v>
      </c>
      <c r="G79" s="17">
        <v>5</v>
      </c>
      <c r="H79" s="17">
        <v>3</v>
      </c>
      <c r="I79" s="17">
        <v>4</v>
      </c>
      <c r="J79" s="17">
        <v>3</v>
      </c>
      <c r="K79" s="17">
        <v>3</v>
      </c>
      <c r="L79" s="17">
        <v>4</v>
      </c>
      <c r="M79" s="17">
        <v>4</v>
      </c>
      <c r="N79" s="17">
        <v>3</v>
      </c>
      <c r="O79" s="17">
        <v>3</v>
      </c>
      <c r="P79" s="17">
        <v>3</v>
      </c>
    </row>
    <row r="80" spans="1:16" ht="21">
      <c r="A80" s="16" t="s">
        <v>84</v>
      </c>
      <c r="B80" s="17">
        <v>3</v>
      </c>
      <c r="C80" s="17">
        <v>2</v>
      </c>
      <c r="D80" s="17">
        <v>4</v>
      </c>
      <c r="E80" s="17">
        <v>7</v>
      </c>
      <c r="F80" s="17">
        <f>SUM(Karts[[#This Row],[Mini-
Turbo]:[Speed 
(Ground)]])</f>
        <v>8</v>
      </c>
      <c r="G80" s="17">
        <v>5</v>
      </c>
      <c r="H80" s="17">
        <v>3</v>
      </c>
      <c r="I80" s="17">
        <v>4</v>
      </c>
      <c r="J80" s="17">
        <v>3</v>
      </c>
      <c r="K80" s="17">
        <v>3</v>
      </c>
      <c r="L80" s="17">
        <v>4</v>
      </c>
      <c r="M80" s="17">
        <v>4</v>
      </c>
      <c r="N80" s="17">
        <v>3</v>
      </c>
      <c r="O80" s="17">
        <v>3</v>
      </c>
      <c r="P80" s="17">
        <v>4</v>
      </c>
    </row>
    <row r="81" spans="1:16" ht="21">
      <c r="A81" s="16" t="s">
        <v>83</v>
      </c>
      <c r="B81" s="17">
        <v>0</v>
      </c>
      <c r="C81" s="17">
        <v>3</v>
      </c>
      <c r="D81" s="17">
        <v>1</v>
      </c>
      <c r="E81" s="17">
        <v>3</v>
      </c>
      <c r="F81" s="17">
        <f>SUM(Karts[[#This Row],[Mini-
Turbo]:[Speed 
(Ground)]])</f>
        <v>8</v>
      </c>
      <c r="G81" s="17">
        <v>4</v>
      </c>
      <c r="H81" s="17">
        <v>4</v>
      </c>
      <c r="I81" s="17">
        <v>2</v>
      </c>
      <c r="J81" s="17">
        <v>4</v>
      </c>
      <c r="K81" s="17">
        <v>3</v>
      </c>
      <c r="L81" s="17">
        <v>2</v>
      </c>
      <c r="M81" s="17">
        <v>3</v>
      </c>
      <c r="N81" s="17">
        <v>5</v>
      </c>
      <c r="O81" s="17">
        <v>1</v>
      </c>
      <c r="P81" s="17">
        <v>4</v>
      </c>
    </row>
    <row r="82" spans="1:16" ht="21">
      <c r="A82" s="16" t="s">
        <v>92</v>
      </c>
      <c r="B82" s="17">
        <v>0</v>
      </c>
      <c r="C82" s="17">
        <v>3</v>
      </c>
      <c r="D82" s="17">
        <v>1</v>
      </c>
      <c r="E82" s="17">
        <v>3</v>
      </c>
      <c r="F82" s="17">
        <f>SUM(Karts[[#This Row],[Mini-
Turbo]:[Speed 
(Ground)]])</f>
        <v>8</v>
      </c>
      <c r="G82" s="17">
        <v>4</v>
      </c>
      <c r="H82" s="17">
        <v>4</v>
      </c>
      <c r="I82" s="17">
        <v>2</v>
      </c>
      <c r="J82" s="17">
        <v>4</v>
      </c>
      <c r="K82" s="17">
        <v>3</v>
      </c>
      <c r="L82" s="17">
        <v>2</v>
      </c>
      <c r="M82" s="17">
        <v>3</v>
      </c>
      <c r="N82" s="17">
        <v>5</v>
      </c>
      <c r="O82" s="17">
        <v>1</v>
      </c>
      <c r="P82" s="17">
        <v>3</v>
      </c>
    </row>
    <row r="83" spans="1:16" ht="21">
      <c r="A83" s="16" t="s">
        <v>67</v>
      </c>
      <c r="B83" s="17">
        <v>2</v>
      </c>
      <c r="C83" s="17">
        <v>2</v>
      </c>
      <c r="D83" s="17">
        <v>1</v>
      </c>
      <c r="E83" s="17">
        <v>0</v>
      </c>
      <c r="F83" s="17">
        <f>SUM(Karts[[#This Row],[Mini-
Turbo]:[Speed 
(Ground)]])</f>
        <v>8</v>
      </c>
      <c r="G83" s="17">
        <v>4</v>
      </c>
      <c r="H83" s="17">
        <v>4</v>
      </c>
      <c r="I83" s="17">
        <v>2</v>
      </c>
      <c r="J83" s="17">
        <v>3</v>
      </c>
      <c r="K83" s="17">
        <v>3</v>
      </c>
      <c r="L83" s="17">
        <v>3</v>
      </c>
      <c r="M83" s="17">
        <v>2</v>
      </c>
      <c r="N83" s="17">
        <v>3</v>
      </c>
      <c r="O83" s="17">
        <v>2</v>
      </c>
      <c r="P83" s="17">
        <v>4</v>
      </c>
    </row>
    <row r="84" spans="1:16" ht="21">
      <c r="A84" s="16" t="s">
        <v>75</v>
      </c>
      <c r="B84" s="17">
        <v>1</v>
      </c>
      <c r="C84" s="17">
        <v>2</v>
      </c>
      <c r="D84" s="17">
        <v>1</v>
      </c>
      <c r="E84" s="17">
        <v>2</v>
      </c>
      <c r="F84" s="17">
        <f>SUM(Karts[[#This Row],[Mini-
Turbo]:[Speed 
(Ground)]])</f>
        <v>8</v>
      </c>
      <c r="G84" s="17">
        <v>4</v>
      </c>
      <c r="H84" s="17">
        <v>4</v>
      </c>
      <c r="I84" s="17">
        <v>3</v>
      </c>
      <c r="J84" s="17">
        <v>3</v>
      </c>
      <c r="K84" s="17">
        <v>3</v>
      </c>
      <c r="L84" s="17">
        <v>3</v>
      </c>
      <c r="M84" s="17">
        <v>3</v>
      </c>
      <c r="N84" s="17">
        <v>2</v>
      </c>
      <c r="O84" s="17">
        <v>3</v>
      </c>
      <c r="P84" s="17">
        <v>3</v>
      </c>
    </row>
    <row r="85" spans="1:16" ht="21">
      <c r="A85" s="16" t="s">
        <v>86</v>
      </c>
      <c r="B85" s="17">
        <v>2</v>
      </c>
      <c r="C85" s="17">
        <v>2</v>
      </c>
      <c r="D85" s="17">
        <v>1</v>
      </c>
      <c r="E85" s="17">
        <v>0</v>
      </c>
      <c r="F85" s="17">
        <f>SUM(Karts[[#This Row],[Mini-
Turbo]:[Speed 
(Ground)]])</f>
        <v>8</v>
      </c>
      <c r="G85" s="17">
        <v>4</v>
      </c>
      <c r="H85" s="17">
        <v>4</v>
      </c>
      <c r="I85" s="17">
        <v>2</v>
      </c>
      <c r="J85" s="17">
        <v>3</v>
      </c>
      <c r="K85" s="17">
        <v>3</v>
      </c>
      <c r="L85" s="17">
        <v>3</v>
      </c>
      <c r="M85" s="17">
        <v>2</v>
      </c>
      <c r="N85" s="17">
        <v>3</v>
      </c>
      <c r="O85" s="17">
        <v>2</v>
      </c>
      <c r="P85" s="17">
        <v>3</v>
      </c>
    </row>
    <row r="86" spans="1:16" ht="21">
      <c r="A86" s="16" t="s">
        <v>62</v>
      </c>
      <c r="B86" s="17">
        <v>1</v>
      </c>
      <c r="C86" s="17">
        <v>2</v>
      </c>
      <c r="D86" s="17">
        <v>1</v>
      </c>
      <c r="E86" s="17">
        <v>2</v>
      </c>
      <c r="F86" s="17">
        <f>SUM(Karts[[#This Row],[Mini-
Turbo]:[Speed 
(Ground)]])</f>
        <v>8</v>
      </c>
      <c r="G86" s="17">
        <v>4</v>
      </c>
      <c r="H86" s="17">
        <v>4</v>
      </c>
      <c r="I86" s="17">
        <v>3</v>
      </c>
      <c r="J86" s="17">
        <v>3</v>
      </c>
      <c r="K86" s="17">
        <v>3</v>
      </c>
      <c r="L86" s="17">
        <v>3</v>
      </c>
      <c r="M86" s="17">
        <v>3</v>
      </c>
      <c r="N86" s="17">
        <v>2</v>
      </c>
      <c r="O86" s="17">
        <v>3</v>
      </c>
      <c r="P86" s="17">
        <v>5</v>
      </c>
    </row>
    <row r="87" spans="1:16" ht="21">
      <c r="A87" s="16" t="s">
        <v>65</v>
      </c>
      <c r="B87" s="17">
        <v>2</v>
      </c>
      <c r="C87" s="17">
        <v>2</v>
      </c>
      <c r="D87" s="17">
        <v>1</v>
      </c>
      <c r="E87" s="17">
        <v>0</v>
      </c>
      <c r="F87" s="17">
        <f>SUM(Karts[[#This Row],[Mini-
Turbo]:[Speed 
(Ground)]])</f>
        <v>8</v>
      </c>
      <c r="G87" s="17">
        <v>4</v>
      </c>
      <c r="H87" s="17">
        <v>4</v>
      </c>
      <c r="I87" s="17">
        <v>2</v>
      </c>
      <c r="J87" s="17">
        <v>3</v>
      </c>
      <c r="K87" s="17">
        <v>3</v>
      </c>
      <c r="L87" s="17">
        <v>3</v>
      </c>
      <c r="M87" s="17">
        <v>2</v>
      </c>
      <c r="N87" s="17">
        <v>3</v>
      </c>
      <c r="O87" s="17">
        <v>2</v>
      </c>
      <c r="P87" s="17">
        <v>5</v>
      </c>
    </row>
    <row r="88" spans="1:16" ht="21">
      <c r="A88" s="16" t="s">
        <v>70</v>
      </c>
      <c r="B88" s="17">
        <v>1</v>
      </c>
      <c r="C88" s="17">
        <v>2</v>
      </c>
      <c r="D88" s="17">
        <v>1</v>
      </c>
      <c r="E88" s="17">
        <v>2</v>
      </c>
      <c r="F88" s="17">
        <f>SUM(Karts[[#This Row],[Mini-
Turbo]:[Speed 
(Ground)]])</f>
        <v>8</v>
      </c>
      <c r="G88" s="17">
        <v>4</v>
      </c>
      <c r="H88" s="17">
        <v>4</v>
      </c>
      <c r="I88" s="17">
        <v>3</v>
      </c>
      <c r="J88" s="17">
        <v>3</v>
      </c>
      <c r="K88" s="17">
        <v>3</v>
      </c>
      <c r="L88" s="17">
        <v>3</v>
      </c>
      <c r="M88" s="17">
        <v>3</v>
      </c>
      <c r="N88" s="17">
        <v>2</v>
      </c>
      <c r="O88" s="17">
        <v>3</v>
      </c>
      <c r="P88" s="17">
        <v>3</v>
      </c>
    </row>
    <row r="89" spans="1:16" ht="21">
      <c r="A89" s="16" t="s">
        <v>85</v>
      </c>
      <c r="B89" s="17">
        <v>3</v>
      </c>
      <c r="C89" s="17">
        <v>1</v>
      </c>
      <c r="D89" s="17">
        <v>3</v>
      </c>
      <c r="E89" s="17">
        <v>1</v>
      </c>
      <c r="F89" s="17">
        <f>SUM(Karts[[#This Row],[Mini-
Turbo]:[Speed 
(Ground)]])</f>
        <v>8</v>
      </c>
      <c r="G89" s="17">
        <v>3</v>
      </c>
      <c r="H89" s="17">
        <v>5</v>
      </c>
      <c r="I89" s="17">
        <v>1</v>
      </c>
      <c r="J89" s="17">
        <v>4</v>
      </c>
      <c r="K89" s="17">
        <v>2</v>
      </c>
      <c r="L89" s="17">
        <v>1</v>
      </c>
      <c r="M89" s="17">
        <v>1</v>
      </c>
      <c r="N89" s="17">
        <v>2</v>
      </c>
      <c r="O89" s="17">
        <v>0</v>
      </c>
      <c r="P89" s="17">
        <v>6</v>
      </c>
    </row>
    <row r="90" spans="1:16" ht="21">
      <c r="A90" s="16" t="s">
        <v>59</v>
      </c>
      <c r="B90" s="17">
        <v>3</v>
      </c>
      <c r="C90" s="17">
        <v>1</v>
      </c>
      <c r="D90" s="17">
        <v>3</v>
      </c>
      <c r="E90" s="17">
        <v>1</v>
      </c>
      <c r="F90" s="17">
        <f>SUM(Karts[[#This Row],[Mini-
Turbo]:[Speed 
(Ground)]])</f>
        <v>8</v>
      </c>
      <c r="G90" s="17">
        <v>3</v>
      </c>
      <c r="H90" s="17">
        <v>5</v>
      </c>
      <c r="I90" s="17">
        <v>1</v>
      </c>
      <c r="J90" s="17">
        <v>4</v>
      </c>
      <c r="K90" s="17">
        <v>2</v>
      </c>
      <c r="L90" s="17">
        <v>1</v>
      </c>
      <c r="M90" s="17">
        <v>1</v>
      </c>
      <c r="N90" s="17">
        <v>2</v>
      </c>
      <c r="O90" s="17">
        <v>0</v>
      </c>
      <c r="P90" s="17">
        <v>6</v>
      </c>
    </row>
    <row r="91" spans="1:16" ht="21">
      <c r="A91" s="16" t="s">
        <v>88</v>
      </c>
      <c r="B91" s="17">
        <v>3</v>
      </c>
      <c r="C91" s="17">
        <v>1</v>
      </c>
      <c r="D91" s="17">
        <v>3</v>
      </c>
      <c r="E91" s="17">
        <v>1</v>
      </c>
      <c r="F91" s="17">
        <f>SUM(Karts[[#This Row],[Mini-
Turbo]:[Speed 
(Ground)]])</f>
        <v>8</v>
      </c>
      <c r="G91" s="17">
        <v>3</v>
      </c>
      <c r="H91" s="17">
        <v>5</v>
      </c>
      <c r="I91" s="17">
        <v>1</v>
      </c>
      <c r="J91" s="17">
        <v>4</v>
      </c>
      <c r="K91" s="17">
        <v>2</v>
      </c>
      <c r="L91" s="17">
        <v>1</v>
      </c>
      <c r="M91" s="17">
        <v>1</v>
      </c>
      <c r="N91" s="17">
        <v>2</v>
      </c>
      <c r="O91" s="17">
        <v>0</v>
      </c>
      <c r="P91" s="17">
        <v>6</v>
      </c>
    </row>
    <row r="92" spans="1:16" ht="21">
      <c r="A92" s="16" t="s">
        <v>61</v>
      </c>
      <c r="B92" s="17">
        <v>4</v>
      </c>
      <c r="C92" s="17">
        <v>0</v>
      </c>
      <c r="D92" s="17">
        <v>2</v>
      </c>
      <c r="E92" s="17">
        <v>5</v>
      </c>
      <c r="F92" s="17">
        <f>SUM(Karts[[#This Row],[Mini-
Turbo]:[Speed 
(Ground)]])</f>
        <v>8</v>
      </c>
      <c r="G92" s="17">
        <v>3</v>
      </c>
      <c r="H92" s="17">
        <v>5</v>
      </c>
      <c r="I92" s="17">
        <v>2</v>
      </c>
      <c r="J92" s="17">
        <v>3</v>
      </c>
      <c r="K92" s="17">
        <v>1</v>
      </c>
      <c r="L92" s="17">
        <v>0</v>
      </c>
      <c r="M92" s="17">
        <v>1</v>
      </c>
      <c r="N92" s="17">
        <v>1</v>
      </c>
      <c r="O92" s="17">
        <v>0</v>
      </c>
      <c r="P92" s="17">
        <v>7</v>
      </c>
    </row>
    <row r="93" spans="1:16" ht="21">
      <c r="A93" s="16" t="s">
        <v>80</v>
      </c>
      <c r="B93" s="17">
        <v>4</v>
      </c>
      <c r="C93" s="17">
        <v>0</v>
      </c>
      <c r="D93" s="17">
        <v>2</v>
      </c>
      <c r="E93" s="17">
        <v>5</v>
      </c>
      <c r="F93" s="17">
        <f>SUM(Karts[[#This Row],[Mini-
Turbo]:[Speed 
(Ground)]])</f>
        <v>8</v>
      </c>
      <c r="G93" s="17">
        <v>3</v>
      </c>
      <c r="H93" s="17">
        <v>5</v>
      </c>
      <c r="I93" s="17">
        <v>2</v>
      </c>
      <c r="J93" s="17">
        <v>3</v>
      </c>
      <c r="K93" s="17">
        <v>1</v>
      </c>
      <c r="L93" s="17">
        <v>0</v>
      </c>
      <c r="M93" s="17">
        <v>1</v>
      </c>
      <c r="N93" s="17">
        <v>1</v>
      </c>
      <c r="O93" s="17">
        <v>0</v>
      </c>
      <c r="P93" s="17">
        <v>7</v>
      </c>
    </row>
    <row r="94" spans="1:16" ht="21">
      <c r="A94" s="16" t="s">
        <v>77</v>
      </c>
      <c r="B94" s="17">
        <v>4</v>
      </c>
      <c r="C94" s="17">
        <v>0</v>
      </c>
      <c r="D94" s="17">
        <v>2</v>
      </c>
      <c r="E94" s="17">
        <v>5</v>
      </c>
      <c r="F94" s="17">
        <f>SUM(Karts[[#This Row],[Mini-
Turbo]:[Speed 
(Ground)]])</f>
        <v>8</v>
      </c>
      <c r="G94" s="17">
        <v>3</v>
      </c>
      <c r="H94" s="17">
        <v>5</v>
      </c>
      <c r="I94" s="17">
        <v>2</v>
      </c>
      <c r="J94" s="17">
        <v>3</v>
      </c>
      <c r="K94" s="17">
        <v>1</v>
      </c>
      <c r="L94" s="17">
        <v>0</v>
      </c>
      <c r="M94" s="17">
        <v>1</v>
      </c>
      <c r="N94" s="17">
        <v>1</v>
      </c>
      <c r="O94" s="17">
        <v>0</v>
      </c>
      <c r="P94" s="17">
        <v>6</v>
      </c>
    </row>
    <row r="95" spans="1:16" ht="21">
      <c r="A95" s="16" t="s">
        <v>63</v>
      </c>
      <c r="B95" s="17">
        <v>0</v>
      </c>
      <c r="C95" s="17">
        <v>7</v>
      </c>
      <c r="D95" s="17">
        <v>1</v>
      </c>
      <c r="E95" s="17">
        <v>4</v>
      </c>
      <c r="F95" s="17">
        <f>SUM(Karts[[#This Row],[Mini-
Turbo]:[Speed 
(Ground)]])</f>
        <v>7</v>
      </c>
      <c r="G95" s="17">
        <v>7</v>
      </c>
      <c r="H95" s="17">
        <v>0</v>
      </c>
      <c r="I95" s="17">
        <v>1</v>
      </c>
      <c r="J95" s="17">
        <v>2</v>
      </c>
      <c r="K95" s="17">
        <v>1</v>
      </c>
      <c r="L95" s="17">
        <v>5</v>
      </c>
      <c r="M95" s="17">
        <v>4</v>
      </c>
      <c r="N95" s="17">
        <v>5</v>
      </c>
      <c r="O95" s="17">
        <v>4</v>
      </c>
      <c r="P95" s="17">
        <v>0</v>
      </c>
    </row>
    <row r="96" spans="1:16" ht="21">
      <c r="A96" s="16" t="s">
        <v>74</v>
      </c>
      <c r="B96" s="17">
        <v>0</v>
      </c>
      <c r="C96" s="17">
        <v>7</v>
      </c>
      <c r="D96" s="17">
        <v>1</v>
      </c>
      <c r="E96" s="17">
        <v>4</v>
      </c>
      <c r="F96" s="17">
        <f>SUM(Karts[[#This Row],[Mini-
Turbo]:[Speed 
(Ground)]])</f>
        <v>7</v>
      </c>
      <c r="G96" s="17">
        <v>7</v>
      </c>
      <c r="H96" s="17">
        <v>0</v>
      </c>
      <c r="I96" s="17">
        <v>1</v>
      </c>
      <c r="J96" s="17">
        <v>2</v>
      </c>
      <c r="K96" s="17">
        <v>1</v>
      </c>
      <c r="L96" s="17">
        <v>5</v>
      </c>
      <c r="M96" s="17">
        <v>4</v>
      </c>
      <c r="N96" s="17">
        <v>5</v>
      </c>
      <c r="O96" s="17">
        <v>4</v>
      </c>
      <c r="P96" s="17">
        <v>0</v>
      </c>
    </row>
    <row r="97" spans="1:16" ht="21">
      <c r="A97" s="16" t="s">
        <v>72</v>
      </c>
      <c r="B97" s="17">
        <v>1</v>
      </c>
      <c r="C97" s="17">
        <v>5</v>
      </c>
      <c r="D97" s="17">
        <v>3</v>
      </c>
      <c r="E97" s="17">
        <v>5</v>
      </c>
      <c r="F97" s="17">
        <f>SUM(Karts[[#This Row],[Mini-
Turbo]:[Speed 
(Ground)]])</f>
        <v>7</v>
      </c>
      <c r="G97" s="17">
        <v>5</v>
      </c>
      <c r="H97" s="17">
        <v>2</v>
      </c>
      <c r="I97" s="17">
        <v>2</v>
      </c>
      <c r="J97" s="17">
        <v>4</v>
      </c>
      <c r="K97" s="17">
        <v>3</v>
      </c>
      <c r="L97" s="17">
        <v>4</v>
      </c>
      <c r="M97" s="17">
        <v>3</v>
      </c>
      <c r="N97" s="17">
        <v>4</v>
      </c>
      <c r="O97" s="17">
        <v>3</v>
      </c>
      <c r="P97" s="17">
        <v>4</v>
      </c>
    </row>
    <row r="98" spans="1:16" ht="21">
      <c r="A98" s="16" t="s">
        <v>68</v>
      </c>
      <c r="B98" s="17">
        <v>1</v>
      </c>
      <c r="C98" s="17">
        <v>5</v>
      </c>
      <c r="D98" s="17">
        <v>3</v>
      </c>
      <c r="E98" s="17">
        <v>5</v>
      </c>
      <c r="F98" s="17">
        <f>SUM(Karts[[#This Row],[Mini-
Turbo]:[Speed 
(Ground)]])</f>
        <v>7</v>
      </c>
      <c r="G98" s="17">
        <v>5</v>
      </c>
      <c r="H98" s="17">
        <v>2</v>
      </c>
      <c r="I98" s="17">
        <v>2</v>
      </c>
      <c r="J98" s="17">
        <v>4</v>
      </c>
      <c r="K98" s="17">
        <v>3</v>
      </c>
      <c r="L98" s="17">
        <v>4</v>
      </c>
      <c r="M98" s="17">
        <v>3</v>
      </c>
      <c r="N98" s="17">
        <v>4</v>
      </c>
      <c r="O98" s="17">
        <v>3</v>
      </c>
      <c r="P98" s="17">
        <v>4</v>
      </c>
    </row>
    <row r="99" spans="1:16" ht="21">
      <c r="A99" s="16" t="s">
        <v>81</v>
      </c>
      <c r="B99" s="17">
        <v>1</v>
      </c>
      <c r="C99" s="17">
        <v>5</v>
      </c>
      <c r="D99" s="17">
        <v>3</v>
      </c>
      <c r="E99" s="17">
        <v>5</v>
      </c>
      <c r="F99" s="17">
        <f>SUM(Karts[[#This Row],[Mini-
Turbo]:[Speed 
(Ground)]])</f>
        <v>7</v>
      </c>
      <c r="G99" s="17">
        <v>5</v>
      </c>
      <c r="H99" s="17">
        <v>2</v>
      </c>
      <c r="I99" s="17">
        <v>2</v>
      </c>
      <c r="J99" s="17">
        <v>4</v>
      </c>
      <c r="K99" s="17">
        <v>3</v>
      </c>
      <c r="L99" s="17">
        <v>4</v>
      </c>
      <c r="M99" s="17">
        <v>3</v>
      </c>
      <c r="N99" s="17">
        <v>4</v>
      </c>
      <c r="O99" s="17">
        <v>3</v>
      </c>
      <c r="P99" s="17">
        <v>4</v>
      </c>
    </row>
    <row r="100" spans="1:16" ht="21">
      <c r="A100" s="16" t="s">
        <v>78</v>
      </c>
      <c r="B100" s="17">
        <v>1</v>
      </c>
      <c r="C100" s="17">
        <v>5</v>
      </c>
      <c r="D100" s="17">
        <v>3</v>
      </c>
      <c r="E100" s="17">
        <v>5</v>
      </c>
      <c r="F100" s="17">
        <f>SUM(Karts[[#This Row],[Mini-
Turbo]:[Speed 
(Ground)]])</f>
        <v>7</v>
      </c>
      <c r="G100" s="17">
        <v>5</v>
      </c>
      <c r="H100" s="17">
        <v>2</v>
      </c>
      <c r="I100" s="17">
        <v>2</v>
      </c>
      <c r="J100" s="17">
        <v>4</v>
      </c>
      <c r="K100" s="17">
        <v>3</v>
      </c>
      <c r="L100" s="17">
        <v>4</v>
      </c>
      <c r="M100" s="17">
        <v>3</v>
      </c>
      <c r="N100" s="17">
        <v>4</v>
      </c>
      <c r="O100" s="17">
        <v>3</v>
      </c>
      <c r="P100" s="17">
        <v>4</v>
      </c>
    </row>
    <row r="101" spans="1:16" ht="21">
      <c r="A101" s="16" t="s">
        <v>90</v>
      </c>
      <c r="B101" s="17">
        <v>4</v>
      </c>
      <c r="C101" s="17">
        <v>1</v>
      </c>
      <c r="D101" s="17">
        <v>1</v>
      </c>
      <c r="E101" s="17">
        <v>3</v>
      </c>
      <c r="F101" s="17">
        <f>SUM(Karts[[#This Row],[Mini-
Turbo]:[Speed 
(Ground)]])</f>
        <v>7</v>
      </c>
      <c r="G101" s="17">
        <v>3</v>
      </c>
      <c r="H101" s="17">
        <v>4</v>
      </c>
      <c r="I101" s="17">
        <v>5</v>
      </c>
      <c r="J101" s="17">
        <v>2</v>
      </c>
      <c r="K101" s="17">
        <v>0</v>
      </c>
      <c r="L101" s="17">
        <v>1</v>
      </c>
      <c r="M101" s="17">
        <v>5</v>
      </c>
      <c r="N101" s="17">
        <v>1</v>
      </c>
      <c r="O101" s="17">
        <v>1</v>
      </c>
      <c r="P101" s="17">
        <v>5</v>
      </c>
    </row>
    <row r="102" spans="1:16" ht="21">
      <c r="A102" s="16" t="s">
        <v>57</v>
      </c>
      <c r="B102" s="17">
        <v>4</v>
      </c>
      <c r="C102" s="17">
        <v>1</v>
      </c>
      <c r="D102" s="17">
        <v>1</v>
      </c>
      <c r="E102" s="17">
        <v>3</v>
      </c>
      <c r="F102" s="17">
        <f>SUM(Karts[[#This Row],[Mini-
Turbo]:[Speed 
(Ground)]])</f>
        <v>7</v>
      </c>
      <c r="G102" s="17">
        <v>3</v>
      </c>
      <c r="H102" s="17">
        <v>4</v>
      </c>
      <c r="I102" s="17">
        <v>5</v>
      </c>
      <c r="J102" s="17">
        <v>2</v>
      </c>
      <c r="K102" s="17">
        <v>0</v>
      </c>
      <c r="L102" s="17">
        <v>1</v>
      </c>
      <c r="M102" s="17">
        <v>5</v>
      </c>
      <c r="N102" s="17">
        <v>1</v>
      </c>
      <c r="O102" s="17">
        <v>1</v>
      </c>
      <c r="P102" s="17">
        <v>6</v>
      </c>
    </row>
    <row r="103" spans="1:16" ht="21">
      <c r="A103" s="16" t="s">
        <v>60</v>
      </c>
      <c r="B103" s="17">
        <v>4</v>
      </c>
      <c r="C103" s="17">
        <v>1</v>
      </c>
      <c r="D103" s="17">
        <v>1</v>
      </c>
      <c r="E103" s="17">
        <v>3</v>
      </c>
      <c r="F103" s="17">
        <f>SUM(Karts[[#This Row],[Mini-
Turbo]:[Speed 
(Ground)]])</f>
        <v>7</v>
      </c>
      <c r="G103" s="17">
        <v>3</v>
      </c>
      <c r="H103" s="17">
        <v>4</v>
      </c>
      <c r="I103" s="17">
        <v>5</v>
      </c>
      <c r="J103" s="17">
        <v>2</v>
      </c>
      <c r="K103" s="17">
        <v>0</v>
      </c>
      <c r="L103" s="17">
        <v>1</v>
      </c>
      <c r="M103" s="17">
        <v>5</v>
      </c>
      <c r="N103" s="17">
        <v>1</v>
      </c>
      <c r="O103" s="17">
        <v>1</v>
      </c>
      <c r="P103" s="17">
        <v>6</v>
      </c>
    </row>
    <row r="110" spans="1:16" ht="32">
      <c r="A110" s="1" t="s">
        <v>95</v>
      </c>
      <c r="B110" s="1" t="s">
        <v>134</v>
      </c>
      <c r="C110" s="1" t="s">
        <v>135</v>
      </c>
      <c r="D110" s="20" t="s">
        <v>164</v>
      </c>
      <c r="E110" s="20" t="s">
        <v>165</v>
      </c>
      <c r="F110" s="25" t="s">
        <v>176</v>
      </c>
      <c r="G110" s="20" t="s">
        <v>166</v>
      </c>
      <c r="H110" s="20" t="s">
        <v>167</v>
      </c>
      <c r="I110" s="20" t="s">
        <v>168</v>
      </c>
      <c r="J110" s="20" t="s">
        <v>169</v>
      </c>
      <c r="K110" s="20" t="s">
        <v>170</v>
      </c>
      <c r="L110" s="20" t="s">
        <v>171</v>
      </c>
      <c r="M110" s="20" t="s">
        <v>172</v>
      </c>
      <c r="N110" s="20" t="s">
        <v>173</v>
      </c>
      <c r="O110" s="20" t="s">
        <v>174</v>
      </c>
      <c r="P110" s="1" t="s">
        <v>144</v>
      </c>
    </row>
    <row r="111" spans="1:16" ht="21">
      <c r="A111" s="15" t="s">
        <v>109</v>
      </c>
      <c r="B111" s="14">
        <v>0</v>
      </c>
      <c r="C111" s="14">
        <v>6</v>
      </c>
      <c r="D111" s="14">
        <v>0</v>
      </c>
      <c r="E111" s="14">
        <v>4</v>
      </c>
      <c r="F111" s="14">
        <f>SUM(Tires[[#This Row],[Mini-
Turbo]:[Speed 
(Ground)]])</f>
        <v>6</v>
      </c>
      <c r="G111" s="14">
        <v>6</v>
      </c>
      <c r="H111" s="14">
        <v>0</v>
      </c>
      <c r="I111" s="14">
        <v>3</v>
      </c>
      <c r="J111" s="14">
        <v>0</v>
      </c>
      <c r="K111" s="14">
        <v>3</v>
      </c>
      <c r="L111" s="14">
        <v>4</v>
      </c>
      <c r="M111" s="14">
        <v>4</v>
      </c>
      <c r="N111" s="14">
        <v>4</v>
      </c>
      <c r="O111" s="14">
        <v>4</v>
      </c>
      <c r="P111" s="14">
        <v>0</v>
      </c>
    </row>
    <row r="112" spans="1:16" ht="21">
      <c r="A112" s="15" t="s">
        <v>98</v>
      </c>
      <c r="B112" s="14">
        <v>0</v>
      </c>
      <c r="C112" s="14">
        <v>6</v>
      </c>
      <c r="D112" s="14">
        <v>0</v>
      </c>
      <c r="E112" s="14">
        <v>4</v>
      </c>
      <c r="F112" s="14">
        <f>SUM(Tires[[#This Row],[Mini-
Turbo]:[Speed 
(Ground)]])</f>
        <v>6</v>
      </c>
      <c r="G112" s="14">
        <v>6</v>
      </c>
      <c r="H112" s="14">
        <v>0</v>
      </c>
      <c r="I112" s="14">
        <v>3</v>
      </c>
      <c r="J112" s="14">
        <v>0</v>
      </c>
      <c r="K112" s="14">
        <v>3</v>
      </c>
      <c r="L112" s="14">
        <v>4</v>
      </c>
      <c r="M112" s="14">
        <v>4</v>
      </c>
      <c r="N112" s="14">
        <v>4</v>
      </c>
      <c r="O112" s="14">
        <v>4</v>
      </c>
      <c r="P112" s="14">
        <v>0</v>
      </c>
    </row>
    <row r="113" spans="1:16" ht="21">
      <c r="A113" s="15" t="s">
        <v>102</v>
      </c>
      <c r="B113" s="14">
        <v>0</v>
      </c>
      <c r="C113" s="14">
        <v>5</v>
      </c>
      <c r="D113" s="14">
        <v>1</v>
      </c>
      <c r="E113" s="14">
        <v>3</v>
      </c>
      <c r="F113" s="14">
        <f>SUM(Tires[[#This Row],[Mini-
Turbo]:[Speed 
(Ground)]])</f>
        <v>6</v>
      </c>
      <c r="G113" s="14">
        <v>5</v>
      </c>
      <c r="H113" s="14">
        <v>1</v>
      </c>
      <c r="I113" s="14">
        <v>2</v>
      </c>
      <c r="J113" s="14">
        <v>2</v>
      </c>
      <c r="K113" s="14">
        <v>2</v>
      </c>
      <c r="L113" s="14">
        <v>3</v>
      </c>
      <c r="M113" s="14">
        <v>3</v>
      </c>
      <c r="N113" s="14">
        <v>4</v>
      </c>
      <c r="O113" s="14">
        <v>2</v>
      </c>
      <c r="P113" s="14">
        <v>3</v>
      </c>
    </row>
    <row r="114" spans="1:16" ht="21">
      <c r="A114" s="15" t="s">
        <v>116</v>
      </c>
      <c r="B114" s="14">
        <v>0</v>
      </c>
      <c r="C114" s="14">
        <v>5</v>
      </c>
      <c r="D114" s="14">
        <v>1</v>
      </c>
      <c r="E114" s="14">
        <v>3</v>
      </c>
      <c r="F114" s="14">
        <f>SUM(Tires[[#This Row],[Mini-
Turbo]:[Speed 
(Ground)]])</f>
        <v>6</v>
      </c>
      <c r="G114" s="14">
        <v>5</v>
      </c>
      <c r="H114" s="14">
        <v>1</v>
      </c>
      <c r="I114" s="14">
        <v>2</v>
      </c>
      <c r="J114" s="14">
        <v>2</v>
      </c>
      <c r="K114" s="14">
        <v>2</v>
      </c>
      <c r="L114" s="14">
        <v>3</v>
      </c>
      <c r="M114" s="14">
        <v>3</v>
      </c>
      <c r="N114" s="14">
        <v>4</v>
      </c>
      <c r="O114" s="14">
        <v>2</v>
      </c>
      <c r="P114" s="14">
        <v>3</v>
      </c>
    </row>
    <row r="115" spans="1:16" ht="21">
      <c r="A115" s="15" t="s">
        <v>106</v>
      </c>
      <c r="B115" s="14">
        <v>1</v>
      </c>
      <c r="C115" s="14">
        <v>4</v>
      </c>
      <c r="D115" s="14">
        <v>2</v>
      </c>
      <c r="E115" s="14">
        <v>6</v>
      </c>
      <c r="F115" s="14">
        <f>SUM(Tires[[#This Row],[Mini-
Turbo]:[Speed 
(Ground)]])</f>
        <v>6</v>
      </c>
      <c r="G115" s="14">
        <v>5</v>
      </c>
      <c r="H115" s="14">
        <v>1</v>
      </c>
      <c r="I115" s="14">
        <v>1</v>
      </c>
      <c r="J115" s="14">
        <v>1</v>
      </c>
      <c r="K115" s="14">
        <v>4</v>
      </c>
      <c r="L115" s="14">
        <v>2</v>
      </c>
      <c r="M115" s="14">
        <v>1</v>
      </c>
      <c r="N115" s="14">
        <v>2</v>
      </c>
      <c r="O115" s="14">
        <v>3</v>
      </c>
      <c r="P115" s="14">
        <v>6</v>
      </c>
    </row>
    <row r="116" spans="1:16" ht="21">
      <c r="A116" s="15" t="s">
        <v>104</v>
      </c>
      <c r="B116" s="14">
        <v>1</v>
      </c>
      <c r="C116" s="14">
        <v>4</v>
      </c>
      <c r="D116" s="14">
        <v>2</v>
      </c>
      <c r="E116" s="14">
        <v>6</v>
      </c>
      <c r="F116" s="14">
        <f>SUM(Tires[[#This Row],[Mini-
Turbo]:[Speed 
(Ground)]])</f>
        <v>6</v>
      </c>
      <c r="G116" s="14">
        <v>5</v>
      </c>
      <c r="H116" s="14">
        <v>1</v>
      </c>
      <c r="I116" s="14">
        <v>1</v>
      </c>
      <c r="J116" s="14">
        <v>1</v>
      </c>
      <c r="K116" s="14">
        <v>4</v>
      </c>
      <c r="L116" s="14">
        <v>2</v>
      </c>
      <c r="M116" s="14">
        <v>1</v>
      </c>
      <c r="N116" s="14">
        <v>2</v>
      </c>
      <c r="O116" s="14">
        <v>3</v>
      </c>
      <c r="P116" s="14">
        <v>4</v>
      </c>
    </row>
    <row r="117" spans="1:16" ht="21">
      <c r="A117" s="15" t="s">
        <v>107</v>
      </c>
      <c r="B117" s="14">
        <v>2</v>
      </c>
      <c r="C117" s="14">
        <v>4</v>
      </c>
      <c r="D117" s="14">
        <v>2</v>
      </c>
      <c r="E117" s="14">
        <v>5</v>
      </c>
      <c r="F117" s="14">
        <f>SUM(Tires[[#This Row],[Mini-
Turbo]:[Speed 
(Ground)]])</f>
        <v>6</v>
      </c>
      <c r="G117" s="14">
        <v>4</v>
      </c>
      <c r="H117" s="14">
        <v>2</v>
      </c>
      <c r="I117" s="14">
        <v>3</v>
      </c>
      <c r="J117" s="14">
        <v>2</v>
      </c>
      <c r="K117" s="14">
        <v>3</v>
      </c>
      <c r="L117" s="14">
        <v>3</v>
      </c>
      <c r="M117" s="14">
        <v>3</v>
      </c>
      <c r="N117" s="14">
        <v>3</v>
      </c>
      <c r="O117" s="14">
        <v>3</v>
      </c>
      <c r="P117" s="14">
        <v>4</v>
      </c>
    </row>
    <row r="118" spans="1:16" ht="21">
      <c r="A118" s="15" t="s">
        <v>114</v>
      </c>
      <c r="B118" s="14">
        <v>2</v>
      </c>
      <c r="C118" s="14">
        <v>4</v>
      </c>
      <c r="D118" s="14">
        <v>2</v>
      </c>
      <c r="E118" s="14">
        <v>5</v>
      </c>
      <c r="F118" s="14">
        <f>SUM(Tires[[#This Row],[Mini-
Turbo]:[Speed 
(Ground)]])</f>
        <v>6</v>
      </c>
      <c r="G118" s="14">
        <v>4</v>
      </c>
      <c r="H118" s="14">
        <v>2</v>
      </c>
      <c r="I118" s="14">
        <v>3</v>
      </c>
      <c r="J118" s="14">
        <v>2</v>
      </c>
      <c r="K118" s="14">
        <v>3</v>
      </c>
      <c r="L118" s="14">
        <v>3</v>
      </c>
      <c r="M118" s="14">
        <v>3</v>
      </c>
      <c r="N118" s="14">
        <v>3</v>
      </c>
      <c r="O118" s="14">
        <v>3</v>
      </c>
      <c r="P118" s="14">
        <v>5</v>
      </c>
    </row>
    <row r="119" spans="1:16" ht="21">
      <c r="A119" s="15" t="s">
        <v>96</v>
      </c>
      <c r="B119" s="14">
        <v>2</v>
      </c>
      <c r="C119" s="14">
        <v>4</v>
      </c>
      <c r="D119" s="14">
        <v>2</v>
      </c>
      <c r="E119" s="14">
        <v>5</v>
      </c>
      <c r="F119" s="14">
        <f>SUM(Tires[[#This Row],[Mini-
Turbo]:[Speed 
(Ground)]])</f>
        <v>6</v>
      </c>
      <c r="G119" s="14">
        <v>4</v>
      </c>
      <c r="H119" s="14">
        <v>2</v>
      </c>
      <c r="I119" s="14">
        <v>3</v>
      </c>
      <c r="J119" s="14">
        <v>2</v>
      </c>
      <c r="K119" s="14">
        <v>3</v>
      </c>
      <c r="L119" s="14">
        <v>3</v>
      </c>
      <c r="M119" s="14">
        <v>3</v>
      </c>
      <c r="N119" s="14">
        <v>3</v>
      </c>
      <c r="O119" s="14">
        <v>3</v>
      </c>
      <c r="P119" s="14">
        <v>4</v>
      </c>
    </row>
    <row r="120" spans="1:16" ht="21">
      <c r="A120" s="15" t="s">
        <v>103</v>
      </c>
      <c r="B120" s="14">
        <v>3</v>
      </c>
      <c r="C120" s="14">
        <v>3</v>
      </c>
      <c r="D120" s="14">
        <v>3</v>
      </c>
      <c r="E120" s="14">
        <v>6</v>
      </c>
      <c r="F120" s="14">
        <f>SUM(Tires[[#This Row],[Mini-
Turbo]:[Speed 
(Ground)]])</f>
        <v>6</v>
      </c>
      <c r="G120" s="14">
        <v>3</v>
      </c>
      <c r="H120" s="14">
        <v>3</v>
      </c>
      <c r="I120" s="14">
        <v>4</v>
      </c>
      <c r="J120" s="14">
        <v>2</v>
      </c>
      <c r="K120" s="14">
        <v>1</v>
      </c>
      <c r="L120" s="14">
        <v>1</v>
      </c>
      <c r="M120" s="14">
        <v>1</v>
      </c>
      <c r="N120" s="14">
        <v>2</v>
      </c>
      <c r="O120" s="14">
        <v>2</v>
      </c>
      <c r="P120" s="14">
        <v>6</v>
      </c>
    </row>
    <row r="121" spans="1:16" ht="21">
      <c r="A121" s="15" t="s">
        <v>112</v>
      </c>
      <c r="B121" s="14">
        <v>3</v>
      </c>
      <c r="C121" s="14">
        <v>3</v>
      </c>
      <c r="D121" s="14">
        <v>3</v>
      </c>
      <c r="E121" s="14">
        <v>6</v>
      </c>
      <c r="F121" s="14">
        <f>SUM(Tires[[#This Row],[Mini-
Turbo]:[Speed 
(Ground)]])</f>
        <v>6</v>
      </c>
      <c r="G121" s="14">
        <v>3</v>
      </c>
      <c r="H121" s="14">
        <v>3</v>
      </c>
      <c r="I121" s="14">
        <v>4</v>
      </c>
      <c r="J121" s="14">
        <v>2</v>
      </c>
      <c r="K121" s="14">
        <v>1</v>
      </c>
      <c r="L121" s="14">
        <v>1</v>
      </c>
      <c r="M121" s="14">
        <v>1</v>
      </c>
      <c r="N121" s="14">
        <v>2</v>
      </c>
      <c r="O121" s="14">
        <v>2</v>
      </c>
      <c r="P121" s="14">
        <v>6</v>
      </c>
    </row>
    <row r="122" spans="1:16" ht="21">
      <c r="A122" s="15" t="s">
        <v>115</v>
      </c>
      <c r="B122" s="14">
        <v>3</v>
      </c>
      <c r="C122" s="14">
        <v>3</v>
      </c>
      <c r="D122" s="14">
        <v>3</v>
      </c>
      <c r="E122" s="14">
        <v>6</v>
      </c>
      <c r="F122" s="14">
        <f>SUM(Tires[[#This Row],[Mini-
Turbo]:[Speed 
(Ground)]])</f>
        <v>6</v>
      </c>
      <c r="G122" s="14">
        <v>3</v>
      </c>
      <c r="H122" s="14">
        <v>3</v>
      </c>
      <c r="I122" s="14">
        <v>4</v>
      </c>
      <c r="J122" s="14">
        <v>2</v>
      </c>
      <c r="K122" s="14">
        <v>1</v>
      </c>
      <c r="L122" s="14">
        <v>1</v>
      </c>
      <c r="M122" s="14">
        <v>1</v>
      </c>
      <c r="N122" s="14">
        <v>2</v>
      </c>
      <c r="O122" s="14">
        <v>2</v>
      </c>
      <c r="P122" s="14">
        <v>5</v>
      </c>
    </row>
    <row r="123" spans="1:16" ht="21">
      <c r="A123" s="15" t="s">
        <v>110</v>
      </c>
      <c r="B123" s="14">
        <v>2</v>
      </c>
      <c r="C123" s="14">
        <v>2</v>
      </c>
      <c r="D123" s="14">
        <v>4</v>
      </c>
      <c r="E123" s="14">
        <v>1</v>
      </c>
      <c r="F123" s="14">
        <f>SUM(Tires[[#This Row],[Mini-
Turbo]:[Speed 
(Ground)]])</f>
        <v>6</v>
      </c>
      <c r="G123" s="14">
        <v>3</v>
      </c>
      <c r="H123" s="14">
        <v>3</v>
      </c>
      <c r="I123" s="14">
        <v>2</v>
      </c>
      <c r="J123" s="14">
        <v>4</v>
      </c>
      <c r="K123" s="14">
        <v>2</v>
      </c>
      <c r="L123" s="14">
        <v>4</v>
      </c>
      <c r="M123" s="14">
        <v>4</v>
      </c>
      <c r="N123" s="14">
        <v>3</v>
      </c>
      <c r="O123" s="14">
        <v>4</v>
      </c>
      <c r="P123" s="14">
        <v>5</v>
      </c>
    </row>
    <row r="124" spans="1:16" ht="21">
      <c r="A124" s="15" t="s">
        <v>99</v>
      </c>
      <c r="B124" s="14">
        <v>2</v>
      </c>
      <c r="C124" s="14">
        <v>2</v>
      </c>
      <c r="D124" s="14">
        <v>4</v>
      </c>
      <c r="E124" s="14">
        <v>1</v>
      </c>
      <c r="F124" s="14">
        <f>SUM(Tires[[#This Row],[Mini-
Turbo]:[Speed 
(Ground)]])</f>
        <v>6</v>
      </c>
      <c r="G124" s="14">
        <v>3</v>
      </c>
      <c r="H124" s="14">
        <v>3</v>
      </c>
      <c r="I124" s="14">
        <v>2</v>
      </c>
      <c r="J124" s="14">
        <v>4</v>
      </c>
      <c r="K124" s="14">
        <v>2</v>
      </c>
      <c r="L124" s="14">
        <v>4</v>
      </c>
      <c r="M124" s="14">
        <v>4</v>
      </c>
      <c r="N124" s="14">
        <v>3</v>
      </c>
      <c r="O124" s="14">
        <v>4</v>
      </c>
      <c r="P124" s="14">
        <v>5</v>
      </c>
    </row>
    <row r="125" spans="1:16" ht="21">
      <c r="A125" s="15" t="s">
        <v>105</v>
      </c>
      <c r="B125" s="14">
        <v>2</v>
      </c>
      <c r="C125" s="14">
        <v>2</v>
      </c>
      <c r="D125" s="14">
        <v>4</v>
      </c>
      <c r="E125" s="14">
        <v>1</v>
      </c>
      <c r="F125" s="14">
        <f>SUM(Tires[[#This Row],[Mini-
Turbo]:[Speed 
(Ground)]])</f>
        <v>6</v>
      </c>
      <c r="G125" s="14">
        <v>3</v>
      </c>
      <c r="H125" s="14">
        <v>3</v>
      </c>
      <c r="I125" s="14">
        <v>2</v>
      </c>
      <c r="J125" s="14">
        <v>4</v>
      </c>
      <c r="K125" s="14">
        <v>2</v>
      </c>
      <c r="L125" s="14">
        <v>4</v>
      </c>
      <c r="M125" s="14">
        <v>4</v>
      </c>
      <c r="N125" s="14">
        <v>3</v>
      </c>
      <c r="O125" s="14">
        <v>4</v>
      </c>
      <c r="P125" s="14">
        <v>5</v>
      </c>
    </row>
    <row r="126" spans="1:16" ht="21">
      <c r="A126" s="15" t="s">
        <v>117</v>
      </c>
      <c r="B126" s="14">
        <v>4</v>
      </c>
      <c r="C126" s="14">
        <v>2</v>
      </c>
      <c r="D126" s="14">
        <v>3</v>
      </c>
      <c r="E126" s="14">
        <v>7</v>
      </c>
      <c r="F126" s="14">
        <f>SUM(Tires[[#This Row],[Mini-
Turbo]:[Speed 
(Ground)]])</f>
        <v>6</v>
      </c>
      <c r="G126" s="14">
        <v>3</v>
      </c>
      <c r="H126" s="14">
        <v>3</v>
      </c>
      <c r="I126" s="14">
        <v>2</v>
      </c>
      <c r="J126" s="14">
        <v>2</v>
      </c>
      <c r="K126" s="14">
        <v>1</v>
      </c>
      <c r="L126" s="14">
        <v>0</v>
      </c>
      <c r="M126" s="14">
        <v>1</v>
      </c>
      <c r="N126" s="14">
        <v>0</v>
      </c>
      <c r="O126" s="14">
        <v>1</v>
      </c>
      <c r="P126" s="14">
        <v>5</v>
      </c>
    </row>
    <row r="127" spans="1:16" ht="21">
      <c r="A127" s="15" t="s">
        <v>108</v>
      </c>
      <c r="B127" s="14">
        <v>4</v>
      </c>
      <c r="C127" s="14">
        <v>2</v>
      </c>
      <c r="D127" s="14">
        <v>3</v>
      </c>
      <c r="E127" s="14">
        <v>7</v>
      </c>
      <c r="F127" s="14">
        <f>SUM(Tires[[#This Row],[Mini-
Turbo]:[Speed 
(Ground)]])</f>
        <v>6</v>
      </c>
      <c r="G127" s="14">
        <v>3</v>
      </c>
      <c r="H127" s="14">
        <v>3</v>
      </c>
      <c r="I127" s="14">
        <v>2</v>
      </c>
      <c r="J127" s="14">
        <v>2</v>
      </c>
      <c r="K127" s="14">
        <v>1</v>
      </c>
      <c r="L127" s="14">
        <v>0</v>
      </c>
      <c r="M127" s="14">
        <v>1</v>
      </c>
      <c r="N127" s="14">
        <v>0</v>
      </c>
      <c r="O127" s="14">
        <v>1</v>
      </c>
      <c r="P127" s="14">
        <v>6</v>
      </c>
    </row>
    <row r="128" spans="1:16" ht="21">
      <c r="A128" s="15" t="s">
        <v>97</v>
      </c>
      <c r="B128" s="14">
        <v>4</v>
      </c>
      <c r="C128" s="14">
        <v>2</v>
      </c>
      <c r="D128" s="14">
        <v>3</v>
      </c>
      <c r="E128" s="14">
        <v>7</v>
      </c>
      <c r="F128" s="14">
        <f>SUM(Tires[[#This Row],[Mini-
Turbo]:[Speed 
(Ground)]])</f>
        <v>6</v>
      </c>
      <c r="G128" s="14">
        <v>3</v>
      </c>
      <c r="H128" s="14">
        <v>3</v>
      </c>
      <c r="I128" s="14">
        <v>2</v>
      </c>
      <c r="J128" s="14">
        <v>2</v>
      </c>
      <c r="K128" s="14">
        <v>1</v>
      </c>
      <c r="L128" s="14">
        <v>0</v>
      </c>
      <c r="M128" s="14">
        <v>1</v>
      </c>
      <c r="N128" s="14">
        <v>0</v>
      </c>
      <c r="O128" s="14">
        <v>1</v>
      </c>
      <c r="P128" s="14">
        <v>6</v>
      </c>
    </row>
    <row r="129" spans="1:16" ht="21">
      <c r="A129" s="15" t="s">
        <v>111</v>
      </c>
      <c r="B129" s="14">
        <v>3</v>
      </c>
      <c r="C129" s="14">
        <v>1</v>
      </c>
      <c r="D129" s="14">
        <v>4</v>
      </c>
      <c r="E129" s="14">
        <v>0</v>
      </c>
      <c r="F129" s="14">
        <f>SUM(Tires[[#This Row],[Mini-
Turbo]:[Speed 
(Ground)]])</f>
        <v>6</v>
      </c>
      <c r="G129" s="14">
        <v>2</v>
      </c>
      <c r="H129" s="14">
        <v>4</v>
      </c>
      <c r="I129" s="14">
        <v>0</v>
      </c>
      <c r="J129" s="14">
        <v>4</v>
      </c>
      <c r="K129" s="14">
        <v>0</v>
      </c>
      <c r="L129" s="14">
        <v>2</v>
      </c>
      <c r="M129" s="14">
        <v>0</v>
      </c>
      <c r="N129" s="14">
        <v>2</v>
      </c>
      <c r="O129" s="14">
        <v>1</v>
      </c>
      <c r="P129" s="14">
        <v>5</v>
      </c>
    </row>
    <row r="130" spans="1:16" ht="21">
      <c r="A130" s="15" t="s">
        <v>100</v>
      </c>
      <c r="B130" s="14">
        <v>3</v>
      </c>
      <c r="C130" s="14">
        <v>1</v>
      </c>
      <c r="D130" s="14">
        <v>4</v>
      </c>
      <c r="E130" s="14">
        <v>0</v>
      </c>
      <c r="F130" s="14">
        <f>SUM(Tires[[#This Row],[Mini-
Turbo]:[Speed 
(Ground)]])</f>
        <v>6</v>
      </c>
      <c r="G130" s="14">
        <v>2</v>
      </c>
      <c r="H130" s="14">
        <v>4</v>
      </c>
      <c r="I130" s="14">
        <v>0</v>
      </c>
      <c r="J130" s="14">
        <v>4</v>
      </c>
      <c r="K130" s="14">
        <v>0</v>
      </c>
      <c r="L130" s="14">
        <v>2</v>
      </c>
      <c r="M130" s="14">
        <v>0</v>
      </c>
      <c r="N130" s="14">
        <v>2</v>
      </c>
      <c r="O130" s="14">
        <v>1</v>
      </c>
      <c r="P130" s="14">
        <v>5</v>
      </c>
    </row>
    <row r="131" spans="1:16" ht="21">
      <c r="A131" s="15" t="s">
        <v>113</v>
      </c>
      <c r="B131" s="14">
        <v>4</v>
      </c>
      <c r="C131" s="14">
        <v>0</v>
      </c>
      <c r="D131" s="14">
        <v>1</v>
      </c>
      <c r="E131" s="14">
        <v>2</v>
      </c>
      <c r="F131" s="14">
        <f>SUM(Tires[[#This Row],[Mini-
Turbo]:[Speed 
(Ground)]])</f>
        <v>6</v>
      </c>
      <c r="G131" s="14">
        <v>2</v>
      </c>
      <c r="H131" s="14">
        <v>4</v>
      </c>
      <c r="I131" s="14">
        <v>3</v>
      </c>
      <c r="J131" s="14">
        <v>1</v>
      </c>
      <c r="K131" s="14">
        <v>2</v>
      </c>
      <c r="L131" s="14">
        <v>2</v>
      </c>
      <c r="M131" s="14">
        <v>2</v>
      </c>
      <c r="N131" s="14">
        <v>1</v>
      </c>
      <c r="O131" s="14">
        <v>0</v>
      </c>
      <c r="P131" s="14">
        <v>5</v>
      </c>
    </row>
    <row r="132" spans="1:16" ht="21">
      <c r="A132" s="15" t="s">
        <v>101</v>
      </c>
      <c r="B132" s="14">
        <v>4</v>
      </c>
      <c r="C132" s="14">
        <v>0</v>
      </c>
      <c r="D132" s="14">
        <v>1</v>
      </c>
      <c r="E132" s="14">
        <v>2</v>
      </c>
      <c r="F132" s="14">
        <f>SUM(Tires[[#This Row],[Mini-
Turbo]:[Speed 
(Ground)]])</f>
        <v>6</v>
      </c>
      <c r="G132" s="14">
        <v>2</v>
      </c>
      <c r="H132" s="14">
        <v>4</v>
      </c>
      <c r="I132" s="14">
        <v>3</v>
      </c>
      <c r="J132" s="14">
        <v>1</v>
      </c>
      <c r="K132" s="14">
        <v>2</v>
      </c>
      <c r="L132" s="14">
        <v>2</v>
      </c>
      <c r="M132" s="14">
        <v>2</v>
      </c>
      <c r="N132" s="14">
        <v>1</v>
      </c>
      <c r="O132" s="14">
        <v>0</v>
      </c>
      <c r="P132" s="14">
        <v>6</v>
      </c>
    </row>
    <row r="138" spans="1:16" ht="32">
      <c r="A138" s="1" t="s">
        <v>118</v>
      </c>
      <c r="B138" s="20" t="s">
        <v>134</v>
      </c>
      <c r="C138" s="20" t="s">
        <v>135</v>
      </c>
      <c r="D138" s="20" t="s">
        <v>164</v>
      </c>
      <c r="E138" s="20" t="s">
        <v>165</v>
      </c>
      <c r="F138" s="25" t="s">
        <v>176</v>
      </c>
      <c r="G138" s="20" t="s">
        <v>166</v>
      </c>
      <c r="H138" s="20" t="s">
        <v>167</v>
      </c>
      <c r="I138" s="20" t="s">
        <v>168</v>
      </c>
      <c r="J138" s="20" t="s">
        <v>169</v>
      </c>
      <c r="K138" s="20" t="s">
        <v>170</v>
      </c>
      <c r="L138" s="20" t="s">
        <v>171</v>
      </c>
      <c r="M138" s="20" t="s">
        <v>172</v>
      </c>
      <c r="N138" s="20" t="s">
        <v>173</v>
      </c>
      <c r="O138" s="20" t="s">
        <v>174</v>
      </c>
      <c r="P138" s="20" t="s">
        <v>144</v>
      </c>
    </row>
    <row r="139" spans="1:16" ht="21">
      <c r="A139" s="15" t="s">
        <v>127</v>
      </c>
      <c r="B139" s="14">
        <v>1</v>
      </c>
      <c r="C139" s="14">
        <v>2</v>
      </c>
      <c r="D139" s="14">
        <v>2</v>
      </c>
      <c r="E139" s="14">
        <v>0</v>
      </c>
      <c r="F139" s="14">
        <f>SUM(Gliders[[#This Row],[Mini-
Turbo]:[Speed 
(Ground)]])</f>
        <v>2</v>
      </c>
      <c r="G139" s="14">
        <v>2</v>
      </c>
      <c r="H139" s="14">
        <v>0</v>
      </c>
      <c r="I139" s="14">
        <v>0</v>
      </c>
      <c r="J139" s="14">
        <v>1</v>
      </c>
      <c r="K139" s="14">
        <v>1</v>
      </c>
      <c r="L139" s="14">
        <v>1</v>
      </c>
      <c r="M139" s="14">
        <v>1</v>
      </c>
      <c r="N139" s="14">
        <v>0</v>
      </c>
      <c r="O139" s="14">
        <v>2</v>
      </c>
      <c r="P139" s="14">
        <v>0</v>
      </c>
    </row>
    <row r="140" spans="1:16" ht="21">
      <c r="A140" s="15" t="s">
        <v>120</v>
      </c>
      <c r="B140" s="14">
        <v>0</v>
      </c>
      <c r="C140" s="14">
        <v>2</v>
      </c>
      <c r="D140" s="14">
        <v>1</v>
      </c>
      <c r="E140" s="14">
        <v>1</v>
      </c>
      <c r="F140" s="14">
        <f>SUM(Gliders[[#This Row],[Mini-
Turbo]:[Speed 
(Ground)]])</f>
        <v>2</v>
      </c>
      <c r="G140" s="14">
        <v>2</v>
      </c>
      <c r="H140" s="14">
        <v>0</v>
      </c>
      <c r="I140" s="14">
        <v>1</v>
      </c>
      <c r="J140" s="14">
        <v>1</v>
      </c>
      <c r="K140" s="14">
        <v>1</v>
      </c>
      <c r="L140" s="14">
        <v>1</v>
      </c>
      <c r="M140" s="14">
        <v>0</v>
      </c>
      <c r="N140" s="14">
        <v>1</v>
      </c>
      <c r="O140" s="14">
        <v>2</v>
      </c>
      <c r="P140" s="14">
        <v>0</v>
      </c>
    </row>
    <row r="141" spans="1:16" ht="21">
      <c r="A141" s="15" t="s">
        <v>126</v>
      </c>
      <c r="B141" s="14">
        <v>0</v>
      </c>
      <c r="C141" s="14">
        <v>2</v>
      </c>
      <c r="D141" s="14">
        <v>1</v>
      </c>
      <c r="E141" s="14">
        <v>1</v>
      </c>
      <c r="F141" s="14">
        <f>SUM(Gliders[[#This Row],[Mini-
Turbo]:[Speed 
(Ground)]])</f>
        <v>2</v>
      </c>
      <c r="G141" s="14">
        <v>2</v>
      </c>
      <c r="H141" s="14">
        <v>0</v>
      </c>
      <c r="I141" s="14">
        <v>1</v>
      </c>
      <c r="J141" s="14">
        <v>1</v>
      </c>
      <c r="K141" s="14">
        <v>1</v>
      </c>
      <c r="L141" s="14">
        <v>1</v>
      </c>
      <c r="M141" s="14">
        <v>0</v>
      </c>
      <c r="N141" s="14">
        <v>1</v>
      </c>
      <c r="O141" s="14">
        <v>2</v>
      </c>
      <c r="P141" s="14">
        <v>0</v>
      </c>
    </row>
    <row r="142" spans="1:16" ht="21">
      <c r="A142" s="15" t="s">
        <v>129</v>
      </c>
      <c r="B142" s="14">
        <v>1</v>
      </c>
      <c r="C142" s="14">
        <v>2</v>
      </c>
      <c r="D142" s="14">
        <v>2</v>
      </c>
      <c r="E142" s="14">
        <v>0</v>
      </c>
      <c r="F142" s="14">
        <f>SUM(Gliders[[#This Row],[Mini-
Turbo]:[Speed 
(Ground)]])</f>
        <v>2</v>
      </c>
      <c r="G142" s="14">
        <v>2</v>
      </c>
      <c r="H142" s="14">
        <v>0</v>
      </c>
      <c r="I142" s="14">
        <v>0</v>
      </c>
      <c r="J142" s="14">
        <v>1</v>
      </c>
      <c r="K142" s="14">
        <v>1</v>
      </c>
      <c r="L142" s="14">
        <v>1</v>
      </c>
      <c r="M142" s="14">
        <v>1</v>
      </c>
      <c r="N142" s="14">
        <v>0</v>
      </c>
      <c r="O142" s="14">
        <v>2</v>
      </c>
      <c r="P142" s="14">
        <v>0</v>
      </c>
    </row>
    <row r="143" spans="1:16" ht="21">
      <c r="A143" s="15" t="s">
        <v>132</v>
      </c>
      <c r="B143" s="14">
        <v>0</v>
      </c>
      <c r="C143" s="14">
        <v>2</v>
      </c>
      <c r="D143" s="14">
        <v>1</v>
      </c>
      <c r="E143" s="14">
        <v>1</v>
      </c>
      <c r="F143" s="14">
        <f>SUM(Gliders[[#This Row],[Mini-
Turbo]:[Speed 
(Ground)]])</f>
        <v>2</v>
      </c>
      <c r="G143" s="14">
        <v>2</v>
      </c>
      <c r="H143" s="14">
        <v>0</v>
      </c>
      <c r="I143" s="14">
        <v>1</v>
      </c>
      <c r="J143" s="14">
        <v>1</v>
      </c>
      <c r="K143" s="14">
        <v>1</v>
      </c>
      <c r="L143" s="14">
        <v>1</v>
      </c>
      <c r="M143" s="14">
        <v>0</v>
      </c>
      <c r="N143" s="14">
        <v>1</v>
      </c>
      <c r="O143" s="14">
        <v>2</v>
      </c>
      <c r="P143" s="14">
        <v>0</v>
      </c>
    </row>
    <row r="144" spans="1:16" ht="21">
      <c r="A144" s="15" t="s">
        <v>124</v>
      </c>
      <c r="B144" s="14">
        <v>0</v>
      </c>
      <c r="C144" s="14">
        <v>2</v>
      </c>
      <c r="D144" s="14">
        <v>1</v>
      </c>
      <c r="E144" s="14">
        <v>1</v>
      </c>
      <c r="F144" s="14">
        <f>SUM(Gliders[[#This Row],[Mini-
Turbo]:[Speed 
(Ground)]])</f>
        <v>2</v>
      </c>
      <c r="G144" s="14">
        <v>2</v>
      </c>
      <c r="H144" s="14">
        <v>0</v>
      </c>
      <c r="I144" s="14">
        <v>1</v>
      </c>
      <c r="J144" s="14">
        <v>1</v>
      </c>
      <c r="K144" s="14">
        <v>1</v>
      </c>
      <c r="L144" s="14">
        <v>1</v>
      </c>
      <c r="M144" s="14">
        <v>0</v>
      </c>
      <c r="N144" s="14">
        <v>1</v>
      </c>
      <c r="O144" s="14">
        <v>2</v>
      </c>
      <c r="P144" s="14">
        <v>0</v>
      </c>
    </row>
    <row r="145" spans="1:16" ht="21">
      <c r="A145" s="15" t="s">
        <v>125</v>
      </c>
      <c r="B145" s="14">
        <v>1</v>
      </c>
      <c r="C145" s="14">
        <v>2</v>
      </c>
      <c r="D145" s="14">
        <v>2</v>
      </c>
      <c r="E145" s="14">
        <v>0</v>
      </c>
      <c r="F145" s="14">
        <f>SUM(Gliders[[#This Row],[Mini-
Turbo]:[Speed 
(Ground)]])</f>
        <v>2</v>
      </c>
      <c r="G145" s="14">
        <v>2</v>
      </c>
      <c r="H145" s="14">
        <v>0</v>
      </c>
      <c r="I145" s="14">
        <v>0</v>
      </c>
      <c r="J145" s="14">
        <v>1</v>
      </c>
      <c r="K145" s="14">
        <v>1</v>
      </c>
      <c r="L145" s="14">
        <v>1</v>
      </c>
      <c r="M145" s="14">
        <v>1</v>
      </c>
      <c r="N145" s="14">
        <v>0</v>
      </c>
      <c r="O145" s="14">
        <v>2</v>
      </c>
      <c r="P145" s="14">
        <v>0</v>
      </c>
    </row>
    <row r="146" spans="1:16" ht="21">
      <c r="A146" s="15" t="s">
        <v>123</v>
      </c>
      <c r="B146" s="14">
        <v>1</v>
      </c>
      <c r="C146" s="14">
        <v>2</v>
      </c>
      <c r="D146" s="14">
        <v>2</v>
      </c>
      <c r="E146" s="14">
        <v>0</v>
      </c>
      <c r="F146" s="14">
        <f>SUM(Gliders[[#This Row],[Mini-
Turbo]:[Speed 
(Ground)]])</f>
        <v>2</v>
      </c>
      <c r="G146" s="14">
        <v>2</v>
      </c>
      <c r="H146" s="14">
        <v>0</v>
      </c>
      <c r="I146" s="14">
        <v>0</v>
      </c>
      <c r="J146" s="14">
        <v>1</v>
      </c>
      <c r="K146" s="14">
        <v>1</v>
      </c>
      <c r="L146" s="14">
        <v>1</v>
      </c>
      <c r="M146" s="14">
        <v>1</v>
      </c>
      <c r="N146" s="14">
        <v>0</v>
      </c>
      <c r="O146" s="14">
        <v>2</v>
      </c>
      <c r="P146" s="14">
        <v>0</v>
      </c>
    </row>
    <row r="147" spans="1:16" ht="21">
      <c r="A147" s="15" t="s">
        <v>130</v>
      </c>
      <c r="B147" s="14">
        <v>2</v>
      </c>
      <c r="C147" s="14">
        <v>1</v>
      </c>
      <c r="D147" s="14">
        <v>2</v>
      </c>
      <c r="E147" s="14">
        <v>0</v>
      </c>
      <c r="F147" s="14">
        <f>SUM(Gliders[[#This Row],[Mini-
Turbo]:[Speed 
(Ground)]])</f>
        <v>2</v>
      </c>
      <c r="G147" s="14">
        <v>1</v>
      </c>
      <c r="H147" s="14">
        <v>1</v>
      </c>
      <c r="I147" s="14">
        <v>0</v>
      </c>
      <c r="J147" s="14">
        <v>1</v>
      </c>
      <c r="K147" s="14">
        <v>2</v>
      </c>
      <c r="L147" s="14">
        <v>1</v>
      </c>
      <c r="M147" s="14">
        <v>1</v>
      </c>
      <c r="N147" s="14">
        <v>0</v>
      </c>
      <c r="O147" s="14">
        <v>1</v>
      </c>
      <c r="P147" s="14">
        <v>1</v>
      </c>
    </row>
    <row r="148" spans="1:16" ht="21">
      <c r="A148" s="15" t="s">
        <v>133</v>
      </c>
      <c r="B148" s="14">
        <v>2</v>
      </c>
      <c r="C148" s="14">
        <v>1</v>
      </c>
      <c r="D148" s="14">
        <v>2</v>
      </c>
      <c r="E148" s="14">
        <v>0</v>
      </c>
      <c r="F148" s="14">
        <f>SUM(Gliders[[#This Row],[Mini-
Turbo]:[Speed 
(Ground)]])</f>
        <v>2</v>
      </c>
      <c r="G148" s="14">
        <v>1</v>
      </c>
      <c r="H148" s="14">
        <v>1</v>
      </c>
      <c r="I148" s="14">
        <v>0</v>
      </c>
      <c r="J148" s="14">
        <v>1</v>
      </c>
      <c r="K148" s="14">
        <v>2</v>
      </c>
      <c r="L148" s="14">
        <v>1</v>
      </c>
      <c r="M148" s="14">
        <v>1</v>
      </c>
      <c r="N148" s="14">
        <v>0</v>
      </c>
      <c r="O148" s="14">
        <v>1</v>
      </c>
      <c r="P148" s="14">
        <v>1</v>
      </c>
    </row>
    <row r="149" spans="1:16" ht="21">
      <c r="A149" s="15" t="s">
        <v>128</v>
      </c>
      <c r="B149" s="14">
        <v>2</v>
      </c>
      <c r="C149" s="14">
        <v>1</v>
      </c>
      <c r="D149" s="14">
        <v>2</v>
      </c>
      <c r="E149" s="14">
        <v>0</v>
      </c>
      <c r="F149" s="14">
        <f>SUM(Gliders[[#This Row],[Mini-
Turbo]:[Speed 
(Ground)]])</f>
        <v>2</v>
      </c>
      <c r="G149" s="14">
        <v>1</v>
      </c>
      <c r="H149" s="14">
        <v>1</v>
      </c>
      <c r="I149" s="14">
        <v>0</v>
      </c>
      <c r="J149" s="14">
        <v>1</v>
      </c>
      <c r="K149" s="14">
        <v>2</v>
      </c>
      <c r="L149" s="14">
        <v>1</v>
      </c>
      <c r="M149" s="14">
        <v>1</v>
      </c>
      <c r="N149" s="14">
        <v>0</v>
      </c>
      <c r="O149" s="14">
        <v>1</v>
      </c>
      <c r="P149" s="14">
        <v>1</v>
      </c>
    </row>
    <row r="150" spans="1:16" ht="21">
      <c r="A150" s="15" t="s">
        <v>121</v>
      </c>
      <c r="B150" s="14">
        <v>2</v>
      </c>
      <c r="C150" s="14">
        <v>1</v>
      </c>
      <c r="D150" s="14">
        <v>2</v>
      </c>
      <c r="E150" s="14">
        <v>0</v>
      </c>
      <c r="F150" s="14">
        <f>SUM(Gliders[[#This Row],[Mini-
Turbo]:[Speed 
(Ground)]])</f>
        <v>2</v>
      </c>
      <c r="G150" s="14">
        <v>1</v>
      </c>
      <c r="H150" s="14">
        <v>1</v>
      </c>
      <c r="I150" s="14">
        <v>0</v>
      </c>
      <c r="J150" s="14">
        <v>1</v>
      </c>
      <c r="K150" s="14">
        <v>2</v>
      </c>
      <c r="L150" s="14">
        <v>1</v>
      </c>
      <c r="M150" s="14">
        <v>1</v>
      </c>
      <c r="N150" s="14">
        <v>0</v>
      </c>
      <c r="O150" s="14">
        <v>1</v>
      </c>
      <c r="P150" s="14">
        <v>1</v>
      </c>
    </row>
    <row r="151" spans="1:16" ht="21">
      <c r="A151" s="15" t="s">
        <v>131</v>
      </c>
      <c r="B151" s="14">
        <v>1</v>
      </c>
      <c r="C151" s="14">
        <v>1</v>
      </c>
      <c r="D151" s="14">
        <v>1</v>
      </c>
      <c r="E151" s="14">
        <v>1</v>
      </c>
      <c r="F151" s="14">
        <f>SUM(Gliders[[#This Row],[Mini-
Turbo]:[Speed 
(Ground)]])</f>
        <v>2</v>
      </c>
      <c r="G151" s="14">
        <v>1</v>
      </c>
      <c r="H151" s="14">
        <v>1</v>
      </c>
      <c r="I151" s="14">
        <v>1</v>
      </c>
      <c r="J151" s="14">
        <v>0</v>
      </c>
      <c r="K151" s="14">
        <v>2</v>
      </c>
      <c r="L151" s="14">
        <v>1</v>
      </c>
      <c r="M151" s="14">
        <v>0</v>
      </c>
      <c r="N151" s="14">
        <v>1</v>
      </c>
      <c r="O151" s="14">
        <v>1</v>
      </c>
      <c r="P151" s="14">
        <v>1</v>
      </c>
    </row>
    <row r="152" spans="1:16" ht="21">
      <c r="A152" s="15" t="s">
        <v>119</v>
      </c>
      <c r="B152" s="14">
        <v>1</v>
      </c>
      <c r="C152" s="14">
        <v>1</v>
      </c>
      <c r="D152" s="14">
        <v>1</v>
      </c>
      <c r="E152" s="14">
        <v>1</v>
      </c>
      <c r="F152" s="14">
        <f>SUM(Gliders[[#This Row],[Mini-
Turbo]:[Speed 
(Ground)]])</f>
        <v>2</v>
      </c>
      <c r="G152" s="14">
        <v>1</v>
      </c>
      <c r="H152" s="14">
        <v>1</v>
      </c>
      <c r="I152" s="14">
        <v>1</v>
      </c>
      <c r="J152" s="14">
        <v>0</v>
      </c>
      <c r="K152" s="14">
        <v>2</v>
      </c>
      <c r="L152" s="14">
        <v>1</v>
      </c>
      <c r="M152" s="14">
        <v>0</v>
      </c>
      <c r="N152" s="14">
        <v>1</v>
      </c>
      <c r="O152" s="14">
        <v>1</v>
      </c>
      <c r="P152" s="14">
        <v>1</v>
      </c>
    </row>
    <row r="153" spans="1:16" ht="21">
      <c r="A153" s="15" t="s">
        <v>122</v>
      </c>
      <c r="B153" s="14">
        <v>1</v>
      </c>
      <c r="C153" s="14">
        <v>1</v>
      </c>
      <c r="D153" s="14">
        <v>1</v>
      </c>
      <c r="E153" s="14">
        <v>1</v>
      </c>
      <c r="F153" s="14">
        <f>SUM(Gliders[[#This Row],[Mini-
Turbo]:[Speed 
(Ground)]])</f>
        <v>2</v>
      </c>
      <c r="G153" s="14">
        <v>1</v>
      </c>
      <c r="H153" s="14">
        <v>1</v>
      </c>
      <c r="I153" s="14">
        <v>1</v>
      </c>
      <c r="J153" s="14">
        <v>0</v>
      </c>
      <c r="K153" s="14">
        <v>2</v>
      </c>
      <c r="L153" s="14">
        <v>1</v>
      </c>
      <c r="M153" s="14">
        <v>0</v>
      </c>
      <c r="N153" s="14">
        <v>1</v>
      </c>
      <c r="O153" s="14">
        <v>1</v>
      </c>
      <c r="P153" s="14">
        <v>1</v>
      </c>
    </row>
  </sheetData>
  <sheetProtection sheet="1" objects="1" scenarios="1" sort="0" autoFilter="0"/>
  <conditionalFormatting sqref="B2:P55">
    <cfRule type="colorScale" priority="4">
      <colorScale>
        <cfvo type="min"/>
        <cfvo type="percentile" val="50"/>
        <cfvo type="max"/>
        <color rgb="FFF8696B"/>
        <color rgb="FFFFEB84"/>
        <color rgb="FF63BE7B"/>
      </colorScale>
    </cfRule>
  </conditionalFormatting>
  <conditionalFormatting sqref="A63:P103">
    <cfRule type="colorScale" priority="3">
      <colorScale>
        <cfvo type="min"/>
        <cfvo type="percentile" val="50"/>
        <cfvo type="max"/>
        <color rgb="FFF8696B"/>
        <color rgb="FFFFEB84"/>
        <color rgb="FF63BE7B"/>
      </colorScale>
    </cfRule>
  </conditionalFormatting>
  <conditionalFormatting sqref="B111:P132">
    <cfRule type="colorScale" priority="2">
      <colorScale>
        <cfvo type="min"/>
        <cfvo type="percentile" val="50"/>
        <cfvo type="max"/>
        <color rgb="FFF8696B"/>
        <color rgb="FFFFEB84"/>
        <color rgb="FF63BE7B"/>
      </colorScale>
    </cfRule>
  </conditionalFormatting>
  <conditionalFormatting sqref="B139:P153">
    <cfRule type="colorScale" priority="1">
      <colorScale>
        <cfvo type="min"/>
        <cfvo type="percentile" val="50"/>
        <cfvo type="max"/>
        <color rgb="FFF8696B"/>
        <color rgb="FFFFEB84"/>
        <color rgb="FF63BE7B"/>
      </colorScale>
    </cfRule>
  </conditionalFormatting>
  <pageMargins left="0.75" right="0.75" top="1" bottom="1" header="0.5" footer="0.5"/>
  <tableParts count="4">
    <tablePart r:id="rId1"/>
    <tablePart r:id="rId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E98703-5882-1D49-840A-241B2F7F33A1}">
  <sheetPr>
    <tabColor theme="1"/>
  </sheetPr>
  <dimension ref="A1:L55"/>
  <sheetViews>
    <sheetView workbookViewId="0">
      <selection activeCell="L1" sqref="L1:L16"/>
    </sheetView>
  </sheetViews>
  <sheetFormatPr baseColWidth="10" defaultRowHeight="15"/>
  <cols>
    <col min="10" max="10" width="11.6640625" customWidth="1"/>
    <col min="12" max="12" width="27.33203125" customWidth="1"/>
  </cols>
  <sheetData>
    <row r="1" spans="1:12">
      <c r="A1" s="10" t="s">
        <v>0</v>
      </c>
      <c r="C1" s="13" t="s">
        <v>53</v>
      </c>
      <c r="E1" s="10" t="s">
        <v>95</v>
      </c>
      <c r="G1" s="10" t="s">
        <v>118</v>
      </c>
      <c r="I1" t="s">
        <v>148</v>
      </c>
      <c r="J1" t="s">
        <v>175</v>
      </c>
      <c r="L1" t="s">
        <v>216</v>
      </c>
    </row>
    <row r="2" spans="1:12">
      <c r="A2" s="8" t="s">
        <v>21</v>
      </c>
      <c r="C2" s="12" t="s">
        <v>82</v>
      </c>
      <c r="E2" s="8" t="s">
        <v>117</v>
      </c>
      <c r="G2" s="8" t="s">
        <v>127</v>
      </c>
      <c r="I2" s="21" t="s">
        <v>134</v>
      </c>
      <c r="J2" s="3">
        <f ca="1">SUM(MAX(INDIRECT("Drivers[" &amp; StatMaxValues[[#This Row],[Stat]] &amp; "]")), MAX(INDIRECT("Karts[" &amp; StatMaxValues[[#This Row],[Stat]] &amp; "]")), MAX(INDIRECT("Tires[" &amp; StatMaxValues[[#This Row],[Stat]] &amp; "]")), MAX(INDIRECT("Gliders[" &amp; StatMaxValues[[#This Row],[Stat]] &amp; "]")))</f>
        <v>20</v>
      </c>
      <c r="L2" t="s">
        <v>134</v>
      </c>
    </row>
    <row r="3" spans="1:12">
      <c r="A3" s="9" t="s">
        <v>19</v>
      </c>
      <c r="C3" s="11" t="s">
        <v>85</v>
      </c>
      <c r="E3" s="9" t="s">
        <v>109</v>
      </c>
      <c r="G3" s="9" t="s">
        <v>120</v>
      </c>
      <c r="I3" s="21" t="s">
        <v>135</v>
      </c>
      <c r="J3" s="23">
        <f ca="1">SUM(MAX(INDIRECT("Drivers[" &amp; StatMaxValues[[#This Row],[Stat]] &amp; "]")), MAX(INDIRECT("Karts[" &amp; StatMaxValues[[#This Row],[Stat]] &amp; "]")), MAX(INDIRECT("Tires[" &amp; StatMaxValues[[#This Row],[Stat]] &amp; "]")), MAX(INDIRECT("Gliders[" &amp; StatMaxValues[[#This Row],[Stat]] &amp; "]")))</f>
        <v>20</v>
      </c>
      <c r="L3" t="s">
        <v>135</v>
      </c>
    </row>
    <row r="4" spans="1:12" ht="32">
      <c r="A4" s="8" t="s">
        <v>18</v>
      </c>
      <c r="C4" s="12" t="s">
        <v>61</v>
      </c>
      <c r="E4" s="8" t="s">
        <v>107</v>
      </c>
      <c r="G4" s="8" t="s">
        <v>126</v>
      </c>
      <c r="I4" s="24" t="s">
        <v>164</v>
      </c>
      <c r="J4">
        <f ca="1">SUM(MAX(INDIRECT("Drivers[" &amp; StatMaxValues[[#This Row],[Stat]] &amp; "]")), MAX(INDIRECT("Karts[" &amp; StatMaxValues[[#This Row],[Stat]] &amp; "]")), MAX(INDIRECT("Tires[" &amp; StatMaxValues[[#This Row],[Stat]] &amp; "]")), MAX(INDIRECT("Gliders[" &amp; StatMaxValues[[#This Row],[Stat]] &amp; "]")))</f>
        <v>20</v>
      </c>
      <c r="L4" t="s">
        <v>164</v>
      </c>
    </row>
    <row r="5" spans="1:12" ht="32">
      <c r="A5" s="9" t="s">
        <v>20</v>
      </c>
      <c r="C5" s="11" t="s">
        <v>63</v>
      </c>
      <c r="E5" s="9" t="s">
        <v>102</v>
      </c>
      <c r="G5" s="9" t="s">
        <v>130</v>
      </c>
      <c r="I5" s="24" t="s">
        <v>165</v>
      </c>
      <c r="J5">
        <f ca="1">SUM(MAX(INDIRECT("Drivers[" &amp; StatMaxValues[[#This Row],[Stat]] &amp; "]")), MAX(INDIRECT("Karts[" &amp; StatMaxValues[[#This Row],[Stat]] &amp; "]")), MAX(INDIRECT("Tires[" &amp; StatMaxValues[[#This Row],[Stat]] &amp; "]")), MAX(INDIRECT("Gliders[" &amp; StatMaxValues[[#This Row],[Stat]] &amp; "]")))</f>
        <v>20</v>
      </c>
      <c r="L5" t="s">
        <v>165</v>
      </c>
    </row>
    <row r="6" spans="1:12" ht="32">
      <c r="A6" s="8" t="s">
        <v>22</v>
      </c>
      <c r="C6" s="12" t="s">
        <v>83</v>
      </c>
      <c r="E6" s="8" t="s">
        <v>110</v>
      </c>
      <c r="G6" s="8" t="s">
        <v>131</v>
      </c>
      <c r="I6" s="24" t="s">
        <v>166</v>
      </c>
      <c r="J6">
        <f ca="1">SUM(MAX(INDIRECT("Drivers[" &amp; StatMaxValues[[#This Row],[Stat]] &amp; "]")), MAX(INDIRECT("Karts[" &amp; StatMaxValues[[#This Row],[Stat]] &amp; "]")), MAX(INDIRECT("Tires[" &amp; StatMaxValues[[#This Row],[Stat]] &amp; "]")), MAX(INDIRECT("Gliders[" &amp; StatMaxValues[[#This Row],[Stat]] &amp; "]")))</f>
        <v>20</v>
      </c>
      <c r="L6" t="s">
        <v>176</v>
      </c>
    </row>
    <row r="7" spans="1:12" ht="32">
      <c r="A7" s="9" t="s">
        <v>45</v>
      </c>
      <c r="C7" s="11" t="s">
        <v>90</v>
      </c>
      <c r="E7" s="9" t="s">
        <v>106</v>
      </c>
      <c r="G7" s="9" t="s">
        <v>129</v>
      </c>
      <c r="I7" s="24" t="s">
        <v>167</v>
      </c>
      <c r="J7">
        <f ca="1">SUM(MAX(INDIRECT("Drivers[" &amp; StatMaxValues[[#This Row],[Stat]] &amp; "]")), MAX(INDIRECT("Karts[" &amp; StatMaxValues[[#This Row],[Stat]] &amp; "]")), MAX(INDIRECT("Tires[" &amp; StatMaxValues[[#This Row],[Stat]] &amp; "]")), MAX(INDIRECT("Gliders[" &amp; StatMaxValues[[#This Row],[Stat]] &amp; "]")))</f>
        <v>20</v>
      </c>
      <c r="L7" t="s">
        <v>166</v>
      </c>
    </row>
    <row r="8" spans="1:12" ht="32">
      <c r="A8" s="8" t="s">
        <v>9</v>
      </c>
      <c r="C8" s="12" t="s">
        <v>58</v>
      </c>
      <c r="E8" s="8" t="s">
        <v>111</v>
      </c>
      <c r="G8" s="8" t="s">
        <v>132</v>
      </c>
      <c r="I8" s="24" t="s">
        <v>168</v>
      </c>
      <c r="J8">
        <f ca="1">SUM(MAX(INDIRECT("Drivers[" &amp; StatMaxValues[[#This Row],[Stat]] &amp; "]")), MAX(INDIRECT("Karts[" &amp; StatMaxValues[[#This Row],[Stat]] &amp; "]")), MAX(INDIRECT("Tires[" &amp; StatMaxValues[[#This Row],[Stat]] &amp; "]")), MAX(INDIRECT("Gliders[" &amp; StatMaxValues[[#This Row],[Stat]] &amp; "]")))</f>
        <v>20</v>
      </c>
      <c r="L8" t="s">
        <v>167</v>
      </c>
    </row>
    <row r="9" spans="1:12" ht="48">
      <c r="A9" s="9" t="s">
        <v>40</v>
      </c>
      <c r="C9" s="11" t="s">
        <v>59</v>
      </c>
      <c r="E9" s="9" t="s">
        <v>114</v>
      </c>
      <c r="G9" s="9" t="s">
        <v>124</v>
      </c>
      <c r="I9" s="24" t="s">
        <v>169</v>
      </c>
      <c r="J9">
        <f ca="1">SUM(MAX(INDIRECT("Drivers[" &amp; StatMaxValues[[#This Row],[Stat]] &amp; "]")), MAX(INDIRECT("Karts[" &amp; StatMaxValues[[#This Row],[Stat]] &amp; "]")), MAX(INDIRECT("Tires[" &amp; StatMaxValues[[#This Row],[Stat]] &amp; "]")), MAX(INDIRECT("Gliders[" &amp; StatMaxValues[[#This Row],[Stat]] &amp; "]")))</f>
        <v>20</v>
      </c>
      <c r="L9" t="s">
        <v>168</v>
      </c>
    </row>
    <row r="10" spans="1:12" ht="32">
      <c r="A10" s="8" t="s">
        <v>35</v>
      </c>
      <c r="C10" s="12" t="s">
        <v>89</v>
      </c>
      <c r="E10" s="8" t="s">
        <v>113</v>
      </c>
      <c r="G10" s="8" t="s">
        <v>125</v>
      </c>
      <c r="I10" s="24" t="s">
        <v>170</v>
      </c>
      <c r="J10">
        <f ca="1">SUM(MAX(INDIRECT("Drivers[" &amp; StatMaxValues[[#This Row],[Stat]] &amp; "]")), MAX(INDIRECT("Karts[" &amp; StatMaxValues[[#This Row],[Stat]] &amp; "]")), MAX(INDIRECT("Tires[" &amp; StatMaxValues[[#This Row],[Stat]] &amp; "]")), MAX(INDIRECT("Gliders[" &amp; StatMaxValues[[#This Row],[Stat]] &amp; "]")))</f>
        <v>20</v>
      </c>
      <c r="L10" t="s">
        <v>169</v>
      </c>
    </row>
    <row r="11" spans="1:12" ht="32">
      <c r="A11" s="9" t="s">
        <v>4</v>
      </c>
      <c r="C11" s="11" t="s">
        <v>69</v>
      </c>
      <c r="E11" s="9" t="s">
        <v>108</v>
      </c>
      <c r="G11" s="9" t="s">
        <v>133</v>
      </c>
      <c r="I11" s="24" t="s">
        <v>171</v>
      </c>
      <c r="J11">
        <f ca="1">SUM(MAX(INDIRECT("Drivers[" &amp; StatMaxValues[[#This Row],[Stat]] &amp; "]")), MAX(INDIRECT("Karts[" &amp; StatMaxValues[[#This Row],[Stat]] &amp; "]")), MAX(INDIRECT("Tires[" &amp; StatMaxValues[[#This Row],[Stat]] &amp; "]")), MAX(INDIRECT("Gliders[" &amp; StatMaxValues[[#This Row],[Stat]] &amp; "]")))</f>
        <v>20</v>
      </c>
      <c r="L11" t="s">
        <v>170</v>
      </c>
    </row>
    <row r="12" spans="1:12" ht="32">
      <c r="A12" s="8" t="s">
        <v>49</v>
      </c>
      <c r="C12" s="12" t="s">
        <v>72</v>
      </c>
      <c r="E12" s="8" t="s">
        <v>116</v>
      </c>
      <c r="G12" s="8" t="s">
        <v>123</v>
      </c>
      <c r="I12" s="24" t="s">
        <v>172</v>
      </c>
      <c r="J12">
        <f ca="1">SUM(MAX(INDIRECT("Drivers[" &amp; StatMaxValues[[#This Row],[Stat]] &amp; "]")), MAX(INDIRECT("Karts[" &amp; StatMaxValues[[#This Row],[Stat]] &amp; "]")), MAX(INDIRECT("Tires[" &amp; StatMaxValues[[#This Row],[Stat]] &amp; "]")), MAX(INDIRECT("Gliders[" &amp; StatMaxValues[[#This Row],[Stat]] &amp; "]")))</f>
        <v>20</v>
      </c>
      <c r="L12" t="s">
        <v>171</v>
      </c>
    </row>
    <row r="13" spans="1:12" ht="48">
      <c r="A13" s="9" t="s">
        <v>10</v>
      </c>
      <c r="C13" s="11" t="s">
        <v>80</v>
      </c>
      <c r="E13" s="9" t="s">
        <v>101</v>
      </c>
      <c r="G13" s="9" t="s">
        <v>128</v>
      </c>
      <c r="I13" s="24" t="s">
        <v>173</v>
      </c>
      <c r="J13">
        <f ca="1">SUM(MAX(INDIRECT("Drivers[" &amp; StatMaxValues[[#This Row],[Stat]] &amp; "]")), MAX(INDIRECT("Karts[" &amp; StatMaxValues[[#This Row],[Stat]] &amp; "]")), MAX(INDIRECT("Tires[" &amp; StatMaxValues[[#This Row],[Stat]] &amp; "]")), MAX(INDIRECT("Gliders[" &amp; StatMaxValues[[#This Row],[Stat]] &amp; "]")))</f>
        <v>20</v>
      </c>
      <c r="L13" t="s">
        <v>172</v>
      </c>
    </row>
    <row r="14" spans="1:12" ht="32">
      <c r="A14" s="8" t="s">
        <v>39</v>
      </c>
      <c r="C14" s="12" t="s">
        <v>67</v>
      </c>
      <c r="E14" s="8" t="s">
        <v>97</v>
      </c>
      <c r="G14" s="8" t="s">
        <v>119</v>
      </c>
      <c r="I14" s="24" t="s">
        <v>174</v>
      </c>
      <c r="J14">
        <f ca="1">SUM(MAX(INDIRECT("Drivers[" &amp; StatMaxValues[[#This Row],[Stat]] &amp; "]")), MAX(INDIRECT("Karts[" &amp; StatMaxValues[[#This Row],[Stat]] &amp; "]")), MAX(INDIRECT("Tires[" &amp; StatMaxValues[[#This Row],[Stat]] &amp; "]")), MAX(INDIRECT("Gliders[" &amp; StatMaxValues[[#This Row],[Stat]] &amp; "]")))</f>
        <v>20</v>
      </c>
      <c r="L14" t="s">
        <v>173</v>
      </c>
    </row>
    <row r="15" spans="1:12" ht="16" thickBot="1">
      <c r="A15" s="9" t="s">
        <v>36</v>
      </c>
      <c r="C15" s="11" t="s">
        <v>93</v>
      </c>
      <c r="E15" s="9" t="s">
        <v>103</v>
      </c>
      <c r="G15" s="9" t="s">
        <v>122</v>
      </c>
      <c r="I15" s="22" t="s">
        <v>144</v>
      </c>
      <c r="J15">
        <f ca="1">SUM(MAX(INDIRECT("Drivers[" &amp; StatMaxValues[[#This Row],[Stat]] &amp; "]")), MAX(INDIRECT("Karts[" &amp; StatMaxValues[[#This Row],[Stat]] &amp; "]")), MAX(INDIRECT("Tires[" &amp; StatMaxValues[[#This Row],[Stat]] &amp; "]")), MAX(INDIRECT("Gliders[" &amp; StatMaxValues[[#This Row],[Stat]] &amp; "]")))</f>
        <v>20</v>
      </c>
      <c r="L15" t="s">
        <v>174</v>
      </c>
    </row>
    <row r="16" spans="1:12">
      <c r="A16" s="8" t="s">
        <v>50</v>
      </c>
      <c r="C16" s="12" t="s">
        <v>75</v>
      </c>
      <c r="E16" s="8" t="s">
        <v>112</v>
      </c>
      <c r="G16" s="12" t="s">
        <v>121</v>
      </c>
      <c r="L16" t="s">
        <v>144</v>
      </c>
    </row>
    <row r="17" spans="1:5">
      <c r="A17" s="9" t="s">
        <v>38</v>
      </c>
      <c r="C17" s="11" t="s">
        <v>91</v>
      </c>
      <c r="E17" s="9" t="s">
        <v>98</v>
      </c>
    </row>
    <row r="18" spans="1:5">
      <c r="A18" s="8" t="s">
        <v>27</v>
      </c>
      <c r="C18" s="12" t="s">
        <v>64</v>
      </c>
      <c r="E18" s="8" t="s">
        <v>100</v>
      </c>
    </row>
    <row r="19" spans="1:5">
      <c r="A19" s="9" t="s">
        <v>43</v>
      </c>
      <c r="C19" s="11" t="s">
        <v>56</v>
      </c>
      <c r="E19" s="9" t="s">
        <v>99</v>
      </c>
    </row>
    <row r="20" spans="1:5">
      <c r="A20" s="8" t="s">
        <v>42</v>
      </c>
      <c r="C20" s="12" t="s">
        <v>86</v>
      </c>
      <c r="E20" s="8" t="s">
        <v>104</v>
      </c>
    </row>
    <row r="21" spans="1:5">
      <c r="A21" s="9" t="s">
        <v>34</v>
      </c>
      <c r="C21" s="11" t="s">
        <v>94</v>
      </c>
      <c r="E21" s="9" t="s">
        <v>96</v>
      </c>
    </row>
    <row r="22" spans="1:5">
      <c r="A22" s="8" t="s">
        <v>46</v>
      </c>
      <c r="C22" s="12" t="s">
        <v>74</v>
      </c>
      <c r="E22" s="8" t="s">
        <v>115</v>
      </c>
    </row>
    <row r="23" spans="1:5">
      <c r="A23" s="9" t="s">
        <v>41</v>
      </c>
      <c r="C23" s="11" t="s">
        <v>88</v>
      </c>
      <c r="E23" s="11" t="s">
        <v>105</v>
      </c>
    </row>
    <row r="24" spans="1:5">
      <c r="A24" s="8" t="s">
        <v>8</v>
      </c>
      <c r="C24" s="12" t="s">
        <v>55</v>
      </c>
    </row>
    <row r="25" spans="1:5">
      <c r="A25" s="9" t="s">
        <v>16</v>
      </c>
      <c r="C25" s="11" t="s">
        <v>62</v>
      </c>
    </row>
    <row r="26" spans="1:5">
      <c r="A26" s="8" t="s">
        <v>23</v>
      </c>
      <c r="C26" s="12" t="s">
        <v>65</v>
      </c>
    </row>
    <row r="27" spans="1:5">
      <c r="A27" s="9" t="s">
        <v>24</v>
      </c>
      <c r="C27" s="11" t="s">
        <v>92</v>
      </c>
    </row>
    <row r="28" spans="1:5">
      <c r="A28" s="8" t="s">
        <v>32</v>
      </c>
      <c r="C28" s="12" t="s">
        <v>70</v>
      </c>
    </row>
    <row r="29" spans="1:5">
      <c r="A29" s="9" t="s">
        <v>44</v>
      </c>
      <c r="C29" s="11" t="s">
        <v>66</v>
      </c>
    </row>
    <row r="30" spans="1:5">
      <c r="A30" s="8" t="s">
        <v>26</v>
      </c>
      <c r="C30" s="12" t="s">
        <v>77</v>
      </c>
    </row>
    <row r="31" spans="1:5">
      <c r="A31" s="9" t="s">
        <v>2</v>
      </c>
      <c r="C31" s="11" t="s">
        <v>68</v>
      </c>
    </row>
    <row r="32" spans="1:5">
      <c r="A32" s="8" t="s">
        <v>1</v>
      </c>
      <c r="C32" s="12" t="s">
        <v>54</v>
      </c>
    </row>
    <row r="33" spans="1:3">
      <c r="A33" s="9" t="s">
        <v>14</v>
      </c>
      <c r="C33" s="11" t="s">
        <v>57</v>
      </c>
    </row>
    <row r="34" spans="1:3">
      <c r="A34" s="8" t="s">
        <v>157</v>
      </c>
      <c r="C34" s="12" t="s">
        <v>87</v>
      </c>
    </row>
    <row r="35" spans="1:3">
      <c r="A35" s="9" t="s">
        <v>30</v>
      </c>
      <c r="C35" s="11" t="s">
        <v>84</v>
      </c>
    </row>
    <row r="36" spans="1:3">
      <c r="A36" s="8" t="s">
        <v>156</v>
      </c>
      <c r="C36" s="12" t="s">
        <v>79</v>
      </c>
    </row>
    <row r="37" spans="1:3">
      <c r="A37" s="9" t="s">
        <v>29</v>
      </c>
      <c r="C37" s="11" t="s">
        <v>71</v>
      </c>
    </row>
    <row r="38" spans="1:3">
      <c r="A38" s="8" t="s">
        <v>52</v>
      </c>
      <c r="C38" s="12" t="s">
        <v>60</v>
      </c>
    </row>
    <row r="39" spans="1:3">
      <c r="A39" s="9" t="s">
        <v>3</v>
      </c>
      <c r="C39" s="11" t="s">
        <v>73</v>
      </c>
    </row>
    <row r="40" spans="1:3">
      <c r="A40" s="8" t="s">
        <v>51</v>
      </c>
      <c r="C40" s="12" t="s">
        <v>81</v>
      </c>
    </row>
    <row r="41" spans="1:3">
      <c r="A41" s="9" t="s">
        <v>47</v>
      </c>
      <c r="C41" s="11" t="s">
        <v>78</v>
      </c>
    </row>
    <row r="42" spans="1:3">
      <c r="A42" s="8" t="s">
        <v>15</v>
      </c>
      <c r="C42" s="12" t="s">
        <v>76</v>
      </c>
    </row>
    <row r="43" spans="1:3">
      <c r="A43" s="9" t="s">
        <v>13</v>
      </c>
    </row>
    <row r="44" spans="1:3">
      <c r="A44" s="8" t="s">
        <v>28</v>
      </c>
    </row>
    <row r="45" spans="1:3">
      <c r="A45" s="9" t="s">
        <v>17</v>
      </c>
    </row>
    <row r="46" spans="1:3">
      <c r="A46" s="8" t="s">
        <v>31</v>
      </c>
    </row>
    <row r="47" spans="1:3">
      <c r="A47" s="9" t="s">
        <v>6</v>
      </c>
    </row>
    <row r="48" spans="1:3">
      <c r="A48" s="8" t="s">
        <v>7</v>
      </c>
    </row>
    <row r="49" spans="1:1">
      <c r="A49" s="9" t="s">
        <v>37</v>
      </c>
    </row>
    <row r="50" spans="1:1">
      <c r="A50" s="8" t="s">
        <v>33</v>
      </c>
    </row>
    <row r="51" spans="1:1">
      <c r="A51" s="9" t="s">
        <v>12</v>
      </c>
    </row>
    <row r="52" spans="1:1">
      <c r="A52" s="8" t="s">
        <v>11</v>
      </c>
    </row>
    <row r="53" spans="1:1">
      <c r="A53" s="9" t="s">
        <v>25</v>
      </c>
    </row>
    <row r="54" spans="1:1">
      <c r="A54" s="8" t="s">
        <v>48</v>
      </c>
    </row>
    <row r="55" spans="1:1">
      <c r="A55" s="11" t="s">
        <v>5</v>
      </c>
    </row>
  </sheetData>
  <sheetProtection sheet="1" objects="1" scenarios="1" sort="0" autoFilter="0"/>
  <pageMargins left="0.7" right="0.7" top="0.75" bottom="0.75" header="0.3" footer="0.3"/>
  <tableParts count="6">
    <tablePart r:id="rId1"/>
    <tablePart r:id="rId2"/>
    <tablePart r:id="rId3"/>
    <tablePart r:id="rId4"/>
    <tablePart r:id="rId5"/>
    <tablePart r:id="rId6"/>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4</vt:i4>
      </vt:variant>
    </vt:vector>
  </HeadingPairs>
  <TitlesOfParts>
    <vt:vector size="14" baseType="lpstr">
      <vt:lpstr>Builds</vt:lpstr>
      <vt:lpstr>Favorite Builds</vt:lpstr>
      <vt:lpstr>Characters</vt:lpstr>
      <vt:lpstr>Karts</vt:lpstr>
      <vt:lpstr>Tires</vt:lpstr>
      <vt:lpstr>Gliders</vt:lpstr>
      <vt:lpstr>Compiler</vt:lpstr>
      <vt:lpstr>Stats Tables</vt:lpstr>
      <vt:lpstr>Lists</vt:lpstr>
      <vt:lpstr>Notes</vt:lpstr>
      <vt:lpstr>DriversLIST</vt:lpstr>
      <vt:lpstr>GlidersLIST</vt:lpstr>
      <vt:lpstr>KartsLIST</vt:lpstr>
      <vt:lpstr>TiresLIST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 Goebel</cp:lastModifiedBy>
  <dcterms:created xsi:type="dcterms:W3CDTF">2023-11-26T23:41:56Z</dcterms:created>
  <dcterms:modified xsi:type="dcterms:W3CDTF">2023-12-04T20:54:23Z</dcterms:modified>
</cp:coreProperties>
</file>