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OneDrive\Documents\"/>
    </mc:Choice>
  </mc:AlternateContent>
  <xr:revisionPtr revIDLastSave="0" documentId="8_{BEE486D7-960C-4AE4-B355-270B0F8C5EB3}" xr6:coauthVersionLast="47" xr6:coauthVersionMax="47" xr10:uidLastSave="{00000000-0000-0000-0000-000000000000}"/>
  <bookViews>
    <workbookView xWindow="-120" yWindow="-120" windowWidth="29040" windowHeight="15840" xr2:uid="{E91F93E9-F1F6-407E-81F5-866D654EAD3F}"/>
  </bookViews>
  <sheets>
    <sheet name="practice" sheetId="1" r:id="rId1"/>
    <sheet name="Excercise 1" sheetId="2" r:id="rId2"/>
    <sheet name="Excercise 1.b" sheetId="3" r:id="rId3"/>
    <sheet name="Excercise 2" sheetId="4" r:id="rId4"/>
    <sheet name="Excercise 4 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5" l="1"/>
  <c r="B15" i="5"/>
  <c r="B12" i="5"/>
  <c r="D10" i="5"/>
  <c r="E10" i="5"/>
  <c r="F10" i="5"/>
  <c r="G10" i="5"/>
  <c r="C10" i="5"/>
  <c r="G9" i="5"/>
  <c r="E8" i="5"/>
  <c r="F8" i="5"/>
  <c r="G8" i="5"/>
  <c r="D8" i="5"/>
  <c r="C8" i="5"/>
  <c r="C11" i="4"/>
  <c r="D11" i="4"/>
  <c r="B11" i="4"/>
  <c r="Q4" i="3"/>
  <c r="Q7" i="3" s="1"/>
  <c r="N6" i="3" s="1"/>
  <c r="K4" i="3"/>
  <c r="K7" i="3" s="1"/>
  <c r="K9" i="3" s="1"/>
  <c r="H9" i="3" s="1"/>
  <c r="E4" i="3"/>
  <c r="E8" i="3" s="1"/>
  <c r="Q45" i="2"/>
  <c r="N43" i="2"/>
  <c r="N38" i="2"/>
  <c r="N37" i="2"/>
  <c r="N36" i="2"/>
  <c r="N35" i="2"/>
  <c r="Q34" i="2"/>
  <c r="N33" i="2"/>
  <c r="Q32" i="2"/>
  <c r="N32" i="2"/>
  <c r="N39" i="2" s="1"/>
  <c r="N41" i="2" s="1"/>
  <c r="Q31" i="2"/>
  <c r="Q30" i="2"/>
  <c r="N29" i="2"/>
  <c r="K31" i="2"/>
  <c r="K32" i="2" s="1"/>
  <c r="E30" i="2"/>
  <c r="E32" i="2" s="1"/>
  <c r="E45" i="2" s="1"/>
  <c r="K30" i="2"/>
  <c r="H41" i="2"/>
  <c r="H39" i="2"/>
  <c r="K34" i="2"/>
  <c r="H43" i="2"/>
  <c r="H38" i="2"/>
  <c r="H37" i="2"/>
  <c r="H36" i="2"/>
  <c r="H35" i="2"/>
  <c r="H33" i="2"/>
  <c r="H32" i="2"/>
  <c r="H29" i="2"/>
  <c r="B45" i="2"/>
  <c r="B15" i="2"/>
  <c r="B39" i="2"/>
  <c r="B41" i="2" s="1"/>
  <c r="E21" i="2"/>
  <c r="E15" i="2"/>
  <c r="E9" i="2"/>
  <c r="B8" i="2"/>
  <c r="Q21" i="2"/>
  <c r="K21" i="2"/>
  <c r="Q15" i="2"/>
  <c r="N15" i="2"/>
  <c r="K15" i="2"/>
  <c r="H15" i="2"/>
  <c r="H24" i="2" s="1"/>
  <c r="Q9" i="2"/>
  <c r="K9" i="2"/>
  <c r="N8" i="2"/>
  <c r="H8" i="2"/>
  <c r="K14" i="1"/>
  <c r="K22" i="1" s="1"/>
  <c r="H11" i="1"/>
  <c r="H22" i="1"/>
  <c r="B13" i="1"/>
  <c r="B19" i="1" s="1"/>
  <c r="E10" i="3" l="1"/>
  <c r="B10" i="3" s="1"/>
  <c r="B7" i="3"/>
  <c r="Q9" i="3"/>
  <c r="N9" i="3" s="1"/>
  <c r="H6" i="3"/>
  <c r="N45" i="2"/>
  <c r="K45" i="2"/>
  <c r="H45" i="2"/>
  <c r="Q24" i="2"/>
  <c r="B24" i="2"/>
  <c r="E24" i="2"/>
  <c r="K24" i="2"/>
  <c r="N24" i="2"/>
</calcChain>
</file>

<file path=xl/sharedStrings.xml><?xml version="1.0" encoding="utf-8"?>
<sst xmlns="http://schemas.openxmlformats.org/spreadsheetml/2006/main" count="289" uniqueCount="127">
  <si>
    <t>Assets</t>
  </si>
  <si>
    <t>short term assets</t>
  </si>
  <si>
    <t xml:space="preserve">  cash  </t>
  </si>
  <si>
    <t xml:space="preserve">  marketable securities</t>
  </si>
  <si>
    <t xml:space="preserve">  inventories  </t>
  </si>
  <si>
    <t xml:space="preserve">  Accounts receivable</t>
  </si>
  <si>
    <t>Fixed Assets</t>
  </si>
  <si>
    <t xml:space="preserve">  Land</t>
  </si>
  <si>
    <t xml:space="preserve">  Plant Property, and equipment at cost</t>
  </si>
  <si>
    <t xml:space="preserve">  Minus accumulated depreciation</t>
  </si>
  <si>
    <t>Net fixed Assets</t>
  </si>
  <si>
    <t xml:space="preserve">Good will </t>
  </si>
  <si>
    <t>Discontinued operation</t>
  </si>
  <si>
    <t>Total assets</t>
  </si>
  <si>
    <t>Liabilities and equity</t>
  </si>
  <si>
    <t>Short- term liabilities</t>
  </si>
  <si>
    <t xml:space="preserve">  Accounts payable</t>
  </si>
  <si>
    <t xml:space="preserve">  Taxes payable</t>
  </si>
  <si>
    <t xml:space="preserve">  Current portion of long-term debt</t>
  </si>
  <si>
    <t xml:space="preserve">  Short term debt</t>
  </si>
  <si>
    <t>Long term debt</t>
  </si>
  <si>
    <t>Pension liabilities</t>
  </si>
  <si>
    <t xml:space="preserve">Preferred stock </t>
  </si>
  <si>
    <t>minority interest</t>
  </si>
  <si>
    <t>Equity</t>
  </si>
  <si>
    <t xml:space="preserve">  Stock at par</t>
  </si>
  <si>
    <t xml:space="preserve">  Accumulated retained earnings</t>
  </si>
  <si>
    <t xml:space="preserve"> Stock repurchases</t>
  </si>
  <si>
    <t>Total liabilities and equity</t>
  </si>
  <si>
    <t>working capital</t>
  </si>
  <si>
    <t>Good will</t>
  </si>
  <si>
    <t>Excess Assets</t>
  </si>
  <si>
    <t>Excess financial assets</t>
  </si>
  <si>
    <t xml:space="preserve">discontinued op. </t>
  </si>
  <si>
    <t>Total Assets</t>
  </si>
  <si>
    <t xml:space="preserve">Operational liabilities (negative working capital) </t>
  </si>
  <si>
    <t>financial liabilties</t>
  </si>
  <si>
    <t>Total financial liabilities</t>
  </si>
  <si>
    <t>Excess Fianancial Assets</t>
  </si>
  <si>
    <t>Cash and Cash equivalents</t>
  </si>
  <si>
    <t>Other current assets</t>
  </si>
  <si>
    <t>Fixed assets</t>
  </si>
  <si>
    <t xml:space="preserve">Other non- current assets </t>
  </si>
  <si>
    <t>Accounts receivable</t>
  </si>
  <si>
    <t>Apple Inc. 2024 (In millions)</t>
  </si>
  <si>
    <t>Excess assets</t>
  </si>
  <si>
    <t>Vendor non-trade receivables</t>
  </si>
  <si>
    <t>Liabilities and Equity</t>
  </si>
  <si>
    <t>Financial liabilties</t>
  </si>
  <si>
    <t>Total fixed assets</t>
  </si>
  <si>
    <t>Total excess fin assets</t>
  </si>
  <si>
    <t>Stocks at par</t>
  </si>
  <si>
    <t>Accumulated deficit</t>
  </si>
  <si>
    <t>Accumulated other comprehensive loss</t>
  </si>
  <si>
    <t>Total operational liabilities</t>
  </si>
  <si>
    <t xml:space="preserve">Apple Inc. 2023 (In millions) </t>
  </si>
  <si>
    <t xml:space="preserve">Cash and cash equivalents </t>
  </si>
  <si>
    <t xml:space="preserve">Marketable securities </t>
  </si>
  <si>
    <t>Accounts receivable, net</t>
  </si>
  <si>
    <t xml:space="preserve">Inventories </t>
  </si>
  <si>
    <t>Assets:</t>
  </si>
  <si>
    <t>Excess financial assets:</t>
  </si>
  <si>
    <t>Total Excess financial assets</t>
  </si>
  <si>
    <t>Liabilities:</t>
  </si>
  <si>
    <t>Working capital</t>
  </si>
  <si>
    <t>Operational liabilities</t>
  </si>
  <si>
    <t>Accounts payable</t>
  </si>
  <si>
    <t>Other current liabilities</t>
  </si>
  <si>
    <t>Deferred revenue</t>
  </si>
  <si>
    <t xml:space="preserve">Other non current </t>
  </si>
  <si>
    <t>Term debt</t>
  </si>
  <si>
    <t>Commercial paper</t>
  </si>
  <si>
    <t>Non current term debt</t>
  </si>
  <si>
    <t>Total equity</t>
  </si>
  <si>
    <t>Marketable securities</t>
  </si>
  <si>
    <t>Inventories</t>
  </si>
  <si>
    <t xml:space="preserve">Apple Inc. 2022 (In millions) </t>
  </si>
  <si>
    <t>Property, plant, and equipment</t>
  </si>
  <si>
    <t>Property, plant, andequipment</t>
  </si>
  <si>
    <t>Apple Inc. 2022 - 2024  Balance Sheets to Operational B.S</t>
  </si>
  <si>
    <t>Cash and cash equivalents</t>
  </si>
  <si>
    <t>Operational Balance Sheet</t>
  </si>
  <si>
    <t>Net fixed assets</t>
  </si>
  <si>
    <t>Working Capital</t>
  </si>
  <si>
    <t>minus</t>
  </si>
  <si>
    <t>Net Working Capital</t>
  </si>
  <si>
    <t>Net financial debt</t>
  </si>
  <si>
    <t>Financial liabilities</t>
  </si>
  <si>
    <t xml:space="preserve"> minus excess financial assets</t>
  </si>
  <si>
    <t>Total net operational assets</t>
  </si>
  <si>
    <t>Apple Inc. 2022</t>
  </si>
  <si>
    <t>Apple Inc. 2023</t>
  </si>
  <si>
    <t>Apple Inc. 2024</t>
  </si>
  <si>
    <t>Shares outstanding (2022)</t>
  </si>
  <si>
    <t xml:space="preserve">Share price (2022) </t>
  </si>
  <si>
    <t>Apple Inc. Valuation of Equity 2022</t>
  </si>
  <si>
    <t>Enterprise Value</t>
  </si>
  <si>
    <t>Market capitalization - equity value (M)</t>
  </si>
  <si>
    <t>Total</t>
  </si>
  <si>
    <t>Shares outstanding (2023)</t>
  </si>
  <si>
    <t xml:space="preserve">Share price (2023) </t>
  </si>
  <si>
    <t>Apple Inc. Valuation of Equity 2023</t>
  </si>
  <si>
    <t>Apple Inc. Valuation of Equity 2024</t>
  </si>
  <si>
    <t>Shares outstanding (2024)</t>
  </si>
  <si>
    <t xml:space="preserve">Share price (2024) </t>
  </si>
  <si>
    <t xml:space="preserve">CFs from operating activities: </t>
  </si>
  <si>
    <t xml:space="preserve">Cash generated by operating activities </t>
  </si>
  <si>
    <t>Acquisitions, net of cash and cash equivalents acquired .</t>
  </si>
  <si>
    <t>Acquisition of property and equipment</t>
  </si>
  <si>
    <t>Cash flows from investing activities:
productive activities</t>
  </si>
  <si>
    <t>Net interest paid</t>
  </si>
  <si>
    <t>Free Cash Flow</t>
  </si>
  <si>
    <t xml:space="preserve">CISCO SYSTEMS, INC. 2024
Consolidated Statements of Operations (Millions) </t>
  </si>
  <si>
    <t>Identify free cash flow from CSFC*</t>
  </si>
  <si>
    <t>*Convert Balance sheets to Operational B.S</t>
  </si>
  <si>
    <t xml:space="preserve">WACC </t>
  </si>
  <si>
    <t>Growth rate for years 1 - 5</t>
  </si>
  <si>
    <t xml:space="preserve">Long-term growth rate </t>
  </si>
  <si>
    <t xml:space="preserve">Amazon Stock </t>
  </si>
  <si>
    <t>FCF, Year ending 31 Dec. 2024</t>
  </si>
  <si>
    <t>Year</t>
  </si>
  <si>
    <t>FCF</t>
  </si>
  <si>
    <t>Terminal Value</t>
  </si>
  <si>
    <t>Add back initial cash and marketable securities</t>
  </si>
  <si>
    <t>Equity value</t>
  </si>
  <si>
    <t>Subtract  2024 financial liabilities</t>
  </si>
  <si>
    <t xml:space="preserve">Per share (10593 shares outstanding)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</si>
</sst>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4" formatCode="&quot;$&quot;#,##0.000_);[Red]\(&quot;$&quot;#,##0.000\)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3" fontId="0" fillId="2" borderId="0" xfId="0" applyNumberFormat="1" applyFill="1"/>
    <xf numFmtId="3" fontId="1" fillId="2" borderId="0" xfId="0" applyNumberFormat="1" applyFont="1" applyFill="1"/>
    <xf numFmtId="0" fontId="3" fillId="2" borderId="0" xfId="0" applyFont="1" applyFill="1"/>
    <xf numFmtId="0" fontId="0" fillId="2" borderId="3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3" fillId="2" borderId="2" xfId="0" applyFont="1" applyFill="1" applyBorder="1"/>
    <xf numFmtId="0" fontId="0" fillId="2" borderId="2" xfId="0" applyFill="1" applyBorder="1"/>
    <xf numFmtId="0" fontId="2" fillId="2" borderId="0" xfId="0" applyFont="1" applyFill="1"/>
    <xf numFmtId="0" fontId="1" fillId="0" borderId="0" xfId="0" applyFont="1" applyAlignment="1">
      <alignment horizontal="center"/>
    </xf>
    <xf numFmtId="164" fontId="1" fillId="2" borderId="0" xfId="0" applyNumberFormat="1" applyFont="1" applyFill="1"/>
    <xf numFmtId="164" fontId="5" fillId="2" borderId="0" xfId="0" applyNumberFormat="1" applyFont="1" applyFill="1"/>
    <xf numFmtId="164" fontId="0" fillId="2" borderId="0" xfId="0" applyNumberFormat="1" applyFill="1"/>
    <xf numFmtId="0" fontId="6" fillId="2" borderId="0" xfId="0" applyFont="1" applyFill="1"/>
    <xf numFmtId="164" fontId="6" fillId="2" borderId="0" xfId="0" applyNumberFormat="1" applyFont="1" applyFill="1"/>
    <xf numFmtId="3" fontId="0" fillId="0" borderId="0" xfId="0" applyNumberFormat="1"/>
    <xf numFmtId="3" fontId="6" fillId="2" borderId="0" xfId="0" applyNumberFormat="1" applyFont="1" applyFill="1"/>
    <xf numFmtId="3" fontId="6" fillId="0" borderId="0" xfId="0" applyNumberFormat="1" applyFont="1"/>
    <xf numFmtId="15" fontId="0" fillId="2" borderId="0" xfId="0" applyNumberFormat="1" applyFill="1"/>
    <xf numFmtId="0" fontId="1" fillId="2" borderId="0" xfId="0" applyFont="1" applyFill="1" applyAlignment="1">
      <alignment wrapText="1"/>
    </xf>
    <xf numFmtId="6" fontId="0" fillId="2" borderId="0" xfId="0" applyNumberFormat="1" applyFill="1"/>
    <xf numFmtId="9" fontId="0" fillId="0" borderId="0" xfId="0" applyNumberFormat="1"/>
    <xf numFmtId="4" fontId="9" fillId="0" borderId="0" xfId="0" applyNumberFormat="1" applyFont="1"/>
    <xf numFmtId="0" fontId="1" fillId="0" borderId="4" xfId="0" applyFont="1" applyBorder="1"/>
    <xf numFmtId="0" fontId="0" fillId="0" borderId="4" xfId="1" applyNumberFormat="1" applyFont="1" applyBorder="1"/>
    <xf numFmtId="0" fontId="0" fillId="0" borderId="4" xfId="1" applyNumberFormat="1" applyFont="1" applyFill="1" applyBorder="1"/>
    <xf numFmtId="0" fontId="4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0" fontId="0" fillId="4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C7BC2-A7FE-441D-880B-6766EC13D9F4}">
  <dimension ref="A1:K22"/>
  <sheetViews>
    <sheetView tabSelected="1" workbookViewId="0">
      <selection activeCell="A22" sqref="A22:B22"/>
    </sheetView>
  </sheetViews>
  <sheetFormatPr defaultRowHeight="15" x14ac:dyDescent="0.25"/>
  <cols>
    <col min="1" max="1" width="35.5703125" bestFit="1" customWidth="1"/>
    <col min="2" max="2" width="8" customWidth="1"/>
    <col min="3" max="3" width="2.140625" customWidth="1"/>
    <col min="4" max="4" width="35.42578125" customWidth="1"/>
    <col min="5" max="5" width="7.5703125" customWidth="1"/>
    <col min="7" max="7" width="35.5703125" bestFit="1" customWidth="1"/>
    <col min="8" max="8" width="7" bestFit="1" customWidth="1"/>
    <col min="9" max="9" width="1.5703125" customWidth="1"/>
    <col min="10" max="10" width="45" bestFit="1" customWidth="1"/>
    <col min="11" max="11" width="7.42578125" customWidth="1"/>
  </cols>
  <sheetData>
    <row r="1" spans="1:11" x14ac:dyDescent="0.25">
      <c r="A1" s="1" t="s">
        <v>0</v>
      </c>
      <c r="D1" s="1" t="s">
        <v>14</v>
      </c>
      <c r="G1" t="s">
        <v>0</v>
      </c>
      <c r="J1" t="s">
        <v>14</v>
      </c>
    </row>
    <row r="2" spans="1:11" x14ac:dyDescent="0.25">
      <c r="A2" t="s">
        <v>1</v>
      </c>
      <c r="D2" t="s">
        <v>15</v>
      </c>
    </row>
    <row r="3" spans="1:11" x14ac:dyDescent="0.25">
      <c r="A3" t="s">
        <v>2</v>
      </c>
      <c r="B3">
        <v>1000</v>
      </c>
      <c r="D3" t="s">
        <v>16</v>
      </c>
      <c r="E3">
        <v>1500</v>
      </c>
      <c r="G3" s="2" t="s">
        <v>32</v>
      </c>
      <c r="J3" s="2" t="s">
        <v>35</v>
      </c>
    </row>
    <row r="4" spans="1:11" x14ac:dyDescent="0.25">
      <c r="A4" t="s">
        <v>3</v>
      </c>
      <c r="B4">
        <v>1500</v>
      </c>
      <c r="D4" t="s">
        <v>17</v>
      </c>
      <c r="E4">
        <v>200</v>
      </c>
      <c r="G4" t="s">
        <v>2</v>
      </c>
      <c r="H4">
        <v>1000</v>
      </c>
      <c r="J4" t="s">
        <v>16</v>
      </c>
      <c r="K4">
        <v>1500</v>
      </c>
    </row>
    <row r="5" spans="1:11" x14ac:dyDescent="0.25">
      <c r="A5" t="s">
        <v>4</v>
      </c>
      <c r="B5">
        <v>1500</v>
      </c>
      <c r="D5" t="s">
        <v>18</v>
      </c>
      <c r="E5">
        <v>1000</v>
      </c>
      <c r="G5" t="s">
        <v>3</v>
      </c>
      <c r="H5">
        <v>1500</v>
      </c>
      <c r="J5" t="s">
        <v>17</v>
      </c>
      <c r="K5">
        <v>200</v>
      </c>
    </row>
    <row r="6" spans="1:11" x14ac:dyDescent="0.25">
      <c r="A6" t="s">
        <v>5</v>
      </c>
      <c r="B6">
        <v>3000</v>
      </c>
      <c r="D6" t="s">
        <v>19</v>
      </c>
      <c r="E6">
        <v>500</v>
      </c>
    </row>
    <row r="7" spans="1:11" x14ac:dyDescent="0.25">
      <c r="G7" t="s">
        <v>6</v>
      </c>
      <c r="J7" s="2" t="s">
        <v>36</v>
      </c>
    </row>
    <row r="8" spans="1:11" x14ac:dyDescent="0.25">
      <c r="A8" t="s">
        <v>6</v>
      </c>
      <c r="D8" t="s">
        <v>20</v>
      </c>
      <c r="E8">
        <v>1500</v>
      </c>
      <c r="G8" t="s">
        <v>7</v>
      </c>
      <c r="H8">
        <v>150</v>
      </c>
      <c r="J8" t="s">
        <v>18</v>
      </c>
      <c r="K8">
        <v>1000</v>
      </c>
    </row>
    <row r="9" spans="1:11" x14ac:dyDescent="0.25">
      <c r="A9" t="s">
        <v>7</v>
      </c>
      <c r="B9">
        <v>150</v>
      </c>
      <c r="D9" t="s">
        <v>21</v>
      </c>
      <c r="E9">
        <v>800</v>
      </c>
      <c r="G9" t="s">
        <v>8</v>
      </c>
      <c r="H9">
        <v>2000</v>
      </c>
      <c r="J9" t="s">
        <v>19</v>
      </c>
      <c r="K9">
        <v>500</v>
      </c>
    </row>
    <row r="10" spans="1:11" x14ac:dyDescent="0.25">
      <c r="A10" t="s">
        <v>8</v>
      </c>
      <c r="B10">
        <v>2000</v>
      </c>
      <c r="G10" t="s">
        <v>9</v>
      </c>
      <c r="H10">
        <v>-700</v>
      </c>
      <c r="J10" t="s">
        <v>21</v>
      </c>
      <c r="K10">
        <v>800</v>
      </c>
    </row>
    <row r="11" spans="1:11" x14ac:dyDescent="0.25">
      <c r="A11" t="s">
        <v>9</v>
      </c>
      <c r="B11">
        <v>-700</v>
      </c>
      <c r="D11" t="s">
        <v>22</v>
      </c>
      <c r="E11">
        <v>200</v>
      </c>
      <c r="G11" s="1" t="s">
        <v>10</v>
      </c>
      <c r="H11" s="1">
        <f>SUM(H8:H10)</f>
        <v>1450</v>
      </c>
      <c r="J11" t="s">
        <v>22</v>
      </c>
      <c r="K11">
        <v>200</v>
      </c>
    </row>
    <row r="12" spans="1:11" x14ac:dyDescent="0.25">
      <c r="D12" t="s">
        <v>23</v>
      </c>
      <c r="E12">
        <v>100</v>
      </c>
      <c r="J12" t="s">
        <v>23</v>
      </c>
      <c r="K12">
        <v>100</v>
      </c>
    </row>
    <row r="13" spans="1:11" x14ac:dyDescent="0.25">
      <c r="A13" s="1" t="s">
        <v>10</v>
      </c>
      <c r="B13" s="1">
        <f>SUM(B9:B11)</f>
        <v>1450</v>
      </c>
      <c r="G13" s="2" t="s">
        <v>29</v>
      </c>
      <c r="J13" t="s">
        <v>20</v>
      </c>
      <c r="K13">
        <v>1500</v>
      </c>
    </row>
    <row r="14" spans="1:11" x14ac:dyDescent="0.25">
      <c r="D14" t="s">
        <v>24</v>
      </c>
      <c r="G14" t="s">
        <v>4</v>
      </c>
      <c r="H14">
        <v>1500</v>
      </c>
      <c r="J14" s="1" t="s">
        <v>37</v>
      </c>
      <c r="K14" s="1">
        <f>SUM(K8:K13)</f>
        <v>4100</v>
      </c>
    </row>
    <row r="15" spans="1:11" x14ac:dyDescent="0.25">
      <c r="A15" t="s">
        <v>11</v>
      </c>
      <c r="B15">
        <v>1000</v>
      </c>
      <c r="D15" t="s">
        <v>25</v>
      </c>
      <c r="E15">
        <v>1000</v>
      </c>
      <c r="G15" t="s">
        <v>5</v>
      </c>
      <c r="H15">
        <v>3000</v>
      </c>
    </row>
    <row r="16" spans="1:11" x14ac:dyDescent="0.25">
      <c r="D16" t="s">
        <v>26</v>
      </c>
      <c r="E16">
        <v>3500</v>
      </c>
      <c r="J16" s="2" t="s">
        <v>24</v>
      </c>
    </row>
    <row r="17" spans="1:11" x14ac:dyDescent="0.25">
      <c r="A17" t="s">
        <v>12</v>
      </c>
      <c r="B17">
        <v>500</v>
      </c>
      <c r="D17" t="s">
        <v>27</v>
      </c>
      <c r="E17">
        <v>-350</v>
      </c>
      <c r="G17" t="s">
        <v>30</v>
      </c>
      <c r="H17">
        <v>1000</v>
      </c>
      <c r="J17" t="s">
        <v>25</v>
      </c>
      <c r="K17">
        <v>1000</v>
      </c>
    </row>
    <row r="18" spans="1:11" x14ac:dyDescent="0.25">
      <c r="J18" t="s">
        <v>26</v>
      </c>
      <c r="K18">
        <v>3500</v>
      </c>
    </row>
    <row r="19" spans="1:11" x14ac:dyDescent="0.25">
      <c r="A19" s="1" t="s">
        <v>13</v>
      </c>
      <c r="B19" s="1">
        <f>SUM(B3:B6,B13,B14:B18)</f>
        <v>9950</v>
      </c>
      <c r="D19" s="1" t="s">
        <v>28</v>
      </c>
      <c r="E19" s="1">
        <v>9950</v>
      </c>
      <c r="G19" s="2" t="s">
        <v>31</v>
      </c>
      <c r="J19" t="s">
        <v>27</v>
      </c>
      <c r="K19">
        <v>-350</v>
      </c>
    </row>
    <row r="20" spans="1:11" x14ac:dyDescent="0.25">
      <c r="G20" t="s">
        <v>33</v>
      </c>
      <c r="H20">
        <v>500</v>
      </c>
    </row>
    <row r="22" spans="1:11" x14ac:dyDescent="0.25">
      <c r="G22" s="1" t="s">
        <v>34</v>
      </c>
      <c r="H22" s="1">
        <f>SUM(H20,H11:H17,H4:H5)</f>
        <v>9950</v>
      </c>
      <c r="I22" s="1"/>
      <c r="J22" s="1" t="s">
        <v>28</v>
      </c>
      <c r="K22" s="1">
        <f>SUM(K17:K19,K14,K4:K5)</f>
        <v>9950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FBFA8-FE82-4A07-A7C8-9D6DFC51B6F2}">
  <dimension ref="A1:Q48"/>
  <sheetViews>
    <sheetView topLeftCell="A9" zoomScale="85" zoomScaleNormal="85" workbookViewId="0">
      <selection activeCell="A49" sqref="A49"/>
    </sheetView>
  </sheetViews>
  <sheetFormatPr defaultRowHeight="15" x14ac:dyDescent="0.25"/>
  <cols>
    <col min="1" max="1" width="27.5703125" bestFit="1" customWidth="1"/>
    <col min="2" max="2" width="8" customWidth="1"/>
    <col min="3" max="3" width="1" customWidth="1"/>
    <col min="4" max="4" width="36.42578125" bestFit="1" customWidth="1"/>
    <col min="5" max="5" width="7.5703125" bestFit="1" customWidth="1"/>
    <col min="6" max="6" width="1.28515625" customWidth="1"/>
    <col min="7" max="7" width="27.5703125" bestFit="1" customWidth="1"/>
    <col min="8" max="8" width="8.7109375" customWidth="1"/>
    <col min="9" max="9" width="1.140625" customWidth="1"/>
    <col min="10" max="10" width="36.42578125" bestFit="1" customWidth="1"/>
    <col min="11" max="11" width="7.5703125" bestFit="1" customWidth="1"/>
    <col min="12" max="12" width="0.7109375" customWidth="1"/>
    <col min="13" max="13" width="27.140625" customWidth="1"/>
    <col min="14" max="14" width="8.5703125" customWidth="1"/>
    <col min="15" max="15" width="1.85546875" customWidth="1"/>
    <col min="16" max="16" width="35.5703125" customWidth="1"/>
    <col min="17" max="17" width="7.42578125" customWidth="1"/>
  </cols>
  <sheetData>
    <row r="1" spans="1:17" ht="21" x14ac:dyDescent="0.35">
      <c r="A1" s="31" t="s">
        <v>79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7" ht="15.75" thickBot="1" x14ac:dyDescent="0.3">
      <c r="A2" s="9" t="s">
        <v>76</v>
      </c>
      <c r="B2" s="10"/>
      <c r="C2" s="10"/>
      <c r="D2" s="10"/>
      <c r="E2" s="10"/>
      <c r="G2" s="9" t="s">
        <v>55</v>
      </c>
      <c r="H2" s="10"/>
      <c r="I2" s="10"/>
      <c r="J2" s="10"/>
      <c r="K2" s="10"/>
      <c r="M2" s="9" t="s">
        <v>44</v>
      </c>
      <c r="N2" s="10"/>
      <c r="O2" s="10"/>
      <c r="P2" s="10"/>
      <c r="Q2" s="10"/>
    </row>
    <row r="3" spans="1:17" ht="15.75" thickTop="1" x14ac:dyDescent="0.25">
      <c r="A3" s="3" t="s">
        <v>60</v>
      </c>
      <c r="B3" s="4"/>
      <c r="C3" s="4"/>
      <c r="D3" s="3" t="s">
        <v>63</v>
      </c>
      <c r="E3" s="4"/>
      <c r="G3" s="3" t="s">
        <v>60</v>
      </c>
      <c r="H3" s="4"/>
      <c r="I3" s="4"/>
      <c r="J3" s="3" t="s">
        <v>63</v>
      </c>
      <c r="K3" s="4"/>
      <c r="M3" s="3" t="s">
        <v>0</v>
      </c>
      <c r="N3" s="3"/>
      <c r="O3" s="3"/>
      <c r="P3" s="3" t="s">
        <v>47</v>
      </c>
      <c r="Q3" s="4"/>
    </row>
    <row r="4" spans="1:17" x14ac:dyDescent="0.25">
      <c r="A4" s="11" t="s">
        <v>61</v>
      </c>
      <c r="B4" s="12"/>
      <c r="C4" s="12"/>
      <c r="D4" s="11" t="s">
        <v>65</v>
      </c>
      <c r="E4" s="12"/>
      <c r="G4" s="11" t="s">
        <v>61</v>
      </c>
      <c r="H4" s="12"/>
      <c r="I4" s="12"/>
      <c r="J4" s="11" t="s">
        <v>65</v>
      </c>
      <c r="K4" s="12"/>
      <c r="M4" s="11" t="s">
        <v>38</v>
      </c>
      <c r="N4" s="12"/>
      <c r="O4" s="12"/>
      <c r="P4" s="11" t="s">
        <v>65</v>
      </c>
      <c r="Q4" s="12"/>
    </row>
    <row r="5" spans="1:17" x14ac:dyDescent="0.25">
      <c r="A5" s="4" t="s">
        <v>80</v>
      </c>
      <c r="B5" s="5">
        <v>23646</v>
      </c>
      <c r="C5" s="4"/>
      <c r="D5" s="4" t="s">
        <v>66</v>
      </c>
      <c r="E5" s="5">
        <v>64115</v>
      </c>
      <c r="G5" s="4" t="s">
        <v>56</v>
      </c>
      <c r="H5" s="4">
        <v>29965</v>
      </c>
      <c r="I5" s="4"/>
      <c r="J5" s="4" t="s">
        <v>66</v>
      </c>
      <c r="K5" s="5">
        <v>62611</v>
      </c>
      <c r="M5" s="4" t="s">
        <v>39</v>
      </c>
      <c r="N5" s="4">
        <v>29943</v>
      </c>
      <c r="O5" s="4"/>
      <c r="P5" s="4" t="s">
        <v>66</v>
      </c>
      <c r="Q5" s="4">
        <v>68960</v>
      </c>
    </row>
    <row r="6" spans="1:17" x14ac:dyDescent="0.25">
      <c r="A6" s="4" t="s">
        <v>57</v>
      </c>
      <c r="B6" s="5">
        <v>24658</v>
      </c>
      <c r="C6" s="4"/>
      <c r="D6" s="4" t="s">
        <v>67</v>
      </c>
      <c r="E6" s="5">
        <v>60845</v>
      </c>
      <c r="G6" s="4" t="s">
        <v>57</v>
      </c>
      <c r="H6" s="4">
        <v>31590</v>
      </c>
      <c r="I6" s="4"/>
      <c r="J6" s="4" t="s">
        <v>67</v>
      </c>
      <c r="K6" s="5">
        <v>58829</v>
      </c>
      <c r="M6" s="4" t="s">
        <v>74</v>
      </c>
      <c r="N6" s="4">
        <v>35228</v>
      </c>
      <c r="O6" s="4"/>
      <c r="P6" s="4" t="s">
        <v>67</v>
      </c>
      <c r="Q6" s="4">
        <v>78304</v>
      </c>
    </row>
    <row r="7" spans="1:17" x14ac:dyDescent="0.25">
      <c r="A7" s="4" t="s">
        <v>40</v>
      </c>
      <c r="B7" s="5">
        <v>21223</v>
      </c>
      <c r="C7" s="4"/>
      <c r="D7" s="4" t="s">
        <v>68</v>
      </c>
      <c r="E7" s="5">
        <v>7912</v>
      </c>
      <c r="G7" s="4" t="s">
        <v>40</v>
      </c>
      <c r="H7" s="5">
        <v>14695</v>
      </c>
      <c r="I7" s="4"/>
      <c r="J7" s="4" t="s">
        <v>68</v>
      </c>
      <c r="K7" s="5">
        <v>8061</v>
      </c>
      <c r="M7" s="4" t="s">
        <v>40</v>
      </c>
      <c r="N7" s="4">
        <v>14287</v>
      </c>
      <c r="O7" s="4"/>
      <c r="P7" s="4" t="s">
        <v>68</v>
      </c>
      <c r="Q7" s="4">
        <v>8249</v>
      </c>
    </row>
    <row r="8" spans="1:17" x14ac:dyDescent="0.25">
      <c r="A8" s="3" t="s">
        <v>62</v>
      </c>
      <c r="B8" s="3">
        <f>SUM(B5:B7)</f>
        <v>69527</v>
      </c>
      <c r="C8" s="4"/>
      <c r="D8" s="4" t="s">
        <v>69</v>
      </c>
      <c r="E8" s="5">
        <v>49142</v>
      </c>
      <c r="G8" s="3" t="s">
        <v>62</v>
      </c>
      <c r="H8" s="3">
        <f>SUM(H5:H7)</f>
        <v>76250</v>
      </c>
      <c r="I8" s="4"/>
      <c r="J8" s="4" t="s">
        <v>69</v>
      </c>
      <c r="K8" s="5">
        <v>49848</v>
      </c>
      <c r="M8" s="3" t="s">
        <v>50</v>
      </c>
      <c r="N8" s="3">
        <f>SUM(N5:N7)</f>
        <v>79458</v>
      </c>
      <c r="O8" s="4"/>
      <c r="P8" s="4" t="s">
        <v>69</v>
      </c>
      <c r="Q8" s="5">
        <v>45888</v>
      </c>
    </row>
    <row r="9" spans="1:17" x14ac:dyDescent="0.25">
      <c r="A9" s="4"/>
      <c r="B9" s="4"/>
      <c r="C9" s="4"/>
      <c r="D9" s="3" t="s">
        <v>54</v>
      </c>
      <c r="E9" s="6">
        <f>SUM(E5:E8)</f>
        <v>182014</v>
      </c>
      <c r="G9" s="4"/>
      <c r="H9" s="4"/>
      <c r="I9" s="4"/>
      <c r="J9" s="3" t="s">
        <v>54</v>
      </c>
      <c r="K9" s="6">
        <f>SUM(K5:K8)</f>
        <v>179349</v>
      </c>
      <c r="M9" s="3"/>
      <c r="N9" s="3"/>
      <c r="O9" s="4"/>
      <c r="P9" s="3" t="s">
        <v>54</v>
      </c>
      <c r="Q9" s="3">
        <f>SUM(Q5:Q8)</f>
        <v>201401</v>
      </c>
    </row>
    <row r="10" spans="1:17" x14ac:dyDescent="0.25">
      <c r="A10" s="4"/>
      <c r="B10" s="4"/>
      <c r="C10" s="4"/>
      <c r="D10" s="4"/>
      <c r="E10" s="4"/>
      <c r="G10" s="4"/>
      <c r="H10" s="4"/>
      <c r="I10" s="4"/>
      <c r="J10" s="4"/>
      <c r="K10" s="4"/>
      <c r="M10" s="4"/>
      <c r="N10" s="4"/>
      <c r="O10" s="4"/>
      <c r="P10" s="4"/>
      <c r="Q10" s="4"/>
    </row>
    <row r="11" spans="1:17" x14ac:dyDescent="0.25">
      <c r="A11" s="3" t="s">
        <v>41</v>
      </c>
      <c r="B11" s="4"/>
      <c r="C11" s="4"/>
      <c r="D11" s="7" t="s">
        <v>48</v>
      </c>
      <c r="E11" s="4"/>
      <c r="G11" s="3" t="s">
        <v>41</v>
      </c>
      <c r="H11" s="4"/>
      <c r="I11" s="4"/>
      <c r="J11" s="7" t="s">
        <v>48</v>
      </c>
      <c r="K11" s="4"/>
      <c r="M11" s="3" t="s">
        <v>41</v>
      </c>
      <c r="N11" s="4"/>
      <c r="O11" s="4"/>
      <c r="P11" s="7" t="s">
        <v>48</v>
      </c>
      <c r="Q11" s="4"/>
    </row>
    <row r="12" spans="1:17" x14ac:dyDescent="0.25">
      <c r="A12" s="4" t="s">
        <v>74</v>
      </c>
      <c r="B12" s="5">
        <v>120805</v>
      </c>
      <c r="C12" s="4"/>
      <c r="D12" s="4" t="s">
        <v>70</v>
      </c>
      <c r="E12" s="5">
        <v>11128</v>
      </c>
      <c r="G12" s="4" t="s">
        <v>74</v>
      </c>
      <c r="H12" s="5">
        <v>100544</v>
      </c>
      <c r="I12" s="4"/>
      <c r="J12" s="4" t="s">
        <v>70</v>
      </c>
      <c r="K12" s="5">
        <v>9822</v>
      </c>
      <c r="M12" s="4" t="s">
        <v>74</v>
      </c>
      <c r="N12" s="4">
        <v>91479</v>
      </c>
      <c r="O12" s="4"/>
      <c r="P12" s="4" t="s">
        <v>70</v>
      </c>
      <c r="Q12" s="4">
        <v>10912</v>
      </c>
    </row>
    <row r="13" spans="1:17" x14ac:dyDescent="0.25">
      <c r="A13" s="4" t="s">
        <v>78</v>
      </c>
      <c r="B13" s="5">
        <v>42117</v>
      </c>
      <c r="C13" s="4"/>
      <c r="D13" s="4" t="s">
        <v>71</v>
      </c>
      <c r="E13" s="5">
        <v>9982</v>
      </c>
      <c r="G13" s="4" t="s">
        <v>77</v>
      </c>
      <c r="H13" s="5">
        <v>43715</v>
      </c>
      <c r="I13" s="4"/>
      <c r="J13" s="4" t="s">
        <v>71</v>
      </c>
      <c r="K13" s="5">
        <v>5985</v>
      </c>
      <c r="M13" s="4" t="s">
        <v>77</v>
      </c>
      <c r="N13" s="4">
        <v>45680</v>
      </c>
      <c r="O13" s="4"/>
      <c r="P13" s="4" t="s">
        <v>71</v>
      </c>
      <c r="Q13" s="4">
        <v>9967</v>
      </c>
    </row>
    <row r="14" spans="1:17" x14ac:dyDescent="0.25">
      <c r="A14" s="4" t="s">
        <v>42</v>
      </c>
      <c r="B14" s="5">
        <v>54428</v>
      </c>
      <c r="C14" s="4"/>
      <c r="D14" s="4" t="s">
        <v>72</v>
      </c>
      <c r="E14" s="5">
        <v>98959</v>
      </c>
      <c r="G14" s="4" t="s">
        <v>42</v>
      </c>
      <c r="H14" s="5">
        <v>64758</v>
      </c>
      <c r="I14" s="4"/>
      <c r="J14" s="4" t="s">
        <v>72</v>
      </c>
      <c r="K14" s="5">
        <v>95281</v>
      </c>
      <c r="M14" s="4" t="s">
        <v>42</v>
      </c>
      <c r="N14" s="4">
        <v>74834</v>
      </c>
      <c r="O14" s="4"/>
      <c r="P14" s="4" t="s">
        <v>72</v>
      </c>
      <c r="Q14" s="4">
        <v>85750</v>
      </c>
    </row>
    <row r="15" spans="1:17" x14ac:dyDescent="0.25">
      <c r="A15" s="3" t="s">
        <v>49</v>
      </c>
      <c r="B15" s="6">
        <f>SUM(B12:B14)</f>
        <v>217350</v>
      </c>
      <c r="C15" s="4"/>
      <c r="D15" s="3" t="s">
        <v>37</v>
      </c>
      <c r="E15" s="6">
        <f>SUM(E12:E14)</f>
        <v>120069</v>
      </c>
      <c r="G15" s="3" t="s">
        <v>49</v>
      </c>
      <c r="H15" s="6">
        <f>SUM(H12:H14)</f>
        <v>209017</v>
      </c>
      <c r="I15" s="4"/>
      <c r="J15" s="3" t="s">
        <v>37</v>
      </c>
      <c r="K15" s="6">
        <f>SUM(K12:K14)</f>
        <v>111088</v>
      </c>
      <c r="M15" s="3" t="s">
        <v>49</v>
      </c>
      <c r="N15" s="3">
        <f>SUM(N12:N14)</f>
        <v>211993</v>
      </c>
      <c r="O15" s="4"/>
      <c r="P15" s="3" t="s">
        <v>37</v>
      </c>
      <c r="Q15" s="3">
        <f>SUM(Q12:Q14)</f>
        <v>106629</v>
      </c>
    </row>
    <row r="16" spans="1:17" x14ac:dyDescent="0.25">
      <c r="A16" s="4"/>
      <c r="B16" s="4"/>
      <c r="C16" s="4"/>
      <c r="D16" s="4"/>
      <c r="E16" s="4"/>
      <c r="G16" s="4"/>
      <c r="H16" s="4"/>
      <c r="I16" s="4"/>
      <c r="J16" s="4"/>
      <c r="K16" s="4"/>
      <c r="M16" s="4"/>
      <c r="N16" s="4"/>
      <c r="O16" s="4"/>
      <c r="P16" s="4"/>
      <c r="Q16" s="4"/>
    </row>
    <row r="17" spans="1:17" x14ac:dyDescent="0.25">
      <c r="A17" s="7" t="s">
        <v>64</v>
      </c>
      <c r="B17" s="4"/>
      <c r="C17" s="4"/>
      <c r="D17" s="3" t="s">
        <v>24</v>
      </c>
      <c r="E17" s="4"/>
      <c r="G17" s="7" t="s">
        <v>64</v>
      </c>
      <c r="H17" s="4"/>
      <c r="I17" s="4"/>
      <c r="J17" s="3" t="s">
        <v>24</v>
      </c>
      <c r="K17" s="4"/>
      <c r="M17" s="7" t="s">
        <v>29</v>
      </c>
      <c r="N17" s="4"/>
      <c r="O17" s="4"/>
      <c r="P17" s="3" t="s">
        <v>24</v>
      </c>
      <c r="Q17" s="4"/>
    </row>
    <row r="18" spans="1:17" x14ac:dyDescent="0.25">
      <c r="A18" s="4" t="s">
        <v>58</v>
      </c>
      <c r="B18" s="5">
        <v>28184</v>
      </c>
      <c r="C18" s="4"/>
      <c r="D18" s="4" t="s">
        <v>51</v>
      </c>
      <c r="E18" s="5">
        <v>64849</v>
      </c>
      <c r="G18" s="4" t="s">
        <v>58</v>
      </c>
      <c r="H18" s="4">
        <v>29508</v>
      </c>
      <c r="I18" s="4"/>
      <c r="J18" s="4" t="s">
        <v>51</v>
      </c>
      <c r="K18" s="5">
        <v>73812</v>
      </c>
      <c r="M18" s="4" t="s">
        <v>43</v>
      </c>
      <c r="N18" s="4">
        <v>33410</v>
      </c>
      <c r="O18" s="4"/>
      <c r="P18" s="4" t="s">
        <v>51</v>
      </c>
      <c r="Q18" s="5">
        <v>83276</v>
      </c>
    </row>
    <row r="19" spans="1:17" x14ac:dyDescent="0.25">
      <c r="A19" s="4" t="s">
        <v>59</v>
      </c>
      <c r="B19" s="5">
        <v>4946</v>
      </c>
      <c r="C19" s="4"/>
      <c r="D19" s="4" t="s">
        <v>52</v>
      </c>
      <c r="E19" s="5">
        <v>-3068</v>
      </c>
      <c r="G19" s="4" t="s">
        <v>59</v>
      </c>
      <c r="H19" s="5">
        <v>6331</v>
      </c>
      <c r="I19" s="4"/>
      <c r="J19" s="4" t="s">
        <v>52</v>
      </c>
      <c r="K19" s="4">
        <v>-214</v>
      </c>
      <c r="M19" s="4" t="s">
        <v>75</v>
      </c>
      <c r="N19" s="4">
        <v>7286</v>
      </c>
      <c r="O19" s="4"/>
      <c r="P19" s="4" t="s">
        <v>52</v>
      </c>
      <c r="Q19" s="5">
        <v>-19154</v>
      </c>
    </row>
    <row r="20" spans="1:17" x14ac:dyDescent="0.25">
      <c r="A20" s="4"/>
      <c r="B20" s="4"/>
      <c r="C20" s="4"/>
      <c r="D20" s="4" t="s">
        <v>53</v>
      </c>
      <c r="E20" s="5">
        <v>-11109</v>
      </c>
      <c r="G20" s="4"/>
      <c r="H20" s="4"/>
      <c r="I20" s="4"/>
      <c r="J20" s="4" t="s">
        <v>53</v>
      </c>
      <c r="K20" s="5">
        <v>-11452</v>
      </c>
      <c r="M20" s="4"/>
      <c r="N20" s="4"/>
      <c r="O20" s="4"/>
      <c r="P20" s="4" t="s">
        <v>53</v>
      </c>
      <c r="Q20" s="5">
        <v>-7172</v>
      </c>
    </row>
    <row r="21" spans="1:17" x14ac:dyDescent="0.25">
      <c r="A21" s="3" t="s">
        <v>31</v>
      </c>
      <c r="B21" s="5"/>
      <c r="C21" s="4"/>
      <c r="D21" s="3" t="s">
        <v>73</v>
      </c>
      <c r="E21" s="5">
        <f>SUM(E18:E20)</f>
        <v>50672</v>
      </c>
      <c r="G21" s="3" t="s">
        <v>31</v>
      </c>
      <c r="H21" s="5"/>
      <c r="I21" s="4"/>
      <c r="J21" s="3" t="s">
        <v>73</v>
      </c>
      <c r="K21" s="5">
        <f>SUM(K18:K20)</f>
        <v>62146</v>
      </c>
      <c r="M21" s="7" t="s">
        <v>45</v>
      </c>
      <c r="N21" s="4"/>
      <c r="O21" s="4"/>
      <c r="P21" s="3" t="s">
        <v>73</v>
      </c>
      <c r="Q21" s="6">
        <f>SUM(Q18:Q20)</f>
        <v>56950</v>
      </c>
    </row>
    <row r="22" spans="1:17" x14ac:dyDescent="0.25">
      <c r="A22" s="4" t="s">
        <v>46</v>
      </c>
      <c r="B22" s="5">
        <v>32748</v>
      </c>
      <c r="C22" s="4"/>
      <c r="D22" s="4"/>
      <c r="E22" s="4"/>
      <c r="G22" s="4" t="s">
        <v>46</v>
      </c>
      <c r="H22" s="5">
        <v>31477</v>
      </c>
      <c r="I22" s="4"/>
      <c r="J22" s="4"/>
      <c r="K22" s="4"/>
      <c r="M22" s="4" t="s">
        <v>46</v>
      </c>
      <c r="N22" s="4">
        <v>32833</v>
      </c>
      <c r="O22" s="4"/>
      <c r="P22" s="4"/>
      <c r="Q22" s="4"/>
    </row>
    <row r="23" spans="1:17" ht="15.75" thickBot="1" x14ac:dyDescent="0.3">
      <c r="A23" s="8"/>
      <c r="B23" s="8"/>
      <c r="C23" s="8"/>
      <c r="D23" s="8"/>
      <c r="E23" s="8"/>
      <c r="G23" s="8"/>
      <c r="H23" s="8"/>
      <c r="I23" s="8"/>
      <c r="J23" s="8"/>
      <c r="K23" s="8"/>
      <c r="M23" s="8"/>
      <c r="N23" s="8"/>
      <c r="O23" s="8"/>
      <c r="P23" s="8"/>
      <c r="Q23" s="8"/>
    </row>
    <row r="24" spans="1:17" ht="15.75" thickTop="1" x14ac:dyDescent="0.25">
      <c r="A24" s="3" t="s">
        <v>34</v>
      </c>
      <c r="B24" s="6">
        <f>SUM(B22,B18:B19,B15,B8)</f>
        <v>352755</v>
      </c>
      <c r="C24" s="4"/>
      <c r="D24" s="3" t="s">
        <v>28</v>
      </c>
      <c r="E24" s="6">
        <f>SUM(E21,E15,E9,)</f>
        <v>352755</v>
      </c>
      <c r="G24" s="3" t="s">
        <v>34</v>
      </c>
      <c r="H24" s="6">
        <f>SUM(H22,H18:H19,H15,H8)</f>
        <v>352583</v>
      </c>
      <c r="I24" s="4"/>
      <c r="J24" s="3" t="s">
        <v>28</v>
      </c>
      <c r="K24" s="6">
        <f>SUM(K21,K15,K9,)</f>
        <v>352583</v>
      </c>
      <c r="M24" s="3" t="s">
        <v>13</v>
      </c>
      <c r="N24" s="3">
        <f>SUM(N22,N18:N19,N15,N8,)</f>
        <v>364980</v>
      </c>
      <c r="O24" s="3"/>
      <c r="P24" s="3" t="s">
        <v>28</v>
      </c>
      <c r="Q24" s="6">
        <f>SUM(Q9,Q15,Q21,)</f>
        <v>364980</v>
      </c>
    </row>
    <row r="26" spans="1:17" x14ac:dyDescent="0.25">
      <c r="A26" s="32" t="s">
        <v>81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  <row r="27" spans="1:17" x14ac:dyDescent="0.25">
      <c r="A27" s="33" t="s">
        <v>90</v>
      </c>
      <c r="B27" s="33"/>
      <c r="C27" s="33"/>
      <c r="D27" s="33"/>
      <c r="E27" s="33"/>
      <c r="F27" s="14"/>
      <c r="G27" s="33" t="s">
        <v>91</v>
      </c>
      <c r="H27" s="33"/>
      <c r="I27" s="33"/>
      <c r="J27" s="33"/>
      <c r="K27" s="33"/>
      <c r="L27" s="14"/>
      <c r="M27" s="33" t="s">
        <v>92</v>
      </c>
      <c r="N27" s="33"/>
      <c r="O27" s="33"/>
      <c r="P27" s="33"/>
      <c r="Q27" s="33"/>
    </row>
    <row r="28" spans="1:17" x14ac:dyDescent="0.25">
      <c r="A28" s="3" t="s">
        <v>0</v>
      </c>
      <c r="B28" s="4"/>
      <c r="C28" s="4"/>
      <c r="D28" s="3" t="s">
        <v>14</v>
      </c>
      <c r="E28" s="4"/>
      <c r="G28" s="3" t="s">
        <v>0</v>
      </c>
      <c r="H28" s="4"/>
      <c r="I28" s="4"/>
      <c r="J28" s="3" t="s">
        <v>14</v>
      </c>
      <c r="K28" s="4"/>
      <c r="M28" s="3" t="s">
        <v>0</v>
      </c>
      <c r="N28" s="4"/>
      <c r="O28" s="4"/>
      <c r="P28" s="3" t="s">
        <v>14</v>
      </c>
      <c r="Q28" s="4"/>
    </row>
    <row r="29" spans="1:17" x14ac:dyDescent="0.25">
      <c r="A29" s="4" t="s">
        <v>82</v>
      </c>
      <c r="B29" s="4">
        <v>217350</v>
      </c>
      <c r="C29" s="4"/>
      <c r="D29" s="7" t="s">
        <v>86</v>
      </c>
      <c r="E29" s="4"/>
      <c r="G29" s="4" t="s">
        <v>82</v>
      </c>
      <c r="H29" s="5">
        <f>H15</f>
        <v>209017</v>
      </c>
      <c r="I29" s="4"/>
      <c r="J29" s="7" t="s">
        <v>86</v>
      </c>
      <c r="K29" s="4"/>
      <c r="M29" s="4" t="s">
        <v>82</v>
      </c>
      <c r="N29" s="5">
        <f>N15</f>
        <v>211993</v>
      </c>
      <c r="O29" s="4"/>
      <c r="P29" s="7" t="s">
        <v>86</v>
      </c>
      <c r="Q29" s="4"/>
    </row>
    <row r="30" spans="1:17" x14ac:dyDescent="0.25">
      <c r="A30" s="13"/>
      <c r="B30" s="4"/>
      <c r="C30" s="4"/>
      <c r="D30" s="4" t="s">
        <v>87</v>
      </c>
      <c r="E30" s="5">
        <f>E15</f>
        <v>120069</v>
      </c>
      <c r="G30" s="13"/>
      <c r="H30" s="4"/>
      <c r="I30" s="4"/>
      <c r="J30" s="4" t="s">
        <v>87</v>
      </c>
      <c r="K30" s="5">
        <f>K15</f>
        <v>111088</v>
      </c>
      <c r="M30" s="13"/>
      <c r="N30" s="4"/>
      <c r="O30" s="4"/>
      <c r="P30" s="4" t="s">
        <v>87</v>
      </c>
      <c r="Q30" s="5">
        <f>Q15</f>
        <v>106629</v>
      </c>
    </row>
    <row r="31" spans="1:17" x14ac:dyDescent="0.25">
      <c r="A31" s="7" t="s">
        <v>83</v>
      </c>
      <c r="B31" s="4"/>
      <c r="C31" s="4"/>
      <c r="D31" s="4" t="s">
        <v>88</v>
      </c>
      <c r="E31" s="4">
        <v>-69527</v>
      </c>
      <c r="G31" s="7" t="s">
        <v>83</v>
      </c>
      <c r="H31" s="4"/>
      <c r="I31" s="4"/>
      <c r="J31" s="4" t="s">
        <v>88</v>
      </c>
      <c r="K31" s="5">
        <f>-H8</f>
        <v>-76250</v>
      </c>
      <c r="M31" s="7" t="s">
        <v>83</v>
      </c>
      <c r="N31" s="4"/>
      <c r="O31" s="4"/>
      <c r="P31" s="4" t="s">
        <v>88</v>
      </c>
      <c r="Q31" s="5">
        <f>-N8</f>
        <v>-79458</v>
      </c>
    </row>
    <row r="32" spans="1:17" x14ac:dyDescent="0.25">
      <c r="A32" s="4" t="s">
        <v>58</v>
      </c>
      <c r="B32" s="5">
        <v>28184</v>
      </c>
      <c r="C32" s="4"/>
      <c r="D32" s="3" t="s">
        <v>86</v>
      </c>
      <c r="E32" s="3">
        <f>SUM(E30:E31)</f>
        <v>50542</v>
      </c>
      <c r="G32" s="4" t="s">
        <v>58</v>
      </c>
      <c r="H32" s="5">
        <f>H18</f>
        <v>29508</v>
      </c>
      <c r="I32" s="4"/>
      <c r="J32" s="3" t="s">
        <v>86</v>
      </c>
      <c r="K32" s="6">
        <f>SUM(K30:K31)</f>
        <v>34838</v>
      </c>
      <c r="M32" s="4" t="s">
        <v>58</v>
      </c>
      <c r="N32" s="5">
        <f>N18</f>
        <v>33410</v>
      </c>
      <c r="O32" s="4"/>
      <c r="P32" s="3" t="s">
        <v>86</v>
      </c>
      <c r="Q32" s="6">
        <f>SUM(Q30:Q31)</f>
        <v>27171</v>
      </c>
    </row>
    <row r="33" spans="1:17" x14ac:dyDescent="0.25">
      <c r="A33" s="4" t="s">
        <v>59</v>
      </c>
      <c r="B33" s="5">
        <v>4946</v>
      </c>
      <c r="C33" s="4"/>
      <c r="D33" s="4"/>
      <c r="E33" s="4"/>
      <c r="G33" s="4" t="s">
        <v>59</v>
      </c>
      <c r="H33" s="5">
        <f>H19</f>
        <v>6331</v>
      </c>
      <c r="I33" s="4"/>
      <c r="J33" s="4"/>
      <c r="K33" s="4"/>
      <c r="M33" s="4" t="s">
        <v>59</v>
      </c>
      <c r="N33" s="5">
        <f>N19</f>
        <v>7286</v>
      </c>
      <c r="O33" s="4"/>
      <c r="P33" s="4"/>
      <c r="Q33" s="4"/>
    </row>
    <row r="34" spans="1:17" x14ac:dyDescent="0.25">
      <c r="A34" s="4" t="s">
        <v>84</v>
      </c>
      <c r="B34" s="4"/>
      <c r="C34" s="4"/>
      <c r="D34" s="4" t="s">
        <v>24</v>
      </c>
      <c r="E34" s="4">
        <v>50672</v>
      </c>
      <c r="G34" s="4" t="s">
        <v>84</v>
      </c>
      <c r="H34" s="4"/>
      <c r="I34" s="4"/>
      <c r="J34" s="4" t="s">
        <v>24</v>
      </c>
      <c r="K34" s="5">
        <f>K21</f>
        <v>62146</v>
      </c>
      <c r="M34" s="4" t="s">
        <v>84</v>
      </c>
      <c r="N34" s="4"/>
      <c r="O34" s="4"/>
      <c r="P34" s="4" t="s">
        <v>24</v>
      </c>
      <c r="Q34" s="5">
        <f>Q21</f>
        <v>56950</v>
      </c>
    </row>
    <row r="35" spans="1:17" x14ac:dyDescent="0.25">
      <c r="A35" s="4" t="s">
        <v>66</v>
      </c>
      <c r="B35" s="5">
        <v>64115</v>
      </c>
      <c r="C35" s="4"/>
      <c r="D35" s="4"/>
      <c r="E35" s="4"/>
      <c r="G35" s="4" t="s">
        <v>66</v>
      </c>
      <c r="H35" s="5">
        <f>K5</f>
        <v>62611</v>
      </c>
      <c r="I35" s="4"/>
      <c r="J35" s="4"/>
      <c r="K35" s="4"/>
      <c r="M35" s="4" t="s">
        <v>66</v>
      </c>
      <c r="N35" s="5">
        <f>Q5</f>
        <v>68960</v>
      </c>
      <c r="O35" s="4"/>
      <c r="P35" s="4"/>
      <c r="Q35" s="4"/>
    </row>
    <row r="36" spans="1:17" x14ac:dyDescent="0.25">
      <c r="A36" s="4" t="s">
        <v>67</v>
      </c>
      <c r="B36" s="5">
        <v>60845</v>
      </c>
      <c r="C36" s="4"/>
      <c r="D36" s="4"/>
      <c r="E36" s="4"/>
      <c r="G36" s="4" t="s">
        <v>67</v>
      </c>
      <c r="H36" s="5">
        <f>K6</f>
        <v>58829</v>
      </c>
      <c r="I36" s="4"/>
      <c r="J36" s="4"/>
      <c r="K36" s="4"/>
      <c r="M36" s="4" t="s">
        <v>67</v>
      </c>
      <c r="N36" s="5">
        <f>Q6</f>
        <v>78304</v>
      </c>
      <c r="O36" s="4"/>
      <c r="P36" s="4"/>
      <c r="Q36" s="4"/>
    </row>
    <row r="37" spans="1:17" x14ac:dyDescent="0.25">
      <c r="A37" s="4" t="s">
        <v>68</v>
      </c>
      <c r="B37" s="5">
        <v>7912</v>
      </c>
      <c r="C37" s="4"/>
      <c r="D37" s="4"/>
      <c r="E37" s="4"/>
      <c r="G37" s="4" t="s">
        <v>68</v>
      </c>
      <c r="H37" s="5">
        <f>K7</f>
        <v>8061</v>
      </c>
      <c r="I37" s="4"/>
      <c r="J37" s="4"/>
      <c r="K37" s="4"/>
      <c r="M37" s="4" t="s">
        <v>68</v>
      </c>
      <c r="N37" s="5">
        <f>Q7</f>
        <v>8249</v>
      </c>
      <c r="O37" s="4"/>
      <c r="P37" s="4"/>
      <c r="Q37" s="4"/>
    </row>
    <row r="38" spans="1:17" x14ac:dyDescent="0.25">
      <c r="A38" s="4" t="s">
        <v>69</v>
      </c>
      <c r="B38" s="5">
        <v>49142</v>
      </c>
      <c r="C38" s="4"/>
      <c r="D38" s="4"/>
      <c r="E38" s="4"/>
      <c r="G38" s="4" t="s">
        <v>69</v>
      </c>
      <c r="H38" s="5">
        <f>K8</f>
        <v>49848</v>
      </c>
      <c r="I38" s="4"/>
      <c r="J38" s="4"/>
      <c r="K38" s="4"/>
      <c r="M38" s="4" t="s">
        <v>69</v>
      </c>
      <c r="N38" s="5">
        <f>Q8</f>
        <v>45888</v>
      </c>
      <c r="O38" s="4"/>
      <c r="P38" s="4"/>
      <c r="Q38" s="4"/>
    </row>
    <row r="39" spans="1:17" x14ac:dyDescent="0.25">
      <c r="A39" s="7" t="s">
        <v>85</v>
      </c>
      <c r="B39" s="5">
        <f>SUM(B32:B33)-SUM(B35:B38)</f>
        <v>-148884</v>
      </c>
      <c r="C39" s="4"/>
      <c r="D39" s="4"/>
      <c r="E39" s="4"/>
      <c r="G39" s="7" t="s">
        <v>85</v>
      </c>
      <c r="H39" s="5">
        <f>SUM(H32:H33)-SUM(H35:H38)</f>
        <v>-143510</v>
      </c>
      <c r="I39" s="4"/>
      <c r="J39" s="4"/>
      <c r="K39" s="4"/>
      <c r="M39" s="7" t="s">
        <v>85</v>
      </c>
      <c r="N39" s="5">
        <f>SUM(N32:N33)-SUM(N35:N38)</f>
        <v>-160705</v>
      </c>
      <c r="O39" s="4"/>
      <c r="P39" s="4"/>
      <c r="Q39" s="4"/>
    </row>
    <row r="40" spans="1:17" x14ac:dyDescent="0.25">
      <c r="A40" s="4"/>
      <c r="B40" s="4"/>
      <c r="C40" s="4"/>
      <c r="D40" s="4"/>
      <c r="E40" s="4"/>
      <c r="G40" s="4"/>
      <c r="H40" s="4"/>
      <c r="I40" s="4"/>
      <c r="J40" s="4"/>
      <c r="K40" s="4"/>
      <c r="M40" s="4"/>
      <c r="N40" s="4"/>
      <c r="O40" s="4"/>
      <c r="P40" s="4"/>
      <c r="Q40" s="4"/>
    </row>
    <row r="41" spans="1:17" x14ac:dyDescent="0.25">
      <c r="A41" s="3" t="s">
        <v>89</v>
      </c>
      <c r="B41" s="5">
        <f>B29+B39</f>
        <v>68466</v>
      </c>
      <c r="C41" s="4"/>
      <c r="D41" s="4"/>
      <c r="E41" s="4"/>
      <c r="G41" s="3" t="s">
        <v>89</v>
      </c>
      <c r="H41" s="5">
        <f>H39+H29</f>
        <v>65507</v>
      </c>
      <c r="I41" s="4"/>
      <c r="J41" s="4"/>
      <c r="K41" s="4"/>
      <c r="M41" s="3" t="s">
        <v>89</v>
      </c>
      <c r="N41" s="5">
        <f>N39+N29</f>
        <v>51288</v>
      </c>
      <c r="O41" s="4"/>
      <c r="P41" s="4"/>
      <c r="Q41" s="4"/>
    </row>
    <row r="42" spans="1:17" x14ac:dyDescent="0.25">
      <c r="A42" s="4"/>
      <c r="B42" s="4"/>
      <c r="C42" s="4"/>
      <c r="D42" s="4"/>
      <c r="E42" s="4"/>
      <c r="G42" s="4"/>
      <c r="H42" s="4"/>
      <c r="I42" s="4"/>
      <c r="J42" s="4"/>
      <c r="K42" s="4"/>
      <c r="M42" s="4"/>
      <c r="N42" s="4"/>
      <c r="O42" s="4"/>
      <c r="P42" s="4"/>
      <c r="Q42" s="4"/>
    </row>
    <row r="43" spans="1:17" x14ac:dyDescent="0.25">
      <c r="A43" s="3" t="s">
        <v>31</v>
      </c>
      <c r="B43" s="4">
        <v>32748</v>
      </c>
      <c r="C43" s="4"/>
      <c r="D43" s="4"/>
      <c r="E43" s="4"/>
      <c r="G43" s="3" t="s">
        <v>31</v>
      </c>
      <c r="H43" s="5">
        <f>H22</f>
        <v>31477</v>
      </c>
      <c r="I43" s="4"/>
      <c r="J43" s="4"/>
      <c r="K43" s="4"/>
      <c r="M43" s="3" t="s">
        <v>31</v>
      </c>
      <c r="N43" s="5">
        <f>N22</f>
        <v>32833</v>
      </c>
      <c r="O43" s="4"/>
      <c r="P43" s="4"/>
      <c r="Q43" s="4"/>
    </row>
    <row r="44" spans="1:17" x14ac:dyDescent="0.25">
      <c r="A44" s="4"/>
      <c r="B44" s="4"/>
      <c r="C44" s="4"/>
      <c r="D44" s="4"/>
      <c r="E44" s="4"/>
      <c r="G44" s="4"/>
      <c r="H44" s="4"/>
      <c r="I44" s="4"/>
      <c r="J44" s="4"/>
      <c r="K44" s="4"/>
      <c r="M44" s="4"/>
      <c r="N44" s="4"/>
      <c r="O44" s="4"/>
      <c r="P44" s="4"/>
      <c r="Q44" s="4"/>
    </row>
    <row r="45" spans="1:17" x14ac:dyDescent="0.25">
      <c r="A45" s="3" t="s">
        <v>13</v>
      </c>
      <c r="B45" s="6">
        <f>SUM(B29,B39,B43)</f>
        <v>101214</v>
      </c>
      <c r="C45" s="4"/>
      <c r="D45" s="3" t="s">
        <v>28</v>
      </c>
      <c r="E45" s="3">
        <f>E32+E34</f>
        <v>101214</v>
      </c>
      <c r="G45" s="3" t="s">
        <v>13</v>
      </c>
      <c r="H45" s="6">
        <f>SUM(H29,H39,H43)</f>
        <v>96984</v>
      </c>
      <c r="I45" s="4"/>
      <c r="J45" s="3" t="s">
        <v>28</v>
      </c>
      <c r="K45" s="3">
        <f>K32+K34</f>
        <v>96984</v>
      </c>
      <c r="M45" s="3" t="s">
        <v>13</v>
      </c>
      <c r="N45" s="6">
        <f>SUM(N29,N39,N43)</f>
        <v>84121</v>
      </c>
      <c r="O45" s="4"/>
      <c r="P45" s="3" t="s">
        <v>28</v>
      </c>
      <c r="Q45" s="3">
        <f>Q32+Q34</f>
        <v>84121</v>
      </c>
    </row>
    <row r="48" spans="1:17" x14ac:dyDescent="0.25">
      <c r="A48" t="s">
        <v>114</v>
      </c>
    </row>
  </sheetData>
  <mergeCells count="5">
    <mergeCell ref="A1:K1"/>
    <mergeCell ref="A26:Q26"/>
    <mergeCell ref="A27:E27"/>
    <mergeCell ref="G27:K27"/>
    <mergeCell ref="M27:Q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AE423-B298-4562-A6C4-25172FB6516D}">
  <dimension ref="A1:Q10"/>
  <sheetViews>
    <sheetView zoomScale="85" zoomScaleNormal="85" workbookViewId="0">
      <selection activeCell="A13" sqref="A13"/>
    </sheetView>
  </sheetViews>
  <sheetFormatPr defaultRowHeight="15" x14ac:dyDescent="0.25"/>
  <cols>
    <col min="1" max="1" width="15.42578125" bestFit="1" customWidth="1"/>
    <col min="2" max="2" width="18.28515625" bestFit="1" customWidth="1"/>
    <col min="3" max="3" width="2.5703125" customWidth="1"/>
    <col min="4" max="4" width="35.85546875" bestFit="1" customWidth="1"/>
    <col min="5" max="5" width="20.7109375" bestFit="1" customWidth="1"/>
    <col min="7" max="7" width="15.42578125" bestFit="1" customWidth="1"/>
    <col min="8" max="8" width="18.28515625" bestFit="1" customWidth="1"/>
    <col min="10" max="10" width="35.85546875" bestFit="1" customWidth="1"/>
    <col min="11" max="11" width="18.28515625" bestFit="1" customWidth="1"/>
    <col min="13" max="13" width="15.42578125" bestFit="1" customWidth="1"/>
    <col min="14" max="14" width="18.28515625" bestFit="1" customWidth="1"/>
    <col min="16" max="16" width="35.85546875" bestFit="1" customWidth="1"/>
    <col min="17" max="17" width="18.28515625" bestFit="1" customWidth="1"/>
  </cols>
  <sheetData>
    <row r="1" spans="1:17" x14ac:dyDescent="0.25">
      <c r="A1" s="33" t="s">
        <v>95</v>
      </c>
      <c r="B1" s="33"/>
      <c r="C1" s="33"/>
      <c r="D1" s="33"/>
      <c r="E1" s="33"/>
      <c r="G1" s="33" t="s">
        <v>101</v>
      </c>
      <c r="H1" s="33"/>
      <c r="I1" s="33"/>
      <c r="J1" s="33"/>
      <c r="K1" s="33"/>
      <c r="M1" s="33" t="s">
        <v>102</v>
      </c>
      <c r="N1" s="33"/>
      <c r="O1" s="33"/>
      <c r="P1" s="33"/>
      <c r="Q1" s="33"/>
    </row>
    <row r="2" spans="1:17" x14ac:dyDescent="0.25">
      <c r="A2" s="4"/>
      <c r="B2" s="4"/>
      <c r="C2" s="4"/>
      <c r="D2" s="4" t="s">
        <v>93</v>
      </c>
      <c r="E2" s="20">
        <v>16426786</v>
      </c>
      <c r="G2" s="4"/>
      <c r="H2" s="4"/>
      <c r="I2" s="4"/>
      <c r="J2" s="4" t="s">
        <v>99</v>
      </c>
      <c r="K2" s="20">
        <v>15943425</v>
      </c>
      <c r="M2" s="4"/>
      <c r="N2" s="4"/>
      <c r="O2" s="4"/>
      <c r="P2" s="4" t="s">
        <v>103</v>
      </c>
      <c r="Q2" s="5">
        <v>15550061</v>
      </c>
    </row>
    <row r="3" spans="1:17" x14ac:dyDescent="0.25">
      <c r="A3" s="4"/>
      <c r="B3" s="5"/>
      <c r="C3" s="4"/>
      <c r="D3" s="4" t="s">
        <v>94</v>
      </c>
      <c r="E3" s="4">
        <v>181.42</v>
      </c>
      <c r="G3" s="4"/>
      <c r="H3" s="4"/>
      <c r="I3" s="4"/>
      <c r="J3" s="4" t="s">
        <v>100</v>
      </c>
      <c r="K3" s="4">
        <v>184.11</v>
      </c>
      <c r="M3" s="4"/>
      <c r="N3" s="4"/>
      <c r="O3" s="4"/>
      <c r="P3" s="4" t="s">
        <v>104</v>
      </c>
      <c r="Q3" s="4">
        <v>235.68</v>
      </c>
    </row>
    <row r="4" spans="1:17" x14ac:dyDescent="0.25">
      <c r="A4" s="7"/>
      <c r="B4" s="5"/>
      <c r="C4" s="4"/>
      <c r="D4" s="4" t="s">
        <v>97</v>
      </c>
      <c r="E4" s="19">
        <f>E2*E3</f>
        <v>2980147516.1199999</v>
      </c>
      <c r="G4" s="4"/>
      <c r="H4" s="4"/>
      <c r="I4" s="4"/>
      <c r="J4" s="4" t="s">
        <v>97</v>
      </c>
      <c r="K4" s="21">
        <f>K2*K3</f>
        <v>2935343976.75</v>
      </c>
      <c r="M4" s="4"/>
      <c r="N4" s="4"/>
      <c r="O4" s="4"/>
      <c r="P4" s="4" t="s">
        <v>97</v>
      </c>
      <c r="Q4" s="22">
        <f>Q3*Q2</f>
        <v>3664838376.48</v>
      </c>
    </row>
    <row r="5" spans="1:17" x14ac:dyDescent="0.25">
      <c r="A5" s="7"/>
      <c r="B5" s="5"/>
      <c r="C5" s="4"/>
      <c r="D5" s="4"/>
      <c r="E5" s="16"/>
      <c r="G5" s="4"/>
      <c r="H5" s="4"/>
      <c r="I5" s="4"/>
      <c r="J5" s="4"/>
      <c r="K5" s="18"/>
      <c r="M5" s="4"/>
      <c r="N5" s="4"/>
      <c r="O5" s="4"/>
      <c r="P5" s="4"/>
      <c r="Q5" s="18"/>
    </row>
    <row r="6" spans="1:17" x14ac:dyDescent="0.25">
      <c r="A6" s="4"/>
      <c r="B6" s="4"/>
      <c r="C6" s="4"/>
      <c r="D6" s="4"/>
      <c r="E6" s="4"/>
      <c r="G6" s="4" t="s">
        <v>96</v>
      </c>
      <c r="H6" s="17">
        <f>K6+K7</f>
        <v>2935394518.75</v>
      </c>
      <c r="I6" s="4"/>
      <c r="J6" s="4" t="s">
        <v>86</v>
      </c>
      <c r="K6" s="4">
        <v>50542</v>
      </c>
      <c r="M6" s="4" t="s">
        <v>96</v>
      </c>
      <c r="N6" s="17">
        <f>Q6+Q7</f>
        <v>3664865547.48</v>
      </c>
      <c r="O6" s="4"/>
      <c r="P6" s="4" t="s">
        <v>86</v>
      </c>
      <c r="Q6" s="4">
        <v>27171</v>
      </c>
    </row>
    <row r="7" spans="1:17" x14ac:dyDescent="0.25">
      <c r="A7" s="4" t="s">
        <v>96</v>
      </c>
      <c r="B7" s="17">
        <f>E7+E8</f>
        <v>2980198058.1199999</v>
      </c>
      <c r="C7" s="4"/>
      <c r="D7" s="4" t="s">
        <v>86</v>
      </c>
      <c r="E7" s="4">
        <v>50542</v>
      </c>
      <c r="G7" s="4"/>
      <c r="H7" s="4"/>
      <c r="I7" s="4"/>
      <c r="J7" s="4" t="s">
        <v>24</v>
      </c>
      <c r="K7" s="17">
        <f>K4</f>
        <v>2935343976.75</v>
      </c>
      <c r="M7" s="4"/>
      <c r="N7" s="4"/>
      <c r="O7" s="4"/>
      <c r="P7" s="4" t="s">
        <v>24</v>
      </c>
      <c r="Q7" s="15">
        <f>Q4</f>
        <v>3664838376.48</v>
      </c>
    </row>
    <row r="8" spans="1:17" x14ac:dyDescent="0.25">
      <c r="A8" s="4"/>
      <c r="B8" s="4"/>
      <c r="C8" s="4"/>
      <c r="D8" s="4" t="s">
        <v>24</v>
      </c>
      <c r="E8" s="17">
        <f>E4</f>
        <v>2980147516.1199999</v>
      </c>
      <c r="G8" s="4"/>
      <c r="H8" s="4"/>
      <c r="I8" s="4"/>
      <c r="J8" s="4"/>
      <c r="K8" s="4"/>
      <c r="M8" s="4"/>
      <c r="N8" s="4"/>
      <c r="O8" s="4"/>
      <c r="P8" s="4"/>
      <c r="Q8" s="4"/>
    </row>
    <row r="9" spans="1:17" x14ac:dyDescent="0.25">
      <c r="A9" s="4"/>
      <c r="B9" s="4"/>
      <c r="C9" s="4"/>
      <c r="D9" s="4"/>
      <c r="E9" s="4"/>
      <c r="G9" s="3" t="s">
        <v>98</v>
      </c>
      <c r="H9" s="3">
        <f>K9</f>
        <v>2935394518.75</v>
      </c>
      <c r="I9" s="4"/>
      <c r="J9" s="3" t="s">
        <v>98</v>
      </c>
      <c r="K9" s="3">
        <f>SUM(K6:K7)</f>
        <v>2935394518.75</v>
      </c>
      <c r="M9" s="3" t="s">
        <v>98</v>
      </c>
      <c r="N9" s="3">
        <f>Q9</f>
        <v>3664865547.48</v>
      </c>
      <c r="O9" s="4"/>
      <c r="P9" s="3" t="s">
        <v>98</v>
      </c>
      <c r="Q9" s="3">
        <f>SUM(Q6:Q7)</f>
        <v>3664865547.48</v>
      </c>
    </row>
    <row r="10" spans="1:17" x14ac:dyDescent="0.25">
      <c r="A10" s="3" t="s">
        <v>98</v>
      </c>
      <c r="B10" s="3">
        <f>E10</f>
        <v>2980198058.1199999</v>
      </c>
      <c r="C10" s="4"/>
      <c r="D10" s="3" t="s">
        <v>98</v>
      </c>
      <c r="E10" s="3">
        <f>SUM(E7:E8)</f>
        <v>2980198058.1199999</v>
      </c>
    </row>
  </sheetData>
  <mergeCells count="3">
    <mergeCell ref="A1:E1"/>
    <mergeCell ref="G1:K1"/>
    <mergeCell ref="M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DA6F-504B-4F92-B756-1859AA3C6B87}">
  <dimension ref="A1:D13"/>
  <sheetViews>
    <sheetView workbookViewId="0">
      <selection activeCell="A14" sqref="A14"/>
    </sheetView>
  </sheetViews>
  <sheetFormatPr defaultRowHeight="15" x14ac:dyDescent="0.25"/>
  <cols>
    <col min="1" max="1" width="50.85546875" customWidth="1"/>
    <col min="2" max="2" width="9.7109375" customWidth="1"/>
    <col min="3" max="3" width="10.42578125" customWidth="1"/>
    <col min="4" max="4" width="9.5703125" customWidth="1"/>
  </cols>
  <sheetData>
    <row r="1" spans="1:4" ht="33.75" customHeight="1" x14ac:dyDescent="0.25">
      <c r="A1" s="34" t="s">
        <v>112</v>
      </c>
      <c r="B1" s="34"/>
      <c r="C1" s="34"/>
      <c r="D1" s="34"/>
    </row>
    <row r="2" spans="1:4" x14ac:dyDescent="0.25">
      <c r="A2" s="3" t="s">
        <v>105</v>
      </c>
      <c r="B2" s="23">
        <v>45199</v>
      </c>
      <c r="C2" s="23">
        <v>44828</v>
      </c>
      <c r="D2" s="23">
        <v>44464</v>
      </c>
    </row>
    <row r="3" spans="1:4" x14ac:dyDescent="0.25">
      <c r="A3" s="4" t="s">
        <v>106</v>
      </c>
      <c r="B3" s="5">
        <v>110543</v>
      </c>
      <c r="C3" s="5">
        <v>122151</v>
      </c>
      <c r="D3" s="5">
        <v>104038</v>
      </c>
    </row>
    <row r="4" spans="1:4" x14ac:dyDescent="0.25">
      <c r="A4" s="4"/>
      <c r="B4" s="4"/>
      <c r="C4" s="4"/>
      <c r="D4" s="4"/>
    </row>
    <row r="5" spans="1:4" ht="30" x14ac:dyDescent="0.25">
      <c r="A5" s="24" t="s">
        <v>109</v>
      </c>
      <c r="B5" s="4"/>
      <c r="C5" s="4"/>
      <c r="D5" s="4"/>
    </row>
    <row r="6" spans="1:4" x14ac:dyDescent="0.25">
      <c r="A6" s="4" t="s">
        <v>107</v>
      </c>
      <c r="B6" s="5">
        <v>-25994</v>
      </c>
      <c r="C6" s="4">
        <v>-301</v>
      </c>
      <c r="D6" s="4">
        <v>-373</v>
      </c>
    </row>
    <row r="7" spans="1:4" x14ac:dyDescent="0.25">
      <c r="A7" s="4" t="s">
        <v>108</v>
      </c>
      <c r="B7" s="4">
        <v>-284</v>
      </c>
      <c r="C7" s="4">
        <v>-185</v>
      </c>
      <c r="D7" s="4">
        <v>-186</v>
      </c>
    </row>
    <row r="8" spans="1:4" x14ac:dyDescent="0.25">
      <c r="A8" s="4"/>
      <c r="B8" s="4"/>
      <c r="C8" s="4"/>
      <c r="D8" s="4"/>
    </row>
    <row r="9" spans="1:4" x14ac:dyDescent="0.25">
      <c r="A9" s="4" t="s">
        <v>110</v>
      </c>
      <c r="B9" s="25">
        <v>583</v>
      </c>
      <c r="C9" s="25">
        <v>376</v>
      </c>
      <c r="D9" s="25">
        <v>355</v>
      </c>
    </row>
    <row r="10" spans="1:4" x14ac:dyDescent="0.25">
      <c r="A10" s="4"/>
      <c r="B10" s="4"/>
      <c r="C10" s="4"/>
      <c r="D10" s="4"/>
    </row>
    <row r="11" spans="1:4" x14ac:dyDescent="0.25">
      <c r="A11" s="3" t="s">
        <v>111</v>
      </c>
      <c r="B11" s="3">
        <f>SUM((B3:B9))</f>
        <v>84848</v>
      </c>
      <c r="C11" s="3">
        <f t="shared" ref="C11:D11" si="0">SUM((C3:C9))</f>
        <v>122041</v>
      </c>
      <c r="D11" s="3">
        <f t="shared" si="0"/>
        <v>103834</v>
      </c>
    </row>
    <row r="13" spans="1:4" x14ac:dyDescent="0.25">
      <c r="A13" t="s">
        <v>113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D6C2C-5A9F-4B4B-B0EA-767275CAB08C}">
  <dimension ref="A1:H16"/>
  <sheetViews>
    <sheetView workbookViewId="0">
      <selection activeCell="B17" sqref="B17"/>
    </sheetView>
  </sheetViews>
  <sheetFormatPr defaultRowHeight="15" x14ac:dyDescent="0.25"/>
  <cols>
    <col min="1" max="1" width="43.5703125" customWidth="1"/>
    <col min="2" max="2" width="11.7109375" customWidth="1"/>
    <col min="3" max="7" width="11.5703125" bestFit="1" customWidth="1"/>
  </cols>
  <sheetData>
    <row r="1" spans="1:8" x14ac:dyDescent="0.25">
      <c r="A1" s="35" t="s">
        <v>118</v>
      </c>
      <c r="B1" s="35"/>
      <c r="C1" s="35"/>
      <c r="D1" s="35"/>
      <c r="E1" s="35"/>
      <c r="F1" s="35"/>
      <c r="G1" s="35"/>
      <c r="H1" s="35"/>
    </row>
    <row r="2" spans="1:8" x14ac:dyDescent="0.25">
      <c r="A2" t="s">
        <v>119</v>
      </c>
      <c r="B2" s="27">
        <v>38219</v>
      </c>
    </row>
    <row r="3" spans="1:8" x14ac:dyDescent="0.25">
      <c r="A3" t="s">
        <v>116</v>
      </c>
      <c r="B3" s="26">
        <v>0.04</v>
      </c>
    </row>
    <row r="4" spans="1:8" x14ac:dyDescent="0.25">
      <c r="A4" t="s">
        <v>117</v>
      </c>
      <c r="B4" s="26">
        <v>0</v>
      </c>
    </row>
    <row r="5" spans="1:8" x14ac:dyDescent="0.25">
      <c r="A5" t="s">
        <v>115</v>
      </c>
      <c r="B5" s="26">
        <v>0.1</v>
      </c>
    </row>
    <row r="7" spans="1:8" ht="15.75" thickBot="1" x14ac:dyDescent="0.3">
      <c r="A7" s="28" t="s">
        <v>120</v>
      </c>
      <c r="B7" s="29">
        <v>2024</v>
      </c>
      <c r="C7" s="29">
        <v>2025</v>
      </c>
      <c r="D7" s="29">
        <v>2026</v>
      </c>
      <c r="E7" s="29">
        <v>2027</v>
      </c>
      <c r="F7" s="29">
        <v>2028</v>
      </c>
      <c r="G7" s="30">
        <v>2029</v>
      </c>
    </row>
    <row r="8" spans="1:8" x14ac:dyDescent="0.25">
      <c r="A8" t="s">
        <v>121</v>
      </c>
      <c r="C8">
        <f>$B$2*(1+$B$3)</f>
        <v>39747.760000000002</v>
      </c>
      <c r="D8">
        <f>C8*(1+$B$3)</f>
        <v>41337.670400000003</v>
      </c>
      <c r="E8">
        <f>D8*(1+$B$3)</f>
        <v>42991.177216000004</v>
      </c>
      <c r="F8">
        <f t="shared" ref="F8:G8" si="0">E8*(1+$B$3)</f>
        <v>44710.824304640002</v>
      </c>
      <c r="G8">
        <f t="shared" si="0"/>
        <v>46499.257276825607</v>
      </c>
    </row>
    <row r="9" spans="1:8" x14ac:dyDescent="0.25">
      <c r="A9" t="s">
        <v>122</v>
      </c>
      <c r="G9">
        <f>G8*(1+$B$3)/(B5-B4)</f>
        <v>483592.27567898633</v>
      </c>
    </row>
    <row r="10" spans="1:8" x14ac:dyDescent="0.25">
      <c r="A10" s="1" t="s">
        <v>98</v>
      </c>
      <c r="B10" s="1"/>
      <c r="C10" s="1">
        <f>SUM(C8:C9)</f>
        <v>39747.760000000002</v>
      </c>
      <c r="D10" s="1">
        <f t="shared" ref="D10:G10" si="1">SUM(D8:D9)</f>
        <v>41337.670400000003</v>
      </c>
      <c r="E10" s="1">
        <f t="shared" si="1"/>
        <v>42991.177216000004</v>
      </c>
      <c r="F10" s="1">
        <f t="shared" si="1"/>
        <v>44710.824304640002</v>
      </c>
      <c r="G10" s="1">
        <f t="shared" si="1"/>
        <v>530091.53295581194</v>
      </c>
    </row>
    <row r="12" spans="1:8" x14ac:dyDescent="0.25">
      <c r="A12" t="s">
        <v>96</v>
      </c>
      <c r="B12">
        <f>NPV(B5,C10:G10)*(1+B5)^0.5</f>
        <v>484844.22439889773</v>
      </c>
    </row>
    <row r="13" spans="1:8" x14ac:dyDescent="0.25">
      <c r="A13" t="s">
        <v>123</v>
      </c>
      <c r="B13" s="20">
        <v>101202</v>
      </c>
      <c r="C13" s="20"/>
    </row>
    <row r="14" spans="1:8" x14ac:dyDescent="0.25">
      <c r="A14" t="s">
        <v>125</v>
      </c>
      <c r="B14" s="20">
        <v>-159493</v>
      </c>
      <c r="C14" s="20"/>
      <c r="D14" s="20"/>
      <c r="E14" s="20"/>
      <c r="F14" s="20"/>
    </row>
    <row r="15" spans="1:8" x14ac:dyDescent="0.25">
      <c r="A15" s="1" t="s">
        <v>124</v>
      </c>
      <c r="B15">
        <f>SUM(B12:B14)</f>
        <v>426553.22439889773</v>
      </c>
    </row>
    <row r="16" spans="1:8" x14ac:dyDescent="0.25">
      <c r="A16" t="s">
        <v>126</v>
      </c>
      <c r="B16">
        <f>B15/10593</f>
        <v>40.267461946464429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practice</vt:lpstr>
      <vt:lpstr>Excercise 1</vt:lpstr>
      <vt:lpstr>Excercise 1.b</vt:lpstr>
      <vt:lpstr>Excercise 2</vt:lpstr>
      <vt:lpstr>Excercise 4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Choi</dc:creator>
  <cp:lastModifiedBy>nathaniel Choi</cp:lastModifiedBy>
  <dcterms:created xsi:type="dcterms:W3CDTF">2025-03-20T03:42:45Z</dcterms:created>
  <dcterms:modified xsi:type="dcterms:W3CDTF">2025-03-24T22:10:44Z</dcterms:modified>
</cp:coreProperties>
</file>