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OneDrive\Documents\"/>
    </mc:Choice>
  </mc:AlternateContent>
  <xr:revisionPtr revIDLastSave="0" documentId="13_ncr:1_{DA39ABDC-0508-4D5F-8180-CE10EC0C0F32}" xr6:coauthVersionLast="47" xr6:coauthVersionMax="47" xr10:uidLastSave="{00000000-0000-0000-0000-000000000000}"/>
  <bookViews>
    <workbookView xWindow="-120" yWindow="-120" windowWidth="29040" windowHeight="15840" activeTab="1" xr2:uid="{C1DEF1C3-2FC2-4284-A52C-72359566B594}"/>
  </bookViews>
  <sheets>
    <sheet name="FCF based on CSCF" sheetId="1" r:id="rId1"/>
    <sheet name="Pro Forma 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" l="1"/>
  <c r="L28" i="2"/>
  <c r="L27" i="2"/>
  <c r="L24" i="2"/>
  <c r="L26" i="2" s="1"/>
  <c r="L25" i="2"/>
  <c r="N22" i="2"/>
  <c r="O22" i="2"/>
  <c r="P22" i="2"/>
  <c r="Q22" i="2"/>
  <c r="M22" i="2"/>
  <c r="Q21" i="2"/>
  <c r="N20" i="2"/>
  <c r="O20" i="2"/>
  <c r="P20" i="2"/>
  <c r="Q20" i="2"/>
  <c r="M20" i="2"/>
  <c r="N11" i="2"/>
  <c r="O11" i="2"/>
  <c r="P11" i="2"/>
  <c r="Q11" i="2"/>
  <c r="M11" i="2"/>
  <c r="E36" i="2"/>
  <c r="F36" i="2" s="1"/>
  <c r="G36" i="2" s="1"/>
  <c r="D36" i="2"/>
  <c r="D35" i="2" s="1"/>
  <c r="N9" i="2" s="1"/>
  <c r="C36" i="2"/>
  <c r="C35" i="2"/>
  <c r="M9" i="2" s="1"/>
  <c r="N10" i="2"/>
  <c r="O10" i="2"/>
  <c r="P10" i="2"/>
  <c r="Q10" i="2"/>
  <c r="M10" i="2"/>
  <c r="N8" i="2"/>
  <c r="O8" i="2"/>
  <c r="P8" i="2"/>
  <c r="Q8" i="2"/>
  <c r="M8" i="2"/>
  <c r="N6" i="2"/>
  <c r="O6" i="2"/>
  <c r="P6" i="2"/>
  <c r="Q6" i="2"/>
  <c r="M6" i="2"/>
  <c r="B37" i="2"/>
  <c r="B35" i="2" s="1"/>
  <c r="B40" i="2"/>
  <c r="B44" i="2" s="1"/>
  <c r="B32" i="2" s="1"/>
  <c r="C33" i="2"/>
  <c r="M7" i="2" s="1"/>
  <c r="B33" i="2"/>
  <c r="B24" i="2"/>
  <c r="B25" i="2" s="1"/>
  <c r="D21" i="2"/>
  <c r="E21" i="2"/>
  <c r="F21" i="2"/>
  <c r="G21" i="2"/>
  <c r="B21" i="2"/>
  <c r="C21" i="2"/>
  <c r="B20" i="2"/>
  <c r="B19" i="2"/>
  <c r="C19" i="2"/>
  <c r="C20" i="2" s="1"/>
  <c r="C18" i="2"/>
  <c r="D18" i="2" s="1"/>
  <c r="B20" i="1"/>
  <c r="B19" i="1"/>
  <c r="B16" i="1"/>
  <c r="D14" i="1"/>
  <c r="E14" i="1"/>
  <c r="F14" i="1"/>
  <c r="G14" i="1"/>
  <c r="C14" i="1"/>
  <c r="G13" i="1"/>
  <c r="D12" i="1"/>
  <c r="E12" i="1"/>
  <c r="F12" i="1" s="1"/>
  <c r="G12" i="1" s="1"/>
  <c r="R6" i="2"/>
  <c r="R7" i="2"/>
  <c r="R8" i="2"/>
  <c r="R9" i="2"/>
  <c r="R10" i="2"/>
  <c r="R11" i="2"/>
  <c r="R12" i="2"/>
  <c r="R5" i="2"/>
  <c r="H33" i="2"/>
  <c r="H35" i="2"/>
  <c r="H44" i="2"/>
  <c r="H36" i="2"/>
  <c r="H37" i="2"/>
  <c r="H38" i="2"/>
  <c r="H40" i="2"/>
  <c r="H43" i="2"/>
  <c r="H19" i="2"/>
  <c r="H20" i="2"/>
  <c r="H21" i="2"/>
  <c r="H22" i="2"/>
  <c r="H24" i="2"/>
  <c r="H25" i="2"/>
  <c r="H26" i="2"/>
  <c r="H27" i="2"/>
  <c r="H28" i="2"/>
  <c r="H18" i="2"/>
  <c r="N12" i="2" l="1"/>
  <c r="E18" i="2"/>
  <c r="D40" i="2"/>
  <c r="D33" i="2"/>
  <c r="N7" i="2" s="1"/>
  <c r="D37" i="2"/>
  <c r="D19" i="2"/>
  <c r="D20" i="2" s="1"/>
  <c r="C37" i="2"/>
  <c r="B26" i="2"/>
  <c r="C40" i="2"/>
  <c r="B38" i="2"/>
  <c r="B27" i="2" l="1"/>
  <c r="B28" i="2" s="1"/>
  <c r="F18" i="2"/>
  <c r="E19" i="2"/>
  <c r="E33" i="2"/>
  <c r="O7" i="2" s="1"/>
  <c r="E20" i="2"/>
  <c r="E40" i="2"/>
  <c r="E37" i="2"/>
  <c r="G18" i="2" l="1"/>
  <c r="F19" i="2"/>
  <c r="F20" i="2" s="1"/>
  <c r="F37" i="2"/>
  <c r="F40" i="2"/>
  <c r="F33" i="2"/>
  <c r="P7" i="2" s="1"/>
  <c r="G33" i="2" l="1"/>
  <c r="Q7" i="2" s="1"/>
  <c r="G37" i="2"/>
  <c r="G40" i="2"/>
  <c r="G19" i="2"/>
  <c r="G20" i="2" s="1"/>
  <c r="G38" i="2" l="1"/>
  <c r="G35" i="2" s="1"/>
  <c r="F38" i="2"/>
  <c r="F35" i="2" s="1"/>
  <c r="E38" i="2"/>
  <c r="E35" i="2" s="1"/>
  <c r="O9" i="2" s="1"/>
  <c r="O12" i="2" s="1"/>
  <c r="D38" i="2"/>
  <c r="F22" i="2"/>
  <c r="E22" i="2"/>
  <c r="G22" i="2"/>
  <c r="P9" i="2" l="1"/>
  <c r="P12" i="2" s="1"/>
  <c r="Q9" i="2"/>
  <c r="Q12" i="2" s="1"/>
  <c r="E24" i="2"/>
  <c r="G24" i="2"/>
  <c r="F24" i="2"/>
  <c r="G25" i="2"/>
  <c r="G26" i="2"/>
  <c r="Q5" i="2" s="1"/>
  <c r="F25" i="2"/>
  <c r="F26" i="2" s="1"/>
  <c r="P5" i="2" s="1"/>
  <c r="E25" i="2" l="1"/>
  <c r="E26" i="2" s="1"/>
  <c r="F27" i="2"/>
  <c r="F28" i="2"/>
  <c r="G27" i="2"/>
  <c r="G28" i="2" s="1"/>
  <c r="C38" i="2"/>
  <c r="D22" i="2"/>
  <c r="C22" i="2"/>
  <c r="O5" i="2" l="1"/>
  <c r="E27" i="2"/>
  <c r="E28" i="2" s="1"/>
  <c r="D24" i="2"/>
  <c r="C24" i="2"/>
  <c r="C25" i="2" s="1"/>
  <c r="C26" i="2" s="1"/>
  <c r="M5" i="2" s="1"/>
  <c r="M12" i="2" s="1"/>
  <c r="D25" i="2"/>
  <c r="D26" i="2" s="1"/>
  <c r="N5" i="2" s="1"/>
  <c r="D27" i="2" l="1"/>
  <c r="D28" i="2" s="1"/>
  <c r="C27" i="2"/>
  <c r="C28" i="2" s="1"/>
  <c r="C43" i="2" s="1"/>
  <c r="C44" i="2" l="1"/>
  <c r="D43" i="2"/>
  <c r="E43" i="2" l="1"/>
  <c r="D44" i="2"/>
  <c r="E44" i="2" l="1"/>
  <c r="F43" i="2"/>
  <c r="G43" i="2" l="1"/>
  <c r="G44" i="2" s="1"/>
  <c r="F44" i="2"/>
</calcChain>
</file>

<file path=xl/sharedStrings.xml><?xml version="1.0" encoding="utf-8"?>
<sst xmlns="http://schemas.openxmlformats.org/spreadsheetml/2006/main" count="84" uniqueCount="77">
  <si>
    <t>EV AS THE PRESENT VALUE OF THE FCF: DCF "TOP DOWN VALUATION"</t>
  </si>
  <si>
    <t>1. Firm's FCFs are defined as the cash created by the firm's operating activities</t>
  </si>
  <si>
    <t>2. Firm's WACC is the risk-adjusted discount rate appropriate to the risk of the FCFs</t>
  </si>
  <si>
    <t>ABC CORP. VALUATION 
Based on consolidated statement of cash flows</t>
  </si>
  <si>
    <t>FCF year ending 31, Dec 2020</t>
  </si>
  <si>
    <t>Growth rate of FCF, years 1-5</t>
  </si>
  <si>
    <t>Long-term FCF growth rate</t>
  </si>
  <si>
    <t>Weighted average cost of capital (WACC)</t>
  </si>
  <si>
    <t>&lt;-- More pessimistic about long-term growth</t>
  </si>
  <si>
    <t>&lt;-- Optimistic about short term growth</t>
  </si>
  <si>
    <t>YEAR</t>
  </si>
  <si>
    <t>FCF</t>
  </si>
  <si>
    <t>Terminal value</t>
  </si>
  <si>
    <t>Total</t>
  </si>
  <si>
    <t>Enterprise value</t>
  </si>
  <si>
    <t>Add back initial cash and marketable securities</t>
  </si>
  <si>
    <t>Subtract 2020 financial liabitlies</t>
  </si>
  <si>
    <t>Equity value</t>
  </si>
  <si>
    <t xml:space="preserve">Per share (1 million shares outstanding) </t>
  </si>
  <si>
    <t>Free Cash Flow based on pro forma financial statements</t>
  </si>
  <si>
    <t xml:space="preserve"> </t>
  </si>
  <si>
    <t>PRO FORMA FINANCIAL MODEL</t>
  </si>
  <si>
    <t>Sales growth</t>
  </si>
  <si>
    <t>Current assets/Sales</t>
  </si>
  <si>
    <t>Current liabilities/Sales</t>
  </si>
  <si>
    <t>Net fixed assets/Sales</t>
  </si>
  <si>
    <t>Costs of goods sold/Sales</t>
  </si>
  <si>
    <t>Depreciation rate</t>
  </si>
  <si>
    <t>Interest rate on debt</t>
  </si>
  <si>
    <t>Interest paid on cash and marketable securities</t>
  </si>
  <si>
    <t>Tax rate</t>
  </si>
  <si>
    <t>Dividend payout ratio</t>
  </si>
  <si>
    <t>Income statement</t>
  </si>
  <si>
    <t>Year</t>
  </si>
  <si>
    <t>Sales</t>
  </si>
  <si>
    <t>COGS</t>
  </si>
  <si>
    <t>Gross Profit</t>
  </si>
  <si>
    <t>Interest payments on debt</t>
  </si>
  <si>
    <t>Interest earned on cash and marketable securities</t>
  </si>
  <si>
    <t>Depreciation</t>
  </si>
  <si>
    <t>Profit before tax</t>
  </si>
  <si>
    <t>Taxes</t>
  </si>
  <si>
    <t>Profit after tax</t>
  </si>
  <si>
    <t>Dividends</t>
  </si>
  <si>
    <t>Retained earnings</t>
  </si>
  <si>
    <t>Balance Sheet</t>
  </si>
  <si>
    <t>Cash and marketable securities</t>
  </si>
  <si>
    <t>Current assets</t>
  </si>
  <si>
    <t>Fixed assets</t>
  </si>
  <si>
    <t xml:space="preserve">   At cost</t>
  </si>
  <si>
    <t xml:space="preserve">   Depreciation</t>
  </si>
  <si>
    <t xml:space="preserve">   Net fixed assets</t>
  </si>
  <si>
    <t>Total assets</t>
  </si>
  <si>
    <t>Current liabilities</t>
  </si>
  <si>
    <t>Debt</t>
  </si>
  <si>
    <t>Stock</t>
  </si>
  <si>
    <t>Accumulated retained earnings</t>
  </si>
  <si>
    <t>Total liabilities and equity</t>
  </si>
  <si>
    <t>&lt;--G43-G32-G36</t>
  </si>
  <si>
    <t>&lt;-- $B$9*(g34+f34)/2</t>
  </si>
  <si>
    <t>Free cash flow calculation</t>
  </si>
  <si>
    <t>Add back depreciation</t>
  </si>
  <si>
    <t>Subtract increase in current assets</t>
  </si>
  <si>
    <t>Add back after-tax interest on debt</t>
  </si>
  <si>
    <t>Subtract after-tax interest on cash and marketable securities</t>
  </si>
  <si>
    <t>Free cash flow</t>
  </si>
  <si>
    <t>Add back increase in current liabilities</t>
  </si>
  <si>
    <t>Subtract  increase in fixed assets at cost</t>
  </si>
  <si>
    <t>Valuing the firm</t>
  </si>
  <si>
    <t>Weighted average cost of capital</t>
  </si>
  <si>
    <t>Long-term free cash flow growth rate</t>
  </si>
  <si>
    <t>Terminal Value</t>
  </si>
  <si>
    <t>Enterprise Value, present value of row 62</t>
  </si>
  <si>
    <t>Add in initial year (year 0) cash and marketable securities</t>
  </si>
  <si>
    <t>Asset value in year 0</t>
  </si>
  <si>
    <t>Subtract out value of firm's debt today</t>
  </si>
  <si>
    <t xml:space="preserve">Share value (100 shares)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</si>
</sst>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0" xfId="0" applyNumberFormat="1"/>
    <xf numFmtId="0" fontId="0" fillId="0" borderId="8" xfId="0" applyBorder="1"/>
    <xf numFmtId="0" fontId="2" fillId="0" borderId="7" xfId="0" applyFont="1" applyBorder="1"/>
    <xf numFmtId="0" fontId="2" fillId="0" borderId="0" xfId="1" applyNumberFormat="1" applyFont="1" applyBorder="1"/>
    <xf numFmtId="3" fontId="0" fillId="0" borderId="0" xfId="0" applyNumberFormat="1"/>
    <xf numFmtId="0" fontId="0" fillId="0" borderId="9" xfId="0" applyBorder="1"/>
    <xf numFmtId="2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2" fillId="0" borderId="2" xfId="0" applyFont="1" applyBorder="1"/>
    <xf numFmtId="9" fontId="0" fillId="0" borderId="0" xfId="2" applyFont="1"/>
    <xf numFmtId="0" fontId="2" fillId="0" borderId="12" xfId="0" applyFont="1" applyBorder="1"/>
    <xf numFmtId="0" fontId="2" fillId="0" borderId="13" xfId="0" applyFont="1" applyBorder="1"/>
    <xf numFmtId="44" fontId="0" fillId="0" borderId="0" xfId="1" applyFont="1"/>
    <xf numFmtId="44" fontId="2" fillId="0" borderId="0" xfId="1" applyFont="1"/>
    <xf numFmtId="44" fontId="0" fillId="0" borderId="0" xfId="0" applyNumberFormat="1"/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44" fontId="0" fillId="0" borderId="12" xfId="1" applyFont="1" applyBorder="1"/>
    <xf numFmtId="0" fontId="0" fillId="0" borderId="13" xfId="0" applyBorder="1"/>
    <xf numFmtId="0" fontId="0" fillId="0" borderId="2" xfId="0" applyBorder="1"/>
    <xf numFmtId="44" fontId="0" fillId="0" borderId="2" xfId="0" applyNumberFormat="1" applyBorder="1"/>
    <xf numFmtId="0" fontId="2" fillId="0" borderId="14" xfId="0" applyFont="1" applyBorder="1"/>
    <xf numFmtId="0" fontId="0" fillId="0" borderId="15" xfId="0" applyBorder="1"/>
    <xf numFmtId="0" fontId="0" fillId="0" borderId="0" xfId="0" applyBorder="1"/>
    <xf numFmtId="44" fontId="0" fillId="0" borderId="0" xfId="0" applyNumberFormat="1" applyBorder="1"/>
    <xf numFmtId="44" fontId="0" fillId="0" borderId="8" xfId="0" applyNumberFormat="1" applyBorder="1"/>
    <xf numFmtId="0" fontId="2" fillId="0" borderId="1" xfId="0" applyFont="1" applyBorder="1"/>
    <xf numFmtId="44" fontId="0" fillId="0" borderId="3" xfId="0" applyNumberFormat="1" applyBorder="1"/>
    <xf numFmtId="44" fontId="0" fillId="0" borderId="0" xfId="0" applyNumberFormat="1" applyFill="1" applyBorder="1"/>
    <xf numFmtId="9" fontId="0" fillId="0" borderId="0" xfId="0" applyNumberFormat="1"/>
    <xf numFmtId="10" fontId="0" fillId="0" borderId="0" xfId="2" applyNumberFormat="1" applyFont="1"/>
    <xf numFmtId="0" fontId="0" fillId="0" borderId="0" xfId="0" applyFill="1" applyBorder="1"/>
    <xf numFmtId="0" fontId="2" fillId="0" borderId="13" xfId="0" applyFont="1" applyFill="1" applyBorder="1"/>
    <xf numFmtId="44" fontId="0" fillId="0" borderId="13" xfId="0" applyNumberFormat="1" applyBorder="1"/>
    <xf numFmtId="0" fontId="3" fillId="2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505F-40B1-40F3-8F60-8523DEA3FE58}">
  <dimension ref="A1:H20"/>
  <sheetViews>
    <sheetView topLeftCell="A3" workbookViewId="0">
      <selection activeCell="A3" sqref="A3"/>
    </sheetView>
  </sheetViews>
  <sheetFormatPr defaultRowHeight="15" x14ac:dyDescent="0.25"/>
  <cols>
    <col min="1" max="1" width="42.5703125" customWidth="1"/>
    <col min="2" max="2" width="16.28515625" customWidth="1"/>
    <col min="3" max="6" width="6.85546875" customWidth="1"/>
    <col min="7" max="7" width="11.85546875" customWidth="1"/>
  </cols>
  <sheetData>
    <row r="1" spans="1:8" x14ac:dyDescent="0.25">
      <c r="A1" s="23" t="s">
        <v>0</v>
      </c>
      <c r="B1" s="23"/>
      <c r="C1" s="23"/>
      <c r="D1" s="23"/>
      <c r="E1" s="23"/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s="2"/>
      <c r="B4" s="2"/>
      <c r="C4" s="2"/>
      <c r="D4" s="2"/>
      <c r="E4" s="2"/>
    </row>
    <row r="5" spans="1:8" ht="30.75" customHeight="1" x14ac:dyDescent="0.25">
      <c r="A5" s="24" t="s">
        <v>3</v>
      </c>
      <c r="B5" s="25"/>
      <c r="C5" s="25"/>
      <c r="D5" s="25"/>
      <c r="E5" s="25"/>
      <c r="F5" s="25"/>
      <c r="G5" s="25"/>
      <c r="H5" s="26"/>
    </row>
    <row r="6" spans="1:8" x14ac:dyDescent="0.25">
      <c r="A6" s="3" t="s">
        <v>4</v>
      </c>
      <c r="B6" s="4">
        <v>481091</v>
      </c>
      <c r="C6" s="4"/>
      <c r="D6" s="4"/>
      <c r="E6" s="4"/>
      <c r="F6" s="4"/>
      <c r="G6" s="4"/>
      <c r="H6" s="5"/>
    </row>
    <row r="7" spans="1:8" x14ac:dyDescent="0.25">
      <c r="A7" s="6" t="s">
        <v>5</v>
      </c>
      <c r="B7" s="7">
        <v>0.08</v>
      </c>
      <c r="C7" t="s">
        <v>9</v>
      </c>
      <c r="H7" s="8"/>
    </row>
    <row r="8" spans="1:8" x14ac:dyDescent="0.25">
      <c r="A8" s="6" t="s">
        <v>6</v>
      </c>
      <c r="B8" s="7">
        <v>0.05</v>
      </c>
      <c r="C8" t="s">
        <v>8</v>
      </c>
      <c r="H8" s="8"/>
    </row>
    <row r="9" spans="1:8" x14ac:dyDescent="0.25">
      <c r="A9" s="6" t="s">
        <v>7</v>
      </c>
      <c r="B9" s="7">
        <v>0.107</v>
      </c>
      <c r="H9" s="8"/>
    </row>
    <row r="10" spans="1:8" x14ac:dyDescent="0.25">
      <c r="A10" s="6"/>
      <c r="H10" s="8"/>
    </row>
    <row r="11" spans="1:8" x14ac:dyDescent="0.25">
      <c r="A11" s="9" t="s">
        <v>10</v>
      </c>
      <c r="B11" s="10">
        <v>2020</v>
      </c>
      <c r="C11" s="1">
        <v>2021</v>
      </c>
      <c r="D11" s="10">
        <v>2022</v>
      </c>
      <c r="E11" s="1">
        <v>2023</v>
      </c>
      <c r="F11" s="10">
        <v>2024</v>
      </c>
      <c r="G11" s="1">
        <v>2025</v>
      </c>
      <c r="H11" s="8"/>
    </row>
    <row r="12" spans="1:8" x14ac:dyDescent="0.25">
      <c r="A12" s="6" t="s">
        <v>11</v>
      </c>
      <c r="C12">
        <v>519578</v>
      </c>
      <c r="D12">
        <f>C12*(1+$B$7)</f>
        <v>561144.24</v>
      </c>
      <c r="E12">
        <f t="shared" ref="E12:F12" si="0">D12*(1+$B$7)</f>
        <v>606035.77919999999</v>
      </c>
      <c r="F12">
        <f t="shared" si="0"/>
        <v>654518.64153600007</v>
      </c>
      <c r="G12">
        <f>F12*(1+$B$7)</f>
        <v>706880.1328588801</v>
      </c>
      <c r="H12" s="8"/>
    </row>
    <row r="13" spans="1:8" x14ac:dyDescent="0.25">
      <c r="A13" s="6" t="s">
        <v>12</v>
      </c>
      <c r="G13">
        <f>G12*(1+B8)/(B9-B8)</f>
        <v>13021476.13161095</v>
      </c>
      <c r="H13" s="8"/>
    </row>
    <row r="14" spans="1:8" x14ac:dyDescent="0.25">
      <c r="A14" s="9" t="s">
        <v>13</v>
      </c>
      <c r="B14" s="1"/>
      <c r="C14" s="1">
        <f>SUM(C12:C13)</f>
        <v>519578</v>
      </c>
      <c r="D14" s="1">
        <f t="shared" ref="D14:G14" si="1">SUM(D12:D13)</f>
        <v>561144.24</v>
      </c>
      <c r="E14" s="1">
        <f t="shared" si="1"/>
        <v>606035.77919999999</v>
      </c>
      <c r="F14" s="1">
        <f t="shared" si="1"/>
        <v>654518.64153600007</v>
      </c>
      <c r="G14" s="1">
        <f t="shared" si="1"/>
        <v>13728356.26446983</v>
      </c>
      <c r="H14" s="8"/>
    </row>
    <row r="15" spans="1:8" x14ac:dyDescent="0.25">
      <c r="A15" s="6"/>
      <c r="H15" s="8"/>
    </row>
    <row r="16" spans="1:8" x14ac:dyDescent="0.25">
      <c r="A16" s="6" t="s">
        <v>14</v>
      </c>
      <c r="B16">
        <f>NPV(B9,C14:G14)*(1+B9)^0.5</f>
        <v>10592906.700139895</v>
      </c>
      <c r="H16" s="8"/>
    </row>
    <row r="17" spans="1:8" x14ac:dyDescent="0.25">
      <c r="A17" s="6" t="s">
        <v>15</v>
      </c>
      <c r="B17">
        <v>73697</v>
      </c>
      <c r="H17" s="8"/>
    </row>
    <row r="18" spans="1:8" x14ac:dyDescent="0.25">
      <c r="A18" s="6" t="s">
        <v>16</v>
      </c>
      <c r="B18" s="11">
        <v>-1379106</v>
      </c>
      <c r="H18" s="8"/>
    </row>
    <row r="19" spans="1:8" x14ac:dyDescent="0.25">
      <c r="A19" s="9" t="s">
        <v>17</v>
      </c>
      <c r="B19">
        <f>SUM(B16:B18)</f>
        <v>9287497.7001398951</v>
      </c>
      <c r="H19" s="8"/>
    </row>
    <row r="20" spans="1:8" x14ac:dyDescent="0.25">
      <c r="A20" s="12" t="s">
        <v>18</v>
      </c>
      <c r="B20" s="13">
        <f>B19/1000000</f>
        <v>9.2874977001398946</v>
      </c>
      <c r="C20" s="14"/>
      <c r="D20" s="14"/>
      <c r="E20" s="14"/>
      <c r="F20" s="14"/>
      <c r="G20" s="14"/>
      <c r="H20" s="15"/>
    </row>
  </sheetData>
  <mergeCells count="2">
    <mergeCell ref="A1:E1"/>
    <mergeCell ref="A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4AE0-6DA3-494E-98F8-78160315DFCF}">
  <dimension ref="A1:R44"/>
  <sheetViews>
    <sheetView tabSelected="1" workbookViewId="0">
      <selection activeCell="D5" sqref="D5"/>
    </sheetView>
  </sheetViews>
  <sheetFormatPr defaultRowHeight="15" x14ac:dyDescent="0.25"/>
  <cols>
    <col min="1" max="1" width="45.140625" customWidth="1"/>
    <col min="2" max="6" width="10.5703125" bestFit="1" customWidth="1"/>
    <col min="7" max="7" width="12.140625" customWidth="1"/>
    <col min="11" max="11" width="53.85546875" customWidth="1"/>
    <col min="12" max="12" width="9.7109375" customWidth="1"/>
    <col min="13" max="15" width="10.42578125" customWidth="1"/>
    <col min="16" max="16" width="10.28515625" customWidth="1"/>
    <col min="17" max="17" width="12.28515625" customWidth="1"/>
  </cols>
  <sheetData>
    <row r="1" spans="1:18" x14ac:dyDescent="0.25">
      <c r="A1" s="1" t="s">
        <v>19</v>
      </c>
    </row>
    <row r="2" spans="1:18" x14ac:dyDescent="0.25">
      <c r="A2" t="s">
        <v>20</v>
      </c>
    </row>
    <row r="3" spans="1:18" x14ac:dyDescent="0.25">
      <c r="A3" s="27" t="s">
        <v>21</v>
      </c>
      <c r="B3" s="27"/>
      <c r="C3" s="27"/>
      <c r="D3" s="27"/>
      <c r="E3" s="27"/>
      <c r="F3" s="27"/>
      <c r="G3" s="27"/>
      <c r="H3" s="27"/>
      <c r="K3" s="46" t="s">
        <v>60</v>
      </c>
    </row>
    <row r="4" spans="1:18" ht="15.75" thickBot="1" x14ac:dyDescent="0.3">
      <c r="A4" t="s">
        <v>22</v>
      </c>
      <c r="B4" s="17">
        <v>0.1</v>
      </c>
      <c r="K4" s="33" t="s">
        <v>10</v>
      </c>
      <c r="L4" s="30">
        <v>0</v>
      </c>
      <c r="M4" s="30">
        <v>1</v>
      </c>
      <c r="N4" s="30">
        <v>2</v>
      </c>
      <c r="O4" s="30">
        <v>3</v>
      </c>
      <c r="P4" s="30">
        <v>4</v>
      </c>
      <c r="Q4" s="34">
        <v>5</v>
      </c>
    </row>
    <row r="5" spans="1:18" x14ac:dyDescent="0.25">
      <c r="A5" t="s">
        <v>23</v>
      </c>
      <c r="B5" s="17">
        <v>0.15</v>
      </c>
      <c r="K5" s="6" t="s">
        <v>42</v>
      </c>
      <c r="L5" s="35"/>
      <c r="M5" s="36">
        <f>C26</f>
        <v>708.85919999999987</v>
      </c>
      <c r="N5" s="36">
        <f t="shared" ref="N5:Q5" si="0">D26</f>
        <v>795.75839999999994</v>
      </c>
      <c r="O5" s="36">
        <f t="shared" si="0"/>
        <v>890.45399999999995</v>
      </c>
      <c r="P5" s="36">
        <f t="shared" si="0"/>
        <v>993.98260000000005</v>
      </c>
      <c r="Q5" s="37">
        <f t="shared" si="0"/>
        <v>1108.2203</v>
      </c>
      <c r="R5" s="40" t="str">
        <f ca="1">_xlfn.FORMULATEXT(Q5)</f>
        <v>=G26</v>
      </c>
    </row>
    <row r="6" spans="1:18" x14ac:dyDescent="0.25">
      <c r="A6" t="s">
        <v>24</v>
      </c>
      <c r="B6" s="17">
        <v>0.08</v>
      </c>
      <c r="K6" s="6" t="s">
        <v>61</v>
      </c>
      <c r="L6" s="35"/>
      <c r="M6" s="36">
        <f>-C23</f>
        <v>117</v>
      </c>
      <c r="N6" s="36">
        <f t="shared" ref="N6:Q6" si="1">-D23</f>
        <v>137</v>
      </c>
      <c r="O6" s="36">
        <f t="shared" si="1"/>
        <v>161</v>
      </c>
      <c r="P6" s="36">
        <f t="shared" si="1"/>
        <v>189</v>
      </c>
      <c r="Q6" s="37">
        <f t="shared" si="1"/>
        <v>220</v>
      </c>
      <c r="R6" s="40" t="str">
        <f t="shared" ref="R6:R12" ca="1" si="2">_xlfn.FORMULATEXT(Q6)</f>
        <v>=-G23</v>
      </c>
    </row>
    <row r="7" spans="1:18" x14ac:dyDescent="0.25">
      <c r="A7" t="s">
        <v>25</v>
      </c>
      <c r="B7" s="17">
        <v>0.77</v>
      </c>
      <c r="K7" s="6" t="s">
        <v>62</v>
      </c>
      <c r="L7" s="35"/>
      <c r="M7" s="36">
        <f>-C33+B33</f>
        <v>-15</v>
      </c>
      <c r="N7" s="36">
        <f t="shared" ref="N7:Q7" si="3">-D33+C33</f>
        <v>-16.5</v>
      </c>
      <c r="O7" s="36">
        <f t="shared" si="3"/>
        <v>-18.150000000000006</v>
      </c>
      <c r="P7" s="36">
        <f t="shared" si="3"/>
        <v>-19.965000000000003</v>
      </c>
      <c r="Q7" s="37">
        <f t="shared" si="3"/>
        <v>-21.961500000000001</v>
      </c>
      <c r="R7" s="40" t="str">
        <f t="shared" ca="1" si="2"/>
        <v>=-G33+F33</v>
      </c>
    </row>
    <row r="8" spans="1:18" x14ac:dyDescent="0.25">
      <c r="B8" s="17"/>
      <c r="K8" s="6" t="s">
        <v>66</v>
      </c>
      <c r="L8" s="35"/>
      <c r="M8" s="36">
        <f>C40-B40</f>
        <v>8</v>
      </c>
      <c r="N8" s="36">
        <f t="shared" ref="N8:Q8" si="4">D40-C40</f>
        <v>8.7999999999999972</v>
      </c>
      <c r="O8" s="36">
        <f t="shared" si="4"/>
        <v>9.6800000000000068</v>
      </c>
      <c r="P8" s="36">
        <f t="shared" si="4"/>
        <v>10.64800000000001</v>
      </c>
      <c r="Q8" s="37">
        <f t="shared" si="4"/>
        <v>11.712800000000016</v>
      </c>
      <c r="R8" s="40" t="str">
        <f t="shared" ca="1" si="2"/>
        <v>=G40-F40</v>
      </c>
    </row>
    <row r="9" spans="1:18" x14ac:dyDescent="0.25">
      <c r="A9" t="s">
        <v>26</v>
      </c>
      <c r="B9" s="17">
        <v>0.5</v>
      </c>
      <c r="K9" s="6" t="s">
        <v>67</v>
      </c>
      <c r="L9" s="35"/>
      <c r="M9" s="36">
        <f>-(C35-B35)</f>
        <v>-194</v>
      </c>
      <c r="N9" s="36">
        <f t="shared" ref="N9:Q9" si="5">-(D35-C35)</f>
        <v>-221.70000000000005</v>
      </c>
      <c r="O9" s="36">
        <f t="shared" si="5"/>
        <v>-254.17000000000007</v>
      </c>
      <c r="P9" s="36">
        <f t="shared" si="5"/>
        <v>-291.48700000000008</v>
      </c>
      <c r="Q9" s="37">
        <f t="shared" si="5"/>
        <v>-332.73569999999995</v>
      </c>
      <c r="R9" s="40" t="str">
        <f t="shared" ca="1" si="2"/>
        <v>=-(G35-F35)</v>
      </c>
    </row>
    <row r="10" spans="1:18" x14ac:dyDescent="0.25">
      <c r="A10" t="s">
        <v>27</v>
      </c>
      <c r="B10" s="17">
        <v>0.1</v>
      </c>
      <c r="K10" s="6" t="s">
        <v>63</v>
      </c>
      <c r="L10" s="35"/>
      <c r="M10" s="36">
        <f>-(1-$B$13)*B21</f>
        <v>23.36</v>
      </c>
      <c r="N10" s="36">
        <f t="shared" ref="N10:Q10" si="6">-(1-$B$13)*C21</f>
        <v>23.36</v>
      </c>
      <c r="O10" s="36">
        <f t="shared" si="6"/>
        <v>23.36</v>
      </c>
      <c r="P10" s="36">
        <f t="shared" si="6"/>
        <v>23.36</v>
      </c>
      <c r="Q10" s="37">
        <f t="shared" si="6"/>
        <v>23.36</v>
      </c>
      <c r="R10" s="40" t="str">
        <f t="shared" ca="1" si="2"/>
        <v>=-(1-$B$13)*F21</v>
      </c>
    </row>
    <row r="11" spans="1:18" x14ac:dyDescent="0.25">
      <c r="A11" t="s">
        <v>28</v>
      </c>
      <c r="B11" s="17">
        <v>0.1</v>
      </c>
      <c r="K11" s="6" t="s">
        <v>64</v>
      </c>
      <c r="L11" s="35"/>
      <c r="M11" s="36">
        <f>-(1-$B$13)*C22</f>
        <v>-14.629199999999999</v>
      </c>
      <c r="N11" s="36">
        <f t="shared" ref="N11:Q11" si="7">-(1-$B$13)*D22</f>
        <v>-35.828399999999995</v>
      </c>
      <c r="O11" s="36">
        <f t="shared" si="7"/>
        <v>-59.713999999999999</v>
      </c>
      <c r="P11" s="36">
        <f t="shared" si="7"/>
        <v>-86.519599999999997</v>
      </c>
      <c r="Q11" s="37">
        <f t="shared" si="7"/>
        <v>-116.508</v>
      </c>
      <c r="R11" s="40" t="str">
        <f t="shared" ca="1" si="2"/>
        <v>=-(1-$B$13)*G22</v>
      </c>
    </row>
    <row r="12" spans="1:18" x14ac:dyDescent="0.25">
      <c r="A12" t="s">
        <v>29</v>
      </c>
      <c r="B12" s="17">
        <v>0.08</v>
      </c>
      <c r="K12" s="38" t="s">
        <v>65</v>
      </c>
      <c r="L12" s="31"/>
      <c r="M12" s="32">
        <f>SUM(M5:M11)</f>
        <v>633.58999999999992</v>
      </c>
      <c r="N12" s="32">
        <f t="shared" ref="N12:Q12" si="8">SUM(N5:N11)</f>
        <v>690.88999999999987</v>
      </c>
      <c r="O12" s="32">
        <f t="shared" si="8"/>
        <v>752.45999999999981</v>
      </c>
      <c r="P12" s="32">
        <f t="shared" si="8"/>
        <v>819.01900000000001</v>
      </c>
      <c r="Q12" s="39">
        <f t="shared" si="8"/>
        <v>892.0879000000001</v>
      </c>
      <c r="R12" s="40" t="str">
        <f t="shared" ca="1" si="2"/>
        <v>=SUM(Q5:Q11)</v>
      </c>
    </row>
    <row r="13" spans="1:18" x14ac:dyDescent="0.25">
      <c r="A13" t="s">
        <v>30</v>
      </c>
      <c r="B13" s="17">
        <v>0.27</v>
      </c>
      <c r="M13" s="42"/>
    </row>
    <row r="14" spans="1:18" x14ac:dyDescent="0.25">
      <c r="A14" t="s">
        <v>31</v>
      </c>
      <c r="B14" s="17">
        <v>0.4</v>
      </c>
    </row>
    <row r="15" spans="1:18" x14ac:dyDescent="0.25">
      <c r="K15" s="46" t="s">
        <v>68</v>
      </c>
    </row>
    <row r="16" spans="1:18" x14ac:dyDescent="0.25">
      <c r="A16" s="28" t="s">
        <v>32</v>
      </c>
      <c r="B16" s="28"/>
      <c r="C16" s="28"/>
      <c r="D16" s="28"/>
      <c r="E16" s="28"/>
      <c r="F16" s="28"/>
      <c r="G16" s="28"/>
      <c r="K16" t="s">
        <v>69</v>
      </c>
      <c r="L16" s="7">
        <v>0.107</v>
      </c>
    </row>
    <row r="17" spans="1:17" x14ac:dyDescent="0.25">
      <c r="A17" s="16" t="s">
        <v>33</v>
      </c>
      <c r="B17" s="16">
        <v>0</v>
      </c>
      <c r="C17" s="16">
        <v>1</v>
      </c>
      <c r="D17" s="16">
        <v>2</v>
      </c>
      <c r="E17" s="16">
        <v>3</v>
      </c>
      <c r="F17" s="16">
        <v>4</v>
      </c>
      <c r="G17" s="16">
        <v>5</v>
      </c>
      <c r="H17" s="1"/>
      <c r="K17" t="s">
        <v>70</v>
      </c>
      <c r="L17" s="41">
        <v>0.05</v>
      </c>
    </row>
    <row r="18" spans="1:17" x14ac:dyDescent="0.25">
      <c r="A18" t="s">
        <v>34</v>
      </c>
      <c r="B18" s="20">
        <v>1000</v>
      </c>
      <c r="C18" s="20">
        <f>B18*(1+$B$4)</f>
        <v>1100</v>
      </c>
      <c r="D18" s="20">
        <f t="shared" ref="D18:G18" si="9">C18*(1+$B$4)</f>
        <v>1210</v>
      </c>
      <c r="E18" s="20">
        <f t="shared" si="9"/>
        <v>1331</v>
      </c>
      <c r="F18" s="20">
        <f t="shared" si="9"/>
        <v>1464.1000000000001</v>
      </c>
      <c r="G18" s="20">
        <f>F18*(1+$B$4)</f>
        <v>1610.5100000000002</v>
      </c>
      <c r="H18" s="20" t="str">
        <f ca="1">_xlfn.FORMULATEXT(G18)</f>
        <v>=F18*(1+$B$4)</v>
      </c>
    </row>
    <row r="19" spans="1:17" ht="15.75" thickBot="1" x14ac:dyDescent="0.3">
      <c r="A19" t="s">
        <v>35</v>
      </c>
      <c r="B19" s="20">
        <f>-500</f>
        <v>-500</v>
      </c>
      <c r="C19" s="20">
        <f>-C18*$B$9</f>
        <v>-550</v>
      </c>
      <c r="D19" s="20">
        <f t="shared" ref="D19:G19" si="10">-D18*$B$9</f>
        <v>-605</v>
      </c>
      <c r="E19" s="20">
        <f t="shared" si="10"/>
        <v>-665.5</v>
      </c>
      <c r="F19" s="20">
        <f t="shared" si="10"/>
        <v>-732.05000000000007</v>
      </c>
      <c r="G19" s="20">
        <f t="shared" si="10"/>
        <v>-805.25500000000011</v>
      </c>
      <c r="H19" s="20" t="str">
        <f t="shared" ref="H19:H28" ca="1" si="11">_xlfn.FORMULATEXT(G19)</f>
        <v>=-G18*$B$9</v>
      </c>
      <c r="K19" s="30" t="s">
        <v>33</v>
      </c>
      <c r="L19" s="30">
        <v>0</v>
      </c>
      <c r="M19" s="30">
        <v>1</v>
      </c>
      <c r="N19" s="30">
        <v>2</v>
      </c>
      <c r="O19" s="30">
        <v>3</v>
      </c>
      <c r="P19" s="30">
        <v>4</v>
      </c>
      <c r="Q19" s="30">
        <v>5</v>
      </c>
    </row>
    <row r="20" spans="1:17" x14ac:dyDescent="0.25">
      <c r="A20" s="1" t="s">
        <v>36</v>
      </c>
      <c r="B20" s="21">
        <f>SUM(B18:B19)</f>
        <v>500</v>
      </c>
      <c r="C20" s="21">
        <f t="shared" ref="C20:G20" si="12">SUM(C18:C19)</f>
        <v>550</v>
      </c>
      <c r="D20" s="21">
        <f t="shared" si="12"/>
        <v>605</v>
      </c>
      <c r="E20" s="21">
        <f t="shared" si="12"/>
        <v>665.5</v>
      </c>
      <c r="F20" s="21">
        <f t="shared" si="12"/>
        <v>732.05000000000007</v>
      </c>
      <c r="G20" s="21">
        <f t="shared" si="12"/>
        <v>805.25500000000011</v>
      </c>
      <c r="H20" s="20" t="str">
        <f t="shared" ca="1" si="11"/>
        <v>=SUM(G18:G19)</v>
      </c>
      <c r="K20" s="43" t="s">
        <v>11</v>
      </c>
      <c r="M20" s="22">
        <f>M12</f>
        <v>633.58999999999992</v>
      </c>
      <c r="N20" s="22">
        <f t="shared" ref="N20:Q20" si="13">N12</f>
        <v>690.88999999999987</v>
      </c>
      <c r="O20" s="22">
        <f t="shared" si="13"/>
        <v>752.45999999999981</v>
      </c>
      <c r="P20" s="22">
        <f t="shared" si="13"/>
        <v>819.01900000000001</v>
      </c>
      <c r="Q20" s="22">
        <f t="shared" si="13"/>
        <v>892.0879000000001</v>
      </c>
    </row>
    <row r="21" spans="1:17" x14ac:dyDescent="0.25">
      <c r="A21" t="s">
        <v>37</v>
      </c>
      <c r="B21" s="20">
        <f>-$B$11*(B$41)</f>
        <v>-32</v>
      </c>
      <c r="C21" s="20">
        <f>-$B$11*(B$41+C$41)/2</f>
        <v>-32</v>
      </c>
      <c r="D21" s="20">
        <f t="shared" ref="D21:G21" si="14">-$B$11*(C$41+D$41)/2</f>
        <v>-32</v>
      </c>
      <c r="E21" s="20">
        <f t="shared" si="14"/>
        <v>-32</v>
      </c>
      <c r="F21" s="20">
        <f t="shared" si="14"/>
        <v>-32</v>
      </c>
      <c r="G21" s="20">
        <f t="shared" si="14"/>
        <v>-32</v>
      </c>
      <c r="H21" s="20" t="str">
        <f t="shared" ca="1" si="11"/>
        <v>=-$B$11*(F$41+G$41)/2</v>
      </c>
      <c r="K21" s="43" t="s">
        <v>71</v>
      </c>
      <c r="Q21" s="22">
        <f>Q20*(1+L17)/(L16-L17)</f>
        <v>16433.198157894742</v>
      </c>
    </row>
    <row r="22" spans="1:17" ht="15.75" thickBot="1" x14ac:dyDescent="0.3">
      <c r="A22" t="s">
        <v>38</v>
      </c>
      <c r="B22" s="20">
        <v>6</v>
      </c>
      <c r="C22" s="20">
        <f>$B$12*(B$32+C$32)/2</f>
        <v>20.04</v>
      </c>
      <c r="D22" s="20">
        <f>$B$12*(C$32+D$32)/2</f>
        <v>49.08</v>
      </c>
      <c r="E22" s="20">
        <f t="shared" ref="E22:G22" si="15">$B$12*(D$32+E$32)/2</f>
        <v>81.8</v>
      </c>
      <c r="F22" s="20">
        <f t="shared" si="15"/>
        <v>118.52</v>
      </c>
      <c r="G22" s="20">
        <f>$B$12*(F$32+G$32)/2</f>
        <v>159.6</v>
      </c>
      <c r="H22" s="20" t="str">
        <f t="shared" ca="1" si="11"/>
        <v>=$B$12*(F$32+G$32)/2</v>
      </c>
      <c r="K22" s="44" t="s">
        <v>13</v>
      </c>
      <c r="L22" s="30"/>
      <c r="M22" s="45">
        <f>M20+M21</f>
        <v>633.58999999999992</v>
      </c>
      <c r="N22" s="45">
        <f t="shared" ref="N22:Q22" si="16">N20+N21</f>
        <v>690.88999999999987</v>
      </c>
      <c r="O22" s="45">
        <f t="shared" si="16"/>
        <v>752.45999999999981</v>
      </c>
      <c r="P22" s="45">
        <f t="shared" si="16"/>
        <v>819.01900000000001</v>
      </c>
      <c r="Q22" s="45">
        <f t="shared" si="16"/>
        <v>17325.28605789474</v>
      </c>
    </row>
    <row r="23" spans="1:17" x14ac:dyDescent="0.25">
      <c r="A23" t="s">
        <v>39</v>
      </c>
      <c r="B23" s="20">
        <v>-100</v>
      </c>
      <c r="C23" s="20">
        <v>-117</v>
      </c>
      <c r="D23" s="20">
        <v>-137</v>
      </c>
      <c r="E23" s="20">
        <v>-161</v>
      </c>
      <c r="F23" s="20">
        <v>-189</v>
      </c>
      <c r="G23" s="20">
        <v>-220</v>
      </c>
      <c r="H23" s="20" t="s">
        <v>59</v>
      </c>
    </row>
    <row r="24" spans="1:17" x14ac:dyDescent="0.25">
      <c r="A24" s="1" t="s">
        <v>40</v>
      </c>
      <c r="B24" s="20">
        <f>SUM(B18:B23)</f>
        <v>874</v>
      </c>
      <c r="C24" s="20">
        <f>SUM(C18:C23)</f>
        <v>971.04</v>
      </c>
      <c r="D24" s="20">
        <f t="shared" ref="C24:G24" si="17">SUM(D18:D23)</f>
        <v>1090.08</v>
      </c>
      <c r="E24" s="20">
        <f t="shared" si="17"/>
        <v>1219.8</v>
      </c>
      <c r="F24" s="20">
        <f t="shared" si="17"/>
        <v>1361.6200000000001</v>
      </c>
      <c r="G24" s="20">
        <f t="shared" si="17"/>
        <v>1518.1100000000001</v>
      </c>
      <c r="H24" s="20" t="str">
        <f t="shared" ca="1" si="11"/>
        <v>=SUM(G18:G23)</v>
      </c>
      <c r="K24" t="s">
        <v>72</v>
      </c>
      <c r="L24">
        <f>NPV(L16,M22:Q22)*(1+L16)^0.5</f>
        <v>13317.982538181725</v>
      </c>
    </row>
    <row r="25" spans="1:17" x14ac:dyDescent="0.25">
      <c r="A25" t="s">
        <v>41</v>
      </c>
      <c r="B25" s="20">
        <f>-B24*$B$13</f>
        <v>-235.98000000000002</v>
      </c>
      <c r="C25" s="20">
        <f>-C24*$B$13</f>
        <v>-262.18080000000003</v>
      </c>
      <c r="D25" s="20">
        <f t="shared" ref="C25:G25" si="18">-D24*$B$13</f>
        <v>-294.32159999999999</v>
      </c>
      <c r="E25" s="20">
        <f t="shared" si="18"/>
        <v>-329.346</v>
      </c>
      <c r="F25" s="20">
        <f t="shared" si="18"/>
        <v>-367.63740000000007</v>
      </c>
      <c r="G25" s="20">
        <f t="shared" si="18"/>
        <v>-409.88970000000006</v>
      </c>
      <c r="H25" s="20" t="str">
        <f t="shared" ca="1" si="11"/>
        <v>=-G24*$B$13</v>
      </c>
      <c r="K25" t="s">
        <v>73</v>
      </c>
      <c r="L25">
        <f>B32</f>
        <v>80</v>
      </c>
    </row>
    <row r="26" spans="1:17" ht="15.75" thickBot="1" x14ac:dyDescent="0.3">
      <c r="A26" s="18" t="s">
        <v>42</v>
      </c>
      <c r="B26" s="29">
        <f>B24+B25</f>
        <v>638.02</v>
      </c>
      <c r="C26" s="29">
        <f>C24+C25</f>
        <v>708.85919999999987</v>
      </c>
      <c r="D26" s="29">
        <f t="shared" ref="C26:G26" si="19">D24+D25</f>
        <v>795.75839999999994</v>
      </c>
      <c r="E26" s="29">
        <f t="shared" si="19"/>
        <v>890.45399999999995</v>
      </c>
      <c r="F26" s="29">
        <f t="shared" si="19"/>
        <v>993.98260000000005</v>
      </c>
      <c r="G26" s="29">
        <f t="shared" si="19"/>
        <v>1108.2203</v>
      </c>
      <c r="H26" s="20" t="str">
        <f t="shared" ca="1" si="11"/>
        <v>=G24+G25</v>
      </c>
      <c r="K26" t="s">
        <v>74</v>
      </c>
      <c r="L26">
        <f>SUM(L24:L25)</f>
        <v>13397.982538181725</v>
      </c>
    </row>
    <row r="27" spans="1:17" ht="15.75" thickTop="1" x14ac:dyDescent="0.25">
      <c r="A27" t="s">
        <v>43</v>
      </c>
      <c r="B27" s="20">
        <f>-B26*$B$14</f>
        <v>-255.208</v>
      </c>
      <c r="C27" s="20">
        <f t="shared" ref="C27:G27" si="20">-C26*$B$14</f>
        <v>-283.54367999999994</v>
      </c>
      <c r="D27" s="20">
        <f t="shared" si="20"/>
        <v>-318.30336</v>
      </c>
      <c r="E27" s="20">
        <f t="shared" si="20"/>
        <v>-356.1816</v>
      </c>
      <c r="F27" s="20">
        <f t="shared" si="20"/>
        <v>-397.59304000000003</v>
      </c>
      <c r="G27" s="20">
        <f t="shared" si="20"/>
        <v>-443.28811999999999</v>
      </c>
      <c r="H27" s="20" t="str">
        <f t="shared" ca="1" si="11"/>
        <v>=-G26*$B$14</v>
      </c>
      <c r="K27" t="s">
        <v>75</v>
      </c>
      <c r="L27" s="22">
        <f>-B41</f>
        <v>-320</v>
      </c>
    </row>
    <row r="28" spans="1:17" x14ac:dyDescent="0.25">
      <c r="A28" t="s">
        <v>44</v>
      </c>
      <c r="B28" s="20">
        <f>B26+B27</f>
        <v>382.81200000000001</v>
      </c>
      <c r="C28" s="20">
        <f>C26+C27</f>
        <v>425.31551999999994</v>
      </c>
      <c r="D28" s="20">
        <f>D26+D27</f>
        <v>477.45503999999994</v>
      </c>
      <c r="E28" s="20">
        <f>E26+E27</f>
        <v>534.27239999999995</v>
      </c>
      <c r="F28" s="20">
        <f>F26+F27</f>
        <v>596.38956000000007</v>
      </c>
      <c r="G28" s="20">
        <f>G26+G27</f>
        <v>664.93218000000002</v>
      </c>
      <c r="H28" s="20" t="str">
        <f t="shared" ca="1" si="11"/>
        <v>=G26+G27</v>
      </c>
      <c r="K28" t="s">
        <v>17</v>
      </c>
      <c r="L28">
        <f>SUM(L26:L27)</f>
        <v>13077.982538181725</v>
      </c>
    </row>
    <row r="29" spans="1:17" x14ac:dyDescent="0.25">
      <c r="K29" t="s">
        <v>76</v>
      </c>
      <c r="L29">
        <f>L28/100</f>
        <v>130.77982538181723</v>
      </c>
    </row>
    <row r="30" spans="1:17" x14ac:dyDescent="0.25">
      <c r="A30" s="28" t="s">
        <v>45</v>
      </c>
      <c r="B30" s="28"/>
      <c r="C30" s="28"/>
      <c r="D30" s="28"/>
      <c r="E30" s="28"/>
      <c r="F30" s="28"/>
      <c r="G30" s="28"/>
    </row>
    <row r="31" spans="1:17" ht="15.75" thickBot="1" x14ac:dyDescent="0.3">
      <c r="A31" s="19" t="s">
        <v>33</v>
      </c>
      <c r="B31" s="19">
        <v>0</v>
      </c>
      <c r="C31" s="19">
        <v>1</v>
      </c>
      <c r="D31" s="19">
        <v>2</v>
      </c>
      <c r="E31" s="19">
        <v>3</v>
      </c>
      <c r="F31" s="19">
        <v>4</v>
      </c>
      <c r="G31" s="19">
        <v>5</v>
      </c>
    </row>
    <row r="32" spans="1:17" x14ac:dyDescent="0.25">
      <c r="A32" t="s">
        <v>46</v>
      </c>
      <c r="B32" s="20">
        <f>B44-B37-B33</f>
        <v>80</v>
      </c>
      <c r="C32" s="20">
        <v>421</v>
      </c>
      <c r="D32" s="20">
        <v>806</v>
      </c>
      <c r="E32" s="20">
        <v>1239</v>
      </c>
      <c r="F32" s="20">
        <v>1724</v>
      </c>
      <c r="G32" s="20">
        <v>2266</v>
      </c>
      <c r="H32" t="s">
        <v>58</v>
      </c>
    </row>
    <row r="33" spans="1:8" x14ac:dyDescent="0.25">
      <c r="A33" t="s">
        <v>47</v>
      </c>
      <c r="B33" s="20">
        <f>B18*$B$5</f>
        <v>150</v>
      </c>
      <c r="C33" s="20">
        <f t="shared" ref="C33:G33" si="21">C18*$B$5</f>
        <v>165</v>
      </c>
      <c r="D33" s="20">
        <f t="shared" si="21"/>
        <v>181.5</v>
      </c>
      <c r="E33" s="20">
        <f t="shared" si="21"/>
        <v>199.65</v>
      </c>
      <c r="F33" s="20">
        <f t="shared" si="21"/>
        <v>219.61500000000001</v>
      </c>
      <c r="G33" s="20">
        <f t="shared" si="21"/>
        <v>241.57650000000001</v>
      </c>
      <c r="H33" t="str">
        <f t="shared" ref="H33:H44" ca="1" si="22">_xlfn.FORMULATEXT(G33)</f>
        <v>=G18*$B$5</v>
      </c>
    </row>
    <row r="34" spans="1:8" x14ac:dyDescent="0.25">
      <c r="A34" t="s">
        <v>48</v>
      </c>
      <c r="B34" s="20"/>
      <c r="C34" s="20"/>
      <c r="D34" s="20"/>
      <c r="E34" s="20"/>
      <c r="F34" s="20"/>
      <c r="G34" s="20"/>
    </row>
    <row r="35" spans="1:8" x14ac:dyDescent="0.25">
      <c r="A35" t="s">
        <v>49</v>
      </c>
      <c r="B35" s="20">
        <f>B37-B36</f>
        <v>1070</v>
      </c>
      <c r="C35" s="20">
        <f>C37-C36</f>
        <v>1264</v>
      </c>
      <c r="D35" s="20">
        <f>D37-D36</f>
        <v>1485.7</v>
      </c>
      <c r="E35" s="20">
        <f t="shared" ref="E35:G35" si="23">E37-E36</f>
        <v>1739.8700000000001</v>
      </c>
      <c r="F35" s="20">
        <f t="shared" si="23"/>
        <v>2031.3570000000002</v>
      </c>
      <c r="G35" s="20">
        <f t="shared" si="23"/>
        <v>2364.0927000000001</v>
      </c>
      <c r="H35" t="str">
        <f t="shared" ca="1" si="22"/>
        <v>=G37-G36</v>
      </c>
    </row>
    <row r="36" spans="1:8" x14ac:dyDescent="0.25">
      <c r="A36" t="s">
        <v>50</v>
      </c>
      <c r="B36" s="20">
        <v>-300</v>
      </c>
      <c r="C36" s="20">
        <f>B36+C23</f>
        <v>-417</v>
      </c>
      <c r="D36" s="20">
        <f>C36+D23</f>
        <v>-554</v>
      </c>
      <c r="E36" s="20">
        <f t="shared" ref="E36:G36" si="24">D36+E23</f>
        <v>-715</v>
      </c>
      <c r="F36" s="20">
        <f t="shared" si="24"/>
        <v>-904</v>
      </c>
      <c r="G36" s="20">
        <f t="shared" si="24"/>
        <v>-1124</v>
      </c>
      <c r="H36" t="str">
        <f t="shared" ca="1" si="22"/>
        <v>=F36+G23</v>
      </c>
    </row>
    <row r="37" spans="1:8" x14ac:dyDescent="0.25">
      <c r="A37" t="s">
        <v>51</v>
      </c>
      <c r="B37" s="20">
        <f>B18*$B$7</f>
        <v>770</v>
      </c>
      <c r="C37" s="20">
        <f t="shared" ref="C37:G37" si="25">C18*$B$7</f>
        <v>847</v>
      </c>
      <c r="D37" s="20">
        <f t="shared" si="25"/>
        <v>931.7</v>
      </c>
      <c r="E37" s="20">
        <f t="shared" si="25"/>
        <v>1024.8700000000001</v>
      </c>
      <c r="F37" s="20">
        <f t="shared" si="25"/>
        <v>1127.3570000000002</v>
      </c>
      <c r="G37" s="20">
        <f t="shared" si="25"/>
        <v>1240.0927000000001</v>
      </c>
      <c r="H37" t="str">
        <f t="shared" ca="1" si="22"/>
        <v>=G18*$B$7</v>
      </c>
    </row>
    <row r="38" spans="1:8" x14ac:dyDescent="0.25">
      <c r="A38" s="1" t="s">
        <v>52</v>
      </c>
      <c r="B38" s="21">
        <f>B37+B33+B32</f>
        <v>1000</v>
      </c>
      <c r="C38" s="21">
        <f t="shared" ref="C38:G38" si="26">C37+C33+C32</f>
        <v>1433</v>
      </c>
      <c r="D38" s="21">
        <f t="shared" si="26"/>
        <v>1919.2</v>
      </c>
      <c r="E38" s="21">
        <f t="shared" si="26"/>
        <v>2463.5200000000004</v>
      </c>
      <c r="F38" s="21">
        <f t="shared" si="26"/>
        <v>3070.9720000000002</v>
      </c>
      <c r="G38" s="21">
        <f t="shared" si="26"/>
        <v>3747.6692000000003</v>
      </c>
      <c r="H38" t="str">
        <f t="shared" ca="1" si="22"/>
        <v>=G37+G33+G32</v>
      </c>
    </row>
    <row r="39" spans="1:8" x14ac:dyDescent="0.25">
      <c r="B39" s="20"/>
      <c r="C39" s="20"/>
      <c r="D39" s="20"/>
      <c r="E39" s="20"/>
      <c r="F39" s="20"/>
      <c r="G39" s="20"/>
    </row>
    <row r="40" spans="1:8" x14ac:dyDescent="0.25">
      <c r="A40" t="s">
        <v>53</v>
      </c>
      <c r="B40" s="20">
        <f>$B$6*B18</f>
        <v>80</v>
      </c>
      <c r="C40" s="20">
        <f t="shared" ref="C40:G40" si="27">$B$6*C18</f>
        <v>88</v>
      </c>
      <c r="D40" s="20">
        <f t="shared" si="27"/>
        <v>96.8</v>
      </c>
      <c r="E40" s="20">
        <f t="shared" si="27"/>
        <v>106.48</v>
      </c>
      <c r="F40" s="20">
        <f t="shared" si="27"/>
        <v>117.12800000000001</v>
      </c>
      <c r="G40" s="20">
        <f t="shared" si="27"/>
        <v>128.84080000000003</v>
      </c>
      <c r="H40" t="str">
        <f t="shared" ca="1" si="22"/>
        <v>=$B$6*G18</v>
      </c>
    </row>
    <row r="41" spans="1:8" x14ac:dyDescent="0.25">
      <c r="A41" t="s">
        <v>54</v>
      </c>
      <c r="B41" s="20">
        <v>320</v>
      </c>
      <c r="C41" s="20">
        <v>320</v>
      </c>
      <c r="D41" s="20">
        <v>320</v>
      </c>
      <c r="E41" s="20">
        <v>320</v>
      </c>
      <c r="F41" s="20">
        <v>320</v>
      </c>
      <c r="G41" s="20">
        <v>320</v>
      </c>
    </row>
    <row r="42" spans="1:8" x14ac:dyDescent="0.25">
      <c r="A42" t="s">
        <v>55</v>
      </c>
      <c r="B42" s="20">
        <v>450</v>
      </c>
      <c r="C42" s="20">
        <v>450</v>
      </c>
      <c r="D42" s="20">
        <v>450</v>
      </c>
      <c r="E42" s="20">
        <v>450</v>
      </c>
      <c r="F42" s="20">
        <v>450</v>
      </c>
      <c r="G42" s="20">
        <v>450</v>
      </c>
    </row>
    <row r="43" spans="1:8" x14ac:dyDescent="0.25">
      <c r="A43" t="s">
        <v>56</v>
      </c>
      <c r="B43" s="20">
        <v>150</v>
      </c>
      <c r="C43" s="20">
        <f>B43+C28</f>
        <v>575.31551999999988</v>
      </c>
      <c r="D43" s="20">
        <f>C43+D28</f>
        <v>1052.7705599999999</v>
      </c>
      <c r="E43" s="20">
        <f t="shared" ref="D43:G43" si="28">D43+E28</f>
        <v>1587.0429599999998</v>
      </c>
      <c r="F43" s="20">
        <f t="shared" si="28"/>
        <v>2183.4325199999998</v>
      </c>
      <c r="G43" s="20">
        <f t="shared" si="28"/>
        <v>2848.3647000000001</v>
      </c>
      <c r="H43" t="str">
        <f t="shared" ca="1" si="22"/>
        <v>=F43+G28</v>
      </c>
    </row>
    <row r="44" spans="1:8" x14ac:dyDescent="0.25">
      <c r="A44" s="1" t="s">
        <v>57</v>
      </c>
      <c r="B44" s="21">
        <f>SUM(B40:B43)</f>
        <v>1000</v>
      </c>
      <c r="C44" s="21">
        <f>SUM(C40:C43)</f>
        <v>1433.3155199999999</v>
      </c>
      <c r="D44" s="21">
        <f t="shared" ref="C44:G44" si="29">SUM(D40:D43)</f>
        <v>1919.5705599999999</v>
      </c>
      <c r="E44" s="21">
        <f t="shared" si="29"/>
        <v>2463.5229599999998</v>
      </c>
      <c r="F44" s="21">
        <f t="shared" si="29"/>
        <v>3070.56052</v>
      </c>
      <c r="G44" s="21">
        <f t="shared" si="29"/>
        <v>3747.2055</v>
      </c>
      <c r="H44" t="str">
        <f t="shared" ca="1" si="22"/>
        <v>=SUM(G40:G43)</v>
      </c>
    </row>
  </sheetData>
  <mergeCells count="3">
    <mergeCell ref="A3:H3"/>
    <mergeCell ref="A16:G16"/>
    <mergeCell ref="A30:G30"/>
  </mergeCells>
  <pageMargins left="0.7" right="0.7" top="0.75" bottom="0.75" header="0.3" footer="0.3"/>
  <ignoredErrors>
    <ignoredError sqref="B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 based on CSCF</vt:lpstr>
      <vt:lpstr>Pro Forma 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Choi</dc:creator>
  <cp:lastModifiedBy>nathaniel Choi</cp:lastModifiedBy>
  <dcterms:created xsi:type="dcterms:W3CDTF">2025-02-05T00:48:29Z</dcterms:created>
  <dcterms:modified xsi:type="dcterms:W3CDTF">2025-02-06T18:22:44Z</dcterms:modified>
</cp:coreProperties>
</file>