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stp/Documents/NHMD/docs/DaSSCo/github/DaSSCo-Tranche-1-work/Asset Registry System (ARS)/"/>
    </mc:Choice>
  </mc:AlternateContent>
  <xr:revisionPtr revIDLastSave="0" documentId="13_ncr:1_{944514FF-3698-204F-8293-31421AA1181A}" xr6:coauthVersionLast="47" xr6:coauthVersionMax="47" xr10:uidLastSave="{00000000-0000-0000-0000-000000000000}"/>
  <bookViews>
    <workbookView xWindow="0" yWindow="760" windowWidth="23240" windowHeight="13140" xr2:uid="{D8303F33-A3AC-4B5D-B105-B60CD2BFE9AD}"/>
  </bookViews>
  <sheets>
    <sheet name="Overview" sheetId="1" r:id="rId1"/>
    <sheet name="Hours by package" sheetId="2" r:id="rId2"/>
    <sheet name="Hours by consultant" sheetId="3" r:id="rId3"/>
    <sheet name="Cost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5" i="1"/>
  <c r="G13" i="1"/>
  <c r="I13" i="1" l="1"/>
  <c r="I9" i="1"/>
  <c r="G6" i="1"/>
  <c r="I6" i="1"/>
  <c r="I7" i="1"/>
  <c r="I8" i="1"/>
  <c r="I10" i="1"/>
  <c r="I11" i="1"/>
  <c r="I12" i="1"/>
  <c r="I4" i="1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11" i="2"/>
  <c r="M27" i="2" s="1"/>
  <c r="I27" i="2"/>
  <c r="G27" i="2"/>
  <c r="D27" i="2"/>
  <c r="C7" i="1"/>
  <c r="C8" i="1"/>
  <c r="H17" i="1"/>
  <c r="G24" i="4" l="1"/>
  <c r="F24" i="4"/>
  <c r="E24" i="4"/>
  <c r="D24" i="4"/>
  <c r="C24" i="4"/>
  <c r="B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24" i="3"/>
  <c r="I6" i="3"/>
  <c r="I5" i="3"/>
  <c r="I4" i="3"/>
  <c r="I3" i="3"/>
  <c r="I2" i="3"/>
  <c r="C24" i="3"/>
  <c r="D24" i="3"/>
  <c r="E24" i="3"/>
  <c r="F24" i="3"/>
  <c r="G24" i="3"/>
  <c r="B24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H4" i="3"/>
  <c r="H5" i="3"/>
  <c r="H6" i="3"/>
  <c r="H7" i="3"/>
  <c r="H8" i="3"/>
  <c r="H2" i="3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H5" i="1"/>
  <c r="H4" i="1"/>
  <c r="C27" i="2"/>
  <c r="J27" i="2"/>
  <c r="H12" i="1" s="1"/>
  <c r="C12" i="1" s="1"/>
  <c r="B27" i="2"/>
  <c r="H6" i="1"/>
  <c r="C6" i="1" s="1"/>
  <c r="H9" i="1"/>
  <c r="C9" i="1" s="1"/>
  <c r="H27" i="2"/>
  <c r="H10" i="1" s="1"/>
  <c r="C10" i="1" s="1"/>
  <c r="H11" i="1"/>
  <c r="C11" i="1" s="1"/>
  <c r="K27" i="2"/>
  <c r="L27" i="2"/>
  <c r="M3" i="2"/>
  <c r="M4" i="2"/>
  <c r="M5" i="2"/>
  <c r="M6" i="2"/>
  <c r="M7" i="2"/>
  <c r="M8" i="2"/>
  <c r="M9" i="2"/>
  <c r="M10" i="2"/>
  <c r="M2" i="2"/>
  <c r="H13" i="1" l="1"/>
  <c r="H14" i="1"/>
  <c r="I24" i="4"/>
  <c r="G16" i="1" s="1"/>
  <c r="H24" i="4"/>
  <c r="H24" i="3"/>
  <c r="N9" i="2"/>
  <c r="O9" i="2" s="1"/>
  <c r="N8" i="2"/>
  <c r="O8" i="2" s="1"/>
  <c r="N7" i="2"/>
  <c r="O7" i="2" s="1"/>
  <c r="N6" i="2"/>
  <c r="O6" i="2" s="1"/>
  <c r="N5" i="2"/>
  <c r="O5" i="2" l="1"/>
  <c r="O27" i="2" s="1"/>
  <c r="N27" i="2"/>
  <c r="F14" i="1"/>
  <c r="C16" i="1" s="1"/>
  <c r="G14" i="1"/>
  <c r="C18" i="1" s="1"/>
  <c r="I5" i="1"/>
  <c r="C5" i="1"/>
  <c r="C14" i="1" s="1"/>
  <c r="I14" i="1" l="1"/>
  <c r="G19" i="1"/>
  <c r="G18" i="1" s="1"/>
  <c r="G20" i="1" l="1"/>
</calcChain>
</file>

<file path=xl/sharedStrings.xml><?xml version="1.0" encoding="utf-8"?>
<sst xmlns="http://schemas.openxmlformats.org/spreadsheetml/2006/main" count="158" uniqueCount="88">
  <si>
    <t>Status</t>
  </si>
  <si>
    <t>Start</t>
  </si>
  <si>
    <t>End</t>
  </si>
  <si>
    <t>Work package</t>
  </si>
  <si>
    <t>Not started</t>
  </si>
  <si>
    <t>Progress</t>
  </si>
  <si>
    <t>TOTAL</t>
  </si>
  <si>
    <t>Status of DaSSCo Asset Registry System Phase 3 work</t>
  </si>
  <si>
    <t>Partially complete</t>
  </si>
  <si>
    <t>5A</t>
  </si>
  <si>
    <t>5B</t>
  </si>
  <si>
    <t>Original Estimate</t>
  </si>
  <si>
    <t>Latest Estimate</t>
  </si>
  <si>
    <t>Allowed overspend %</t>
  </si>
  <si>
    <t>Month</t>
  </si>
  <si>
    <t>2024/02</t>
  </si>
  <si>
    <t>2024/01</t>
  </si>
  <si>
    <t>2024/03</t>
  </si>
  <si>
    <t>2024/04</t>
  </si>
  <si>
    <t>2024/05</t>
  </si>
  <si>
    <t>2024/06</t>
  </si>
  <si>
    <t>2024/07</t>
  </si>
  <si>
    <t>Complete</t>
  </si>
  <si>
    <t>1B</t>
  </si>
  <si>
    <t>1A</t>
  </si>
  <si>
    <t>2023/12</t>
  </si>
  <si>
    <t>2024/08</t>
  </si>
  <si>
    <t>WP 3</t>
  </si>
  <si>
    <t>WP 4</t>
  </si>
  <si>
    <t>WP 5A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</si>
  <si>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</si>
  <si>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</si>
  <si>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</si>
  <si>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</si>
  <si>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</si>
  <si>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</si>
  <si>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</si>
  <si>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</si>
  <si>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</si>
  <si>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</si>
  <si>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</si>
  <si>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</si>
  <si>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</si>
  <si>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</si>
  <si>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</si>
  <si>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WP 5B</t>
  </si>
  <si>
    <t>WP 1A</t>
  </si>
  <si>
    <t>WP 1B</t>
  </si>
  <si>
    <t>INVOICE TOTALS</t>
  </si>
  <si>
    <t>Misc</t>
  </si>
  <si>
    <t>Total for SKI 3</t>
  </si>
  <si>
    <t>2A</t>
  </si>
  <si>
    <t>(31/08/2024)</t>
  </si>
  <si>
    <t>Projected overspend %</t>
  </si>
  <si>
    <t>HOURS</t>
  </si>
  <si>
    <t>Current spend %</t>
  </si>
  <si>
    <t>TSB</t>
  </si>
  <si>
    <t>MB</t>
  </si>
  <si>
    <t>CGH</t>
  </si>
  <si>
    <t>NJJ</t>
  </si>
  <si>
    <t>INVOICE TOTAL</t>
  </si>
  <si>
    <t>Projected overspend DKK</t>
  </si>
  <si>
    <t>Projected overspend above allowed DKK</t>
  </si>
  <si>
    <t>COST</t>
  </si>
  <si>
    <t>(31/06/2024)</t>
  </si>
  <si>
    <t>2B</t>
  </si>
  <si>
    <t>2C</t>
  </si>
  <si>
    <t>0</t>
  </si>
  <si>
    <t>530</t>
  </si>
  <si>
    <t>Consultant</t>
  </si>
  <si>
    <t>Hours</t>
  </si>
  <si>
    <t>WP1</t>
  </si>
  <si>
    <t>WP2A</t>
  </si>
  <si>
    <t>WP2B</t>
  </si>
  <si>
    <t>WP3</t>
  </si>
  <si>
    <t>WP4</t>
  </si>
  <si>
    <t>WP5A</t>
  </si>
  <si>
    <t>WP5B</t>
  </si>
  <si>
    <t>WP2C</t>
  </si>
  <si>
    <t>WP M</t>
  </si>
  <si>
    <t>WP 2A</t>
  </si>
  <si>
    <t>WP 2B</t>
  </si>
  <si>
    <t>WP 2C</t>
  </si>
  <si>
    <t>Hours actual (billed)</t>
  </si>
  <si>
    <t>Remaining</t>
  </si>
  <si>
    <r>
      <t xml:space="preserve">Northtech Consultant Hours for: </t>
    </r>
    <r>
      <rPr>
        <b/>
        <sz val="11"/>
        <color theme="1"/>
        <rFont val="Aptos Narrow"/>
        <family val="2"/>
        <scheme val="minor"/>
      </rPr>
      <t>December 2024</t>
    </r>
  </si>
  <si>
    <t>Other</t>
  </si>
  <si>
    <t>Old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</si>
</sst>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Calibri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0" fillId="0" borderId="0" xfId="0" applyNumberFormat="1"/>
    <xf numFmtId="0" fontId="5" fillId="0" borderId="0" xfId="0" applyFont="1"/>
    <xf numFmtId="0" fontId="6" fillId="4" borderId="0" xfId="0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0" fillId="0" borderId="0" xfId="0" applyNumberFormat="1" applyFont="1" applyAlignment="1">
      <alignment horizontal="left" vertical="top" wrapText="1"/>
    </xf>
    <xf numFmtId="3" fontId="0" fillId="0" borderId="0" xfId="0" applyNumberFormat="1" applyAlignment="1">
      <alignment horizontal="right" vertical="top" wrapText="1"/>
    </xf>
    <xf numFmtId="3" fontId="7" fillId="0" borderId="0" xfId="0" applyNumberFormat="1" applyFont="1" applyAlignment="1">
      <alignment horizontal="right" vertical="top"/>
    </xf>
    <xf numFmtId="0" fontId="0" fillId="6" borderId="2" xfId="0" applyFill="1" applyBorder="1"/>
    <xf numFmtId="0" fontId="1" fillId="0" borderId="2" xfId="0" applyFont="1" applyBorder="1"/>
    <xf numFmtId="0" fontId="0" fillId="0" borderId="2" xfId="0" applyBorder="1"/>
    <xf numFmtId="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Fon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746-1E7A-42A5-8A76-5457018C7F9D}">
  <sheetPr>
    <pageSetUpPr fitToPage="1"/>
  </sheetPr>
  <dimension ref="A1:J20"/>
  <sheetViews>
    <sheetView tabSelected="1" topLeftCell="D1" zoomScale="164" zoomScaleNormal="164" workbookViewId="0">
      <pane ySplit="3" topLeftCell="A11" activePane="bottomLeft" state="frozen"/>
      <selection pane="bottomLeft" activeCell="G20" sqref="G20"/>
    </sheetView>
  </sheetViews>
  <sheetFormatPr baseColWidth="10" defaultColWidth="8.83203125" defaultRowHeight="15" x14ac:dyDescent="0.2"/>
  <cols>
    <col min="1" max="5" width="20.6640625" customWidth="1"/>
    <col min="6" max="6" width="21.6640625" customWidth="1"/>
    <col min="7" max="8" width="20.6640625" customWidth="1"/>
  </cols>
  <sheetData>
    <row r="1" spans="1:10" x14ac:dyDescent="0.2">
      <c r="A1" s="12" t="s">
        <v>7</v>
      </c>
      <c r="B1" s="12"/>
      <c r="C1" s="12"/>
    </row>
    <row r="3" spans="1:10" s="1" customFormat="1" x14ac:dyDescent="0.2">
      <c r="A3" s="2" t="s">
        <v>3</v>
      </c>
      <c r="B3" s="2" t="s">
        <v>0</v>
      </c>
      <c r="C3" s="2" t="s">
        <v>5</v>
      </c>
      <c r="D3" s="2" t="s">
        <v>1</v>
      </c>
      <c r="E3" s="2" t="s">
        <v>2</v>
      </c>
      <c r="F3" s="2" t="s">
        <v>11</v>
      </c>
      <c r="G3" s="2" t="s">
        <v>12</v>
      </c>
      <c r="H3" s="2" t="s">
        <v>83</v>
      </c>
      <c r="I3" s="1" t="s">
        <v>84</v>
      </c>
      <c r="J3" s="1" t="s">
        <v>87</v>
      </c>
    </row>
    <row r="4" spans="1:10" s="17" customFormat="1" hidden="1" x14ac:dyDescent="0.2">
      <c r="A4" s="18" t="s">
        <v>24</v>
      </c>
      <c r="B4" s="18" t="s">
        <v>22</v>
      </c>
      <c r="C4" s="19">
        <v>1</v>
      </c>
      <c r="D4" s="20">
        <v>45261</v>
      </c>
      <c r="E4" s="21">
        <v>45351</v>
      </c>
      <c r="F4" s="18"/>
      <c r="G4" s="18">
        <v>239.5</v>
      </c>
      <c r="H4" s="18">
        <f>'Hours by package'!B27</f>
        <v>239.5</v>
      </c>
      <c r="I4" s="38">
        <f>G4-H4</f>
        <v>0</v>
      </c>
    </row>
    <row r="5" spans="1:10" x14ac:dyDescent="0.2">
      <c r="A5" s="3" t="s">
        <v>23</v>
      </c>
      <c r="B5" s="13" t="s">
        <v>8</v>
      </c>
      <c r="C5" s="14">
        <f>(H5/G5)/100%</f>
        <v>0.92775665399239549</v>
      </c>
      <c r="D5" s="4">
        <v>45352</v>
      </c>
      <c r="E5" s="24" t="s">
        <v>52</v>
      </c>
      <c r="F5" s="3">
        <v>118</v>
      </c>
      <c r="G5" s="3">
        <f>'Hours by package'!C27+19</f>
        <v>263</v>
      </c>
      <c r="H5" s="3">
        <f>'Hours by package'!C27</f>
        <v>244</v>
      </c>
      <c r="I5" s="38">
        <f t="shared" ref="I5:I14" si="0">G5-H5</f>
        <v>19</v>
      </c>
    </row>
    <row r="6" spans="1:10" x14ac:dyDescent="0.2">
      <c r="A6" s="3" t="s">
        <v>51</v>
      </c>
      <c r="B6" s="13" t="s">
        <v>8</v>
      </c>
      <c r="C6" s="14">
        <f t="shared" ref="C6:C12" si="1">(H6/G6)/100%</f>
        <v>0.63100332857822161</v>
      </c>
      <c r="D6" s="4">
        <v>45470</v>
      </c>
      <c r="E6" s="24" t="s">
        <v>52</v>
      </c>
      <c r="F6" s="3">
        <v>506</v>
      </c>
      <c r="G6" s="6">
        <f>'Hours by package'!D27+194</f>
        <v>525.75</v>
      </c>
      <c r="H6" s="3">
        <f>'Hours by package'!D27</f>
        <v>331.75</v>
      </c>
      <c r="I6" s="38">
        <f t="shared" si="0"/>
        <v>194</v>
      </c>
    </row>
    <row r="7" spans="1:10" x14ac:dyDescent="0.2">
      <c r="A7" s="3" t="s">
        <v>65</v>
      </c>
      <c r="B7" s="7" t="s">
        <v>4</v>
      </c>
      <c r="C7" s="8" t="e">
        <f t="shared" si="1"/>
        <v>#DIV/0!</v>
      </c>
      <c r="D7" s="4"/>
      <c r="E7" s="24"/>
      <c r="F7" s="3">
        <v>0</v>
      </c>
      <c r="G7" s="6">
        <v>0</v>
      </c>
      <c r="H7" s="3">
        <v>0</v>
      </c>
      <c r="I7" s="38">
        <f t="shared" si="0"/>
        <v>0</v>
      </c>
    </row>
    <row r="8" spans="1:10" x14ac:dyDescent="0.2">
      <c r="A8" s="3" t="s">
        <v>66</v>
      </c>
      <c r="B8" s="7" t="s">
        <v>4</v>
      </c>
      <c r="C8" s="8" t="e">
        <f t="shared" si="1"/>
        <v>#DIV/0!</v>
      </c>
      <c r="D8" s="4"/>
      <c r="E8" s="24"/>
      <c r="F8" s="3">
        <v>0</v>
      </c>
      <c r="G8" s="6">
        <v>0</v>
      </c>
      <c r="H8" s="3">
        <v>0</v>
      </c>
      <c r="I8" s="38">
        <f t="shared" si="0"/>
        <v>0</v>
      </c>
    </row>
    <row r="9" spans="1:10" x14ac:dyDescent="0.2">
      <c r="A9" s="3">
        <v>3</v>
      </c>
      <c r="B9" s="13" t="s">
        <v>8</v>
      </c>
      <c r="C9" s="14">
        <f t="shared" si="1"/>
        <v>0.64077669902912626</v>
      </c>
      <c r="D9" s="4">
        <v>45383</v>
      </c>
      <c r="E9" s="24" t="s">
        <v>64</v>
      </c>
      <c r="F9" s="3">
        <v>289</v>
      </c>
      <c r="G9" s="6">
        <f>'Hours by package'!G27+74</f>
        <v>206</v>
      </c>
      <c r="H9" s="3">
        <f>'Hours by package'!G27</f>
        <v>132</v>
      </c>
      <c r="I9" s="38">
        <f t="shared" si="0"/>
        <v>74</v>
      </c>
    </row>
    <row r="10" spans="1:10" x14ac:dyDescent="0.2">
      <c r="A10" s="3">
        <v>4</v>
      </c>
      <c r="B10" s="7" t="s">
        <v>4</v>
      </c>
      <c r="C10" s="8" t="e">
        <f t="shared" si="1"/>
        <v>#DIV/0!</v>
      </c>
      <c r="D10" s="3"/>
      <c r="E10" s="5"/>
      <c r="F10" s="3">
        <v>456</v>
      </c>
      <c r="G10" s="3">
        <v>0</v>
      </c>
      <c r="H10" s="3">
        <f>'Hours by package'!H27</f>
        <v>0</v>
      </c>
      <c r="I10" s="38">
        <f t="shared" si="0"/>
        <v>0</v>
      </c>
    </row>
    <row r="11" spans="1:10" x14ac:dyDescent="0.2">
      <c r="A11" s="3" t="s">
        <v>9</v>
      </c>
      <c r="B11" s="13" t="s">
        <v>8</v>
      </c>
      <c r="C11" s="14">
        <f t="shared" si="1"/>
        <v>0.87055016181229772</v>
      </c>
      <c r="D11" s="5">
        <v>45425</v>
      </c>
      <c r="E11" s="24" t="s">
        <v>52</v>
      </c>
      <c r="F11" s="15" t="s">
        <v>68</v>
      </c>
      <c r="G11" s="3">
        <f>'Hours by package'!I27+120</f>
        <v>927</v>
      </c>
      <c r="H11" s="3">
        <f>'Hours by package'!I27</f>
        <v>807</v>
      </c>
      <c r="I11" s="38">
        <f t="shared" si="0"/>
        <v>120</v>
      </c>
      <c r="J11">
        <v>167</v>
      </c>
    </row>
    <row r="12" spans="1:10" x14ac:dyDescent="0.2">
      <c r="A12" s="3" t="s">
        <v>10</v>
      </c>
      <c r="B12" s="7" t="s">
        <v>4</v>
      </c>
      <c r="C12" s="8" t="e">
        <f t="shared" si="1"/>
        <v>#DIV/0!</v>
      </c>
      <c r="D12" s="3"/>
      <c r="E12" s="5"/>
      <c r="F12" s="15" t="s">
        <v>67</v>
      </c>
      <c r="G12" s="3">
        <v>0</v>
      </c>
      <c r="H12" s="3">
        <f>'Hours by package'!J27</f>
        <v>0</v>
      </c>
      <c r="I12" s="38">
        <f t="shared" si="0"/>
        <v>0</v>
      </c>
    </row>
    <row r="13" spans="1:10" x14ac:dyDescent="0.2">
      <c r="A13" s="23" t="s">
        <v>49</v>
      </c>
      <c r="G13" s="3">
        <f>'Hours by package'!K27+46</f>
        <v>74.45</v>
      </c>
      <c r="H13" s="6">
        <f>'Hours by package'!K27</f>
        <v>28.45</v>
      </c>
      <c r="I13" s="38">
        <f>G13-H13</f>
        <v>46</v>
      </c>
    </row>
    <row r="14" spans="1:10" x14ac:dyDescent="0.2">
      <c r="A14" s="2" t="s">
        <v>6</v>
      </c>
      <c r="B14" s="9"/>
      <c r="C14" s="10">
        <f>(C5+C6+C9+C11)/4</f>
        <v>0.76752171085301035</v>
      </c>
      <c r="D14" s="11">
        <v>45261</v>
      </c>
      <c r="E14" s="11">
        <v>45838</v>
      </c>
      <c r="F14" s="9">
        <f>SUM(F5:F10)+530</f>
        <v>1899</v>
      </c>
      <c r="G14" s="9">
        <f>SUM(G5:G12)</f>
        <v>1921.75</v>
      </c>
      <c r="H14" s="9">
        <f>SUM(H5:H13)</f>
        <v>1543.2</v>
      </c>
      <c r="I14" s="38">
        <f t="shared" si="0"/>
        <v>378.54999999999995</v>
      </c>
    </row>
    <row r="16" spans="1:10" x14ac:dyDescent="0.2">
      <c r="A16" s="12" t="s">
        <v>54</v>
      </c>
      <c r="B16" t="s">
        <v>55</v>
      </c>
      <c r="C16" s="25">
        <f>(H14/F14)*100</f>
        <v>81.263823064770932</v>
      </c>
      <c r="E16" s="12" t="s">
        <v>63</v>
      </c>
      <c r="F16" t="s">
        <v>55</v>
      </c>
      <c r="G16" s="16">
        <f>(Cost!I24/2200000)*100</f>
        <v>84.782733636363631</v>
      </c>
    </row>
    <row r="17" spans="2:8" x14ac:dyDescent="0.2">
      <c r="B17" t="s">
        <v>13</v>
      </c>
      <c r="C17">
        <v>110</v>
      </c>
      <c r="F17" t="s">
        <v>13</v>
      </c>
      <c r="G17" s="16">
        <v>110</v>
      </c>
      <c r="H17" s="29">
        <f>(0.1*2200000)+2200000</f>
        <v>2420000</v>
      </c>
    </row>
    <row r="18" spans="2:8" x14ac:dyDescent="0.2">
      <c r="B18" t="s">
        <v>53</v>
      </c>
      <c r="C18" s="16">
        <f>(G14/F14)*100</f>
        <v>101.19799894681411</v>
      </c>
      <c r="F18" t="s">
        <v>53</v>
      </c>
      <c r="G18" s="16">
        <f>((G19+2200000)/2200000)*100</f>
        <v>103.13083780858263</v>
      </c>
    </row>
    <row r="19" spans="2:8" x14ac:dyDescent="0.2">
      <c r="F19" t="s">
        <v>61</v>
      </c>
      <c r="G19" s="16">
        <f>(((Cost!H24/'Hours by consultant'!H24)*(G14-H14))+Cost!H24)-2200000</f>
        <v>68878.431788817979</v>
      </c>
    </row>
    <row r="20" spans="2:8" s="26" customFormat="1" ht="30" customHeight="1" x14ac:dyDescent="0.2">
      <c r="F20" s="26" t="s">
        <v>62</v>
      </c>
      <c r="G20" s="30">
        <f>G19-(2420000-2200000)</f>
        <v>-151121.56821118202</v>
      </c>
    </row>
  </sheetData>
  <pageMargins left="0.7" right="0.7" top="0.75" bottom="0.75" header="0.3" footer="0.3"/>
  <pageSetup paperSize="9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38EC-6DD4-450F-9F6A-057193A90D81}">
  <dimension ref="A1:O27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ColWidth="8.83203125" defaultRowHeight="15" x14ac:dyDescent="0.2"/>
  <cols>
    <col min="14" max="14" width="15" style="1" customWidth="1"/>
    <col min="15" max="15" width="13.5" customWidth="1"/>
  </cols>
  <sheetData>
    <row r="1" spans="1:15" s="1" customFormat="1" x14ac:dyDescent="0.2">
      <c r="A1" s="1" t="s">
        <v>14</v>
      </c>
      <c r="B1" s="1" t="s">
        <v>46</v>
      </c>
      <c r="C1" s="1" t="s">
        <v>47</v>
      </c>
      <c r="D1" s="1" t="s">
        <v>80</v>
      </c>
      <c r="E1" s="1" t="s">
        <v>81</v>
      </c>
      <c r="F1" s="1" t="s">
        <v>82</v>
      </c>
      <c r="G1" s="1" t="s">
        <v>27</v>
      </c>
      <c r="H1" s="1" t="s">
        <v>28</v>
      </c>
      <c r="I1" s="1" t="s">
        <v>29</v>
      </c>
      <c r="J1" s="1" t="s">
        <v>45</v>
      </c>
      <c r="K1" s="1" t="s">
        <v>79</v>
      </c>
      <c r="M1" s="1" t="s">
        <v>6</v>
      </c>
      <c r="N1" s="1" t="s">
        <v>48</v>
      </c>
      <c r="O1" s="1" t="s">
        <v>50</v>
      </c>
    </row>
    <row r="2" spans="1:15" s="1" customFormat="1" x14ac:dyDescent="0.2">
      <c r="A2" t="s">
        <v>25</v>
      </c>
      <c r="B2">
        <v>25</v>
      </c>
      <c r="C2"/>
      <c r="D2"/>
      <c r="E2"/>
      <c r="F2"/>
      <c r="M2" s="1">
        <f>SUM(B2:K2)</f>
        <v>25</v>
      </c>
      <c r="N2" s="1">
        <v>25</v>
      </c>
    </row>
    <row r="3" spans="1:15" x14ac:dyDescent="0.2">
      <c r="A3" t="s">
        <v>16</v>
      </c>
      <c r="B3">
        <v>92.5</v>
      </c>
      <c r="M3" s="1">
        <f t="shared" ref="M3:M4" si="0">SUM(B3:K3)</f>
        <v>92.5</v>
      </c>
      <c r="N3" s="1">
        <v>92.5</v>
      </c>
    </row>
    <row r="4" spans="1:15" x14ac:dyDescent="0.2">
      <c r="A4" t="s">
        <v>15</v>
      </c>
      <c r="B4">
        <v>122</v>
      </c>
      <c r="M4" s="1">
        <f t="shared" si="0"/>
        <v>122</v>
      </c>
      <c r="N4" s="1">
        <v>122</v>
      </c>
    </row>
    <row r="5" spans="1:15" x14ac:dyDescent="0.2">
      <c r="A5" t="s">
        <v>17</v>
      </c>
      <c r="C5">
        <v>54.5</v>
      </c>
      <c r="K5">
        <v>12</v>
      </c>
      <c r="M5" s="1">
        <f t="shared" ref="M5:M10" si="1">SUM(C5:K5)</f>
        <v>66.5</v>
      </c>
      <c r="N5" s="1">
        <f>19+12+35.5</f>
        <v>66.5</v>
      </c>
      <c r="O5">
        <f t="shared" ref="O5:O25" si="2">N5</f>
        <v>66.5</v>
      </c>
    </row>
    <row r="6" spans="1:15" x14ac:dyDescent="0.2">
      <c r="A6" t="s">
        <v>18</v>
      </c>
      <c r="C6">
        <v>31</v>
      </c>
      <c r="G6">
        <v>88</v>
      </c>
      <c r="K6">
        <v>16.45</v>
      </c>
      <c r="M6" s="1">
        <f t="shared" si="1"/>
        <v>135.44999999999999</v>
      </c>
      <c r="N6" s="1">
        <f>88+16.45+31</f>
        <v>135.44999999999999</v>
      </c>
      <c r="O6">
        <f t="shared" si="2"/>
        <v>135.44999999999999</v>
      </c>
    </row>
    <row r="7" spans="1:15" x14ac:dyDescent="0.2">
      <c r="A7" t="s">
        <v>19</v>
      </c>
      <c r="C7">
        <v>40</v>
      </c>
      <c r="G7">
        <v>7</v>
      </c>
      <c r="I7">
        <v>180</v>
      </c>
      <c r="M7" s="1">
        <f t="shared" si="1"/>
        <v>227</v>
      </c>
      <c r="N7" s="1">
        <f>24+153+50</f>
        <v>227</v>
      </c>
      <c r="O7">
        <f t="shared" si="2"/>
        <v>227</v>
      </c>
    </row>
    <row r="8" spans="1:15" x14ac:dyDescent="0.2">
      <c r="A8" t="s">
        <v>20</v>
      </c>
      <c r="C8">
        <v>68.5</v>
      </c>
      <c r="D8">
        <v>42.75</v>
      </c>
      <c r="G8">
        <v>20</v>
      </c>
      <c r="I8">
        <v>187.5</v>
      </c>
      <c r="M8" s="1">
        <f t="shared" si="1"/>
        <v>318.75</v>
      </c>
      <c r="N8" s="1">
        <f>98.5+187.5+32.75</f>
        <v>318.75</v>
      </c>
      <c r="O8">
        <f t="shared" si="2"/>
        <v>318.75</v>
      </c>
    </row>
    <row r="9" spans="1:15" x14ac:dyDescent="0.2">
      <c r="A9" t="s">
        <v>21</v>
      </c>
      <c r="D9">
        <v>51.5</v>
      </c>
      <c r="I9">
        <v>369.5</v>
      </c>
      <c r="M9" s="1">
        <f t="shared" si="1"/>
        <v>421</v>
      </c>
      <c r="N9" s="1">
        <f>122.5+298.5</f>
        <v>421</v>
      </c>
      <c r="O9">
        <f t="shared" si="2"/>
        <v>421</v>
      </c>
    </row>
    <row r="10" spans="1:15" x14ac:dyDescent="0.2">
      <c r="A10" t="s">
        <v>26</v>
      </c>
      <c r="C10">
        <v>50</v>
      </c>
      <c r="D10">
        <v>213</v>
      </c>
      <c r="I10">
        <v>47.5</v>
      </c>
      <c r="M10" s="1">
        <f t="shared" si="1"/>
        <v>310.5</v>
      </c>
      <c r="N10" s="1">
        <v>310.5</v>
      </c>
      <c r="O10">
        <f t="shared" si="2"/>
        <v>310.5</v>
      </c>
    </row>
    <row r="11" spans="1:15" x14ac:dyDescent="0.2">
      <c r="A11" t="s">
        <v>30</v>
      </c>
      <c r="C11">
        <v>11.5</v>
      </c>
      <c r="D11">
        <v>24.5</v>
      </c>
      <c r="G11">
        <v>17</v>
      </c>
      <c r="I11">
        <v>22.5</v>
      </c>
      <c r="M11" s="1">
        <f>SUM(B11:K11)</f>
        <v>75.5</v>
      </c>
      <c r="N11" s="1">
        <f>'Hours by consultant'!H8</f>
        <v>75.5</v>
      </c>
      <c r="O11">
        <f t="shared" si="2"/>
        <v>75.5</v>
      </c>
    </row>
    <row r="12" spans="1:15" x14ac:dyDescent="0.2">
      <c r="A12" t="s">
        <v>31</v>
      </c>
      <c r="K12">
        <v>28.5</v>
      </c>
      <c r="M12" s="1">
        <f t="shared" ref="M12:M25" si="3">SUM(B12:K12)</f>
        <v>28.5</v>
      </c>
      <c r="N12" s="1">
        <v>28.5</v>
      </c>
      <c r="O12">
        <f t="shared" si="2"/>
        <v>28.5</v>
      </c>
    </row>
    <row r="13" spans="1:15" x14ac:dyDescent="0.2">
      <c r="A13" t="s">
        <v>32</v>
      </c>
      <c r="B13">
        <v>36.25</v>
      </c>
      <c r="I13">
        <v>36.25</v>
      </c>
      <c r="K13">
        <v>8.5</v>
      </c>
      <c r="M13" s="1">
        <f t="shared" si="3"/>
        <v>81</v>
      </c>
      <c r="N13" s="1">
        <v>81</v>
      </c>
      <c r="O13">
        <f t="shared" si="2"/>
        <v>81</v>
      </c>
    </row>
    <row r="14" spans="1:15" x14ac:dyDescent="0.2">
      <c r="A14" t="s">
        <v>33</v>
      </c>
      <c r="B14">
        <v>35</v>
      </c>
      <c r="I14">
        <v>42</v>
      </c>
      <c r="K14">
        <v>8</v>
      </c>
      <c r="M14" s="1">
        <f t="shared" si="3"/>
        <v>85</v>
      </c>
      <c r="N14" s="1">
        <v>85</v>
      </c>
      <c r="O14">
        <f t="shared" si="2"/>
        <v>85</v>
      </c>
    </row>
    <row r="15" spans="1:15" x14ac:dyDescent="0.2">
      <c r="A15" t="s">
        <v>34</v>
      </c>
      <c r="M15" s="1">
        <f t="shared" si="3"/>
        <v>0</v>
      </c>
      <c r="O15">
        <f t="shared" si="2"/>
        <v>0</v>
      </c>
    </row>
    <row r="16" spans="1:15" x14ac:dyDescent="0.2">
      <c r="A16" t="s">
        <v>35</v>
      </c>
      <c r="M16" s="1">
        <f t="shared" si="3"/>
        <v>0</v>
      </c>
      <c r="O16">
        <f t="shared" si="2"/>
        <v>0</v>
      </c>
    </row>
    <row r="17" spans="1:15" x14ac:dyDescent="0.2">
      <c r="A17" t="s">
        <v>36</v>
      </c>
      <c r="M17" s="1">
        <f t="shared" si="3"/>
        <v>0</v>
      </c>
      <c r="O17">
        <f t="shared" si="2"/>
        <v>0</v>
      </c>
    </row>
    <row r="18" spans="1:15" x14ac:dyDescent="0.2">
      <c r="A18" t="s">
        <v>37</v>
      </c>
      <c r="M18" s="1">
        <f t="shared" si="3"/>
        <v>0</v>
      </c>
      <c r="O18">
        <f t="shared" si="2"/>
        <v>0</v>
      </c>
    </row>
    <row r="19" spans="1:15" x14ac:dyDescent="0.2">
      <c r="A19" t="s">
        <v>38</v>
      </c>
      <c r="M19" s="1">
        <f t="shared" si="3"/>
        <v>0</v>
      </c>
      <c r="O19">
        <f t="shared" si="2"/>
        <v>0</v>
      </c>
    </row>
    <row r="20" spans="1:15" x14ac:dyDescent="0.2">
      <c r="A20" t="s">
        <v>39</v>
      </c>
      <c r="M20" s="1">
        <f t="shared" si="3"/>
        <v>0</v>
      </c>
      <c r="O20">
        <f t="shared" si="2"/>
        <v>0</v>
      </c>
    </row>
    <row r="21" spans="1:15" x14ac:dyDescent="0.2">
      <c r="A21" t="s">
        <v>40</v>
      </c>
      <c r="M21" s="1">
        <f t="shared" si="3"/>
        <v>0</v>
      </c>
      <c r="O21">
        <f t="shared" si="2"/>
        <v>0</v>
      </c>
    </row>
    <row r="22" spans="1:15" x14ac:dyDescent="0.2">
      <c r="A22" t="s">
        <v>41</v>
      </c>
      <c r="M22" s="1">
        <f t="shared" si="3"/>
        <v>0</v>
      </c>
      <c r="O22">
        <f t="shared" si="2"/>
        <v>0</v>
      </c>
    </row>
    <row r="23" spans="1:15" x14ac:dyDescent="0.2">
      <c r="A23" t="s">
        <v>42</v>
      </c>
      <c r="M23" s="1">
        <f t="shared" si="3"/>
        <v>0</v>
      </c>
      <c r="O23">
        <f t="shared" si="2"/>
        <v>0</v>
      </c>
    </row>
    <row r="24" spans="1:15" x14ac:dyDescent="0.2">
      <c r="A24" t="s">
        <v>43</v>
      </c>
      <c r="M24" s="1">
        <f t="shared" si="3"/>
        <v>0</v>
      </c>
      <c r="O24">
        <f t="shared" si="2"/>
        <v>0</v>
      </c>
    </row>
    <row r="25" spans="1:15" x14ac:dyDescent="0.2">
      <c r="A25" t="s">
        <v>44</v>
      </c>
      <c r="M25" s="1">
        <f t="shared" si="3"/>
        <v>0</v>
      </c>
      <c r="O25">
        <f t="shared" si="2"/>
        <v>0</v>
      </c>
    </row>
    <row r="27" spans="1:15" s="1" customFormat="1" x14ac:dyDescent="0.2">
      <c r="A27" s="1" t="s">
        <v>6</v>
      </c>
      <c r="B27" s="1">
        <f t="shared" ref="B27:O27" si="4">SUM(B2:B10)</f>
        <v>239.5</v>
      </c>
      <c r="C27" s="1">
        <f>SUM(C2:C10)</f>
        <v>244</v>
      </c>
      <c r="D27" s="1">
        <f>SUM(D2:D11)</f>
        <v>331.75</v>
      </c>
      <c r="G27" s="1">
        <f>SUM(G2:G11)</f>
        <v>132</v>
      </c>
      <c r="H27" s="1">
        <f t="shared" si="4"/>
        <v>0</v>
      </c>
      <c r="I27" s="1">
        <f>SUM(I2:I11)</f>
        <v>807</v>
      </c>
      <c r="J27" s="1">
        <f t="shared" si="4"/>
        <v>0</v>
      </c>
      <c r="K27" s="1">
        <f t="shared" si="4"/>
        <v>28.45</v>
      </c>
      <c r="L27" s="1">
        <f t="shared" si="4"/>
        <v>0</v>
      </c>
      <c r="M27" s="22">
        <f>SUM(M2:M11)</f>
        <v>1794.2</v>
      </c>
      <c r="N27" s="22">
        <f t="shared" si="4"/>
        <v>1718.7</v>
      </c>
      <c r="O27" s="22">
        <f t="shared" si="4"/>
        <v>1479.2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8AAE-F5F0-4891-8B54-7F5D3CAA7197}"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baseColWidth="10" defaultColWidth="8.83203125" defaultRowHeight="15" x14ac:dyDescent="0.2"/>
  <cols>
    <col min="8" max="8" width="8.6640625" style="1"/>
    <col min="9" max="9" width="15.33203125" customWidth="1"/>
  </cols>
  <sheetData>
    <row r="1" spans="1:9" x14ac:dyDescent="0.2">
      <c r="A1" s="1" t="s">
        <v>14</v>
      </c>
      <c r="B1" t="s">
        <v>56</v>
      </c>
      <c r="C1" t="s">
        <v>57</v>
      </c>
      <c r="D1" t="s">
        <v>58</v>
      </c>
      <c r="E1" t="s">
        <v>59</v>
      </c>
      <c r="H1" s="1" t="s">
        <v>6</v>
      </c>
      <c r="I1" s="1" t="s">
        <v>60</v>
      </c>
    </row>
    <row r="2" spans="1:9" x14ac:dyDescent="0.2">
      <c r="A2" t="s">
        <v>17</v>
      </c>
      <c r="B2">
        <v>35.5</v>
      </c>
      <c r="C2">
        <v>12</v>
      </c>
      <c r="D2">
        <v>19</v>
      </c>
      <c r="E2">
        <v>0</v>
      </c>
      <c r="H2" s="1">
        <f>SUM(B2:G2)</f>
        <v>66.5</v>
      </c>
      <c r="I2" s="1">
        <f>19+12+35.5</f>
        <v>66.5</v>
      </c>
    </row>
    <row r="3" spans="1:9" x14ac:dyDescent="0.2">
      <c r="A3" t="s">
        <v>18</v>
      </c>
      <c r="B3">
        <v>31</v>
      </c>
      <c r="C3">
        <v>16.45</v>
      </c>
      <c r="D3">
        <v>88</v>
      </c>
      <c r="E3">
        <v>0</v>
      </c>
      <c r="H3" s="1">
        <f t="shared" ref="H3:H24" si="0">SUM(B3:G3)</f>
        <v>135.44999999999999</v>
      </c>
      <c r="I3" s="1">
        <f>88+16.45+31</f>
        <v>135.44999999999999</v>
      </c>
    </row>
    <row r="4" spans="1:9" x14ac:dyDescent="0.2">
      <c r="A4" t="s">
        <v>19</v>
      </c>
      <c r="B4">
        <v>50</v>
      </c>
      <c r="C4">
        <v>153</v>
      </c>
      <c r="D4">
        <v>24</v>
      </c>
      <c r="E4">
        <v>0</v>
      </c>
      <c r="H4" s="1">
        <f t="shared" si="0"/>
        <v>227</v>
      </c>
      <c r="I4" s="1">
        <f>24+153+50</f>
        <v>227</v>
      </c>
    </row>
    <row r="5" spans="1:9" x14ac:dyDescent="0.2">
      <c r="A5" t="s">
        <v>20</v>
      </c>
      <c r="B5">
        <v>98.5</v>
      </c>
      <c r="C5">
        <v>187.5</v>
      </c>
      <c r="D5">
        <v>32.75</v>
      </c>
      <c r="E5">
        <v>0</v>
      </c>
      <c r="H5" s="1">
        <f t="shared" si="0"/>
        <v>318.75</v>
      </c>
      <c r="I5" s="1">
        <f>98.5+187.5+32.75</f>
        <v>318.75</v>
      </c>
    </row>
    <row r="6" spans="1:9" x14ac:dyDescent="0.2">
      <c r="A6" t="s">
        <v>21</v>
      </c>
      <c r="B6">
        <v>101.5</v>
      </c>
      <c r="C6">
        <v>298.5</v>
      </c>
      <c r="D6">
        <v>21</v>
      </c>
      <c r="E6">
        <v>0</v>
      </c>
      <c r="H6" s="1">
        <f t="shared" si="0"/>
        <v>421</v>
      </c>
      <c r="I6" s="1">
        <f>122.5+298.5</f>
        <v>421</v>
      </c>
    </row>
    <row r="7" spans="1:9" x14ac:dyDescent="0.2">
      <c r="A7" t="s">
        <v>26</v>
      </c>
      <c r="B7">
        <v>75</v>
      </c>
      <c r="C7">
        <v>78</v>
      </c>
      <c r="D7">
        <v>0</v>
      </c>
      <c r="E7">
        <v>157.5</v>
      </c>
      <c r="H7" s="1">
        <f t="shared" si="0"/>
        <v>310.5</v>
      </c>
      <c r="I7" s="1">
        <v>310.5</v>
      </c>
    </row>
    <row r="8" spans="1:9" x14ac:dyDescent="0.2">
      <c r="A8" t="s">
        <v>30</v>
      </c>
      <c r="B8">
        <v>11.5</v>
      </c>
      <c r="C8">
        <v>7.5</v>
      </c>
      <c r="D8">
        <v>17</v>
      </c>
      <c r="E8">
        <v>39.5</v>
      </c>
      <c r="H8" s="1">
        <f t="shared" si="0"/>
        <v>75.5</v>
      </c>
      <c r="I8" s="1"/>
    </row>
    <row r="9" spans="1:9" x14ac:dyDescent="0.2">
      <c r="A9" t="s">
        <v>31</v>
      </c>
      <c r="B9">
        <v>18.5</v>
      </c>
      <c r="C9">
        <v>0</v>
      </c>
      <c r="D9">
        <v>10</v>
      </c>
      <c r="E9">
        <v>0</v>
      </c>
      <c r="H9" s="1">
        <f t="shared" si="0"/>
        <v>28.5</v>
      </c>
      <c r="I9" s="1">
        <v>28.5</v>
      </c>
    </row>
    <row r="10" spans="1:9" x14ac:dyDescent="0.2">
      <c r="A10" t="s">
        <v>32</v>
      </c>
      <c r="B10">
        <v>72.5</v>
      </c>
      <c r="D10">
        <v>8.5</v>
      </c>
      <c r="H10" s="1">
        <f t="shared" si="0"/>
        <v>81</v>
      </c>
      <c r="I10" s="1">
        <v>81</v>
      </c>
    </row>
    <row r="11" spans="1:9" x14ac:dyDescent="0.2">
      <c r="A11" t="s">
        <v>33</v>
      </c>
      <c r="B11">
        <v>74</v>
      </c>
      <c r="C11">
        <v>0</v>
      </c>
      <c r="D11">
        <v>11</v>
      </c>
      <c r="E11">
        <v>0</v>
      </c>
      <c r="H11" s="1">
        <f t="shared" si="0"/>
        <v>85</v>
      </c>
      <c r="I11" s="1">
        <v>85</v>
      </c>
    </row>
    <row r="12" spans="1:9" x14ac:dyDescent="0.2">
      <c r="A12" t="s">
        <v>34</v>
      </c>
      <c r="H12" s="1">
        <f t="shared" si="0"/>
        <v>0</v>
      </c>
      <c r="I12" s="1"/>
    </row>
    <row r="13" spans="1:9" x14ac:dyDescent="0.2">
      <c r="A13" t="s">
        <v>35</v>
      </c>
      <c r="H13" s="1">
        <f t="shared" si="0"/>
        <v>0</v>
      </c>
      <c r="I13" s="1"/>
    </row>
    <row r="14" spans="1:9" x14ac:dyDescent="0.2">
      <c r="A14" t="s">
        <v>36</v>
      </c>
      <c r="H14" s="1">
        <f t="shared" si="0"/>
        <v>0</v>
      </c>
      <c r="I14" s="1"/>
    </row>
    <row r="15" spans="1:9" x14ac:dyDescent="0.2">
      <c r="A15" t="s">
        <v>37</v>
      </c>
      <c r="H15" s="1">
        <f t="shared" si="0"/>
        <v>0</v>
      </c>
      <c r="I15" s="1"/>
    </row>
    <row r="16" spans="1:9" x14ac:dyDescent="0.2">
      <c r="A16" t="s">
        <v>38</v>
      </c>
      <c r="H16" s="1">
        <f t="shared" si="0"/>
        <v>0</v>
      </c>
      <c r="I16" s="1"/>
    </row>
    <row r="17" spans="1:9" x14ac:dyDescent="0.2">
      <c r="A17" t="s">
        <v>39</v>
      </c>
      <c r="H17" s="1">
        <f t="shared" si="0"/>
        <v>0</v>
      </c>
      <c r="I17" s="1"/>
    </row>
    <row r="18" spans="1:9" x14ac:dyDescent="0.2">
      <c r="A18" t="s">
        <v>40</v>
      </c>
      <c r="H18" s="1">
        <f t="shared" si="0"/>
        <v>0</v>
      </c>
      <c r="I18" s="1"/>
    </row>
    <row r="19" spans="1:9" x14ac:dyDescent="0.2">
      <c r="A19" t="s">
        <v>41</v>
      </c>
      <c r="H19" s="1">
        <f t="shared" si="0"/>
        <v>0</v>
      </c>
      <c r="I19" s="1"/>
    </row>
    <row r="20" spans="1:9" x14ac:dyDescent="0.2">
      <c r="A20" t="s">
        <v>42</v>
      </c>
      <c r="H20" s="1">
        <f t="shared" si="0"/>
        <v>0</v>
      </c>
      <c r="I20" s="1"/>
    </row>
    <row r="21" spans="1:9" x14ac:dyDescent="0.2">
      <c r="A21" t="s">
        <v>43</v>
      </c>
      <c r="H21" s="1">
        <f t="shared" si="0"/>
        <v>0</v>
      </c>
      <c r="I21" s="1"/>
    </row>
    <row r="22" spans="1:9" x14ac:dyDescent="0.2">
      <c r="A22" t="s">
        <v>44</v>
      </c>
      <c r="H22" s="1">
        <f t="shared" si="0"/>
        <v>0</v>
      </c>
      <c r="I22" s="1"/>
    </row>
    <row r="23" spans="1:9" x14ac:dyDescent="0.2">
      <c r="I23" s="1"/>
    </row>
    <row r="24" spans="1:9" x14ac:dyDescent="0.2">
      <c r="A24" s="1" t="s">
        <v>6</v>
      </c>
      <c r="B24" s="1">
        <f>SUM(B2:B22)</f>
        <v>568</v>
      </c>
      <c r="C24" s="1">
        <f t="shared" ref="C24:G24" si="1">SUM(C2:C22)</f>
        <v>752.95</v>
      </c>
      <c r="D24" s="1">
        <f t="shared" si="1"/>
        <v>231.25</v>
      </c>
      <c r="E24" s="1">
        <f t="shared" si="1"/>
        <v>197</v>
      </c>
      <c r="F24" s="1">
        <f t="shared" si="1"/>
        <v>0</v>
      </c>
      <c r="G24" s="1">
        <f t="shared" si="1"/>
        <v>0</v>
      </c>
      <c r="H24" s="1">
        <f t="shared" si="0"/>
        <v>1749.2</v>
      </c>
      <c r="I24" s="1">
        <f>SUM(I2:I22)</f>
        <v>1673.7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1F92-C271-4461-AC76-CE84BFA1E4EA}">
  <dimension ref="A1:I2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baseColWidth="10" defaultColWidth="8.6640625" defaultRowHeight="15" x14ac:dyDescent="0.2"/>
  <cols>
    <col min="1" max="1" width="8.6640625" style="37"/>
    <col min="2" max="5" width="12.6640625" style="34" customWidth="1"/>
    <col min="6" max="6" width="8.6640625" style="34"/>
    <col min="7" max="7" width="11.83203125" style="34" customWidth="1"/>
    <col min="8" max="8" width="15.5" style="36" customWidth="1"/>
    <col min="9" max="9" width="15.33203125" style="34" customWidth="1"/>
    <col min="10" max="16384" width="8.6640625" style="37"/>
  </cols>
  <sheetData>
    <row r="1" spans="1:9" s="35" customFormat="1" x14ac:dyDescent="0.2">
      <c r="A1" s="35" t="s">
        <v>14</v>
      </c>
      <c r="B1" s="36" t="s">
        <v>56</v>
      </c>
      <c r="C1" s="36" t="s">
        <v>57</v>
      </c>
      <c r="D1" s="36" t="s">
        <v>58</v>
      </c>
      <c r="E1" s="36" t="s">
        <v>59</v>
      </c>
      <c r="F1" s="36"/>
      <c r="G1" s="36"/>
      <c r="H1" s="36" t="s">
        <v>6</v>
      </c>
      <c r="I1" s="36" t="s">
        <v>60</v>
      </c>
    </row>
    <row r="2" spans="1:9" x14ac:dyDescent="0.2">
      <c r="A2" s="37" t="s">
        <v>17</v>
      </c>
      <c r="B2" s="27">
        <v>40796.6</v>
      </c>
      <c r="C2" s="27">
        <v>11287.2</v>
      </c>
      <c r="D2" s="27">
        <v>26205.75</v>
      </c>
      <c r="E2" s="34">
        <v>0</v>
      </c>
      <c r="H2" s="36">
        <f t="shared" ref="H2:H7" si="0">SUM(B2:G2)</f>
        <v>78289.55</v>
      </c>
      <c r="I2" s="36">
        <v>78289.549999999988</v>
      </c>
    </row>
    <row r="3" spans="1:9" x14ac:dyDescent="0.2">
      <c r="A3" s="37" t="s">
        <v>18</v>
      </c>
      <c r="B3" s="27">
        <v>35625.199999999997</v>
      </c>
      <c r="C3" s="27">
        <v>15472.87</v>
      </c>
      <c r="D3" s="27">
        <v>121374</v>
      </c>
      <c r="E3" s="34">
        <v>0</v>
      </c>
      <c r="H3" s="36">
        <f t="shared" si="0"/>
        <v>172472.07</v>
      </c>
      <c r="I3" s="36">
        <v>172472.07</v>
      </c>
    </row>
    <row r="4" spans="1:9" x14ac:dyDescent="0.2">
      <c r="A4" s="37" t="s">
        <v>19</v>
      </c>
      <c r="B4" s="28">
        <v>57460</v>
      </c>
      <c r="C4" s="28">
        <v>143911.79999999999</v>
      </c>
      <c r="D4" s="28">
        <v>33102</v>
      </c>
      <c r="E4" s="34">
        <v>0</v>
      </c>
      <c r="H4" s="36">
        <f t="shared" si="0"/>
        <v>234473.8</v>
      </c>
      <c r="I4" s="36">
        <v>234473.8</v>
      </c>
    </row>
    <row r="5" spans="1:9" x14ac:dyDescent="0.2">
      <c r="A5" s="37" t="s">
        <v>20</v>
      </c>
      <c r="B5" s="28">
        <v>113196.2</v>
      </c>
      <c r="C5" s="28">
        <v>176362.5</v>
      </c>
      <c r="D5" s="28">
        <v>45170.44</v>
      </c>
      <c r="E5" s="34">
        <v>0</v>
      </c>
      <c r="H5" s="36">
        <f t="shared" si="0"/>
        <v>334729.14</v>
      </c>
      <c r="I5" s="36">
        <v>334729.14</v>
      </c>
    </row>
    <row r="6" spans="1:9" x14ac:dyDescent="0.2">
      <c r="A6" s="37" t="s">
        <v>21</v>
      </c>
      <c r="B6" s="28">
        <v>116643.8</v>
      </c>
      <c r="C6" s="28">
        <v>280769.09999999998</v>
      </c>
      <c r="D6" s="28">
        <v>28964.25</v>
      </c>
      <c r="E6" s="34">
        <v>0</v>
      </c>
      <c r="H6" s="36">
        <f t="shared" si="0"/>
        <v>426377.14999999997</v>
      </c>
      <c r="I6" s="36">
        <v>426377.14999999997</v>
      </c>
    </row>
    <row r="7" spans="1:9" x14ac:dyDescent="0.2">
      <c r="A7" s="37" t="s">
        <v>26</v>
      </c>
      <c r="B7" s="27">
        <v>86190</v>
      </c>
      <c r="C7" s="27">
        <v>73366.8</v>
      </c>
      <c r="D7" s="34">
        <v>0</v>
      </c>
      <c r="E7" s="27">
        <v>148144.5</v>
      </c>
      <c r="H7" s="36">
        <f t="shared" si="0"/>
        <v>307701.3</v>
      </c>
      <c r="I7" s="36">
        <v>307701.3</v>
      </c>
    </row>
    <row r="8" spans="1:9" x14ac:dyDescent="0.2">
      <c r="A8" s="37" t="s">
        <v>30</v>
      </c>
      <c r="B8" s="28">
        <v>13215.8</v>
      </c>
      <c r="C8" s="28">
        <v>7054.5</v>
      </c>
      <c r="D8" s="28">
        <v>23447.25</v>
      </c>
      <c r="E8" s="34">
        <v>37153.699999999997</v>
      </c>
      <c r="H8" s="36">
        <f t="shared" ref="H8:H24" si="1">SUM(B8:G8)</f>
        <v>80871.25</v>
      </c>
      <c r="I8" s="36">
        <v>80871.25</v>
      </c>
    </row>
    <row r="9" spans="1:9" x14ac:dyDescent="0.2">
      <c r="A9" s="37" t="s">
        <v>31</v>
      </c>
      <c r="B9" s="34">
        <v>21260.2</v>
      </c>
      <c r="C9" s="34">
        <v>0</v>
      </c>
      <c r="D9" s="34">
        <v>13792.5</v>
      </c>
      <c r="E9" s="34">
        <v>0</v>
      </c>
      <c r="H9" s="36">
        <f t="shared" si="1"/>
        <v>35052.699999999997</v>
      </c>
      <c r="I9" s="36">
        <v>35052.699999999997</v>
      </c>
    </row>
    <row r="10" spans="1:9" x14ac:dyDescent="0.2">
      <c r="A10" s="37" t="s">
        <v>32</v>
      </c>
      <c r="B10" s="34">
        <v>83317</v>
      </c>
      <c r="C10" s="34">
        <v>0</v>
      </c>
      <c r="D10" s="34">
        <v>11723.63</v>
      </c>
      <c r="E10" s="34">
        <v>0</v>
      </c>
      <c r="H10" s="36">
        <f t="shared" si="1"/>
        <v>95040.63</v>
      </c>
      <c r="I10" s="36">
        <v>95040.63</v>
      </c>
    </row>
    <row r="11" spans="1:9" x14ac:dyDescent="0.2">
      <c r="A11" s="37" t="s">
        <v>33</v>
      </c>
      <c r="B11" s="34">
        <v>85040.8</v>
      </c>
      <c r="C11" s="34">
        <v>0</v>
      </c>
      <c r="D11" s="34">
        <v>15171.75</v>
      </c>
      <c r="E11" s="34">
        <v>0</v>
      </c>
      <c r="H11" s="36">
        <f t="shared" si="1"/>
        <v>100212.55</v>
      </c>
      <c r="I11" s="36">
        <v>100212.55</v>
      </c>
    </row>
    <row r="12" spans="1:9" x14ac:dyDescent="0.2">
      <c r="A12" s="37" t="s">
        <v>34</v>
      </c>
      <c r="H12" s="36">
        <f t="shared" si="1"/>
        <v>0</v>
      </c>
      <c r="I12" s="36"/>
    </row>
    <row r="13" spans="1:9" x14ac:dyDescent="0.2">
      <c r="A13" s="37" t="s">
        <v>35</v>
      </c>
      <c r="H13" s="36">
        <f t="shared" si="1"/>
        <v>0</v>
      </c>
      <c r="I13" s="36"/>
    </row>
    <row r="14" spans="1:9" x14ac:dyDescent="0.2">
      <c r="A14" s="37" t="s">
        <v>36</v>
      </c>
      <c r="H14" s="36">
        <f t="shared" si="1"/>
        <v>0</v>
      </c>
      <c r="I14" s="36"/>
    </row>
    <row r="15" spans="1:9" x14ac:dyDescent="0.2">
      <c r="A15" s="37" t="s">
        <v>37</v>
      </c>
      <c r="H15" s="36">
        <f t="shared" si="1"/>
        <v>0</v>
      </c>
      <c r="I15" s="36"/>
    </row>
    <row r="16" spans="1:9" x14ac:dyDescent="0.2">
      <c r="A16" s="37" t="s">
        <v>38</v>
      </c>
      <c r="H16" s="36">
        <f t="shared" si="1"/>
        <v>0</v>
      </c>
      <c r="I16" s="36"/>
    </row>
    <row r="17" spans="1:9" x14ac:dyDescent="0.2">
      <c r="A17" s="37" t="s">
        <v>39</v>
      </c>
      <c r="H17" s="36">
        <f t="shared" si="1"/>
        <v>0</v>
      </c>
      <c r="I17" s="36"/>
    </row>
    <row r="18" spans="1:9" x14ac:dyDescent="0.2">
      <c r="A18" s="37" t="s">
        <v>40</v>
      </c>
      <c r="H18" s="36">
        <f t="shared" si="1"/>
        <v>0</v>
      </c>
      <c r="I18" s="36"/>
    </row>
    <row r="19" spans="1:9" x14ac:dyDescent="0.2">
      <c r="A19" s="37" t="s">
        <v>41</v>
      </c>
      <c r="H19" s="36">
        <f t="shared" si="1"/>
        <v>0</v>
      </c>
      <c r="I19" s="36"/>
    </row>
    <row r="20" spans="1:9" x14ac:dyDescent="0.2">
      <c r="A20" s="37" t="s">
        <v>42</v>
      </c>
      <c r="H20" s="36">
        <f t="shared" si="1"/>
        <v>0</v>
      </c>
      <c r="I20" s="36"/>
    </row>
    <row r="21" spans="1:9" x14ac:dyDescent="0.2">
      <c r="A21" s="37" t="s">
        <v>43</v>
      </c>
      <c r="H21" s="36">
        <f t="shared" si="1"/>
        <v>0</v>
      </c>
      <c r="I21" s="36"/>
    </row>
    <row r="22" spans="1:9" x14ac:dyDescent="0.2">
      <c r="A22" s="37" t="s">
        <v>44</v>
      </c>
      <c r="H22" s="36">
        <f t="shared" si="1"/>
        <v>0</v>
      </c>
      <c r="I22" s="36"/>
    </row>
    <row r="23" spans="1:9" x14ac:dyDescent="0.2">
      <c r="I23" s="36"/>
    </row>
    <row r="24" spans="1:9" x14ac:dyDescent="0.2">
      <c r="A24" s="35" t="s">
        <v>6</v>
      </c>
      <c r="B24" s="36">
        <f>SUM(B2:B22)</f>
        <v>652745.60000000009</v>
      </c>
      <c r="C24" s="36">
        <f>SUM(C2:C22)</f>
        <v>708224.77</v>
      </c>
      <c r="D24" s="36">
        <f>SUM(D2:D22)</f>
        <v>318951.57</v>
      </c>
      <c r="E24" s="36">
        <f t="shared" ref="E24:G24" si="2">SUM(E2:E22)</f>
        <v>185298.2</v>
      </c>
      <c r="F24" s="36">
        <f t="shared" si="2"/>
        <v>0</v>
      </c>
      <c r="G24" s="36">
        <f t="shared" si="2"/>
        <v>0</v>
      </c>
      <c r="H24" s="36">
        <f t="shared" si="1"/>
        <v>1865220.1400000001</v>
      </c>
      <c r="I24" s="36">
        <f>SUM(I2:I22)</f>
        <v>1865220.14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2FF5-61F4-46B3-995F-2913403838D0}">
  <dimension ref="A1:K7"/>
  <sheetViews>
    <sheetView workbookViewId="0">
      <selection sqref="A1:K8"/>
    </sheetView>
  </sheetViews>
  <sheetFormatPr baseColWidth="10" defaultColWidth="8.83203125" defaultRowHeight="15" x14ac:dyDescent="0.2"/>
  <cols>
    <col min="1" max="1" width="10.83203125" customWidth="1"/>
  </cols>
  <sheetData>
    <row r="1" spans="1:11" x14ac:dyDescent="0.2">
      <c r="A1" s="39" t="s">
        <v>85</v>
      </c>
      <c r="B1" s="39"/>
      <c r="C1" s="39"/>
      <c r="D1" s="39"/>
      <c r="E1" s="39"/>
      <c r="F1" s="39"/>
      <c r="G1" s="39"/>
      <c r="H1" s="39"/>
      <c r="I1" s="39"/>
      <c r="J1" s="39"/>
    </row>
    <row r="3" spans="1:11" x14ac:dyDescent="0.2">
      <c r="A3" s="1" t="s">
        <v>69</v>
      </c>
      <c r="B3" s="1" t="s">
        <v>70</v>
      </c>
      <c r="C3" s="1" t="s">
        <v>71</v>
      </c>
      <c r="D3" s="1" t="s">
        <v>72</v>
      </c>
      <c r="E3" s="1" t="s">
        <v>73</v>
      </c>
      <c r="F3" s="1" t="s">
        <v>78</v>
      </c>
      <c r="G3" s="1" t="s">
        <v>74</v>
      </c>
      <c r="H3" s="1" t="s">
        <v>75</v>
      </c>
      <c r="I3" s="1" t="s">
        <v>76</v>
      </c>
      <c r="J3" s="1" t="s">
        <v>77</v>
      </c>
      <c r="K3" s="1" t="s">
        <v>86</v>
      </c>
    </row>
    <row r="4" spans="1:11" x14ac:dyDescent="0.2">
      <c r="A4" s="32" t="s">
        <v>58</v>
      </c>
      <c r="B4" s="33">
        <v>11</v>
      </c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2">
      <c r="A5" s="32" t="s">
        <v>57</v>
      </c>
      <c r="B5" s="33">
        <v>0</v>
      </c>
      <c r="C5" s="31"/>
      <c r="D5" s="31"/>
      <c r="E5" s="31"/>
      <c r="F5" s="31"/>
      <c r="G5" s="31"/>
      <c r="H5" s="31"/>
      <c r="I5" s="31"/>
      <c r="J5" s="31"/>
      <c r="K5" s="31"/>
    </row>
    <row r="6" spans="1:11" x14ac:dyDescent="0.2">
      <c r="A6" s="32" t="s">
        <v>56</v>
      </c>
      <c r="B6" s="33">
        <v>74</v>
      </c>
      <c r="C6" s="31"/>
      <c r="D6" s="31"/>
      <c r="E6" s="31"/>
      <c r="F6" s="31"/>
      <c r="G6" s="31"/>
      <c r="H6" s="31"/>
      <c r="I6" s="31"/>
      <c r="J6" s="31"/>
      <c r="K6" s="31"/>
    </row>
    <row r="7" spans="1:11" x14ac:dyDescent="0.2">
      <c r="A7" s="32" t="s">
        <v>59</v>
      </c>
      <c r="B7" s="33">
        <v>0</v>
      </c>
      <c r="C7" s="31"/>
      <c r="D7" s="31"/>
      <c r="E7" s="31"/>
      <c r="F7" s="31"/>
      <c r="G7" s="31"/>
      <c r="H7" s="31"/>
      <c r="I7" s="31"/>
      <c r="J7" s="31"/>
      <c r="K7" s="31"/>
    </row>
  </sheetData>
  <mergeCells count="1">
    <mergeCell ref="A1:J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927f91-cda1-4696-af89-8c9f1ceffa91}" enabled="0" method="" siteId="{a3927f91-cda1-4696-af89-8c9f1ceff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Hours by package</vt:lpstr>
      <vt:lpstr>Hours by consultant</vt:lpstr>
      <vt:lpstr>Cost</vt:lpstr>
      <vt:lpstr>Sheet1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 Brewer</dc:creator>
  <cp:lastModifiedBy>Kim Steenstrup Pedersen</cp:lastModifiedBy>
  <cp:lastPrinted>2024-04-17T11:15:39Z</cp:lastPrinted>
  <dcterms:created xsi:type="dcterms:W3CDTF">2024-04-17T09:58:37Z</dcterms:created>
  <dcterms:modified xsi:type="dcterms:W3CDTF">2025-01-24T14:43:24Z</dcterms:modified>
</cp:coreProperties>
</file>