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HK6\ĐỒ ÁN MÔN HỌC\ĐATK\"/>
    </mc:Choice>
  </mc:AlternateContent>
  <xr:revisionPtr revIDLastSave="0" documentId="13_ncr:1_{3A4824FF-C1AB-404B-9A34-342D8EDA48F6}" xr6:coauthVersionLast="47" xr6:coauthVersionMax="47" xr10:uidLastSave="{00000000-0000-0000-0000-000000000000}"/>
  <bookViews>
    <workbookView xWindow="-108" yWindow="-108" windowWidth="23256" windowHeight="12456" xr2:uid="{A4EB06D9-EA3E-478E-BAF5-8FED058F5AF8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3" i="1" l="1"/>
  <c r="B34" i="1"/>
  <c r="B35" i="1"/>
  <c r="B36" i="1"/>
  <c r="B37" i="1"/>
  <c r="B38" i="1"/>
  <c r="B39" i="1"/>
  <c r="B41" i="1"/>
  <c r="B40" i="1" l="1"/>
  <c r="L26" i="1" l="1"/>
  <c r="L51" i="1"/>
  <c r="L48" i="1"/>
  <c r="L47" i="1" l="1"/>
  <c r="L7" i="1"/>
  <c r="L8" i="1" s="1"/>
  <c r="B53" i="1"/>
  <c r="L22" i="1" l="1"/>
  <c r="L24" i="1" l="1"/>
  <c r="L23" i="1" s="1"/>
  <c r="L25" i="1"/>
  <c r="L3" i="1"/>
  <c r="L4" i="1" s="1"/>
  <c r="B62" i="1"/>
  <c r="B61" i="1"/>
  <c r="B60" i="1"/>
  <c r="B54" i="1"/>
  <c r="B55" i="1" l="1"/>
  <c r="B58" i="1" l="1"/>
  <c r="L5" i="1" s="1"/>
  <c r="L37" i="1" s="1"/>
  <c r="B57" i="1"/>
  <c r="L60" i="1" l="1"/>
  <c r="L59" i="1"/>
  <c r="B42" i="1"/>
  <c r="B43" i="1"/>
  <c r="B45" i="1" l="1"/>
  <c r="B47" i="1" s="1"/>
  <c r="B51" i="1"/>
  <c r="L9" i="1"/>
  <c r="L10" i="1" s="1"/>
  <c r="B52" i="1" l="1"/>
  <c r="L16" i="1"/>
  <c r="L35" i="1" s="1"/>
  <c r="L36" i="1" s="1"/>
  <c r="L11" i="1"/>
  <c r="L17" i="1" l="1"/>
  <c r="L61" i="1"/>
  <c r="L50" i="1"/>
  <c r="L55" i="1" s="1"/>
  <c r="L56" i="1" s="1"/>
  <c r="L12" i="1"/>
  <c r="L13" i="1" s="1"/>
  <c r="L20" i="1"/>
  <c r="L18" i="1"/>
  <c r="L21" i="1"/>
  <c r="L19" i="1"/>
  <c r="L29" i="1"/>
  <c r="L62" i="1" l="1"/>
  <c r="L64" i="1" s="1"/>
  <c r="L66" i="1" s="1"/>
  <c r="L63" i="1"/>
  <c r="L65" i="1" s="1"/>
  <c r="L67" i="1" l="1"/>
  <c r="L68" i="1" s="1"/>
  <c r="L69" i="1" s="1"/>
</calcChain>
</file>

<file path=xl/sharedStrings.xml><?xml version="1.0" encoding="utf-8"?>
<sst xmlns="http://schemas.openxmlformats.org/spreadsheetml/2006/main" count="188" uniqueCount="148">
  <si>
    <t>Thông số đầu vào</t>
  </si>
  <si>
    <t>tỷ số truyền</t>
  </si>
  <si>
    <t>tuổi thọ (h)</t>
  </si>
  <si>
    <t>Chọn vật liệu</t>
  </si>
  <si>
    <t>Bánh lớn (2)</t>
  </si>
  <si>
    <t>S (mm)</t>
  </si>
  <si>
    <t>Độ rắn (HB)</t>
  </si>
  <si>
    <t>Giới hạn bền (MPa)</t>
  </si>
  <si>
    <t>Giới hạn chảy (MPa)</t>
  </si>
  <si>
    <t>Tôi cải thiện</t>
  </si>
  <si>
    <t>192…240</t>
  </si>
  <si>
    <t>Độ rắn bánh nhỏ HB1</t>
  </si>
  <si>
    <t>Giới hạn mỏi tiếp xúc bánh 1</t>
  </si>
  <si>
    <t>Độ rắn bánh nhỏ HB2</t>
  </si>
  <si>
    <t>241…245</t>
  </si>
  <si>
    <t>Giới hạn mỏi tiếp xúc bánh 2</t>
  </si>
  <si>
    <t>Giới hạn mỏi cơ sở bánh 1</t>
  </si>
  <si>
    <t>Giới hạn mỏi cơ sở bánh 2</t>
  </si>
  <si>
    <t>Số chu kì thay đổi ứng suất cơ sở bánh 1</t>
  </si>
  <si>
    <t>Số chu kì thay đổi ứng suất cơ sở bánh 2</t>
  </si>
  <si>
    <t>Tỷ số truyền u1</t>
  </si>
  <si>
    <t>Tỷ số truyền u2</t>
  </si>
  <si>
    <t>Ứng suất tiếp xúc cho phép bánh răng 1</t>
  </si>
  <si>
    <t>S[H]</t>
  </si>
  <si>
    <t>Ứng suất tiếp xúc cho phép bánh răng 2</t>
  </si>
  <si>
    <t>ứng suất tiếp xúc cho phép cấp nhanh</t>
  </si>
  <si>
    <t>Hệ số tuổi thọ K(HL)1</t>
  </si>
  <si>
    <t>check var cấp nhanh</t>
  </si>
  <si>
    <t>ứng suất tiếp xúc cho phép cấp chậm</t>
  </si>
  <si>
    <t>trụ thẳng</t>
  </si>
  <si>
    <t>check var cấp chậm</t>
  </si>
  <si>
    <t>Hệ truyền động bánh răng cấp nhanh</t>
  </si>
  <si>
    <t>Hệ truyền động bánh răng cấp chậm</t>
  </si>
  <si>
    <t>số chu trình thay đổi ứng suất tương đương về độ bền uốn</t>
  </si>
  <si>
    <t>số chu trình thay đổi ứng suất tương đương về độ bền tiếp xúc</t>
  </si>
  <si>
    <t>Hệ số tuổi thọ K(FL)2</t>
  </si>
  <si>
    <t>Hệ số tuổi thọ K(HL)2</t>
  </si>
  <si>
    <t>Hệ số tuổi thọ K(FL)1</t>
  </si>
  <si>
    <t>tiếp xúc</t>
  </si>
  <si>
    <t>Bánh răng 1</t>
  </si>
  <si>
    <t>Bánh răng 2</t>
  </si>
  <si>
    <t>uốn bánh răng 1</t>
  </si>
  <si>
    <t>uốn bánh răng 2</t>
  </si>
  <si>
    <t>Bánh nhỏ (1)</t>
  </si>
  <si>
    <t>ỨNG SUẤT CHO PHÉP</t>
  </si>
  <si>
    <t>THÔNG SỐ CƠ BẢN BỘ TRUYỀN BÁNH RĂNG TRỤ</t>
  </si>
  <si>
    <t>Khoảng cách trục chia</t>
  </si>
  <si>
    <t>kí hiệu</t>
  </si>
  <si>
    <t>Thông số</t>
  </si>
  <si>
    <t>khoảng cách trục sơ bộ</t>
  </si>
  <si>
    <t>Hệ số</t>
  </si>
  <si>
    <t>Loại răng</t>
  </si>
  <si>
    <t>Thép - Thép</t>
  </si>
  <si>
    <t>Thép - Gang</t>
  </si>
  <si>
    <t>Thép - Đồng thanh</t>
  </si>
  <si>
    <t>Gang - Gang</t>
  </si>
  <si>
    <t>Têchtolit - Thép</t>
  </si>
  <si>
    <t>Poliamid - Thép</t>
  </si>
  <si>
    <t>Ka (MPa^1/3)</t>
  </si>
  <si>
    <t>Thẳng</t>
  </si>
  <si>
    <t>49,5</t>
  </si>
  <si>
    <t>44,5</t>
  </si>
  <si>
    <t>41,5</t>
  </si>
  <si>
    <t>15,5</t>
  </si>
  <si>
    <t>Nghiêng và chữ V</t>
  </si>
  <si>
    <t>37,5</t>
  </si>
  <si>
    <t>13,5</t>
  </si>
  <si>
    <t>Kd (MPa^1/3)</t>
  </si>
  <si>
    <t>64,5</t>
  </si>
  <si>
    <t>67,5</t>
  </si>
  <si>
    <t>56,5</t>
  </si>
  <si>
    <t>ZM (MPa^1/3)</t>
  </si>
  <si>
    <t>-</t>
  </si>
  <si>
    <t>69,5</t>
  </si>
  <si>
    <t>47,5</t>
  </si>
  <si>
    <t>si(ba)</t>
  </si>
  <si>
    <t>si(bd)</t>
  </si>
  <si>
    <t>chọn hệ số K(Hbeta)</t>
  </si>
  <si>
    <t>Chọn khoảng cách trục tiêu chuẩn a</t>
  </si>
  <si>
    <t>module răng m</t>
  </si>
  <si>
    <t>tổng số răng z</t>
  </si>
  <si>
    <t>số răng bánh dẫn z1</t>
  </si>
  <si>
    <t>số răng bánh dẫn z2</t>
  </si>
  <si>
    <t>tỷ số truyền sau khi chọn số răng u mới</t>
  </si>
  <si>
    <t>THÔNG SỐ HÌNH HỌC</t>
  </si>
  <si>
    <t>đường kính vòng chia d1</t>
  </si>
  <si>
    <t>đường kính vòng chia d2</t>
  </si>
  <si>
    <t>đường kính vòng đỉnh da1</t>
  </si>
  <si>
    <t>đường kính vòng đỉnh da2</t>
  </si>
  <si>
    <t>Chiều rộng vành răng bánh bị dẫn b2</t>
  </si>
  <si>
    <t>đường kính vòng đáy df1</t>
  </si>
  <si>
    <t>đường kính vòng đáy df2</t>
  </si>
  <si>
    <t>tỷ số b1/b2</t>
  </si>
  <si>
    <t>Vận tốc vòng bánh răng</t>
  </si>
  <si>
    <t>Chọn cấp chính xác</t>
  </si>
  <si>
    <t>v giới hạn</t>
  </si>
  <si>
    <t>XÁC ĐỊNH GIÁ TRỊ CÁC LỰC TÁC DỤNG LÊN BỘ TRUYỀN</t>
  </si>
  <si>
    <t>P2</t>
  </si>
  <si>
    <t>T2</t>
  </si>
  <si>
    <t>số vòng quay n2</t>
  </si>
  <si>
    <t>theo tiêu chuẩn b[w]</t>
  </si>
  <si>
    <t>N</t>
  </si>
  <si>
    <t>đơn vị</t>
  </si>
  <si>
    <t>mm</t>
  </si>
  <si>
    <t>Lực hướng tâm F[r1]</t>
  </si>
  <si>
    <t>Lực vòng F[t1]</t>
  </si>
  <si>
    <t>góc ăn khớp</t>
  </si>
  <si>
    <t>độ (mixi)</t>
  </si>
  <si>
    <t>Góc biên dạng</t>
  </si>
  <si>
    <t>m/s</t>
  </si>
  <si>
    <t>CHỌN HỆ SỐ TẢI TRỌNG ĐỘNG</t>
  </si>
  <si>
    <t>K[HV]</t>
  </si>
  <si>
    <t>K[FV]</t>
  </si>
  <si>
    <t>CHỌN HỆ SỐ PHÂN BỐ TẢI TRỌNG KHÔNG ĐỀU GIỮA CÁC RĂNG</t>
  </si>
  <si>
    <t>K[Halpha]</t>
  </si>
  <si>
    <t>K[Falpha]</t>
  </si>
  <si>
    <t>K[Hbeta]</t>
  </si>
  <si>
    <t>K[Fbeta]</t>
  </si>
  <si>
    <t>Chiều rộng vành răng bánh dẫn b1</t>
  </si>
  <si>
    <t>Hệ số tải trọng tính theo đồ bền tiếp xúc K[F]</t>
  </si>
  <si>
    <t>Hệ số tải trọng tính theo đồ bền uốn K[H]</t>
  </si>
  <si>
    <t>hệ số xét đến hình dạng bề mặt tiếp xúc Z[H]</t>
  </si>
  <si>
    <t>KIỂM NGHIỆM BỀN TIẾP XÚC</t>
  </si>
  <si>
    <t>Sigma[H]</t>
  </si>
  <si>
    <t>Z[M] (vật liệu thép)</t>
  </si>
  <si>
    <t>Z[epsilon]</t>
  </si>
  <si>
    <t>Đường kính vòng lăn bánh dẫn</t>
  </si>
  <si>
    <t>Chiều rộng vành răng b[w]</t>
  </si>
  <si>
    <t>Y[F1]</t>
  </si>
  <si>
    <t>Y[F2]</t>
  </si>
  <si>
    <t>Hệ số dịch tâm y</t>
  </si>
  <si>
    <t>hệ số dịch chỉnh x1</t>
  </si>
  <si>
    <t>hệ số dịch chỉnh x2</t>
  </si>
  <si>
    <t>Tổng hệ số dịch chỉnh x[t]</t>
  </si>
  <si>
    <t>tỷ số sigma[F1]/Y[F1]</t>
  </si>
  <si>
    <t>tỷ số sigma[F2]/Y[F2]</t>
  </si>
  <si>
    <t>So sánh tỷ số và chọn</t>
  </si>
  <si>
    <t>KIỂM NGHIỆM ĐỒ BỀN UỐN</t>
  </si>
  <si>
    <t>Ứng suất uốn tại chân răng sigma[F]</t>
  </si>
  <si>
    <t>ỨNG SUẤT UỔN CHO PHÉP</t>
  </si>
  <si>
    <t>ỨNG SUẤT QUÁ TẢI CHO PHÉP</t>
  </si>
  <si>
    <t>check var ứng suất uốn</t>
  </si>
  <si>
    <t>Check var ứng suất tiếp xúc</t>
  </si>
  <si>
    <t>BÁNH LỚN (2)</t>
  </si>
  <si>
    <t>BÁNH NHỎ (1)</t>
  </si>
  <si>
    <t>check var tỷ số truyền mới</t>
  </si>
  <si>
    <t>TÍNH TỶ SỐ TRUYỀN VỚI MODULE m</t>
  </si>
  <si>
    <t>VẬN TỐC VÒNG BÁNH RĂNG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</si>
</sst>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3" borderId="1" xfId="0" applyFill="1" applyBorder="1"/>
    <xf numFmtId="0" fontId="0" fillId="4" borderId="1" xfId="0" applyFill="1" applyBorder="1"/>
    <xf numFmtId="0" fontId="0" fillId="4" borderId="1" xfId="0" applyFill="1" applyBorder="1" applyAlignment="1">
      <alignment horizontal="left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0" fillId="10" borderId="1" xfId="0" applyFill="1" applyBorder="1"/>
    <xf numFmtId="0" fontId="0" fillId="4" borderId="2" xfId="0" applyFill="1" applyBorder="1"/>
    <xf numFmtId="0" fontId="0" fillId="11" borderId="1" xfId="0" applyFill="1" applyBorder="1"/>
    <xf numFmtId="0" fontId="0" fillId="12" borderId="1" xfId="0" applyFill="1" applyBorder="1"/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144780</xdr:colOff>
      <xdr:row>0</xdr:row>
      <xdr:rowOff>45720</xdr:rowOff>
    </xdr:from>
    <xdr:to>
      <xdr:col>9</xdr:col>
      <xdr:colOff>320425</xdr:colOff>
      <xdr:row>26</xdr:row>
      <xdr:rowOff>160442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E98D081-289A-756D-BEA4-6E7E4F3A2B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04060" y="45720"/>
          <a:ext cx="4442845" cy="4869602"/>
        </a:xfrm>
        <a:prstGeom prst="rect">
          <a:avLst/>
        </a:prstGeom>
      </xdr:spPr>
    </xdr:pic>
    <xdr:clientData/>
  </xdr:twoCellAnchor>
  <xdr:twoCellAnchor editAs="oneCell">
    <xdr:from>
      <xdr:col>2</xdr:col>
      <xdr:colOff>251460</xdr:colOff>
      <xdr:row>31</xdr:row>
      <xdr:rowOff>22860</xdr:rowOff>
    </xdr:from>
    <xdr:to>
      <xdr:col>9</xdr:col>
      <xdr:colOff>434726</xdr:colOff>
      <xdr:row>51</xdr:row>
      <xdr:rowOff>145108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B038FCA-5718-8238-D773-E2EDDBFCEB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329940" y="4960620"/>
          <a:ext cx="4450466" cy="3779848"/>
        </a:xfrm>
        <a:prstGeom prst="rect">
          <a:avLst/>
        </a:prstGeom>
      </xdr:spPr>
    </xdr:pic>
    <xdr:clientData/>
  </xdr:twoCellAnchor>
  <xdr:twoCellAnchor editAs="oneCell">
    <xdr:from>
      <xdr:col>2</xdr:col>
      <xdr:colOff>320040</xdr:colOff>
      <xdr:row>56</xdr:row>
      <xdr:rowOff>137160</xdr:rowOff>
    </xdr:from>
    <xdr:to>
      <xdr:col>9</xdr:col>
      <xdr:colOff>320410</xdr:colOff>
      <xdr:row>60</xdr:row>
      <xdr:rowOff>53395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1C836EA-8F80-0313-7F56-0614F5341E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398520" y="8732520"/>
          <a:ext cx="4267570" cy="647756"/>
        </a:xfrm>
        <a:prstGeom prst="rect">
          <a:avLst/>
        </a:prstGeom>
      </xdr:spPr>
    </xdr:pic>
    <xdr:clientData/>
  </xdr:twoCellAnchor>
  <xdr:oneCellAnchor>
    <xdr:from>
      <xdr:col>0</xdr:col>
      <xdr:colOff>1463040</xdr:colOff>
      <xdr:row>33</xdr:row>
      <xdr:rowOff>179070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EFD79909-9C51-7AFC-24C6-973D7B585FAE}"/>
            </a:ext>
          </a:extLst>
        </xdr:cNvPr>
        <xdr:cNvSpPr txBox="1"/>
      </xdr:nvSpPr>
      <xdr:spPr>
        <a:xfrm>
          <a:off x="1463040" y="47510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twoCellAnchor editAs="oneCell">
    <xdr:from>
      <xdr:col>2</xdr:col>
      <xdr:colOff>220980</xdr:colOff>
      <xdr:row>60</xdr:row>
      <xdr:rowOff>83820</xdr:rowOff>
    </xdr:from>
    <xdr:to>
      <xdr:col>9</xdr:col>
      <xdr:colOff>404246</xdr:colOff>
      <xdr:row>66</xdr:row>
      <xdr:rowOff>68674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BA0FF661-34EC-2FDF-B0DC-63BFC63BE6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299460" y="9410700"/>
          <a:ext cx="4450466" cy="1082134"/>
        </a:xfrm>
        <a:prstGeom prst="rect">
          <a:avLst/>
        </a:prstGeom>
      </xdr:spPr>
    </xdr:pic>
    <xdr:clientData/>
  </xdr:twoCellAnchor>
  <xdr:twoCellAnchor editAs="oneCell">
    <xdr:from>
      <xdr:col>2</xdr:col>
      <xdr:colOff>167640</xdr:colOff>
      <xdr:row>75</xdr:row>
      <xdr:rowOff>129540</xdr:rowOff>
    </xdr:from>
    <xdr:to>
      <xdr:col>7</xdr:col>
      <xdr:colOff>53594</xdr:colOff>
      <xdr:row>78</xdr:row>
      <xdr:rowOff>91484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DEC406CE-B674-9412-2779-5B0BE06E66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246120" y="12199620"/>
          <a:ext cx="2933954" cy="510584"/>
        </a:xfrm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66</xdr:row>
      <xdr:rowOff>129540</xdr:rowOff>
    </xdr:from>
    <xdr:to>
      <xdr:col>9</xdr:col>
      <xdr:colOff>168005</xdr:colOff>
      <xdr:row>75</xdr:row>
      <xdr:rowOff>137303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537C4446-18D5-DCA2-C85E-9A3300B04B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307080" y="10553700"/>
          <a:ext cx="4206605" cy="1653683"/>
        </a:xfrm>
        <a:prstGeom prst="rect">
          <a:avLst/>
        </a:prstGeom>
      </xdr:spPr>
    </xdr:pic>
    <xdr:clientData/>
  </xdr:twoCellAnchor>
  <xdr:twoCellAnchor editAs="oneCell">
    <xdr:from>
      <xdr:col>23</xdr:col>
      <xdr:colOff>100966</xdr:colOff>
      <xdr:row>0</xdr:row>
      <xdr:rowOff>0</xdr:rowOff>
    </xdr:from>
    <xdr:to>
      <xdr:col>29</xdr:col>
      <xdr:colOff>163161</xdr:colOff>
      <xdr:row>27</xdr:row>
      <xdr:rowOff>67109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A15958F-ACA7-39B4-591A-A8915627EB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7965633" y="0"/>
          <a:ext cx="4473328" cy="5096309"/>
        </a:xfrm>
        <a:prstGeom prst="rect">
          <a:avLst/>
        </a:prstGeom>
      </xdr:spPr>
    </xdr:pic>
    <xdr:clientData/>
  </xdr:twoCellAnchor>
  <xdr:twoCellAnchor editAs="oneCell">
    <xdr:from>
      <xdr:col>15</xdr:col>
      <xdr:colOff>33867</xdr:colOff>
      <xdr:row>0</xdr:row>
      <xdr:rowOff>0</xdr:rowOff>
    </xdr:from>
    <xdr:to>
      <xdr:col>20</xdr:col>
      <xdr:colOff>330201</xdr:colOff>
      <xdr:row>8</xdr:row>
      <xdr:rowOff>157802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145E39B-81C0-8CA9-CF94-C51DD0B687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2200467" y="0"/>
          <a:ext cx="4326467" cy="1647935"/>
        </a:xfrm>
        <a:prstGeom prst="rect">
          <a:avLst/>
        </a:prstGeom>
      </xdr:spPr>
    </xdr:pic>
    <xdr:clientData/>
  </xdr:twoCellAnchor>
  <xdr:twoCellAnchor editAs="oneCell">
    <xdr:from>
      <xdr:col>15</xdr:col>
      <xdr:colOff>16933</xdr:colOff>
      <xdr:row>15</xdr:row>
      <xdr:rowOff>152401</xdr:rowOff>
    </xdr:from>
    <xdr:to>
      <xdr:col>20</xdr:col>
      <xdr:colOff>406783</xdr:colOff>
      <xdr:row>39</xdr:row>
      <xdr:rowOff>185811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A1574BB-1BB2-887D-5758-16CDAA54B8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3004800" y="2946401"/>
          <a:ext cx="4419983" cy="4503810"/>
        </a:xfrm>
        <a:prstGeom prst="rect">
          <a:avLst/>
        </a:prstGeom>
      </xdr:spPr>
    </xdr:pic>
    <xdr:clientData/>
  </xdr:twoCellAnchor>
  <xdr:twoCellAnchor editAs="oneCell">
    <xdr:from>
      <xdr:col>15</xdr:col>
      <xdr:colOff>143933</xdr:colOff>
      <xdr:row>44</xdr:row>
      <xdr:rowOff>135466</xdr:rowOff>
    </xdr:from>
    <xdr:to>
      <xdr:col>20</xdr:col>
      <xdr:colOff>337</xdr:colOff>
      <xdr:row>54</xdr:row>
      <xdr:rowOff>63654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4A37FED9-2A13-C999-5E72-5B37FBA088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4266333" y="7586133"/>
          <a:ext cx="3886537" cy="1790855"/>
        </a:xfrm>
        <a:prstGeom prst="rect">
          <a:avLst/>
        </a:prstGeom>
      </xdr:spPr>
    </xdr:pic>
    <xdr:clientData/>
  </xdr:twoCellAnchor>
  <xdr:twoCellAnchor editAs="oneCell">
    <xdr:from>
      <xdr:col>15</xdr:col>
      <xdr:colOff>254000</xdr:colOff>
      <xdr:row>57</xdr:row>
      <xdr:rowOff>177800</xdr:rowOff>
    </xdr:from>
    <xdr:to>
      <xdr:col>20</xdr:col>
      <xdr:colOff>26577</xdr:colOff>
      <xdr:row>69</xdr:row>
      <xdr:rowOff>167833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4838A795-4561-9FA7-9337-D585AB59B1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5367000" y="9677400"/>
          <a:ext cx="3802710" cy="2225233"/>
        </a:xfrm>
        <a:prstGeom prst="rect">
          <a:avLst/>
        </a:prstGeom>
      </xdr:spPr>
    </xdr:pic>
    <xdr:clientData/>
  </xdr:twoCellAnchor>
  <xdr:twoCellAnchor editAs="oneCell">
    <xdr:from>
      <xdr:col>15</xdr:col>
      <xdr:colOff>338667</xdr:colOff>
      <xdr:row>69</xdr:row>
      <xdr:rowOff>169333</xdr:rowOff>
    </xdr:from>
    <xdr:to>
      <xdr:col>20</xdr:col>
      <xdr:colOff>118864</xdr:colOff>
      <xdr:row>79</xdr:row>
      <xdr:rowOff>28935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6A3F2762-0EC5-E225-1921-38B1B298F4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5985067" y="11904133"/>
          <a:ext cx="3810330" cy="1722269"/>
        </a:xfrm>
        <a:prstGeom prst="rect">
          <a:avLst/>
        </a:prstGeom>
      </xdr:spPr>
    </xdr:pic>
    <xdr:clientData/>
  </xdr:twoCellAnchor>
  <xdr:twoCellAnchor editAs="oneCell">
    <xdr:from>
      <xdr:col>15</xdr:col>
      <xdr:colOff>474134</xdr:colOff>
      <xdr:row>78</xdr:row>
      <xdr:rowOff>152400</xdr:rowOff>
    </xdr:from>
    <xdr:to>
      <xdr:col>20</xdr:col>
      <xdr:colOff>223849</xdr:colOff>
      <xdr:row>100</xdr:row>
      <xdr:rowOff>169690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DFF3D58-CE28-F02E-E9CB-28AE268FE6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120534" y="13563600"/>
          <a:ext cx="3779848" cy="411515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17C09-1B50-4D68-AFD2-DD4AD965709A}">
  <dimension ref="A1:Y69"/>
  <sheetViews>
    <sheetView tabSelected="1" topLeftCell="A43" zoomScale="90" zoomScaleNormal="90" workbookViewId="0">
      <selection activeCell="A66" sqref="A66"/>
    </sheetView>
  </sheetViews>
  <sheetFormatPr defaultRowHeight="14.4" x14ac:dyDescent="0.3"/>
  <cols>
    <col min="1" max="1" width="49.21875" bestFit="1" customWidth="1"/>
    <col min="2" max="2" width="12.5546875" customWidth="1"/>
    <col min="11" max="11" width="56.33203125" bestFit="1" customWidth="1"/>
    <col min="12" max="12" width="18.5546875" customWidth="1"/>
    <col min="16" max="16" width="12.6640625" bestFit="1" customWidth="1"/>
    <col min="17" max="17" width="15.5546875" bestFit="1" customWidth="1"/>
    <col min="18" max="18" width="10.5546875" bestFit="1" customWidth="1"/>
    <col min="19" max="19" width="11" bestFit="1" customWidth="1"/>
    <col min="23" max="23" width="13.88671875" bestFit="1" customWidth="1"/>
    <col min="24" max="24" width="19.88671875" bestFit="1" customWidth="1"/>
  </cols>
  <sheetData>
    <row r="1" spans="1:25" x14ac:dyDescent="0.3">
      <c r="A1" s="13" t="s">
        <v>44</v>
      </c>
      <c r="B1" s="13"/>
      <c r="K1" s="13" t="s">
        <v>146</v>
      </c>
      <c r="L1" s="13"/>
      <c r="X1" t="s">
        <v>45</v>
      </c>
    </row>
    <row r="2" spans="1:25" x14ac:dyDescent="0.3">
      <c r="A2" s="1" t="s">
        <v>0</v>
      </c>
      <c r="B2" s="1"/>
      <c r="K2" s="9" t="s">
        <v>75</v>
      </c>
      <c r="L2" s="9">
        <v>0.4</v>
      </c>
      <c r="X2" t="s">
        <v>48</v>
      </c>
      <c r="Y2" t="s">
        <v>47</v>
      </c>
    </row>
    <row r="3" spans="1:25" x14ac:dyDescent="0.3">
      <c r="A3" s="1" t="s">
        <v>97</v>
      </c>
      <c r="B3" s="1">
        <v>5.6467000000000001</v>
      </c>
      <c r="K3" s="9" t="s">
        <v>76</v>
      </c>
      <c r="L3" s="9">
        <f>L2*(B8+1)/2</f>
        <v>0.90765999999999991</v>
      </c>
      <c r="X3" t="s">
        <v>46</v>
      </c>
    </row>
    <row r="4" spans="1:25" x14ac:dyDescent="0.3">
      <c r="A4" s="1" t="s">
        <v>98</v>
      </c>
      <c r="B4" s="1">
        <v>251955.11556000001</v>
      </c>
      <c r="K4" s="9" t="s">
        <v>77</v>
      </c>
      <c r="L4" s="9">
        <f>1+0.0086*L3</f>
        <v>1.0078058759999999</v>
      </c>
    </row>
    <row r="5" spans="1:25" x14ac:dyDescent="0.3">
      <c r="A5" s="1" t="s">
        <v>99</v>
      </c>
      <c r="B5" s="1">
        <v>229.99189999999999</v>
      </c>
      <c r="K5" s="9" t="s">
        <v>49</v>
      </c>
      <c r="L5" s="9">
        <f>R11*(B8+1)*((B4*L4)/(L2*B58^2*B8^2))^(1/3)</f>
        <v>217.37376549354695</v>
      </c>
    </row>
    <row r="6" spans="1:25" x14ac:dyDescent="0.3">
      <c r="A6" s="1" t="s">
        <v>1</v>
      </c>
      <c r="B6" s="1">
        <v>11.2</v>
      </c>
      <c r="K6" s="9" t="s">
        <v>78</v>
      </c>
      <c r="L6" s="9">
        <v>250</v>
      </c>
    </row>
    <row r="7" spans="1:25" x14ac:dyDescent="0.3">
      <c r="A7" s="1" t="s">
        <v>20</v>
      </c>
      <c r="B7" s="1">
        <v>3.1305000000000001</v>
      </c>
      <c r="K7" s="9" t="s">
        <v>79</v>
      </c>
      <c r="L7" s="9">
        <f>0.02*L6</f>
        <v>5</v>
      </c>
    </row>
    <row r="8" spans="1:25" x14ac:dyDescent="0.3">
      <c r="A8" s="1" t="s">
        <v>21</v>
      </c>
      <c r="B8" s="1">
        <v>3.5383</v>
      </c>
      <c r="K8" s="9" t="s">
        <v>80</v>
      </c>
      <c r="L8" s="9">
        <f>2*L6/L7</f>
        <v>100</v>
      </c>
    </row>
    <row r="9" spans="1:25" x14ac:dyDescent="0.3">
      <c r="A9" s="1" t="s">
        <v>2</v>
      </c>
      <c r="B9" s="1">
        <v>4800</v>
      </c>
      <c r="K9" s="9" t="s">
        <v>81</v>
      </c>
      <c r="L9" s="9">
        <f>L8/(B8+1)</f>
        <v>22.034682590397288</v>
      </c>
    </row>
    <row r="10" spans="1:25" x14ac:dyDescent="0.3">
      <c r="K10" s="9"/>
      <c r="L10" s="9">
        <f>ROUNDDOWN(L9,0)</f>
        <v>22</v>
      </c>
      <c r="P10" t="s">
        <v>50</v>
      </c>
      <c r="Q10" t="s">
        <v>51</v>
      </c>
      <c r="R10" t="s">
        <v>52</v>
      </c>
      <c r="S10" t="s">
        <v>53</v>
      </c>
      <c r="T10" t="s">
        <v>54</v>
      </c>
      <c r="U10" t="s">
        <v>55</v>
      </c>
      <c r="V10" t="s">
        <v>56</v>
      </c>
      <c r="W10" t="s">
        <v>57</v>
      </c>
    </row>
    <row r="11" spans="1:25" x14ac:dyDescent="0.3">
      <c r="A11" s="13" t="s">
        <v>143</v>
      </c>
      <c r="B11" s="13"/>
      <c r="K11" s="9" t="s">
        <v>82</v>
      </c>
      <c r="L11" s="9">
        <f>L8-L10</f>
        <v>78</v>
      </c>
      <c r="P11" t="s">
        <v>58</v>
      </c>
      <c r="Q11" t="s">
        <v>59</v>
      </c>
      <c r="R11">
        <v>49.5</v>
      </c>
      <c r="S11">
        <v>44.5</v>
      </c>
      <c r="T11">
        <v>43</v>
      </c>
      <c r="U11">
        <v>41.5</v>
      </c>
      <c r="V11">
        <v>20</v>
      </c>
      <c r="W11">
        <v>15.5</v>
      </c>
    </row>
    <row r="12" spans="1:25" x14ac:dyDescent="0.3">
      <c r="A12" s="2" t="s">
        <v>3</v>
      </c>
      <c r="B12" s="2">
        <v>45</v>
      </c>
      <c r="K12" s="9" t="s">
        <v>83</v>
      </c>
      <c r="L12" s="9">
        <f>L11/L10</f>
        <v>3.5454545454545454</v>
      </c>
      <c r="P12" t="s">
        <v>58</v>
      </c>
      <c r="Q12" t="s">
        <v>64</v>
      </c>
      <c r="R12">
        <v>43</v>
      </c>
      <c r="S12">
        <v>39</v>
      </c>
      <c r="T12">
        <v>37.5</v>
      </c>
      <c r="U12">
        <v>36</v>
      </c>
      <c r="V12">
        <v>17</v>
      </c>
      <c r="W12">
        <v>13.5</v>
      </c>
    </row>
    <row r="13" spans="1:25" x14ac:dyDescent="0.3">
      <c r="A13" s="2" t="s">
        <v>4</v>
      </c>
      <c r="B13" s="2" t="s">
        <v>9</v>
      </c>
      <c r="K13" s="9" t="s">
        <v>145</v>
      </c>
      <c r="L13" s="9" t="str">
        <f>IF(ABS(B8-L12)/B8&lt;3%,"oke","nhuconcac")</f>
        <v>oke</v>
      </c>
      <c r="P13" t="s">
        <v>67</v>
      </c>
      <c r="Q13" t="s">
        <v>59</v>
      </c>
      <c r="R13">
        <v>77</v>
      </c>
      <c r="S13">
        <v>70</v>
      </c>
      <c r="T13">
        <v>68</v>
      </c>
      <c r="U13">
        <v>64.5</v>
      </c>
      <c r="V13">
        <v>31</v>
      </c>
      <c r="W13">
        <v>24</v>
      </c>
    </row>
    <row r="14" spans="1:25" x14ac:dyDescent="0.3">
      <c r="A14" s="2" t="s">
        <v>5</v>
      </c>
      <c r="B14" s="2">
        <v>100</v>
      </c>
      <c r="P14" t="s">
        <v>67</v>
      </c>
      <c r="Q14" t="s">
        <v>64</v>
      </c>
      <c r="R14">
        <v>67.5</v>
      </c>
      <c r="S14">
        <v>61</v>
      </c>
      <c r="T14">
        <v>60</v>
      </c>
      <c r="U14">
        <v>56.5</v>
      </c>
      <c r="V14">
        <v>27</v>
      </c>
      <c r="W14">
        <v>21</v>
      </c>
    </row>
    <row r="15" spans="1:25" x14ac:dyDescent="0.3">
      <c r="A15" s="2" t="s">
        <v>6</v>
      </c>
      <c r="B15" s="3" t="s">
        <v>10</v>
      </c>
      <c r="K15" s="13" t="s">
        <v>84</v>
      </c>
      <c r="L15" s="13"/>
      <c r="M15" t="s">
        <v>102</v>
      </c>
      <c r="P15" t="s">
        <v>71</v>
      </c>
      <c r="Q15" t="s">
        <v>72</v>
      </c>
      <c r="R15">
        <v>274</v>
      </c>
      <c r="S15">
        <v>234</v>
      </c>
      <c r="T15">
        <v>225</v>
      </c>
      <c r="U15">
        <v>209</v>
      </c>
      <c r="V15">
        <v>69.5</v>
      </c>
      <c r="W15">
        <v>47.5</v>
      </c>
    </row>
    <row r="16" spans="1:25" x14ac:dyDescent="0.3">
      <c r="A16" s="2" t="s">
        <v>7</v>
      </c>
      <c r="B16" s="2">
        <v>750</v>
      </c>
      <c r="K16" s="4" t="s">
        <v>85</v>
      </c>
      <c r="L16" s="4">
        <f>L10*L7</f>
        <v>110</v>
      </c>
      <c r="M16" t="s">
        <v>103</v>
      </c>
    </row>
    <row r="17" spans="1:14" x14ac:dyDescent="0.3">
      <c r="A17" s="2" t="s">
        <v>8</v>
      </c>
      <c r="B17" s="2">
        <v>450</v>
      </c>
      <c r="K17" s="4" t="s">
        <v>86</v>
      </c>
      <c r="L17" s="4">
        <f>L11*L7</f>
        <v>390</v>
      </c>
      <c r="M17" t="s">
        <v>103</v>
      </c>
    </row>
    <row r="18" spans="1:14" x14ac:dyDescent="0.3">
      <c r="A18" s="10" t="s">
        <v>23</v>
      </c>
      <c r="B18" s="10">
        <v>1.1000000000000001</v>
      </c>
      <c r="K18" s="4" t="s">
        <v>87</v>
      </c>
      <c r="L18" s="4">
        <f>L16+2*L7</f>
        <v>120</v>
      </c>
      <c r="M18" t="s">
        <v>103</v>
      </c>
    </row>
    <row r="19" spans="1:14" x14ac:dyDescent="0.3">
      <c r="A19" s="13" t="s">
        <v>144</v>
      </c>
      <c r="B19" s="13"/>
      <c r="K19" s="4" t="s">
        <v>88</v>
      </c>
      <c r="L19" s="4">
        <f>L17+2*L7</f>
        <v>400</v>
      </c>
      <c r="M19" t="s">
        <v>103</v>
      </c>
    </row>
    <row r="20" spans="1:14" x14ac:dyDescent="0.3">
      <c r="A20" s="2" t="s">
        <v>3</v>
      </c>
      <c r="B20" s="2">
        <v>45</v>
      </c>
      <c r="K20" s="4" t="s">
        <v>90</v>
      </c>
      <c r="L20" s="4">
        <f>L16-2.5*L7</f>
        <v>97.5</v>
      </c>
      <c r="M20" t="s">
        <v>103</v>
      </c>
    </row>
    <row r="21" spans="1:14" x14ac:dyDescent="0.3">
      <c r="A21" s="2" t="s">
        <v>43</v>
      </c>
      <c r="B21" s="2" t="s">
        <v>9</v>
      </c>
      <c r="K21" s="4" t="s">
        <v>91</v>
      </c>
      <c r="L21" s="4">
        <f>L17-2.5*L7</f>
        <v>377.5</v>
      </c>
      <c r="M21" t="s">
        <v>103</v>
      </c>
    </row>
    <row r="22" spans="1:14" x14ac:dyDescent="0.3">
      <c r="A22" s="2" t="s">
        <v>5</v>
      </c>
      <c r="B22" s="2">
        <v>60</v>
      </c>
      <c r="K22" s="4" t="s">
        <v>89</v>
      </c>
      <c r="L22" s="4">
        <f>L2*L6</f>
        <v>100</v>
      </c>
      <c r="M22" t="s">
        <v>103</v>
      </c>
    </row>
    <row r="23" spans="1:14" x14ac:dyDescent="0.3">
      <c r="A23" s="2" t="s">
        <v>6</v>
      </c>
      <c r="B23" s="3" t="s">
        <v>14</v>
      </c>
      <c r="K23" s="4" t="s">
        <v>118</v>
      </c>
      <c r="L23" s="4">
        <f>L24*L22</f>
        <v>106</v>
      </c>
      <c r="M23">
        <v>105</v>
      </c>
      <c r="N23" t="s">
        <v>100</v>
      </c>
    </row>
    <row r="24" spans="1:14" x14ac:dyDescent="0.3">
      <c r="A24" s="2" t="s">
        <v>7</v>
      </c>
      <c r="B24" s="2">
        <v>850</v>
      </c>
      <c r="K24" s="4" t="s">
        <v>92</v>
      </c>
      <c r="L24" s="4">
        <f>IF(L22&lt;30, 1.1, IF(L22&lt;=50, 1.09, IF(L22&lt;=80, 1.08, IF(L22&lt;=120, 1.06, "Ngoài khoảng"))))</f>
        <v>1.06</v>
      </c>
    </row>
    <row r="25" spans="1:14" x14ac:dyDescent="0.3">
      <c r="A25" s="2" t="s">
        <v>8</v>
      </c>
      <c r="B25" s="2">
        <v>580</v>
      </c>
      <c r="K25" s="4" t="s">
        <v>127</v>
      </c>
      <c r="L25" s="4">
        <f>L22</f>
        <v>100</v>
      </c>
    </row>
    <row r="26" spans="1:14" x14ac:dyDescent="0.3">
      <c r="A26" s="2" t="s">
        <v>23</v>
      </c>
      <c r="B26" s="2">
        <v>1.1000000000000001</v>
      </c>
      <c r="K26" s="4" t="s">
        <v>126</v>
      </c>
      <c r="L26" s="4">
        <f>2*L6/(B8)</f>
        <v>141.31079897125738</v>
      </c>
    </row>
    <row r="28" spans="1:14" x14ac:dyDescent="0.3">
      <c r="K28" s="13" t="s">
        <v>147</v>
      </c>
      <c r="L28" s="13"/>
    </row>
    <row r="29" spans="1:14" x14ac:dyDescent="0.3">
      <c r="K29" s="2" t="s">
        <v>93</v>
      </c>
      <c r="L29" s="2">
        <f>PI()*L16*B5/60000</f>
        <v>1.3246582496127901</v>
      </c>
      <c r="M29" t="s">
        <v>109</v>
      </c>
    </row>
    <row r="30" spans="1:14" x14ac:dyDescent="0.3">
      <c r="K30" s="2" t="s">
        <v>95</v>
      </c>
      <c r="L30" s="2">
        <v>3</v>
      </c>
      <c r="M30" t="s">
        <v>109</v>
      </c>
    </row>
    <row r="31" spans="1:14" x14ac:dyDescent="0.3">
      <c r="A31" s="2" t="s">
        <v>11</v>
      </c>
      <c r="B31" s="2">
        <v>245</v>
      </c>
      <c r="K31" s="2" t="s">
        <v>94</v>
      </c>
      <c r="L31" s="2">
        <v>9</v>
      </c>
    </row>
    <row r="32" spans="1:14" x14ac:dyDescent="0.3">
      <c r="A32" s="2" t="s">
        <v>13</v>
      </c>
      <c r="B32" s="2">
        <v>230</v>
      </c>
      <c r="K32" s="2" t="s">
        <v>108</v>
      </c>
      <c r="L32" s="2">
        <v>20</v>
      </c>
      <c r="M32" t="s">
        <v>107</v>
      </c>
    </row>
    <row r="33" spans="1:13" x14ac:dyDescent="0.3">
      <c r="A33" s="1" t="s">
        <v>12</v>
      </c>
      <c r="B33" s="1">
        <f>2*B31+70</f>
        <v>560</v>
      </c>
    </row>
    <row r="34" spans="1:13" x14ac:dyDescent="0.3">
      <c r="A34" s="1" t="s">
        <v>15</v>
      </c>
      <c r="B34" s="1">
        <f>2*B32+70</f>
        <v>530</v>
      </c>
      <c r="K34" s="13" t="s">
        <v>96</v>
      </c>
      <c r="L34" s="13"/>
      <c r="M34" t="s">
        <v>102</v>
      </c>
    </row>
    <row r="35" spans="1:13" x14ac:dyDescent="0.3">
      <c r="A35" s="4" t="s">
        <v>16</v>
      </c>
      <c r="B35" s="4">
        <f>1.8*B31</f>
        <v>441</v>
      </c>
      <c r="K35" s="11" t="s">
        <v>105</v>
      </c>
      <c r="L35" s="11">
        <f>2*B4/L16</f>
        <v>4581.0021010909095</v>
      </c>
      <c r="M35" t="s">
        <v>101</v>
      </c>
    </row>
    <row r="36" spans="1:13" x14ac:dyDescent="0.3">
      <c r="A36" s="4" t="s">
        <v>17</v>
      </c>
      <c r="B36" s="4">
        <f>1.8*B32</f>
        <v>414</v>
      </c>
      <c r="K36" s="11" t="s">
        <v>104</v>
      </c>
      <c r="L36" s="11">
        <f>L35*TAN(RADIANS(L37))</f>
        <v>3232.5746372556819</v>
      </c>
      <c r="M36" t="s">
        <v>101</v>
      </c>
    </row>
    <row r="37" spans="1:13" x14ac:dyDescent="0.3">
      <c r="A37" s="5" t="s">
        <v>18</v>
      </c>
      <c r="B37" s="5">
        <f>30*B31^2.4</f>
        <v>16259974.388659423</v>
      </c>
      <c r="K37" s="11" t="s">
        <v>106</v>
      </c>
      <c r="L37" s="11">
        <f>DEGREES(ACOS(L5/L6*COS(RADIANS(L32))))</f>
        <v>35.208627235383737</v>
      </c>
      <c r="M37" t="s">
        <v>107</v>
      </c>
    </row>
    <row r="38" spans="1:13" x14ac:dyDescent="0.3">
      <c r="A38" s="5" t="s">
        <v>19</v>
      </c>
      <c r="B38" s="5">
        <f>30*B32^2.4</f>
        <v>13972305.126228459</v>
      </c>
    </row>
    <row r="39" spans="1:13" x14ac:dyDescent="0.3">
      <c r="A39" s="6" t="s">
        <v>34</v>
      </c>
      <c r="B39" s="6">
        <f>60*1*B5/B7*B9</f>
        <v>21158813.991375182</v>
      </c>
      <c r="K39" s="13" t="s">
        <v>110</v>
      </c>
      <c r="L39" s="13"/>
    </row>
    <row r="40" spans="1:13" x14ac:dyDescent="0.3">
      <c r="A40" s="7" t="s">
        <v>26</v>
      </c>
      <c r="B40" s="7">
        <f>IF(B39&gt;B37,1,IF(B31&lt;=350,(B39/B37)^(1/6)))</f>
        <v>1</v>
      </c>
      <c r="K40" s="12" t="s">
        <v>111</v>
      </c>
      <c r="L40" s="12">
        <v>1.06</v>
      </c>
    </row>
    <row r="41" spans="1:13" x14ac:dyDescent="0.3">
      <c r="A41" s="7" t="s">
        <v>36</v>
      </c>
      <c r="B41" s="7">
        <f>IF(B39&gt;B38,1,IF(B31&lt;=350,(B39/B38)^(1/6)))</f>
        <v>1</v>
      </c>
      <c r="K41" s="12" t="s">
        <v>112</v>
      </c>
      <c r="L41" s="12">
        <v>1.1100000000000001</v>
      </c>
    </row>
    <row r="42" spans="1:13" x14ac:dyDescent="0.3">
      <c r="A42" s="6" t="s">
        <v>22</v>
      </c>
      <c r="B42" s="6">
        <f>B33*B41/B18</f>
        <v>509.09090909090907</v>
      </c>
      <c r="K42" s="12" t="s">
        <v>113</v>
      </c>
      <c r="L42" s="12"/>
    </row>
    <row r="43" spans="1:13" x14ac:dyDescent="0.3">
      <c r="A43" s="6" t="s">
        <v>24</v>
      </c>
      <c r="B43" s="6">
        <f>B34*B41/B26</f>
        <v>481.81818181818176</v>
      </c>
      <c r="K43" s="12" t="s">
        <v>114</v>
      </c>
      <c r="L43" s="12">
        <v>1.1299999999999999</v>
      </c>
    </row>
    <row r="44" spans="1:13" x14ac:dyDescent="0.3">
      <c r="A44" s="8" t="s">
        <v>31</v>
      </c>
      <c r="B44" s="8" t="s">
        <v>29</v>
      </c>
      <c r="K44" s="12" t="s">
        <v>115</v>
      </c>
      <c r="L44" s="12">
        <v>1</v>
      </c>
    </row>
    <row r="45" spans="1:13" x14ac:dyDescent="0.3">
      <c r="A45" s="8" t="s">
        <v>25</v>
      </c>
      <c r="B45" s="8">
        <f>IF(B44="trụ thẳng",MIN(B42:B43),AVERAGE(B42:B43))</f>
        <v>481.81818181818176</v>
      </c>
      <c r="K45" s="12" t="s">
        <v>116</v>
      </c>
      <c r="L45" s="12">
        <v>1.1000000000000001</v>
      </c>
    </row>
    <row r="46" spans="1:13" x14ac:dyDescent="0.3">
      <c r="A46" s="8" t="s">
        <v>32</v>
      </c>
      <c r="B46" s="8" t="s">
        <v>29</v>
      </c>
      <c r="K46" s="12" t="s">
        <v>117</v>
      </c>
      <c r="L46" s="12">
        <v>1.1499999999999999</v>
      </c>
    </row>
    <row r="47" spans="1:13" x14ac:dyDescent="0.3">
      <c r="A47" s="8" t="s">
        <v>27</v>
      </c>
      <c r="B47" s="8" t="str">
        <f>IF(B45&lt;1.25*MIN(B42:B43),"ok","ko oke")</f>
        <v>ok</v>
      </c>
      <c r="K47" s="12" t="s">
        <v>120</v>
      </c>
      <c r="L47" s="12">
        <f>L45*L40*L43</f>
        <v>1.31758</v>
      </c>
    </row>
    <row r="48" spans="1:13" x14ac:dyDescent="0.3">
      <c r="K48" s="12" t="s">
        <v>119</v>
      </c>
      <c r="L48" s="12">
        <f>L46*L41*L44</f>
        <v>1.2765</v>
      </c>
    </row>
    <row r="49" spans="1:12" x14ac:dyDescent="0.3">
      <c r="K49" s="12" t="s">
        <v>124</v>
      </c>
      <c r="L49" s="12">
        <v>190</v>
      </c>
    </row>
    <row r="50" spans="1:12" x14ac:dyDescent="0.3">
      <c r="K50" s="12" t="s">
        <v>125</v>
      </c>
      <c r="L50" s="12">
        <f>(1.88-3.2*(1/L10+1/L11))</f>
        <v>1.6935198135198135</v>
      </c>
    </row>
    <row r="51" spans="1:12" x14ac:dyDescent="0.3">
      <c r="A51" s="9" t="s">
        <v>28</v>
      </c>
      <c r="B51" s="9">
        <f>IF(B46="trụ thẳng",MIN(B42:B43),AVERAGE(B42:B43))</f>
        <v>481.81818181818176</v>
      </c>
      <c r="K51" s="12" t="s">
        <v>121</v>
      </c>
      <c r="L51" s="12">
        <f>(4/SIN(RADIANS(2*L6)))^(1/2)</f>
        <v>2.4945731713945878</v>
      </c>
    </row>
    <row r="52" spans="1:12" x14ac:dyDescent="0.3">
      <c r="A52" s="9" t="s">
        <v>30</v>
      </c>
      <c r="B52" s="9" t="str">
        <f>IF(B51&lt;1.15*MIN(B42:B43),"ok","ko oke")</f>
        <v>ok</v>
      </c>
    </row>
    <row r="53" spans="1:12" x14ac:dyDescent="0.3">
      <c r="A53" s="2" t="s">
        <v>33</v>
      </c>
      <c r="B53" s="2">
        <f>60*1*B5/B8*B9</f>
        <v>18720195.348048497</v>
      </c>
    </row>
    <row r="54" spans="1:12" x14ac:dyDescent="0.3">
      <c r="A54" s="2" t="s">
        <v>37</v>
      </c>
      <c r="B54" s="2">
        <f>IF(B53&gt;4*10^6,1,IF(B53&lt;=350,(B53/4*10^6)^(1/6),(B53/4*10^6)^(1/9)))</f>
        <v>1</v>
      </c>
      <c r="K54" s="13" t="s">
        <v>122</v>
      </c>
      <c r="L54" s="13"/>
    </row>
    <row r="55" spans="1:12" x14ac:dyDescent="0.3">
      <c r="A55" s="2" t="s">
        <v>35</v>
      </c>
      <c r="B55" s="2">
        <f>IF(B53&gt;4*10^6,1,IF(B53&lt;=350,(B53/4*10^6)^(1/6),(B53/4*10^6)^(1/9)))</f>
        <v>1</v>
      </c>
      <c r="K55" s="5" t="s">
        <v>123</v>
      </c>
      <c r="L55" s="5">
        <f>L49*L51*L50*(L35*L47*(B8+1)/(L26*L25*B8))</f>
        <v>439.74490062174743</v>
      </c>
    </row>
    <row r="56" spans="1:12" x14ac:dyDescent="0.3">
      <c r="A56" s="4" t="s">
        <v>139</v>
      </c>
      <c r="B56" s="4"/>
      <c r="K56" s="5" t="s">
        <v>142</v>
      </c>
      <c r="L56" s="5" t="str">
        <f>IF(L55&lt;=B51*105%,"oke","nhuconcac")</f>
        <v>oke</v>
      </c>
    </row>
    <row r="57" spans="1:12" x14ac:dyDescent="0.3">
      <c r="A57" s="4" t="s">
        <v>39</v>
      </c>
      <c r="B57" s="4">
        <f>B35*B54*1/1.75</f>
        <v>252</v>
      </c>
    </row>
    <row r="58" spans="1:12" x14ac:dyDescent="0.3">
      <c r="A58" s="4" t="s">
        <v>40</v>
      </c>
      <c r="B58" s="4">
        <f>B36*B54*1/1.75</f>
        <v>236.57142857142858</v>
      </c>
      <c r="K58" s="13" t="s">
        <v>137</v>
      </c>
      <c r="L58" s="13"/>
    </row>
    <row r="59" spans="1:12" x14ac:dyDescent="0.3">
      <c r="A59" s="5" t="s">
        <v>140</v>
      </c>
      <c r="B59" s="5"/>
      <c r="K59" s="1" t="s">
        <v>133</v>
      </c>
      <c r="L59" s="1">
        <f>L8*((TAN(RADIANS(L37)) - RADIANS(L37))-(TAN(RADIANS(L32)) - RADIANS(L32)))/(2*TAN(L32))</f>
        <v>1.703879937456342</v>
      </c>
    </row>
    <row r="60" spans="1:12" x14ac:dyDescent="0.3">
      <c r="A60" s="5" t="s">
        <v>38</v>
      </c>
      <c r="B60" s="5">
        <f>2.8*B17</f>
        <v>1260</v>
      </c>
      <c r="K60" s="1" t="s">
        <v>130</v>
      </c>
      <c r="L60" s="1">
        <f>(L37-L32)/L7</f>
        <v>3.0417254470767476</v>
      </c>
    </row>
    <row r="61" spans="1:12" x14ac:dyDescent="0.3">
      <c r="A61" s="5" t="s">
        <v>41</v>
      </c>
      <c r="B61" s="5">
        <f>0.8*B25</f>
        <v>464</v>
      </c>
      <c r="K61" s="1" t="s">
        <v>131</v>
      </c>
      <c r="L61" s="1">
        <f>0.5*(L59-(L11-L10)/L8*L60)</f>
        <v>2.5684354668165099E-4</v>
      </c>
    </row>
    <row r="62" spans="1:12" x14ac:dyDescent="0.3">
      <c r="A62" s="5" t="s">
        <v>42</v>
      </c>
      <c r="B62" s="5">
        <f>0.8*B17</f>
        <v>360</v>
      </c>
      <c r="K62" s="1" t="s">
        <v>132</v>
      </c>
      <c r="L62" s="1">
        <f>L59-L61</f>
        <v>1.7036230939096604</v>
      </c>
    </row>
    <row r="63" spans="1:12" x14ac:dyDescent="0.3">
      <c r="K63" s="1" t="s">
        <v>128</v>
      </c>
      <c r="L63" s="1">
        <f>3.47+13.2/L10-27.9*L61/L10+0.092*L61^2</f>
        <v>4.0696742817530938</v>
      </c>
    </row>
    <row r="64" spans="1:12" x14ac:dyDescent="0.3">
      <c r="K64" s="1" t="s">
        <v>129</v>
      </c>
      <c r="L64" s="1">
        <f>3.47+13.2/L11-27.9*L62/L11+0.092*L62^2</f>
        <v>3.2968724047737274</v>
      </c>
    </row>
    <row r="65" spans="11:12" x14ac:dyDescent="0.3">
      <c r="K65" s="1" t="s">
        <v>134</v>
      </c>
      <c r="L65" s="1">
        <f>B61/L63</f>
        <v>114.01403844047262</v>
      </c>
    </row>
    <row r="66" spans="11:12" x14ac:dyDescent="0.3">
      <c r="K66" s="1" t="s">
        <v>135</v>
      </c>
      <c r="L66" s="1">
        <f>B62/L64</f>
        <v>109.19439875159733</v>
      </c>
    </row>
    <row r="67" spans="11:12" x14ac:dyDescent="0.3">
      <c r="K67" s="1" t="s">
        <v>136</v>
      </c>
      <c r="L67" s="1">
        <f>IF(L65&lt;L66,L63,L64)</f>
        <v>3.2968724047737274</v>
      </c>
    </row>
    <row r="68" spans="11:12" x14ac:dyDescent="0.3">
      <c r="K68" s="1" t="s">
        <v>138</v>
      </c>
      <c r="L68" s="1">
        <f>L67*L35*L48/(L25*L7)</f>
        <v>38.557906442147463</v>
      </c>
    </row>
    <row r="69" spans="11:12" x14ac:dyDescent="0.3">
      <c r="K69" s="1" t="s">
        <v>141</v>
      </c>
      <c r="L69" s="1" t="str">
        <f>IF(L68&lt;MIN(B57:B58),"oke","nhuconcac")</f>
        <v>oke</v>
      </c>
    </row>
  </sheetData>
  <mergeCells count="10">
    <mergeCell ref="A1:B1"/>
    <mergeCell ref="A11:B11"/>
    <mergeCell ref="A19:B19"/>
    <mergeCell ref="K1:L1"/>
    <mergeCell ref="K15:L15"/>
    <mergeCell ref="K28:L28"/>
    <mergeCell ref="K34:L34"/>
    <mergeCell ref="K39:L39"/>
    <mergeCell ref="K54:L54"/>
    <mergeCell ref="K58:L58"/>
  </mergeCells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D626A-8430-415F-AFDF-11116192D674}">
  <dimension ref="A1:H6"/>
  <sheetViews>
    <sheetView workbookViewId="0">
      <selection sqref="A1:H6"/>
    </sheetView>
  </sheetViews>
  <sheetFormatPr defaultRowHeight="14.4" x14ac:dyDescent="0.3"/>
  <sheetData>
    <row r="1" spans="1:8" x14ac:dyDescent="0.3">
      <c r="A1" t="s">
        <v>50</v>
      </c>
      <c r="B1" t="s">
        <v>51</v>
      </c>
      <c r="C1" t="s">
        <v>52</v>
      </c>
      <c r="D1" t="s">
        <v>53</v>
      </c>
      <c r="E1" t="s">
        <v>54</v>
      </c>
      <c r="F1" t="s">
        <v>55</v>
      </c>
      <c r="G1" t="s">
        <v>56</v>
      </c>
      <c r="H1" t="s">
        <v>57</v>
      </c>
    </row>
    <row r="2" spans="1:8" x14ac:dyDescent="0.3">
      <c r="A2" t="s">
        <v>58</v>
      </c>
      <c r="B2" t="s">
        <v>59</v>
      </c>
      <c r="C2" t="s">
        <v>60</v>
      </c>
      <c r="D2" t="s">
        <v>61</v>
      </c>
      <c r="E2">
        <v>43</v>
      </c>
      <c r="F2" t="s">
        <v>62</v>
      </c>
      <c r="G2">
        <v>20</v>
      </c>
      <c r="H2" t="s">
        <v>63</v>
      </c>
    </row>
    <row r="3" spans="1:8" x14ac:dyDescent="0.3">
      <c r="A3" t="s">
        <v>58</v>
      </c>
      <c r="B3" t="s">
        <v>64</v>
      </c>
      <c r="C3">
        <v>43</v>
      </c>
      <c r="D3">
        <v>39</v>
      </c>
      <c r="E3" t="s">
        <v>65</v>
      </c>
      <c r="F3">
        <v>36</v>
      </c>
      <c r="G3">
        <v>17</v>
      </c>
      <c r="H3" t="s">
        <v>66</v>
      </c>
    </row>
    <row r="4" spans="1:8" x14ac:dyDescent="0.3">
      <c r="A4" t="s">
        <v>67</v>
      </c>
      <c r="B4" t="s">
        <v>59</v>
      </c>
      <c r="C4">
        <v>77</v>
      </c>
      <c r="D4">
        <v>70</v>
      </c>
      <c r="E4">
        <v>68</v>
      </c>
      <c r="F4" t="s">
        <v>68</v>
      </c>
      <c r="G4">
        <v>31</v>
      </c>
      <c r="H4">
        <v>24</v>
      </c>
    </row>
    <row r="5" spans="1:8" x14ac:dyDescent="0.3">
      <c r="A5" t="s">
        <v>67</v>
      </c>
      <c r="B5" t="s">
        <v>64</v>
      </c>
      <c r="C5" t="s">
        <v>69</v>
      </c>
      <c r="D5">
        <v>61</v>
      </c>
      <c r="E5">
        <v>60</v>
      </c>
      <c r="F5" t="s">
        <v>70</v>
      </c>
      <c r="G5">
        <v>27</v>
      </c>
      <c r="H5">
        <v>21</v>
      </c>
    </row>
    <row r="6" spans="1:8" x14ac:dyDescent="0.3">
      <c r="A6" t="s">
        <v>71</v>
      </c>
      <c r="B6" t="s">
        <v>72</v>
      </c>
      <c r="C6">
        <v>274</v>
      </c>
      <c r="D6">
        <v>234</v>
      </c>
      <c r="E6">
        <v>225</v>
      </c>
      <c r="F6">
        <v>209</v>
      </c>
      <c r="G6" t="s">
        <v>73</v>
      </c>
      <c r="H6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 Le</dc:creator>
  <cp:lastModifiedBy>Tan Le</cp:lastModifiedBy>
  <dcterms:created xsi:type="dcterms:W3CDTF">2026-02-24T12:42:38Z</dcterms:created>
  <dcterms:modified xsi:type="dcterms:W3CDTF">2026-03-04T02:19:40Z</dcterms:modified>
</cp:coreProperties>
</file>