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O AN 1\"/>
    </mc:Choice>
  </mc:AlternateContent>
  <xr:revisionPtr revIDLastSave="0" documentId="13_ncr:1_{F6A43AA3-BA42-4A5F-BD5B-EE6447423306}" xr6:coauthVersionLast="47" xr6:coauthVersionMax="47" xr10:uidLastSave="{00000000-0000-0000-0000-000000000000}"/>
  <bookViews>
    <workbookView xWindow="-108" yWindow="-108" windowWidth="23256" windowHeight="12456" xr2:uid="{5613B67A-CFFF-47AC-A7D8-F6C0E7E3A2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2" i="1" l="1"/>
  <c r="B101" i="1"/>
  <c r="B84" i="1"/>
  <c r="L18" i="1"/>
  <c r="B68" i="1"/>
  <c r="M40" i="1"/>
  <c r="L40" i="1"/>
  <c r="L39" i="1"/>
  <c r="J15" i="1"/>
  <c r="J27" i="1"/>
  <c r="B63" i="1" s="1"/>
  <c r="J20" i="1"/>
  <c r="J6" i="1"/>
  <c r="J2" i="1"/>
  <c r="B56" i="1"/>
  <c r="B55" i="1"/>
  <c r="B53" i="1"/>
  <c r="B23" i="1"/>
  <c r="B54" i="1"/>
  <c r="B33" i="1"/>
  <c r="B34" i="1" s="1"/>
  <c r="B30" i="1"/>
  <c r="B29" i="1"/>
  <c r="B28" i="1"/>
  <c r="B27" i="1"/>
  <c r="B24" i="1"/>
  <c r="L41" i="1" l="1"/>
  <c r="M41" i="1"/>
  <c r="B37" i="1"/>
  <c r="B39" i="1" s="1"/>
  <c r="B49" i="1" l="1"/>
  <c r="B48" i="1"/>
  <c r="B38" i="1"/>
  <c r="B47" i="1" l="1"/>
  <c r="B46" i="1"/>
  <c r="B51" i="1" s="1"/>
  <c r="J7" i="1" l="1"/>
  <c r="J1" i="1"/>
  <c r="J8" i="1"/>
  <c r="J16" i="1" l="1"/>
  <c r="J21" i="1" l="1"/>
  <c r="J17" i="1"/>
  <c r="J18" i="1" s="1"/>
  <c r="J22" i="1" l="1"/>
  <c r="J29" i="1" s="1"/>
  <c r="L34" i="1" s="1"/>
  <c r="L37" i="1"/>
  <c r="J28" i="1"/>
  <c r="L35" i="1" l="1"/>
  <c r="B85" i="1" s="1"/>
  <c r="M45" i="1"/>
  <c r="L45" i="1"/>
  <c r="B66" i="1"/>
  <c r="L44" i="1"/>
  <c r="M44" i="1" s="1"/>
  <c r="B70" i="1"/>
  <c r="J24" i="1"/>
  <c r="J23" i="1"/>
  <c r="M37" i="1"/>
  <c r="B72" i="1" l="1"/>
  <c r="B75" i="1" s="1"/>
  <c r="B67" i="1" s="1"/>
  <c r="B90" i="1"/>
  <c r="B91" i="1" s="1"/>
  <c r="B93" i="1" s="1"/>
  <c r="L38" i="1"/>
  <c r="J25" i="1"/>
  <c r="B97" i="1"/>
  <c r="B86" i="1"/>
  <c r="B65" i="1"/>
  <c r="B96" i="1"/>
  <c r="L36" i="1"/>
  <c r="B61" i="1" l="1"/>
  <c r="B76" i="1" s="1"/>
  <c r="M38" i="1"/>
  <c r="B98" i="1"/>
  <c r="L47" i="1"/>
  <c r="L46" i="1"/>
  <c r="L43" i="1"/>
  <c r="L42" i="1"/>
  <c r="B83" i="1"/>
  <c r="M46" i="1" l="1"/>
  <c r="M47" i="1"/>
  <c r="M42" i="1"/>
</calcChain>
</file>

<file path=xl/sharedStrings.xml><?xml version="1.0" encoding="utf-8"?>
<sst xmlns="http://schemas.openxmlformats.org/spreadsheetml/2006/main" count="134" uniqueCount="126">
  <si>
    <t>thông số đầu vào</t>
  </si>
  <si>
    <t>P1</t>
  </si>
  <si>
    <t>T1</t>
  </si>
  <si>
    <t>số vòng quay n1</t>
  </si>
  <si>
    <t>tỷ số truyền</t>
  </si>
  <si>
    <t>tuổi thọ (h)</t>
  </si>
  <si>
    <t xml:space="preserve">chọn vật liệu </t>
  </si>
  <si>
    <t>Tôi cải thiện</t>
  </si>
  <si>
    <t>S (mm)</t>
  </si>
  <si>
    <t>Độ rắn (HB)</t>
  </si>
  <si>
    <t>Giới hạn bền (Mpa)</t>
  </si>
  <si>
    <t>Giới hạn chảy (Mpa)</t>
  </si>
  <si>
    <t>192…240</t>
  </si>
  <si>
    <t>241..285</t>
  </si>
  <si>
    <t>HB1 ( bánh nhỏ )</t>
  </si>
  <si>
    <t>HB2 ( bánh lớn)</t>
  </si>
  <si>
    <t>sigma H lim1</t>
  </si>
  <si>
    <t>sigma H lim2</t>
  </si>
  <si>
    <t>sH</t>
  </si>
  <si>
    <t>sF</t>
  </si>
  <si>
    <t>sigma F lim1</t>
  </si>
  <si>
    <t>sigmaFlim2</t>
  </si>
  <si>
    <t>N HO1</t>
  </si>
  <si>
    <t>N HO2</t>
  </si>
  <si>
    <t>N FO</t>
  </si>
  <si>
    <t xml:space="preserve">tải trọng tĩnh </t>
  </si>
  <si>
    <t>thời gian làm việc</t>
  </si>
  <si>
    <t>tỷ số truyền bánh răng côn</t>
  </si>
  <si>
    <t>tỷ số truyền bánh răng trụ</t>
  </si>
  <si>
    <t>N HE1</t>
  </si>
  <si>
    <t>N HE2</t>
  </si>
  <si>
    <t>mH</t>
  </si>
  <si>
    <t>MF</t>
  </si>
  <si>
    <t>Ứng suất tiếp xúc cho phép</t>
  </si>
  <si>
    <t>sigma H1</t>
  </si>
  <si>
    <t>sigma H2</t>
  </si>
  <si>
    <t>K HL</t>
  </si>
  <si>
    <t>K FL</t>
  </si>
  <si>
    <t>sigma F1</t>
  </si>
  <si>
    <t>sigma F2</t>
  </si>
  <si>
    <t>K FC ( tải 1 phía)</t>
  </si>
  <si>
    <t xml:space="preserve">Do sử dụng côn răng thẳng </t>
  </si>
  <si>
    <t xml:space="preserve">sigma H </t>
  </si>
  <si>
    <t>Ứng suất tiếp xúc cho phép khi quá tải</t>
  </si>
  <si>
    <t>bánh nhỏ (1)</t>
  </si>
  <si>
    <t>bánh lớn (2)</t>
  </si>
  <si>
    <t>sigma H max1</t>
  </si>
  <si>
    <t>sigma H max2</t>
  </si>
  <si>
    <t>sigma F max1</t>
  </si>
  <si>
    <t>sigma F max2</t>
  </si>
  <si>
    <t>Kr</t>
  </si>
  <si>
    <t>Kd</t>
  </si>
  <si>
    <t>Kbe</t>
  </si>
  <si>
    <t>K Hb</t>
  </si>
  <si>
    <t>trị số Kbe</t>
  </si>
  <si>
    <t>Chiều dài răng côn ngoài (mm)</t>
  </si>
  <si>
    <t>xác định thông số ăn khớp</t>
  </si>
  <si>
    <t>Z1p</t>
  </si>
  <si>
    <t>đường kính tb (dm1)</t>
  </si>
  <si>
    <t>moodun trung bình (mtm)</t>
  </si>
  <si>
    <t>modun bánh răng côn thẳng (mte)</t>
  </si>
  <si>
    <t>chọn mte</t>
  </si>
  <si>
    <t>xác định lại mtm</t>
  </si>
  <si>
    <t>xác định lại Z1</t>
  </si>
  <si>
    <t>Z1  ( số răng nhỏ)</t>
  </si>
  <si>
    <t>số răng lớn</t>
  </si>
  <si>
    <t>tỷ số truyền thật sự</t>
  </si>
  <si>
    <t>góc côn chia 1 (độ)</t>
  </si>
  <si>
    <t>góc côn chia 2 ( độ)</t>
  </si>
  <si>
    <t>x1 dịch chỉnh</t>
  </si>
  <si>
    <t>x2 dịch chỉnh</t>
  </si>
  <si>
    <t xml:space="preserve">xác định lại đường kính tb </t>
  </si>
  <si>
    <t>đường kính chia ngoài (d el)</t>
  </si>
  <si>
    <t>xác định lại chiều dài côn ngoài Re</t>
  </si>
  <si>
    <t>Re</t>
  </si>
  <si>
    <t>Thông số bộ truyền bánh răng côn thẳng</t>
  </si>
  <si>
    <t>bánh bị dẫn</t>
  </si>
  <si>
    <t xml:space="preserve">bánh dẫn </t>
  </si>
  <si>
    <t>chiều dài côn ngoài</t>
  </si>
  <si>
    <t>chiều rộng vành răng b</t>
  </si>
  <si>
    <t>chiều dài côn trung bình Rm</t>
  </si>
  <si>
    <t>Đường kính vòng chia ngoài</t>
  </si>
  <si>
    <t>góc côn chia</t>
  </si>
  <si>
    <t>chiều cao răng ngoài he</t>
  </si>
  <si>
    <t>chiều cao đầu răng ngoài</t>
  </si>
  <si>
    <t>chiều cao chân răng ngoài</t>
  </si>
  <si>
    <t>Khoảng cách từ đỉnh côn đến mặt phẳng nằm ngoài vòng răng</t>
  </si>
  <si>
    <t>đường kính đỉnh răng ngoài</t>
  </si>
  <si>
    <t>đường kính trunh bình</t>
  </si>
  <si>
    <t>góc chân răng</t>
  </si>
  <si>
    <t xml:space="preserve">góc côn đỉnh </t>
  </si>
  <si>
    <t>góc côn đáy</t>
  </si>
  <si>
    <t>Kiểm nghiệm bền tiếp xúc</t>
  </si>
  <si>
    <t>sigma H</t>
  </si>
  <si>
    <t>Zm</t>
  </si>
  <si>
    <t>x tổng</t>
  </si>
  <si>
    <t xml:space="preserve">Zh </t>
  </si>
  <si>
    <t>Zepsilon</t>
  </si>
  <si>
    <t>epsilon alpha</t>
  </si>
  <si>
    <t>KH</t>
  </si>
  <si>
    <t>K Hbeta</t>
  </si>
  <si>
    <t>K Halpha</t>
  </si>
  <si>
    <t>v</t>
  </si>
  <si>
    <t xml:space="preserve">cấp chính xác </t>
  </si>
  <si>
    <t>vH</t>
  </si>
  <si>
    <t>delta H</t>
  </si>
  <si>
    <t>g0</t>
  </si>
  <si>
    <t>K Hv</t>
  </si>
  <si>
    <t>xét điều kiện</t>
  </si>
  <si>
    <t>Kiểm bền uốn</t>
  </si>
  <si>
    <t>Kbe tính lại</t>
  </si>
  <si>
    <t>K Fbeta</t>
  </si>
  <si>
    <t>delta F</t>
  </si>
  <si>
    <t>vF</t>
  </si>
  <si>
    <t>K Fv</t>
  </si>
  <si>
    <t>K Falpha</t>
  </si>
  <si>
    <t>K F</t>
  </si>
  <si>
    <t>răng thẳng</t>
  </si>
  <si>
    <t>Ybeta</t>
  </si>
  <si>
    <t>Yepsilon</t>
  </si>
  <si>
    <t>Zv1</t>
  </si>
  <si>
    <t>Zv2</t>
  </si>
  <si>
    <t>YF1</t>
  </si>
  <si>
    <t>YF2</t>
  </si>
  <si>
    <t>xét điều kiện sigma F1</t>
  </si>
  <si>
    <t>xét điều kiện sigma F2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</si>
</sst>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charset val="163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0" fillId="3" borderId="0" xfId="0" applyFill="1"/>
    <xf numFmtId="3" fontId="0" fillId="4" borderId="0" xfId="0" applyNumberFormat="1" applyFill="1"/>
    <xf numFmtId="0" fontId="0" fillId="4" borderId="0" xfId="0" applyFill="1"/>
    <xf numFmtId="11" fontId="0" fillId="4" borderId="0" xfId="0" applyNumberFormat="1" applyFill="1"/>
    <xf numFmtId="0" fontId="0" fillId="2" borderId="1" xfId="0" applyFill="1" applyBorder="1"/>
    <xf numFmtId="0" fontId="0" fillId="4" borderId="1" xfId="0" applyFill="1" applyBorder="1"/>
    <xf numFmtId="0" fontId="0" fillId="3" borderId="1" xfId="0" applyFill="1" applyBorder="1"/>
    <xf numFmtId="0" fontId="0" fillId="0" borderId="1" xfId="0" applyBorder="1"/>
    <xf numFmtId="0" fontId="0" fillId="5" borderId="1" xfId="0" applyFill="1" applyBorder="1"/>
    <xf numFmtId="0" fontId="0" fillId="6" borderId="1" xfId="0" applyFill="1" applyBorder="1"/>
    <xf numFmtId="0" fontId="0" fillId="2" borderId="1" xfId="0" applyFill="1" applyBorder="1" applyAlignment="1">
      <alignment horizontal="center"/>
    </xf>
    <xf numFmtId="0" fontId="0" fillId="7" borderId="1" xfId="0" applyFill="1" applyBorder="1"/>
    <xf numFmtId="0" fontId="0" fillId="3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41" Type="http://schemas.openxmlformats.org/officeDocument/2006/relationships/image" Target="../media/image41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53341</xdr:colOff>
      <xdr:row>0</xdr:row>
      <xdr:rowOff>0</xdr:rowOff>
    </xdr:from>
    <xdr:to>
      <xdr:col>6</xdr:col>
      <xdr:colOff>556260</xdr:colOff>
      <xdr:row>18</xdr:row>
      <xdr:rowOff>121711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280C156-4231-A00E-C832-6C513CD35D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02181" y="0"/>
          <a:ext cx="3185159" cy="3276391"/>
        </a:xfrm>
        <a:prstGeom prst="rect">
          <a:avLst/>
        </a:prstGeom>
      </xdr:spPr>
    </xdr:pic>
    <xdr:clientData/>
  </xdr:twoCellAnchor>
  <xdr:twoCellAnchor editAs="oneCell">
    <xdr:from>
      <xdr:col>2</xdr:col>
      <xdr:colOff>30481</xdr:colOff>
      <xdr:row>19</xdr:row>
      <xdr:rowOff>47289</xdr:rowOff>
    </xdr:from>
    <xdr:to>
      <xdr:col>7</xdr:col>
      <xdr:colOff>632460</xdr:colOff>
      <xdr:row>23</xdr:row>
      <xdr:rowOff>138666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6A08F07-1109-5482-656D-BD6876D668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99461" y="3377229"/>
          <a:ext cx="3954779" cy="792417"/>
        </a:xfrm>
        <a:prstGeom prst="rect">
          <a:avLst/>
        </a:prstGeom>
      </xdr:spPr>
    </xdr:pic>
    <xdr:clientData/>
  </xdr:twoCellAnchor>
  <xdr:twoCellAnchor editAs="oneCell">
    <xdr:from>
      <xdr:col>2</xdr:col>
      <xdr:colOff>68581</xdr:colOff>
      <xdr:row>24</xdr:row>
      <xdr:rowOff>104850</xdr:rowOff>
    </xdr:from>
    <xdr:to>
      <xdr:col>7</xdr:col>
      <xdr:colOff>640080</xdr:colOff>
      <xdr:row>27</xdr:row>
      <xdr:rowOff>55956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586CD8D-5D57-7F31-F195-4E39F58FAD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337561" y="4311090"/>
          <a:ext cx="3924299" cy="476886"/>
        </a:xfrm>
        <a:prstGeom prst="rect">
          <a:avLst/>
        </a:prstGeom>
      </xdr:spPr>
    </xdr:pic>
    <xdr:clientData/>
  </xdr:twoCellAnchor>
  <xdr:twoCellAnchor editAs="oneCell">
    <xdr:from>
      <xdr:col>2</xdr:col>
      <xdr:colOff>15240</xdr:colOff>
      <xdr:row>28</xdr:row>
      <xdr:rowOff>91061</xdr:rowOff>
    </xdr:from>
    <xdr:to>
      <xdr:col>7</xdr:col>
      <xdr:colOff>640080</xdr:colOff>
      <xdr:row>30</xdr:row>
      <xdr:rowOff>167641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0554A7D-888C-B140-FE94-41A818102B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284220" y="4998341"/>
          <a:ext cx="3977640" cy="427100"/>
        </a:xfrm>
        <a:prstGeom prst="rect">
          <a:avLst/>
        </a:prstGeom>
      </xdr:spPr>
    </xdr:pic>
    <xdr:clientData/>
  </xdr:twoCellAnchor>
  <xdr:twoCellAnchor editAs="oneCell">
    <xdr:from>
      <xdr:col>2</xdr:col>
      <xdr:colOff>7620</xdr:colOff>
      <xdr:row>31</xdr:row>
      <xdr:rowOff>91440</xdr:rowOff>
    </xdr:from>
    <xdr:to>
      <xdr:col>7</xdr:col>
      <xdr:colOff>403860</xdr:colOff>
      <xdr:row>34</xdr:row>
      <xdr:rowOff>160376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A4C7338-D2E9-70F4-A977-B32FBD9804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552700" y="5524500"/>
          <a:ext cx="3749040" cy="594716"/>
        </a:xfrm>
        <a:prstGeom prst="rect">
          <a:avLst/>
        </a:prstGeom>
      </xdr:spPr>
    </xdr:pic>
    <xdr:clientData/>
  </xdr:twoCellAnchor>
  <xdr:twoCellAnchor editAs="oneCell">
    <xdr:from>
      <xdr:col>2</xdr:col>
      <xdr:colOff>7621</xdr:colOff>
      <xdr:row>35</xdr:row>
      <xdr:rowOff>36887</xdr:rowOff>
    </xdr:from>
    <xdr:to>
      <xdr:col>8</xdr:col>
      <xdr:colOff>160020</xdr:colOff>
      <xdr:row>43</xdr:row>
      <xdr:rowOff>12113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A6B897B-A6D3-F7FF-3576-98F58C7C6C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552701" y="6170987"/>
          <a:ext cx="4175759" cy="1377306"/>
        </a:xfrm>
        <a:prstGeom prst="rect">
          <a:avLst/>
        </a:prstGeom>
      </xdr:spPr>
    </xdr:pic>
    <xdr:clientData/>
  </xdr:twoCellAnchor>
  <xdr:twoCellAnchor editAs="oneCell">
    <xdr:from>
      <xdr:col>1</xdr:col>
      <xdr:colOff>815341</xdr:colOff>
      <xdr:row>49</xdr:row>
      <xdr:rowOff>15240</xdr:rowOff>
    </xdr:from>
    <xdr:to>
      <xdr:col>8</xdr:col>
      <xdr:colOff>731124</xdr:colOff>
      <xdr:row>53</xdr:row>
      <xdr:rowOff>137160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EB6DFA4-B426-B0BB-9441-165D8BB03B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253741" y="8602980"/>
          <a:ext cx="4769723" cy="822960"/>
        </a:xfrm>
        <a:prstGeom prst="rect">
          <a:avLst/>
        </a:prstGeom>
      </xdr:spPr>
    </xdr:pic>
    <xdr:clientData/>
  </xdr:twoCellAnchor>
  <xdr:twoCellAnchor editAs="oneCell">
    <xdr:from>
      <xdr:col>2</xdr:col>
      <xdr:colOff>137161</xdr:colOff>
      <xdr:row>43</xdr:row>
      <xdr:rowOff>99060</xdr:rowOff>
    </xdr:from>
    <xdr:to>
      <xdr:col>6</xdr:col>
      <xdr:colOff>449580</xdr:colOff>
      <xdr:row>48</xdr:row>
      <xdr:rowOff>162261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28E7BD38-8EFB-3DBE-20BD-5C1D6EB3AE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682241" y="7635240"/>
          <a:ext cx="2994659" cy="939501"/>
        </a:xfrm>
        <a:prstGeom prst="rect">
          <a:avLst/>
        </a:prstGeom>
      </xdr:spPr>
    </xdr:pic>
    <xdr:clientData/>
  </xdr:twoCellAnchor>
  <xdr:twoCellAnchor editAs="oneCell">
    <xdr:from>
      <xdr:col>10</xdr:col>
      <xdr:colOff>30480</xdr:colOff>
      <xdr:row>0</xdr:row>
      <xdr:rowOff>7620</xdr:rowOff>
    </xdr:from>
    <xdr:to>
      <xdr:col>11</xdr:col>
      <xdr:colOff>259941</xdr:colOff>
      <xdr:row>3</xdr:row>
      <xdr:rowOff>136872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F43CA4E6-C823-DE68-F560-8B31587484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9608820" y="7620"/>
          <a:ext cx="4161381" cy="655032"/>
        </a:xfrm>
        <a:prstGeom prst="rect">
          <a:avLst/>
        </a:prstGeom>
      </xdr:spPr>
    </xdr:pic>
    <xdr:clientData/>
  </xdr:twoCellAnchor>
  <xdr:twoCellAnchor editAs="oneCell">
    <xdr:from>
      <xdr:col>10</xdr:col>
      <xdr:colOff>22860</xdr:colOff>
      <xdr:row>3</xdr:row>
      <xdr:rowOff>160020</xdr:rowOff>
    </xdr:from>
    <xdr:to>
      <xdr:col>11</xdr:col>
      <xdr:colOff>510085</xdr:colOff>
      <xdr:row>10</xdr:row>
      <xdr:rowOff>132162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B8B0FB05-357A-D032-6D1A-EA661EFE72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9601200" y="685800"/>
          <a:ext cx="4419145" cy="1198962"/>
        </a:xfrm>
        <a:prstGeom prst="rect">
          <a:avLst/>
        </a:prstGeom>
      </xdr:spPr>
    </xdr:pic>
    <xdr:clientData/>
  </xdr:twoCellAnchor>
  <xdr:twoCellAnchor editAs="oneCell">
    <xdr:from>
      <xdr:col>10</xdr:col>
      <xdr:colOff>22860</xdr:colOff>
      <xdr:row>11</xdr:row>
      <xdr:rowOff>38100</xdr:rowOff>
    </xdr:from>
    <xdr:to>
      <xdr:col>10</xdr:col>
      <xdr:colOff>1223178</xdr:colOff>
      <xdr:row>18</xdr:row>
      <xdr:rowOff>59229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2B82BBD-8808-6D22-E9CD-542F68C38F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9837420" y="1965960"/>
          <a:ext cx="1200318" cy="1247949"/>
        </a:xfrm>
        <a:prstGeom prst="rect">
          <a:avLst/>
        </a:prstGeom>
      </xdr:spPr>
    </xdr:pic>
    <xdr:clientData/>
  </xdr:twoCellAnchor>
  <xdr:twoCellAnchor editAs="oneCell">
    <xdr:from>
      <xdr:col>11</xdr:col>
      <xdr:colOff>819287</xdr:colOff>
      <xdr:row>14</xdr:row>
      <xdr:rowOff>99060</xdr:rowOff>
    </xdr:from>
    <xdr:to>
      <xdr:col>15</xdr:col>
      <xdr:colOff>411481</xdr:colOff>
      <xdr:row>28</xdr:row>
      <xdr:rowOff>99576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D9F18B37-37D8-240C-B4D2-D6587CD850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5106787" y="2552700"/>
          <a:ext cx="2632574" cy="2454156"/>
        </a:xfrm>
        <a:prstGeom prst="rect">
          <a:avLst/>
        </a:prstGeom>
      </xdr:spPr>
    </xdr:pic>
    <xdr:clientData/>
  </xdr:twoCellAnchor>
  <xdr:twoCellAnchor editAs="oneCell">
    <xdr:from>
      <xdr:col>8</xdr:col>
      <xdr:colOff>114300</xdr:colOff>
      <xdr:row>8</xdr:row>
      <xdr:rowOff>38100</xdr:rowOff>
    </xdr:from>
    <xdr:to>
      <xdr:col>9</xdr:col>
      <xdr:colOff>855257</xdr:colOff>
      <xdr:row>11</xdr:row>
      <xdr:rowOff>166189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1DD654C1-F9D7-7767-9916-7181FC52DD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406640" y="1440180"/>
          <a:ext cx="2897417" cy="653869"/>
        </a:xfrm>
        <a:prstGeom prst="rect">
          <a:avLst/>
        </a:prstGeom>
      </xdr:spPr>
    </xdr:pic>
    <xdr:clientData/>
  </xdr:twoCellAnchor>
  <xdr:twoCellAnchor editAs="oneCell">
    <xdr:from>
      <xdr:col>11</xdr:col>
      <xdr:colOff>868680</xdr:colOff>
      <xdr:row>0</xdr:row>
      <xdr:rowOff>45720</xdr:rowOff>
    </xdr:from>
    <xdr:to>
      <xdr:col>18</xdr:col>
      <xdr:colOff>114663</xdr:colOff>
      <xdr:row>13</xdr:row>
      <xdr:rowOff>142574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43B2E69-6F15-5A43-30CD-D7CF8146F6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5156180" y="45720"/>
          <a:ext cx="4298043" cy="2375234"/>
        </a:xfrm>
        <a:prstGeom prst="rect">
          <a:avLst/>
        </a:prstGeom>
      </xdr:spPr>
    </xdr:pic>
    <xdr:clientData/>
  </xdr:twoCellAnchor>
  <xdr:twoCellAnchor editAs="oneCell">
    <xdr:from>
      <xdr:col>10</xdr:col>
      <xdr:colOff>1051560</xdr:colOff>
      <xdr:row>11</xdr:row>
      <xdr:rowOff>99060</xdr:rowOff>
    </xdr:from>
    <xdr:to>
      <xdr:col>11</xdr:col>
      <xdr:colOff>53749</xdr:colOff>
      <xdr:row>16</xdr:row>
      <xdr:rowOff>80130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963E7568-361F-F28D-21FA-E9190D70E6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407140" y="2026920"/>
          <a:ext cx="2934109" cy="857370"/>
        </a:xfrm>
        <a:prstGeom prst="rect">
          <a:avLst/>
        </a:prstGeom>
      </xdr:spPr>
    </xdr:pic>
    <xdr:clientData/>
  </xdr:twoCellAnchor>
  <xdr:twoCellAnchor editAs="oneCell">
    <xdr:from>
      <xdr:col>10</xdr:col>
      <xdr:colOff>68580</xdr:colOff>
      <xdr:row>18</xdr:row>
      <xdr:rowOff>15240</xdr:rowOff>
    </xdr:from>
    <xdr:to>
      <xdr:col>10</xdr:col>
      <xdr:colOff>3212269</xdr:colOff>
      <xdr:row>20</xdr:row>
      <xdr:rowOff>169615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60E6F2AB-71CD-A41C-AAC8-ABCD90D796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0233660" y="3169920"/>
          <a:ext cx="3143689" cy="504895"/>
        </a:xfrm>
        <a:prstGeom prst="rect">
          <a:avLst/>
        </a:prstGeom>
      </xdr:spPr>
    </xdr:pic>
    <xdr:clientData/>
  </xdr:twoCellAnchor>
  <xdr:twoCellAnchor editAs="oneCell">
    <xdr:from>
      <xdr:col>10</xdr:col>
      <xdr:colOff>99061</xdr:colOff>
      <xdr:row>20</xdr:row>
      <xdr:rowOff>124068</xdr:rowOff>
    </xdr:from>
    <xdr:to>
      <xdr:col>11</xdr:col>
      <xdr:colOff>525781</xdr:colOff>
      <xdr:row>25</xdr:row>
      <xdr:rowOff>74553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E17DA11-92C0-549C-1A09-CC98859968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454641" y="3629268"/>
          <a:ext cx="4358640" cy="826785"/>
        </a:xfrm>
        <a:prstGeom prst="rect">
          <a:avLst/>
        </a:prstGeom>
      </xdr:spPr>
    </xdr:pic>
    <xdr:clientData/>
  </xdr:twoCellAnchor>
  <xdr:twoCellAnchor editAs="oneCell">
    <xdr:from>
      <xdr:col>10</xdr:col>
      <xdr:colOff>22860</xdr:colOff>
      <xdr:row>25</xdr:row>
      <xdr:rowOff>60960</xdr:rowOff>
    </xdr:from>
    <xdr:to>
      <xdr:col>10</xdr:col>
      <xdr:colOff>2318705</xdr:colOff>
      <xdr:row>30</xdr:row>
      <xdr:rowOff>13451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2CDB440-3D35-10EE-E341-E9592FDBEC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378440" y="4442460"/>
          <a:ext cx="2295845" cy="828791"/>
        </a:xfrm>
        <a:prstGeom prst="rect">
          <a:avLst/>
        </a:prstGeom>
      </xdr:spPr>
    </xdr:pic>
    <xdr:clientData/>
  </xdr:twoCellAnchor>
  <xdr:twoCellAnchor editAs="oneCell">
    <xdr:from>
      <xdr:col>20</xdr:col>
      <xdr:colOff>312253</xdr:colOff>
      <xdr:row>14</xdr:row>
      <xdr:rowOff>33552</xdr:rowOff>
    </xdr:from>
    <xdr:to>
      <xdr:col>25</xdr:col>
      <xdr:colOff>99060</xdr:colOff>
      <xdr:row>23</xdr:row>
      <xdr:rowOff>83819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5B728C9-2310-139C-C8B6-EBB3E3C890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7373433" y="2487192"/>
          <a:ext cx="3139607" cy="1627607"/>
        </a:xfrm>
        <a:prstGeom prst="rect">
          <a:avLst/>
        </a:prstGeom>
      </xdr:spPr>
    </xdr:pic>
    <xdr:clientData/>
  </xdr:twoCellAnchor>
  <xdr:twoCellAnchor editAs="oneCell">
    <xdr:from>
      <xdr:col>7</xdr:col>
      <xdr:colOff>467119</xdr:colOff>
      <xdr:row>30</xdr:row>
      <xdr:rowOff>53340</xdr:rowOff>
    </xdr:from>
    <xdr:to>
      <xdr:col>9</xdr:col>
      <xdr:colOff>837930</xdr:colOff>
      <xdr:row>44</xdr:row>
      <xdr:rowOff>77178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2802558-56FD-4C20-9044-FF89E9F6EB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7088899" y="5311140"/>
          <a:ext cx="3197831" cy="2477478"/>
        </a:xfrm>
        <a:prstGeom prst="rect">
          <a:avLst/>
        </a:prstGeom>
      </xdr:spPr>
    </xdr:pic>
    <xdr:clientData/>
  </xdr:twoCellAnchor>
  <xdr:twoCellAnchor editAs="oneCell">
    <xdr:from>
      <xdr:col>2</xdr:col>
      <xdr:colOff>45721</xdr:colOff>
      <xdr:row>56</xdr:row>
      <xdr:rowOff>22860</xdr:rowOff>
    </xdr:from>
    <xdr:to>
      <xdr:col>7</xdr:col>
      <xdr:colOff>296681</xdr:colOff>
      <xdr:row>63</xdr:row>
      <xdr:rowOff>60960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AB74982-0B17-8327-4D4F-9685B6B3F1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3314701" y="9837420"/>
          <a:ext cx="3603760" cy="1264920"/>
        </a:xfrm>
        <a:prstGeom prst="rect">
          <a:avLst/>
        </a:prstGeom>
      </xdr:spPr>
    </xdr:pic>
    <xdr:clientData/>
  </xdr:twoCellAnchor>
  <xdr:twoCellAnchor editAs="oneCell">
    <xdr:from>
      <xdr:col>1</xdr:col>
      <xdr:colOff>812339</xdr:colOff>
      <xdr:row>66</xdr:row>
      <xdr:rowOff>160020</xdr:rowOff>
    </xdr:from>
    <xdr:to>
      <xdr:col>8</xdr:col>
      <xdr:colOff>60961</xdr:colOff>
      <xdr:row>77</xdr:row>
      <xdr:rowOff>105249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EA94B685-0450-D553-E2D4-3605488090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3250739" y="11727180"/>
          <a:ext cx="4102562" cy="1873089"/>
        </a:xfrm>
        <a:prstGeom prst="rect">
          <a:avLst/>
        </a:prstGeom>
      </xdr:spPr>
    </xdr:pic>
    <xdr:clientData/>
  </xdr:twoCellAnchor>
  <xdr:twoCellAnchor editAs="oneCell">
    <xdr:from>
      <xdr:col>0</xdr:col>
      <xdr:colOff>45720</xdr:colOff>
      <xdr:row>56</xdr:row>
      <xdr:rowOff>137161</xdr:rowOff>
    </xdr:from>
    <xdr:to>
      <xdr:col>0</xdr:col>
      <xdr:colOff>1767840</xdr:colOff>
      <xdr:row>58</xdr:row>
      <xdr:rowOff>131065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72C3ED61-AC25-0036-2692-1174C60DAD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45720" y="9951721"/>
          <a:ext cx="1722120" cy="344424"/>
        </a:xfrm>
        <a:prstGeom prst="rect">
          <a:avLst/>
        </a:prstGeom>
      </xdr:spPr>
    </xdr:pic>
    <xdr:clientData/>
  </xdr:twoCellAnchor>
  <xdr:twoCellAnchor editAs="oneCell">
    <xdr:from>
      <xdr:col>2</xdr:col>
      <xdr:colOff>68580</xdr:colOff>
      <xdr:row>77</xdr:row>
      <xdr:rowOff>53341</xdr:rowOff>
    </xdr:from>
    <xdr:to>
      <xdr:col>7</xdr:col>
      <xdr:colOff>163172</xdr:colOff>
      <xdr:row>80</xdr:row>
      <xdr:rowOff>152401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E4385359-7A22-945A-4A86-7594807D98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3337560" y="13548361"/>
          <a:ext cx="3447392" cy="624840"/>
        </a:xfrm>
        <a:prstGeom prst="rect">
          <a:avLst/>
        </a:prstGeom>
      </xdr:spPr>
    </xdr:pic>
    <xdr:clientData/>
  </xdr:twoCellAnchor>
  <xdr:twoCellAnchor editAs="oneCell">
    <xdr:from>
      <xdr:col>10</xdr:col>
      <xdr:colOff>121921</xdr:colOff>
      <xdr:row>80</xdr:row>
      <xdr:rowOff>7621</xdr:rowOff>
    </xdr:from>
    <xdr:to>
      <xdr:col>10</xdr:col>
      <xdr:colOff>1965961</xdr:colOff>
      <xdr:row>82</xdr:row>
      <xdr:rowOff>54985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CEAD4D8D-2060-E946-F760-4EC92FF5BA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0477501" y="14028421"/>
          <a:ext cx="1844040" cy="397884"/>
        </a:xfrm>
        <a:prstGeom prst="rect">
          <a:avLst/>
        </a:prstGeom>
      </xdr:spPr>
    </xdr:pic>
    <xdr:clientData/>
  </xdr:twoCellAnchor>
  <xdr:twoCellAnchor editAs="oneCell">
    <xdr:from>
      <xdr:col>7</xdr:col>
      <xdr:colOff>632461</xdr:colOff>
      <xdr:row>80</xdr:row>
      <xdr:rowOff>15241</xdr:rowOff>
    </xdr:from>
    <xdr:to>
      <xdr:col>10</xdr:col>
      <xdr:colOff>129540</xdr:colOff>
      <xdr:row>81</xdr:row>
      <xdr:rowOff>134944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AE86FF3B-8D47-0CF3-56D3-4D89C42899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7254241" y="14036041"/>
          <a:ext cx="3230879" cy="294963"/>
        </a:xfrm>
        <a:prstGeom prst="rect">
          <a:avLst/>
        </a:prstGeom>
      </xdr:spPr>
    </xdr:pic>
    <xdr:clientData/>
  </xdr:twoCellAnchor>
  <xdr:twoCellAnchor editAs="oneCell">
    <xdr:from>
      <xdr:col>6</xdr:col>
      <xdr:colOff>487681</xdr:colOff>
      <xdr:row>44</xdr:row>
      <xdr:rowOff>152401</xdr:rowOff>
    </xdr:from>
    <xdr:to>
      <xdr:col>9</xdr:col>
      <xdr:colOff>9947</xdr:colOff>
      <xdr:row>48</xdr:row>
      <xdr:rowOff>61046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D5DACC1-22CD-794B-6E2D-2E4498711A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6438901" y="7863841"/>
          <a:ext cx="3019846" cy="609685"/>
        </a:xfrm>
        <a:prstGeom prst="rect">
          <a:avLst/>
        </a:prstGeom>
      </xdr:spPr>
    </xdr:pic>
    <xdr:clientData/>
  </xdr:twoCellAnchor>
  <xdr:twoCellAnchor editAs="oneCell">
    <xdr:from>
      <xdr:col>8</xdr:col>
      <xdr:colOff>678180</xdr:colOff>
      <xdr:row>49</xdr:row>
      <xdr:rowOff>15240</xdr:rowOff>
    </xdr:from>
    <xdr:to>
      <xdr:col>10</xdr:col>
      <xdr:colOff>0</xdr:colOff>
      <xdr:row>53</xdr:row>
      <xdr:rowOff>49057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65279836-DE9F-400C-4531-CE7C0EB079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7970520" y="8602980"/>
          <a:ext cx="2385060" cy="734857"/>
        </a:xfrm>
        <a:prstGeom prst="rect">
          <a:avLst/>
        </a:prstGeom>
      </xdr:spPr>
    </xdr:pic>
    <xdr:clientData/>
  </xdr:twoCellAnchor>
  <xdr:twoCellAnchor editAs="oneCell">
    <xdr:from>
      <xdr:col>7</xdr:col>
      <xdr:colOff>249334</xdr:colOff>
      <xdr:row>53</xdr:row>
      <xdr:rowOff>160021</xdr:rowOff>
    </xdr:from>
    <xdr:to>
      <xdr:col>10</xdr:col>
      <xdr:colOff>760607</xdr:colOff>
      <xdr:row>64</xdr:row>
      <xdr:rowOff>30481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A28CBCFF-11DC-5D95-A96B-D9FB2835C2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6871114" y="9448801"/>
          <a:ext cx="4245073" cy="1798320"/>
        </a:xfrm>
        <a:prstGeom prst="rect">
          <a:avLst/>
        </a:prstGeom>
      </xdr:spPr>
    </xdr:pic>
    <xdr:clientData/>
  </xdr:twoCellAnchor>
  <xdr:twoCellAnchor editAs="oneCell">
    <xdr:from>
      <xdr:col>8</xdr:col>
      <xdr:colOff>45721</xdr:colOff>
      <xdr:row>64</xdr:row>
      <xdr:rowOff>16393</xdr:rowOff>
    </xdr:from>
    <xdr:to>
      <xdr:col>10</xdr:col>
      <xdr:colOff>1353244</xdr:colOff>
      <xdr:row>72</xdr:row>
      <xdr:rowOff>22860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998FAE07-A18D-E3D4-CE26-0D0D594365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7338061" y="11233033"/>
          <a:ext cx="4370763" cy="1408547"/>
        </a:xfrm>
        <a:prstGeom prst="rect">
          <a:avLst/>
        </a:prstGeom>
      </xdr:spPr>
    </xdr:pic>
    <xdr:clientData/>
  </xdr:twoCellAnchor>
  <xdr:twoCellAnchor editAs="oneCell">
    <xdr:from>
      <xdr:col>8</xdr:col>
      <xdr:colOff>22860</xdr:colOff>
      <xdr:row>72</xdr:row>
      <xdr:rowOff>59780</xdr:rowOff>
    </xdr:from>
    <xdr:to>
      <xdr:col>10</xdr:col>
      <xdr:colOff>1386016</xdr:colOff>
      <xdr:row>79</xdr:row>
      <xdr:rowOff>38100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7D52F1DD-EA5B-52A9-6995-AA9AD40F44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7315200" y="12678500"/>
          <a:ext cx="4426396" cy="1205140"/>
        </a:xfrm>
        <a:prstGeom prst="rect">
          <a:avLst/>
        </a:prstGeom>
      </xdr:spPr>
    </xdr:pic>
    <xdr:clientData/>
  </xdr:twoCellAnchor>
  <xdr:twoCellAnchor editAs="oneCell">
    <xdr:from>
      <xdr:col>2</xdr:col>
      <xdr:colOff>91441</xdr:colOff>
      <xdr:row>62</xdr:row>
      <xdr:rowOff>167640</xdr:rowOff>
    </xdr:from>
    <xdr:to>
      <xdr:col>7</xdr:col>
      <xdr:colOff>571501</xdr:colOff>
      <xdr:row>66</xdr:row>
      <xdr:rowOff>45907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DE91AB26-D6AA-833B-4DE1-79776D017B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3360421" y="11033760"/>
          <a:ext cx="3832860" cy="579307"/>
        </a:xfrm>
        <a:prstGeom prst="rect">
          <a:avLst/>
        </a:prstGeom>
      </xdr:spPr>
    </xdr:pic>
    <xdr:clientData/>
  </xdr:twoCellAnchor>
  <xdr:twoCellAnchor editAs="oneCell">
    <xdr:from>
      <xdr:col>2</xdr:col>
      <xdr:colOff>76200</xdr:colOff>
      <xdr:row>81</xdr:row>
      <xdr:rowOff>53340</xdr:rowOff>
    </xdr:from>
    <xdr:to>
      <xdr:col>8</xdr:col>
      <xdr:colOff>549267</xdr:colOff>
      <xdr:row>85</xdr:row>
      <xdr:rowOff>152512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9519237-B9E4-3A5B-AC6D-4948A89300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3345180" y="14249400"/>
          <a:ext cx="4496427" cy="800212"/>
        </a:xfrm>
        <a:prstGeom prst="rect">
          <a:avLst/>
        </a:prstGeom>
      </xdr:spPr>
    </xdr:pic>
    <xdr:clientData/>
  </xdr:twoCellAnchor>
  <xdr:twoCellAnchor editAs="oneCell">
    <xdr:from>
      <xdr:col>2</xdr:col>
      <xdr:colOff>38100</xdr:colOff>
      <xdr:row>87</xdr:row>
      <xdr:rowOff>68580</xdr:rowOff>
    </xdr:from>
    <xdr:to>
      <xdr:col>8</xdr:col>
      <xdr:colOff>599171</xdr:colOff>
      <xdr:row>93</xdr:row>
      <xdr:rowOff>28856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22393B10-9BCC-1127-F5DF-39EB5FC350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3307080" y="15140940"/>
          <a:ext cx="4584431" cy="1011836"/>
        </a:xfrm>
        <a:prstGeom prst="rect">
          <a:avLst/>
        </a:prstGeom>
      </xdr:spPr>
    </xdr:pic>
    <xdr:clientData/>
  </xdr:twoCellAnchor>
  <xdr:twoCellAnchor editAs="oneCell">
    <xdr:from>
      <xdr:col>2</xdr:col>
      <xdr:colOff>68580</xdr:colOff>
      <xdr:row>93</xdr:row>
      <xdr:rowOff>106680</xdr:rowOff>
    </xdr:from>
    <xdr:to>
      <xdr:col>7</xdr:col>
      <xdr:colOff>135732</xdr:colOff>
      <xdr:row>99</xdr:row>
      <xdr:rowOff>93490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BC15DA26-06BA-7EEC-4A38-37A358CA74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337560" y="16230600"/>
          <a:ext cx="3419952" cy="1038370"/>
        </a:xfrm>
        <a:prstGeom prst="rect">
          <a:avLst/>
        </a:prstGeom>
      </xdr:spPr>
    </xdr:pic>
    <xdr:clientData/>
  </xdr:twoCellAnchor>
  <xdr:twoCellAnchor editAs="oneCell">
    <xdr:from>
      <xdr:col>8</xdr:col>
      <xdr:colOff>586740</xdr:colOff>
      <xdr:row>82</xdr:row>
      <xdr:rowOff>144780</xdr:rowOff>
    </xdr:from>
    <xdr:to>
      <xdr:col>10</xdr:col>
      <xdr:colOff>2096138</xdr:colOff>
      <xdr:row>87</xdr:row>
      <xdr:rowOff>106797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2827A8F2-61A5-BD65-EB03-AE0B335D29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7879080" y="14516100"/>
          <a:ext cx="4572638" cy="838317"/>
        </a:xfrm>
        <a:prstGeom prst="rect">
          <a:avLst/>
        </a:prstGeom>
      </xdr:spPr>
    </xdr:pic>
    <xdr:clientData/>
  </xdr:twoCellAnchor>
  <xdr:twoCellAnchor editAs="oneCell">
    <xdr:from>
      <xdr:col>8</xdr:col>
      <xdr:colOff>533400</xdr:colOff>
      <xdr:row>89</xdr:row>
      <xdr:rowOff>53340</xdr:rowOff>
    </xdr:from>
    <xdr:to>
      <xdr:col>9</xdr:col>
      <xdr:colOff>415575</xdr:colOff>
      <xdr:row>92</xdr:row>
      <xdr:rowOff>70561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15FC44B7-1E34-4C95-445C-1A8F53F5D8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7825740" y="15476220"/>
          <a:ext cx="2038635" cy="543001"/>
        </a:xfrm>
        <a:prstGeom prst="rect">
          <a:avLst/>
        </a:prstGeom>
      </xdr:spPr>
    </xdr:pic>
    <xdr:clientData/>
  </xdr:twoCellAnchor>
  <xdr:twoCellAnchor editAs="oneCell">
    <xdr:from>
      <xdr:col>7</xdr:col>
      <xdr:colOff>137160</xdr:colOff>
      <xdr:row>94</xdr:row>
      <xdr:rowOff>38100</xdr:rowOff>
    </xdr:from>
    <xdr:to>
      <xdr:col>8</xdr:col>
      <xdr:colOff>571654</xdr:colOff>
      <xdr:row>96</xdr:row>
      <xdr:rowOff>40054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F94F6485-8EE7-A742-538F-2046BD8EB5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6758940" y="16337280"/>
          <a:ext cx="1105054" cy="352474"/>
        </a:xfrm>
        <a:prstGeom prst="rect">
          <a:avLst/>
        </a:prstGeom>
      </xdr:spPr>
    </xdr:pic>
    <xdr:clientData/>
  </xdr:twoCellAnchor>
  <xdr:twoCellAnchor editAs="oneCell">
    <xdr:from>
      <xdr:col>8</xdr:col>
      <xdr:colOff>655320</xdr:colOff>
      <xdr:row>94</xdr:row>
      <xdr:rowOff>30480</xdr:rowOff>
    </xdr:from>
    <xdr:to>
      <xdr:col>10</xdr:col>
      <xdr:colOff>1316875</xdr:colOff>
      <xdr:row>97</xdr:row>
      <xdr:rowOff>76280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93765438-9E8A-5AF9-ABC2-4232D26614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7947660" y="16329660"/>
          <a:ext cx="3724795" cy="571580"/>
        </a:xfrm>
        <a:prstGeom prst="rect">
          <a:avLst/>
        </a:prstGeom>
      </xdr:spPr>
    </xdr:pic>
    <xdr:clientData/>
  </xdr:twoCellAnchor>
  <xdr:twoCellAnchor editAs="oneCell">
    <xdr:from>
      <xdr:col>2</xdr:col>
      <xdr:colOff>38100</xdr:colOff>
      <xdr:row>99</xdr:row>
      <xdr:rowOff>160020</xdr:rowOff>
    </xdr:from>
    <xdr:to>
      <xdr:col>8</xdr:col>
      <xdr:colOff>739799</xdr:colOff>
      <xdr:row>103</xdr:row>
      <xdr:rowOff>59139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D1D970A-0D4B-EA33-91E3-E228EDA233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307080" y="17335500"/>
          <a:ext cx="4725059" cy="600159"/>
        </a:xfrm>
        <a:prstGeom prst="rect">
          <a:avLst/>
        </a:prstGeom>
      </xdr:spPr>
    </xdr:pic>
    <xdr:clientData/>
  </xdr:twoCellAnchor>
  <xdr:twoCellAnchor editAs="oneCell">
    <xdr:from>
      <xdr:col>2</xdr:col>
      <xdr:colOff>106680</xdr:colOff>
      <xdr:row>103</xdr:row>
      <xdr:rowOff>63552</xdr:rowOff>
    </xdr:from>
    <xdr:to>
      <xdr:col>8</xdr:col>
      <xdr:colOff>129540</xdr:colOff>
      <xdr:row>117</xdr:row>
      <xdr:rowOff>115107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BE8FBBCA-CAC5-5DC4-2DB0-5FC80226EC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375660" y="17940072"/>
          <a:ext cx="4046220" cy="25051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C1D8A-AE74-456B-9B10-099F35C015E2}">
  <dimension ref="A1:M102"/>
  <sheetViews>
    <sheetView tabSelected="1" topLeftCell="A52" workbookViewId="0">
      <selection activeCell="A79" sqref="A79"/>
    </sheetView>
  </sheetViews>
  <sheetFormatPr defaultRowHeight="13.8" x14ac:dyDescent="0.25"/>
  <cols>
    <col min="1" max="1" width="32" bestFit="1" customWidth="1"/>
    <col min="2" max="2" width="10.8984375" bestFit="1" customWidth="1"/>
    <col min="9" max="9" width="28.296875" customWidth="1"/>
    <col min="10" max="10" width="11.8984375" bestFit="1" customWidth="1"/>
    <col min="11" max="11" width="51.59765625" bestFit="1" customWidth="1"/>
    <col min="12" max="12" width="12" customWidth="1"/>
    <col min="13" max="13" width="10.296875" bestFit="1" customWidth="1"/>
  </cols>
  <sheetData>
    <row r="1" spans="1:10" x14ac:dyDescent="0.25">
      <c r="A1" s="1" t="s">
        <v>0</v>
      </c>
      <c r="I1" s="6" t="s">
        <v>55</v>
      </c>
      <c r="J1" s="11">
        <f>J2*(SQRT(B35^2+1))*(((B3*J5)/((1-J4)*J4*B35*B51^2)))^(1/3)</f>
        <v>154.99312152592199</v>
      </c>
    </row>
    <row r="2" spans="1:10" x14ac:dyDescent="0.25">
      <c r="A2" s="2" t="s">
        <v>1</v>
      </c>
      <c r="B2" s="3">
        <v>6211</v>
      </c>
      <c r="I2" s="10" t="s">
        <v>50</v>
      </c>
      <c r="J2" s="11">
        <f>0.5*J3</f>
        <v>50</v>
      </c>
    </row>
    <row r="3" spans="1:10" x14ac:dyDescent="0.25">
      <c r="A3" s="2" t="s">
        <v>2</v>
      </c>
      <c r="B3" s="4">
        <v>81813.86</v>
      </c>
      <c r="I3" s="10" t="s">
        <v>51</v>
      </c>
      <c r="J3" s="11">
        <v>100</v>
      </c>
    </row>
    <row r="4" spans="1:10" x14ac:dyDescent="0.25">
      <c r="A4" s="2" t="s">
        <v>3</v>
      </c>
      <c r="B4" s="4">
        <v>725</v>
      </c>
      <c r="I4" s="10" t="s">
        <v>52</v>
      </c>
      <c r="J4" s="11">
        <v>0.3</v>
      </c>
    </row>
    <row r="5" spans="1:10" x14ac:dyDescent="0.25">
      <c r="A5" s="2" t="s">
        <v>4</v>
      </c>
      <c r="B5" s="4">
        <v>12.5</v>
      </c>
      <c r="I5" s="10" t="s">
        <v>53</v>
      </c>
      <c r="J5" s="11">
        <v>1.1399999999999999</v>
      </c>
    </row>
    <row r="6" spans="1:10" x14ac:dyDescent="0.25">
      <c r="A6" s="2" t="s">
        <v>5</v>
      </c>
      <c r="B6" s="4"/>
      <c r="I6" s="10" t="s">
        <v>54</v>
      </c>
      <c r="J6" s="11">
        <f>(J4*B35)/(2-J4)</f>
        <v>0.6335294117647059</v>
      </c>
    </row>
    <row r="7" spans="1:10" x14ac:dyDescent="0.25">
      <c r="I7" s="10" t="s">
        <v>72</v>
      </c>
      <c r="J7" s="11">
        <f>J3*((B3*J5)/((1-J4)*J4*B35*B51^2))^(1/3)</f>
        <v>83.180399743342065</v>
      </c>
    </row>
    <row r="8" spans="1:10" x14ac:dyDescent="0.25">
      <c r="A8" s="6" t="s">
        <v>6</v>
      </c>
      <c r="B8" s="7">
        <v>45</v>
      </c>
      <c r="I8" s="10" t="s">
        <v>74</v>
      </c>
      <c r="J8" s="11">
        <f>J2*((B3*J5)/((1-J4)*J4*B35*B51^2))^(1/3)*SQRT(B35^2+1)</f>
        <v>154.99312152592202</v>
      </c>
    </row>
    <row r="9" spans="1:10" x14ac:dyDescent="0.25">
      <c r="A9" s="8" t="s">
        <v>45</v>
      </c>
      <c r="B9" s="7" t="s">
        <v>7</v>
      </c>
    </row>
    <row r="10" spans="1:10" x14ac:dyDescent="0.25">
      <c r="A10" s="8" t="s">
        <v>8</v>
      </c>
      <c r="B10" s="7">
        <v>100</v>
      </c>
    </row>
    <row r="11" spans="1:10" x14ac:dyDescent="0.25">
      <c r="A11" s="8" t="s">
        <v>9</v>
      </c>
      <c r="B11" s="7" t="s">
        <v>12</v>
      </c>
    </row>
    <row r="12" spans="1:10" x14ac:dyDescent="0.25">
      <c r="A12" s="8" t="s">
        <v>10</v>
      </c>
      <c r="B12" s="7">
        <v>750</v>
      </c>
    </row>
    <row r="13" spans="1:10" x14ac:dyDescent="0.25">
      <c r="A13" s="8" t="s">
        <v>11</v>
      </c>
      <c r="B13" s="7">
        <v>450</v>
      </c>
      <c r="I13" s="6" t="s">
        <v>56</v>
      </c>
      <c r="J13" s="9"/>
    </row>
    <row r="14" spans="1:10" x14ac:dyDescent="0.25">
      <c r="A14" s="9"/>
      <c r="B14" s="9"/>
      <c r="I14" s="8" t="s">
        <v>57</v>
      </c>
      <c r="J14" s="11">
        <v>19</v>
      </c>
    </row>
    <row r="15" spans="1:10" x14ac:dyDescent="0.25">
      <c r="A15" s="8" t="s">
        <v>44</v>
      </c>
      <c r="B15" s="7">
        <v>45</v>
      </c>
      <c r="I15" s="8" t="s">
        <v>64</v>
      </c>
      <c r="J15" s="11">
        <f>ROUND(1.6*J14,0)</f>
        <v>30</v>
      </c>
    </row>
    <row r="16" spans="1:10" x14ac:dyDescent="0.25">
      <c r="A16" s="8" t="s">
        <v>8</v>
      </c>
      <c r="B16" s="7">
        <v>60</v>
      </c>
      <c r="I16" s="8" t="s">
        <v>58</v>
      </c>
      <c r="J16" s="11">
        <f>(1-0.5*J4)*J7</f>
        <v>70.703339781840754</v>
      </c>
    </row>
    <row r="17" spans="1:13" x14ac:dyDescent="0.25">
      <c r="A17" s="8" t="s">
        <v>9</v>
      </c>
      <c r="B17" s="7" t="s">
        <v>13</v>
      </c>
      <c r="I17" s="8" t="s">
        <v>59</v>
      </c>
      <c r="J17" s="11">
        <f>J16/J15</f>
        <v>2.3567779927280252</v>
      </c>
    </row>
    <row r="18" spans="1:13" x14ac:dyDescent="0.25">
      <c r="A18" s="8" t="s">
        <v>10</v>
      </c>
      <c r="B18" s="7">
        <v>850</v>
      </c>
      <c r="I18" s="8" t="s">
        <v>60</v>
      </c>
      <c r="J18" s="11">
        <f>J17/(1-0.5*J4)</f>
        <v>2.7726799914447358</v>
      </c>
      <c r="L18">
        <f>J19*(1-0.5*J4)</f>
        <v>2.5499999999999998</v>
      </c>
    </row>
    <row r="19" spans="1:13" x14ac:dyDescent="0.25">
      <c r="A19" s="8" t="s">
        <v>11</v>
      </c>
      <c r="B19" s="7">
        <v>580</v>
      </c>
      <c r="I19" s="8" t="s">
        <v>61</v>
      </c>
      <c r="J19" s="11">
        <v>3</v>
      </c>
    </row>
    <row r="20" spans="1:13" x14ac:dyDescent="0.25">
      <c r="I20" s="8" t="s">
        <v>62</v>
      </c>
      <c r="J20" s="11">
        <f>J19*(1-0.5*J4)</f>
        <v>2.5499999999999998</v>
      </c>
    </row>
    <row r="21" spans="1:13" x14ac:dyDescent="0.25">
      <c r="A21" s="2" t="s">
        <v>14</v>
      </c>
      <c r="B21" s="4">
        <v>245</v>
      </c>
      <c r="I21" s="8" t="s">
        <v>63</v>
      </c>
      <c r="J21" s="11">
        <f>ROUND(J16/J20,0)</f>
        <v>28</v>
      </c>
    </row>
    <row r="22" spans="1:13" x14ac:dyDescent="0.25">
      <c r="A22" s="2" t="s">
        <v>15</v>
      </c>
      <c r="B22" s="4">
        <v>220</v>
      </c>
      <c r="I22" s="8" t="s">
        <v>65</v>
      </c>
      <c r="J22" s="11">
        <f>ROUND(J21*B35,0)</f>
        <v>101</v>
      </c>
    </row>
    <row r="23" spans="1:13" x14ac:dyDescent="0.25">
      <c r="A23" s="2" t="s">
        <v>16</v>
      </c>
      <c r="B23" s="4">
        <f>2*B21+70</f>
        <v>560</v>
      </c>
      <c r="I23" s="8" t="s">
        <v>66</v>
      </c>
      <c r="J23" s="11">
        <f>J22/J21</f>
        <v>3.6071428571428572</v>
      </c>
    </row>
    <row r="24" spans="1:13" x14ac:dyDescent="0.25">
      <c r="A24" s="2" t="s">
        <v>17</v>
      </c>
      <c r="B24" s="4">
        <f>2*B22+70</f>
        <v>510</v>
      </c>
      <c r="I24" s="8" t="s">
        <v>67</v>
      </c>
      <c r="J24" s="11">
        <f>DEGREES(ATAN(J21/J22))</f>
        <v>15.49484859913863</v>
      </c>
    </row>
    <row r="25" spans="1:13" x14ac:dyDescent="0.25">
      <c r="A25" s="2" t="s">
        <v>18</v>
      </c>
      <c r="B25" s="4">
        <v>1.1000000000000001</v>
      </c>
      <c r="I25" s="8" t="s">
        <v>68</v>
      </c>
      <c r="J25" s="11">
        <f>90-J24</f>
        <v>74.505151400861365</v>
      </c>
    </row>
    <row r="26" spans="1:13" x14ac:dyDescent="0.25">
      <c r="A26" s="2" t="s">
        <v>19</v>
      </c>
      <c r="B26" s="4">
        <v>1.75</v>
      </c>
      <c r="I26" s="8" t="s">
        <v>69</v>
      </c>
      <c r="J26" s="11">
        <v>0.34</v>
      </c>
    </row>
    <row r="27" spans="1:13" x14ac:dyDescent="0.25">
      <c r="A27" s="2" t="s">
        <v>20</v>
      </c>
      <c r="B27" s="4">
        <f>1.8*B21</f>
        <v>441</v>
      </c>
      <c r="I27" s="8" t="s">
        <v>70</v>
      </c>
      <c r="J27" s="11">
        <f>-J26</f>
        <v>-0.34</v>
      </c>
    </row>
    <row r="28" spans="1:13" x14ac:dyDescent="0.25">
      <c r="A28" s="2" t="s">
        <v>21</v>
      </c>
      <c r="B28" s="4">
        <f>1.8*B22</f>
        <v>396</v>
      </c>
      <c r="I28" s="8" t="s">
        <v>71</v>
      </c>
      <c r="J28" s="11">
        <f>J21*J20</f>
        <v>71.399999999999991</v>
      </c>
    </row>
    <row r="29" spans="1:13" x14ac:dyDescent="0.25">
      <c r="A29" s="2" t="s">
        <v>22</v>
      </c>
      <c r="B29" s="4">
        <f>30*(B21^2.4)</f>
        <v>16259974.388659423</v>
      </c>
      <c r="I29" s="8" t="s">
        <v>73</v>
      </c>
      <c r="J29" s="11">
        <f>0.5*J19*SQRT((J21^2+J22^2))</f>
        <v>157.21402609182172</v>
      </c>
    </row>
    <row r="30" spans="1:13" x14ac:dyDescent="0.25">
      <c r="A30" s="2" t="s">
        <v>23</v>
      </c>
      <c r="B30" s="4">
        <f>30*(B22^2.4)</f>
        <v>12558439.817137647</v>
      </c>
      <c r="I30" s="2"/>
    </row>
    <row r="31" spans="1:13" x14ac:dyDescent="0.25">
      <c r="A31" s="2" t="s">
        <v>24</v>
      </c>
      <c r="B31" s="5">
        <v>4000000</v>
      </c>
    </row>
    <row r="32" spans="1:13" x14ac:dyDescent="0.25">
      <c r="A32" s="1" t="s">
        <v>25</v>
      </c>
      <c r="K32" s="12" t="s">
        <v>75</v>
      </c>
      <c r="L32" s="12"/>
      <c r="M32" s="12"/>
    </row>
    <row r="33" spans="1:13" x14ac:dyDescent="0.25">
      <c r="A33" s="2" t="s">
        <v>26</v>
      </c>
      <c r="B33" s="4">
        <f>9*8*2*300</f>
        <v>43200</v>
      </c>
      <c r="K33" s="13"/>
      <c r="L33" s="13" t="s">
        <v>77</v>
      </c>
      <c r="M33" s="13" t="s">
        <v>76</v>
      </c>
    </row>
    <row r="34" spans="1:13" x14ac:dyDescent="0.25">
      <c r="A34" s="2" t="s">
        <v>29</v>
      </c>
      <c r="B34" s="4">
        <f>60*B33*B4</f>
        <v>1879200000</v>
      </c>
      <c r="K34" s="8" t="s">
        <v>78</v>
      </c>
      <c r="L34" s="14">
        <f>J29</f>
        <v>157.21402609182172</v>
      </c>
      <c r="M34" s="14"/>
    </row>
    <row r="35" spans="1:13" x14ac:dyDescent="0.25">
      <c r="A35" s="2" t="s">
        <v>27</v>
      </c>
      <c r="B35" s="4">
        <v>3.59</v>
      </c>
      <c r="K35" s="8" t="s">
        <v>79</v>
      </c>
      <c r="L35" s="14">
        <f>J4*L34</f>
        <v>47.164207827546512</v>
      </c>
      <c r="M35" s="14"/>
    </row>
    <row r="36" spans="1:13" x14ac:dyDescent="0.25">
      <c r="A36" s="2" t="s">
        <v>28</v>
      </c>
      <c r="B36" s="4">
        <v>3.36</v>
      </c>
      <c r="K36" s="8" t="s">
        <v>80</v>
      </c>
      <c r="L36" s="14">
        <f>L34-0.5*L35</f>
        <v>133.63192217804846</v>
      </c>
      <c r="M36" s="14"/>
    </row>
    <row r="37" spans="1:13" x14ac:dyDescent="0.25">
      <c r="A37" s="2" t="s">
        <v>30</v>
      </c>
      <c r="B37" s="4">
        <f>B34/B35</f>
        <v>523454038.9972145</v>
      </c>
      <c r="K37" s="8" t="s">
        <v>81</v>
      </c>
      <c r="L37" s="8">
        <f>J19*J21</f>
        <v>84</v>
      </c>
      <c r="M37" s="8">
        <f>J19*J22</f>
        <v>303</v>
      </c>
    </row>
    <row r="38" spans="1:13" x14ac:dyDescent="0.25">
      <c r="A38" s="2" t="s">
        <v>36</v>
      </c>
      <c r="B38" s="4">
        <f>IF(AND(B34&gt;B29,B37&gt;B30),1,(B29/B34)^(1/B40))</f>
        <v>1</v>
      </c>
      <c r="K38" s="8" t="s">
        <v>82</v>
      </c>
      <c r="L38" s="8">
        <f>J24</f>
        <v>15.49484859913863</v>
      </c>
      <c r="M38" s="8">
        <f>J25</f>
        <v>74.505151400861365</v>
      </c>
    </row>
    <row r="39" spans="1:13" x14ac:dyDescent="0.25">
      <c r="A39" s="2" t="s">
        <v>37</v>
      </c>
      <c r="B39" s="4">
        <f>IF(AND(B34&gt;B31,B37&gt;B31),1,(B31/B34)^(1/B41))</f>
        <v>1</v>
      </c>
      <c r="K39" s="8" t="s">
        <v>83</v>
      </c>
      <c r="L39" s="14">
        <f>2.2*J19</f>
        <v>6.6000000000000005</v>
      </c>
      <c r="M39" s="14"/>
    </row>
    <row r="40" spans="1:13" x14ac:dyDescent="0.25">
      <c r="A40" s="2" t="s">
        <v>31</v>
      </c>
      <c r="B40" s="4">
        <v>6</v>
      </c>
      <c r="K40" s="8" t="s">
        <v>84</v>
      </c>
      <c r="L40" s="8">
        <f>J19</f>
        <v>3</v>
      </c>
      <c r="M40" s="8">
        <f>J19</f>
        <v>3</v>
      </c>
    </row>
    <row r="41" spans="1:13" x14ac:dyDescent="0.25">
      <c r="A41" s="2" t="s">
        <v>32</v>
      </c>
      <c r="B41" s="4">
        <v>6</v>
      </c>
      <c r="K41" s="8" t="s">
        <v>85</v>
      </c>
      <c r="L41" s="8">
        <f>L39-L40</f>
        <v>3.6000000000000005</v>
      </c>
      <c r="M41" s="8">
        <f>L39-M40</f>
        <v>3.6000000000000005</v>
      </c>
    </row>
    <row r="42" spans="1:13" x14ac:dyDescent="0.25">
      <c r="A42" s="2" t="s">
        <v>40</v>
      </c>
      <c r="B42" s="4">
        <v>1</v>
      </c>
      <c r="K42" s="8" t="s">
        <v>86</v>
      </c>
      <c r="L42" s="8">
        <f>L34*COS(RADIANS(L38))-L40*SIN(RADIANS((L38)))</f>
        <v>150.69854479188513</v>
      </c>
      <c r="M42" s="8">
        <f>L34*COS(RADIANS(M38))-M40*SIN(RADIANS(M38))</f>
        <v>39.109036570728456</v>
      </c>
    </row>
    <row r="43" spans="1:13" x14ac:dyDescent="0.25">
      <c r="K43" s="8" t="s">
        <v>87</v>
      </c>
      <c r="L43" s="8">
        <f>J7+2*L40*COS(RADIANS(L38))</f>
        <v>88.962326601885167</v>
      </c>
      <c r="M43" s="8"/>
    </row>
    <row r="44" spans="1:13" x14ac:dyDescent="0.25">
      <c r="K44" s="8" t="s">
        <v>88</v>
      </c>
      <c r="L44" s="8">
        <f>J28</f>
        <v>71.399999999999991</v>
      </c>
      <c r="M44" s="8">
        <f>L44*B35</f>
        <v>256.32599999999996</v>
      </c>
    </row>
    <row r="45" spans="1:13" x14ac:dyDescent="0.25">
      <c r="A45" s="6" t="s">
        <v>33</v>
      </c>
      <c r="B45" s="9"/>
      <c r="K45" s="8" t="s">
        <v>89</v>
      </c>
      <c r="L45" s="8">
        <f>ATAN(DEGREES(L41/L34))</f>
        <v>0.91953592627173775</v>
      </c>
      <c r="M45" s="8">
        <f>ATAN(DEGREES(M41/L34))</f>
        <v>0.91953592627173775</v>
      </c>
    </row>
    <row r="46" spans="1:13" x14ac:dyDescent="0.25">
      <c r="A46" s="8" t="s">
        <v>34</v>
      </c>
      <c r="B46" s="7">
        <f>B23*(B38/B25)</f>
        <v>509.09090909090907</v>
      </c>
      <c r="K46" s="8" t="s">
        <v>90</v>
      </c>
      <c r="L46" s="8">
        <f>L38+L45</f>
        <v>16.414384525410366</v>
      </c>
      <c r="M46" s="8">
        <f>M38+M45</f>
        <v>75.4246873271331</v>
      </c>
    </row>
    <row r="47" spans="1:13" x14ac:dyDescent="0.25">
      <c r="A47" s="8" t="s">
        <v>35</v>
      </c>
      <c r="B47" s="7">
        <f>B24*(B38/B25)</f>
        <v>463.63636363636363</v>
      </c>
      <c r="K47" s="8" t="s">
        <v>91</v>
      </c>
      <c r="L47" s="8">
        <f>L38-L45</f>
        <v>14.575312672866891</v>
      </c>
      <c r="M47" s="8">
        <f>M38-M45</f>
        <v>73.58561547458963</v>
      </c>
    </row>
    <row r="48" spans="1:13" x14ac:dyDescent="0.25">
      <c r="A48" s="8" t="s">
        <v>38</v>
      </c>
      <c r="B48" s="7">
        <f>B27*B42*(B39/B26)</f>
        <v>252</v>
      </c>
      <c r="K48" s="8"/>
      <c r="L48" s="8"/>
      <c r="M48" s="8"/>
    </row>
    <row r="49" spans="1:2" x14ac:dyDescent="0.25">
      <c r="A49" s="8" t="s">
        <v>39</v>
      </c>
      <c r="B49" s="7">
        <f>B28*B42*(B39/B26)</f>
        <v>226.28571428571428</v>
      </c>
    </row>
    <row r="50" spans="1:2" x14ac:dyDescent="0.25">
      <c r="A50" s="6" t="s">
        <v>41</v>
      </c>
      <c r="B50" s="9"/>
    </row>
    <row r="51" spans="1:2" x14ac:dyDescent="0.25">
      <c r="A51" s="8" t="s">
        <v>42</v>
      </c>
      <c r="B51" s="7">
        <f>MIN(B46,B47)</f>
        <v>463.63636363636363</v>
      </c>
    </row>
    <row r="52" spans="1:2" x14ac:dyDescent="0.25">
      <c r="A52" s="6" t="s">
        <v>43</v>
      </c>
      <c r="B52" s="9"/>
    </row>
    <row r="53" spans="1:2" x14ac:dyDescent="0.25">
      <c r="A53" s="8" t="s">
        <v>46</v>
      </c>
      <c r="B53" s="7">
        <f>2.8*B19</f>
        <v>1624</v>
      </c>
    </row>
    <row r="54" spans="1:2" x14ac:dyDescent="0.25">
      <c r="A54" s="10" t="s">
        <v>47</v>
      </c>
      <c r="B54" s="7">
        <f>2.8*B13</f>
        <v>1260</v>
      </c>
    </row>
    <row r="55" spans="1:2" x14ac:dyDescent="0.25">
      <c r="A55" s="10" t="s">
        <v>48</v>
      </c>
      <c r="B55" s="7">
        <f>0.8*B19</f>
        <v>464</v>
      </c>
    </row>
    <row r="56" spans="1:2" x14ac:dyDescent="0.25">
      <c r="A56" s="10" t="s">
        <v>49</v>
      </c>
      <c r="B56" s="7">
        <f>0.8*B13</f>
        <v>360</v>
      </c>
    </row>
    <row r="60" spans="1:2" x14ac:dyDescent="0.25">
      <c r="A60" s="12" t="s">
        <v>92</v>
      </c>
      <c r="B60" s="12"/>
    </row>
    <row r="61" spans="1:2" x14ac:dyDescent="0.25">
      <c r="A61" s="10" t="s">
        <v>93</v>
      </c>
      <c r="B61" s="11">
        <f>B62*B64*B65*SQRT((2*B3*B67*SQRT(J23+1))/(0.85*L35*J28^2*J23))</f>
        <v>339.00467664165882</v>
      </c>
    </row>
    <row r="62" spans="1:2" x14ac:dyDescent="0.25">
      <c r="A62" s="10" t="s">
        <v>94</v>
      </c>
      <c r="B62" s="11">
        <v>274</v>
      </c>
    </row>
    <row r="63" spans="1:2" x14ac:dyDescent="0.25">
      <c r="A63" s="10" t="s">
        <v>95</v>
      </c>
      <c r="B63" s="11">
        <f>J26+J27</f>
        <v>0</v>
      </c>
    </row>
    <row r="64" spans="1:2" x14ac:dyDescent="0.25">
      <c r="A64" s="10" t="s">
        <v>96</v>
      </c>
      <c r="B64" s="11">
        <v>1.76</v>
      </c>
    </row>
    <row r="65" spans="1:2" x14ac:dyDescent="0.25">
      <c r="A65" s="10" t="s">
        <v>97</v>
      </c>
      <c r="B65" s="11">
        <f>SQRT((4-B66)/3)</f>
        <v>0.86909318307504602</v>
      </c>
    </row>
    <row r="66" spans="1:2" x14ac:dyDescent="0.25">
      <c r="A66" s="10" t="s">
        <v>98</v>
      </c>
      <c r="B66" s="11">
        <f>1.88-3.2*(1/J21+1/J22)</f>
        <v>1.7340311173974539</v>
      </c>
    </row>
    <row r="67" spans="1:2" x14ac:dyDescent="0.25">
      <c r="A67" s="10" t="s">
        <v>99</v>
      </c>
      <c r="B67" s="11">
        <f>B68*B69*B75</f>
        <v>1.3733168490010383</v>
      </c>
    </row>
    <row r="68" spans="1:2" x14ac:dyDescent="0.25">
      <c r="A68" s="10" t="s">
        <v>100</v>
      </c>
      <c r="B68" s="11">
        <f>J5</f>
        <v>1.1399999999999999</v>
      </c>
    </row>
    <row r="69" spans="1:2" x14ac:dyDescent="0.25">
      <c r="A69" s="10" t="s">
        <v>101</v>
      </c>
      <c r="B69" s="11">
        <v>1</v>
      </c>
    </row>
    <row r="70" spans="1:2" x14ac:dyDescent="0.25">
      <c r="A70" s="10" t="s">
        <v>102</v>
      </c>
      <c r="B70" s="11">
        <f>PI()*J28*B4/60000</f>
        <v>2.7104090618845933</v>
      </c>
    </row>
    <row r="71" spans="1:2" x14ac:dyDescent="0.25">
      <c r="A71" s="10" t="s">
        <v>103</v>
      </c>
      <c r="B71" s="11">
        <v>9</v>
      </c>
    </row>
    <row r="72" spans="1:2" x14ac:dyDescent="0.25">
      <c r="A72" s="10" t="s">
        <v>104</v>
      </c>
      <c r="B72" s="11">
        <f>B73*B74*B70*SQRT((J28*(J23+1))/J23)</f>
        <v>11.336845428282668</v>
      </c>
    </row>
    <row r="73" spans="1:2" x14ac:dyDescent="0.25">
      <c r="A73" s="10" t="s">
        <v>105</v>
      </c>
      <c r="B73" s="11">
        <v>6.0000000000000001E-3</v>
      </c>
    </row>
    <row r="74" spans="1:2" x14ac:dyDescent="0.25">
      <c r="A74" s="10" t="s">
        <v>106</v>
      </c>
      <c r="B74" s="11">
        <v>73</v>
      </c>
    </row>
    <row r="75" spans="1:2" x14ac:dyDescent="0.25">
      <c r="A75" s="10" t="s">
        <v>107</v>
      </c>
      <c r="B75" s="11">
        <f>1+(B72*L35*J28)/(2*B3*B68*B69)</f>
        <v>1.2046639026324899</v>
      </c>
    </row>
    <row r="76" spans="1:2" x14ac:dyDescent="0.25">
      <c r="A76" s="10" t="s">
        <v>108</v>
      </c>
      <c r="B76" s="11" t="str">
        <f>IF(B61&lt;=B51,"ok","như cc")</f>
        <v>ok</v>
      </c>
    </row>
    <row r="82" spans="1:2" x14ac:dyDescent="0.25">
      <c r="A82" s="12" t="s">
        <v>109</v>
      </c>
      <c r="B82" s="12"/>
    </row>
    <row r="83" spans="1:2" x14ac:dyDescent="0.25">
      <c r="A83" s="10" t="s">
        <v>38</v>
      </c>
      <c r="B83" s="11">
        <f>(2*B3*B93*B96*B95*B99)/(0.85*L35*J17*J16)</f>
        <v>95.38706520069627</v>
      </c>
    </row>
    <row r="84" spans="1:2" x14ac:dyDescent="0.25">
      <c r="A84" s="10" t="s">
        <v>38</v>
      </c>
      <c r="B84" s="11">
        <f>(B83*B100)/B99</f>
        <v>94.849673284072622</v>
      </c>
    </row>
    <row r="85" spans="1:2" x14ac:dyDescent="0.25">
      <c r="A85" s="10" t="s">
        <v>110</v>
      </c>
      <c r="B85" s="11">
        <f>L35/L34</f>
        <v>0.3</v>
      </c>
    </row>
    <row r="86" spans="1:2" x14ac:dyDescent="0.25">
      <c r="A86" s="10" t="s">
        <v>54</v>
      </c>
      <c r="B86" s="11">
        <f>(B85*J23)/(2-B85)</f>
        <v>0.63655462184873945</v>
      </c>
    </row>
    <row r="87" spans="1:2" x14ac:dyDescent="0.25">
      <c r="A87" s="10" t="s">
        <v>111</v>
      </c>
      <c r="B87" s="11">
        <v>1.28</v>
      </c>
    </row>
    <row r="88" spans="1:2" x14ac:dyDescent="0.25">
      <c r="A88" s="10" t="s">
        <v>112</v>
      </c>
      <c r="B88" s="11">
        <v>1.6E-2</v>
      </c>
    </row>
    <row r="89" spans="1:2" x14ac:dyDescent="0.25">
      <c r="A89" s="10" t="s">
        <v>106</v>
      </c>
      <c r="B89" s="11">
        <v>73</v>
      </c>
    </row>
    <row r="90" spans="1:2" x14ac:dyDescent="0.25">
      <c r="A90" s="10" t="s">
        <v>113</v>
      </c>
      <c r="B90" s="11">
        <f>B88*B89*B70*SQRT((J28*(J23+1))/J23)</f>
        <v>30.231587808753776</v>
      </c>
    </row>
    <row r="91" spans="1:2" x14ac:dyDescent="0.25">
      <c r="A91" s="10" t="s">
        <v>114</v>
      </c>
      <c r="B91" s="11">
        <f>1+(B90*L35*J28)/(2*B87*B3*B92)</f>
        <v>1.4860767687521634</v>
      </c>
    </row>
    <row r="92" spans="1:2" x14ac:dyDescent="0.25">
      <c r="A92" s="10" t="s">
        <v>115</v>
      </c>
      <c r="B92" s="11">
        <v>1</v>
      </c>
    </row>
    <row r="93" spans="1:2" x14ac:dyDescent="0.25">
      <c r="A93" s="10" t="s">
        <v>116</v>
      </c>
      <c r="B93" s="11">
        <f>B87*B92*B91</f>
        <v>1.9021782640027691</v>
      </c>
    </row>
    <row r="94" spans="1:2" x14ac:dyDescent="0.25">
      <c r="A94" s="10" t="s">
        <v>117</v>
      </c>
      <c r="B94" s="11"/>
    </row>
    <row r="95" spans="1:2" x14ac:dyDescent="0.25">
      <c r="A95" s="10" t="s">
        <v>118</v>
      </c>
      <c r="B95" s="11">
        <v>1</v>
      </c>
    </row>
    <row r="96" spans="1:2" x14ac:dyDescent="0.25">
      <c r="A96" s="10" t="s">
        <v>119</v>
      </c>
      <c r="B96" s="11">
        <f>1/B66</f>
        <v>0.57669091976899745</v>
      </c>
    </row>
    <row r="97" spans="1:2" x14ac:dyDescent="0.25">
      <c r="A97" s="10" t="s">
        <v>120</v>
      </c>
      <c r="B97" s="11">
        <f>J21/COS(RADIANS(J24))</f>
        <v>29.056057627531409</v>
      </c>
    </row>
    <row r="98" spans="1:2" x14ac:dyDescent="0.25">
      <c r="A98" s="10" t="s">
        <v>121</v>
      </c>
      <c r="B98" s="11">
        <f>J22/COS(RADIANS(J25))</f>
        <v>378.06230083985696</v>
      </c>
    </row>
    <row r="99" spans="1:2" x14ac:dyDescent="0.25">
      <c r="A99" s="10" t="s">
        <v>122</v>
      </c>
      <c r="B99" s="11">
        <v>3.55</v>
      </c>
    </row>
    <row r="100" spans="1:2" x14ac:dyDescent="0.25">
      <c r="A100" s="10" t="s">
        <v>123</v>
      </c>
      <c r="B100" s="11">
        <v>3.53</v>
      </c>
    </row>
    <row r="101" spans="1:2" x14ac:dyDescent="0.25">
      <c r="A101" s="10" t="s">
        <v>124</v>
      </c>
      <c r="B101" s="11" t="str">
        <f>IF(B83&lt;=B48,"ok","cc")</f>
        <v>ok</v>
      </c>
    </row>
    <row r="102" spans="1:2" x14ac:dyDescent="0.25">
      <c r="A102" s="10" t="s">
        <v>125</v>
      </c>
      <c r="B102" s="11" t="str">
        <f>IF(B84&lt;=B49,"ok","cc")</f>
        <v>ok</v>
      </c>
    </row>
  </sheetData>
  <mergeCells count="7">
    <mergeCell ref="L39:M39"/>
    <mergeCell ref="A60:B60"/>
    <mergeCell ref="A82:B82"/>
    <mergeCell ref="K32:M32"/>
    <mergeCell ref="L34:M34"/>
    <mergeCell ref="L35:M35"/>
    <mergeCell ref="L36:M3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 khang</dc:creator>
  <cp:lastModifiedBy>mai khang</cp:lastModifiedBy>
  <dcterms:created xsi:type="dcterms:W3CDTF">2026-02-23T11:38:00Z</dcterms:created>
  <dcterms:modified xsi:type="dcterms:W3CDTF">2026-02-25T11:06:15Z</dcterms:modified>
</cp:coreProperties>
</file>