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urul\Downloads\"/>
    </mc:Choice>
  </mc:AlternateContent>
  <xr:revisionPtr revIDLastSave="0" documentId="8_{72534793-3BF7-420B-9380-AF5EC2FBEBB6}" xr6:coauthVersionLast="47" xr6:coauthVersionMax="47" xr10:uidLastSave="{00000000-0000-0000-0000-000000000000}"/>
  <bookViews>
    <workbookView xWindow="-120" yWindow="-120" windowWidth="29040" windowHeight="15720" tabRatio="869" xr2:uid="{AFE4D8C4-29CA-4BB3-9484-80B876216458}"/>
  </bookViews>
  <sheets>
    <sheet name="BD" sheetId="270" r:id="rId1"/>
    <sheet name="SPH IDD" sheetId="269" r:id="rId2"/>
    <sheet name="SPK MANDOR" sheetId="281" r:id="rId3"/>
    <sheet name="REKAP PROYEK" sheetId="282" r:id="rId4"/>
    <sheet name="BA PROGRES" sheetId="273" r:id="rId5"/>
    <sheet name="INVOICE" sheetId="275" r:id="rId6"/>
    <sheet name="opname mandor" sheetId="277" r:id="rId7"/>
    <sheet name="REKAP OPNAME PROYEK" sheetId="283" r:id="rId8"/>
  </sheets>
  <externalReferences>
    <externalReference r:id="rId9"/>
  </externalReferences>
  <definedNames>
    <definedName name="a">#REF!</definedName>
    <definedName name="aw">#REF!</definedName>
    <definedName name="ClientAddress1">#REF!</definedName>
    <definedName name="ClientAddress2">#REF!</definedName>
    <definedName name="ClientCity">#REF!</definedName>
    <definedName name="ClientCountry">#REF!</definedName>
    <definedName name="ClientEmail">#REF!</definedName>
    <definedName name="ClientFax">#REF!</definedName>
    <definedName name="ClientPhone">#REF!</definedName>
    <definedName name="ClientState">#REF!</definedName>
    <definedName name="ClientZip">#REF!</definedName>
    <definedName name="Company">#REF!</definedName>
    <definedName name="Comparison">#REF!</definedName>
    <definedName name="Construction_Period">#REF!</definedName>
    <definedName name="Contact">#REF!</definedName>
    <definedName name="Date">#REF!</definedName>
    <definedName name="DP">#REF!</definedName>
    <definedName name="drfg">#REF!</definedName>
    <definedName name="Export">#REF!</definedName>
    <definedName name="gh">#REF!</definedName>
    <definedName name="ghj">#REF!</definedName>
    <definedName name="hyj">#REF!</definedName>
    <definedName name="insert_rows_1">#REF!</definedName>
    <definedName name="jk">#REF!</definedName>
    <definedName name="Lead">#REF!</definedName>
    <definedName name="Overall_Summary_Title">#REF!</definedName>
    <definedName name="PHH">#REF!</definedName>
    <definedName name="Principal">#REF!</definedName>
    <definedName name="_xlnm.Print_Area" localSheetId="6">'opname mandor'!$A$1:$F$36</definedName>
    <definedName name="_xlnm.Print_Area" localSheetId="1">'SPH IDD'!$A$1:$G$56</definedName>
    <definedName name="ProjectLocation">#REF!</definedName>
    <definedName name="ProjectNumber">#REF!</definedName>
    <definedName name="ProjectSubtitle">#REF!</definedName>
    <definedName name="ProjectTitle">#REF!</definedName>
    <definedName name="rate_of_exchange">#REF!</definedName>
    <definedName name="sd">#REF!</definedName>
    <definedName name="Section_1_Title">#REF!</definedName>
    <definedName name="Section_10_Title">#REF!</definedName>
    <definedName name="Section_11_Title">#REF!</definedName>
    <definedName name="Section_12_Title">#REF!</definedName>
    <definedName name="Section_13_Title">#REF!</definedName>
    <definedName name="Section_14_Title">#REF!</definedName>
    <definedName name="Section_15_Title">#REF!</definedName>
    <definedName name="Section_16_Title">#REF!</definedName>
    <definedName name="Section_17_Title">#REF!</definedName>
    <definedName name="Section_18_Title">#REF!</definedName>
    <definedName name="Section_19_Title">#REF!</definedName>
    <definedName name="Section_2_Title">#REF!</definedName>
    <definedName name="Section_20_Title">#REF!</definedName>
    <definedName name="Section_21_Title">#REF!</definedName>
    <definedName name="Section_22_Title">#REF!</definedName>
    <definedName name="Section_23_Title">#REF!</definedName>
    <definedName name="Section_24_Title">#REF!</definedName>
    <definedName name="Section_25_Title">#REF!</definedName>
    <definedName name="Section_26_Title">#REF!</definedName>
    <definedName name="Section_27_Title">#REF!</definedName>
    <definedName name="Section_28_Title">#REF!</definedName>
    <definedName name="Section_29_Title">#REF!</definedName>
    <definedName name="Section_3_Title">#REF!</definedName>
    <definedName name="Section_30_Title">#REF!</definedName>
    <definedName name="Section_31_Title">#REF!</definedName>
    <definedName name="Section_32_Title">#REF!</definedName>
    <definedName name="Section_33_Title">#REF!</definedName>
    <definedName name="Section_34_Title">#REF!</definedName>
    <definedName name="Section_4_Title">#REF!</definedName>
    <definedName name="Section_5_Title">#REF!</definedName>
    <definedName name="Section_6_Title">#REF!</definedName>
    <definedName name="Section_7_Title">#REF!</definedName>
    <definedName name="Section_8_Title">#REF!</definedName>
    <definedName name="Section_9_Title">#REF!</definedName>
    <definedName name="sheet_1_Title">'[1]Fill this out first...'!$D$19</definedName>
    <definedName name="Stage">#REF!</definedName>
    <definedName name="Start_Date">#REF!</definedName>
    <definedName name="type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ar_2000">#REF!</definedName>
    <definedName name="Year_2001">#REF!</definedName>
    <definedName name="Year_200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83" l="1"/>
  <c r="I14" i="281"/>
  <c r="I17" i="281"/>
  <c r="I18" i="281"/>
  <c r="I19" i="281"/>
  <c r="H20" i="281"/>
  <c r="I20" i="281"/>
  <c r="H21" i="281"/>
  <c r="I21" i="281"/>
  <c r="H22" i="281"/>
  <c r="H23" i="281"/>
  <c r="I23" i="281"/>
  <c r="H24" i="281"/>
  <c r="I24" i="281"/>
  <c r="I25" i="281"/>
  <c r="H26" i="281"/>
  <c r="H33" i="281" s="1"/>
  <c r="I33" i="281" s="1"/>
  <c r="H27" i="281"/>
  <c r="H34" i="281" s="1"/>
  <c r="I34" i="281" s="1"/>
  <c r="I27" i="281"/>
  <c r="H28" i="281"/>
  <c r="H35" i="281" s="1"/>
  <c r="I35" i="281" s="1"/>
  <c r="H29" i="281"/>
  <c r="H36" i="281" s="1"/>
  <c r="I36" i="281" s="1"/>
  <c r="H30" i="281"/>
  <c r="H37" i="281"/>
  <c r="I37" i="281"/>
  <c r="I32" i="281"/>
  <c r="I38" i="281"/>
  <c r="I39" i="281"/>
  <c r="F39" i="281"/>
  <c r="E35" i="281"/>
  <c r="F35" i="281"/>
  <c r="E34" i="281"/>
  <c r="C34" i="281"/>
  <c r="E33" i="281"/>
  <c r="F33" i="281"/>
  <c r="F28" i="281"/>
  <c r="F27" i="281"/>
  <c r="F26" i="281"/>
  <c r="E24" i="281"/>
  <c r="E30" i="281"/>
  <c r="F30" i="281" s="1"/>
  <c r="E23" i="281"/>
  <c r="F23" i="281"/>
  <c r="C22" i="281"/>
  <c r="F22" i="281"/>
  <c r="C21" i="281"/>
  <c r="F21" i="281"/>
  <c r="F20" i="281"/>
  <c r="F18" i="281"/>
  <c r="F17" i="281"/>
  <c r="C16" i="281"/>
  <c r="I16" i="281" s="1"/>
  <c r="F16" i="281"/>
  <c r="C15" i="281"/>
  <c r="I15" i="281"/>
  <c r="F14" i="281"/>
  <c r="F63" i="277"/>
  <c r="F105" i="277"/>
  <c r="C15" i="283" s="1"/>
  <c r="F92" i="277"/>
  <c r="F80" i="277"/>
  <c r="F79" i="277"/>
  <c r="F85" i="277" s="1"/>
  <c r="F78" i="277"/>
  <c r="F30" i="277"/>
  <c r="F20" i="277"/>
  <c r="E16" i="277"/>
  <c r="F16" i="277" s="1"/>
  <c r="E15" i="277"/>
  <c r="C15" i="277"/>
  <c r="F15" i="277" s="1"/>
  <c r="E14" i="277"/>
  <c r="F14" i="277" s="1"/>
  <c r="F49" i="277"/>
  <c r="F48" i="277"/>
  <c r="F47" i="277"/>
  <c r="E44" i="277"/>
  <c r="F44" i="277"/>
  <c r="E50" i="277"/>
  <c r="E17" i="277" s="1"/>
  <c r="F17" i="277" s="1"/>
  <c r="F43" i="277"/>
  <c r="F42" i="277"/>
  <c r="F41" i="277"/>
  <c r="F53" i="277" s="1"/>
  <c r="F10" i="277"/>
  <c r="C9" i="277"/>
  <c r="F9" i="277"/>
  <c r="C8" i="277"/>
  <c r="F8" i="277" s="1"/>
  <c r="F7" i="277"/>
  <c r="K20" i="273"/>
  <c r="I40" i="273"/>
  <c r="J40" i="273"/>
  <c r="C42" i="273"/>
  <c r="F39" i="273"/>
  <c r="G39" i="273" s="1"/>
  <c r="F38" i="273"/>
  <c r="G38" i="273"/>
  <c r="F37" i="273"/>
  <c r="G37" i="273" s="1"/>
  <c r="C32" i="273"/>
  <c r="F29" i="273"/>
  <c r="G29" i="273" s="1"/>
  <c r="C29" i="273"/>
  <c r="C20" i="273"/>
  <c r="C19" i="273"/>
  <c r="C14" i="273"/>
  <c r="C13" i="273"/>
  <c r="I9" i="270"/>
  <c r="I21" i="270" s="1"/>
  <c r="F31" i="269"/>
  <c r="G31" i="269" s="1"/>
  <c r="C31" i="269"/>
  <c r="F39" i="269"/>
  <c r="G39" i="269"/>
  <c r="F40" i="269"/>
  <c r="G40" i="269" s="1"/>
  <c r="F41" i="269"/>
  <c r="G41" i="269"/>
  <c r="I118" i="270"/>
  <c r="I120" i="270"/>
  <c r="I108" i="270"/>
  <c r="I109" i="270"/>
  <c r="E15" i="273" s="1"/>
  <c r="I100" i="270"/>
  <c r="I99" i="270"/>
  <c r="I98" i="270"/>
  <c r="I97" i="270"/>
  <c r="I96" i="270"/>
  <c r="I95" i="270"/>
  <c r="I101" i="270" s="1"/>
  <c r="I94" i="270"/>
  <c r="I93" i="270"/>
  <c r="I88" i="270"/>
  <c r="I85" i="270"/>
  <c r="I84" i="270"/>
  <c r="I89" i="270" s="1"/>
  <c r="I83" i="270"/>
  <c r="I82" i="270"/>
  <c r="I81" i="270"/>
  <c r="I72" i="270"/>
  <c r="I70" i="270"/>
  <c r="I64" i="270"/>
  <c r="I63" i="270"/>
  <c r="I62" i="270"/>
  <c r="I61" i="270"/>
  <c r="I60" i="270"/>
  <c r="I65" i="270" s="1"/>
  <c r="I59" i="270"/>
  <c r="I58" i="270"/>
  <c r="I57" i="270"/>
  <c r="I40" i="270"/>
  <c r="I52" i="270" s="1"/>
  <c r="I76" i="270" s="1"/>
  <c r="I39" i="270"/>
  <c r="I37" i="270"/>
  <c r="I35" i="270"/>
  <c r="I34" i="270"/>
  <c r="I28" i="270"/>
  <c r="I27" i="270"/>
  <c r="I51" i="270"/>
  <c r="I75" i="270"/>
  <c r="I26" i="270"/>
  <c r="I38" i="270"/>
  <c r="I74" i="270"/>
  <c r="I25" i="270"/>
  <c r="I49" i="270"/>
  <c r="I73" i="270" s="1"/>
  <c r="I24" i="270"/>
  <c r="I23" i="270"/>
  <c r="I47" i="270"/>
  <c r="I71" i="270" s="1"/>
  <c r="I19" i="270"/>
  <c r="C34" i="269"/>
  <c r="C21" i="269"/>
  <c r="C22" i="269"/>
  <c r="C16" i="269"/>
  <c r="C15" i="269"/>
  <c r="E18" i="269"/>
  <c r="E30" i="269" s="1"/>
  <c r="F18" i="269"/>
  <c r="G18" i="269"/>
  <c r="E16" i="269"/>
  <c r="F16" i="269" s="1"/>
  <c r="G16" i="269" s="1"/>
  <c r="F81" i="277"/>
  <c r="E14" i="273"/>
  <c r="E26" i="273" s="1"/>
  <c r="E16" i="273"/>
  <c r="F16" i="273" s="1"/>
  <c r="G16" i="273" s="1"/>
  <c r="E22" i="273"/>
  <c r="F22" i="273"/>
  <c r="G22" i="273"/>
  <c r="E17" i="269"/>
  <c r="F17" i="269" s="1"/>
  <c r="G17" i="269" s="1"/>
  <c r="I50" i="270"/>
  <c r="E28" i="273"/>
  <c r="E35" i="273"/>
  <c r="F35" i="273"/>
  <c r="G35" i="273"/>
  <c r="F28" i="273"/>
  <c r="G28" i="273"/>
  <c r="C114" i="277"/>
  <c r="C116" i="277" s="1"/>
  <c r="F50" i="277"/>
  <c r="I22" i="281"/>
  <c r="I30" i="281"/>
  <c r="F34" i="281"/>
  <c r="F24" i="281"/>
  <c r="E29" i="281"/>
  <c r="E36" i="281" s="1"/>
  <c r="F36" i="281" s="1"/>
  <c r="F15" i="281"/>
  <c r="F29" i="281"/>
  <c r="E33" i="273" l="1"/>
  <c r="F33" i="273" s="1"/>
  <c r="F26" i="273"/>
  <c r="E21" i="273"/>
  <c r="F21" i="273" s="1"/>
  <c r="G21" i="273" s="1"/>
  <c r="E27" i="273"/>
  <c r="F15" i="273"/>
  <c r="G15" i="273" s="1"/>
  <c r="C13" i="283"/>
  <c r="F64" i="277"/>
  <c r="C14" i="283"/>
  <c r="F93" i="277"/>
  <c r="I45" i="270"/>
  <c r="I29" i="270"/>
  <c r="E37" i="269"/>
  <c r="F37" i="269" s="1"/>
  <c r="G37" i="269" s="1"/>
  <c r="F30" i="269"/>
  <c r="G30" i="269" s="1"/>
  <c r="F23" i="277"/>
  <c r="E23" i="269"/>
  <c r="F23" i="269" s="1"/>
  <c r="G23" i="269" s="1"/>
  <c r="E20" i="273"/>
  <c r="F20" i="273" s="1"/>
  <c r="I17" i="270"/>
  <c r="I26" i="281"/>
  <c r="I42" i="281" s="1"/>
  <c r="C12" i="282" s="1"/>
  <c r="F14" i="273"/>
  <c r="E28" i="269"/>
  <c r="E29" i="269"/>
  <c r="E24" i="269"/>
  <c r="F24" i="269" s="1"/>
  <c r="G24" i="269" s="1"/>
  <c r="E37" i="281"/>
  <c r="F37" i="281" s="1"/>
  <c r="F42" i="281" s="1"/>
  <c r="C11" i="282" s="1"/>
  <c r="C15" i="282" s="1"/>
  <c r="I29" i="281"/>
  <c r="I28" i="281"/>
  <c r="E22" i="269"/>
  <c r="F22" i="269" s="1"/>
  <c r="G22" i="269" s="1"/>
  <c r="I33" i="270"/>
  <c r="I41" i="270" s="1"/>
  <c r="C12" i="283" l="1"/>
  <c r="C18" i="283" s="1"/>
  <c r="C20" i="283" s="1"/>
  <c r="C21" i="283" s="1"/>
  <c r="F31" i="277"/>
  <c r="E36" i="269"/>
  <c r="F36" i="269" s="1"/>
  <c r="G36" i="269" s="1"/>
  <c r="F29" i="269"/>
  <c r="G29" i="269" s="1"/>
  <c r="E14" i="269"/>
  <c r="E12" i="273"/>
  <c r="F27" i="273"/>
  <c r="G27" i="273" s="1"/>
  <c r="E34" i="273"/>
  <c r="F34" i="273" s="1"/>
  <c r="G34" i="273" s="1"/>
  <c r="E35" i="269"/>
  <c r="F35" i="269" s="1"/>
  <c r="G35" i="269" s="1"/>
  <c r="F28" i="269"/>
  <c r="G28" i="269" s="1"/>
  <c r="I53" i="270"/>
  <c r="I69" i="270"/>
  <c r="I77" i="270" s="1"/>
  <c r="G14" i="273"/>
  <c r="G20" i="273"/>
  <c r="E13" i="273"/>
  <c r="E15" i="269"/>
  <c r="G26" i="273"/>
  <c r="G33" i="273"/>
  <c r="E26" i="269" l="1"/>
  <c r="F14" i="269"/>
  <c r="G14" i="269" s="1"/>
  <c r="E20" i="269"/>
  <c r="F20" i="269" s="1"/>
  <c r="G20" i="269" s="1"/>
  <c r="E27" i="269"/>
  <c r="F15" i="269"/>
  <c r="G15" i="269" s="1"/>
  <c r="E21" i="269"/>
  <c r="F21" i="269" s="1"/>
  <c r="G21" i="269" s="1"/>
  <c r="F12" i="273"/>
  <c r="E18" i="273"/>
  <c r="F18" i="273" s="1"/>
  <c r="E24" i="273"/>
  <c r="E25" i="273"/>
  <c r="F13" i="273"/>
  <c r="E19" i="273"/>
  <c r="F19" i="273" s="1"/>
  <c r="G18" i="273" l="1"/>
  <c r="G13" i="273"/>
  <c r="F24" i="273"/>
  <c r="E31" i="273"/>
  <c r="F31" i="273" s="1"/>
  <c r="E34" i="269"/>
  <c r="F34" i="269" s="1"/>
  <c r="G34" i="269" s="1"/>
  <c r="F27" i="269"/>
  <c r="G27" i="269" s="1"/>
  <c r="F25" i="273"/>
  <c r="E32" i="273"/>
  <c r="F32" i="273" s="1"/>
  <c r="G12" i="273"/>
  <c r="E33" i="269"/>
  <c r="F33" i="269" s="1"/>
  <c r="G33" i="269" s="1"/>
  <c r="F26" i="269"/>
  <c r="G26" i="269" s="1"/>
  <c r="G42" i="269" s="1"/>
  <c r="G19" i="273"/>
  <c r="D23" i="275" l="1"/>
  <c r="D24" i="275" s="1"/>
  <c r="D15" i="275" s="1"/>
  <c r="C7" i="282"/>
  <c r="C17" i="282" s="1"/>
  <c r="C18" i="282" s="1"/>
  <c r="G32" i="273"/>
  <c r="G25" i="273"/>
  <c r="G24" i="273"/>
  <c r="G31" i="273"/>
  <c r="G40" i="273" l="1"/>
  <c r="H24" i="273" s="1"/>
  <c r="H25" i="273" l="1"/>
  <c r="H31" i="273"/>
  <c r="H28" i="273"/>
  <c r="L29" i="273"/>
  <c r="H38" i="273"/>
  <c r="H16" i="273"/>
  <c r="H37" i="273"/>
  <c r="H39" i="273"/>
  <c r="H22" i="273"/>
  <c r="H35" i="273"/>
  <c r="H29" i="273"/>
  <c r="H21" i="273"/>
  <c r="L20" i="273"/>
  <c r="H15" i="273"/>
  <c r="L33" i="273"/>
  <c r="L26" i="273"/>
  <c r="L14" i="273"/>
  <c r="H33" i="273"/>
  <c r="H20" i="273"/>
  <c r="H26" i="273"/>
  <c r="H34" i="273"/>
  <c r="H14" i="273"/>
  <c r="H27" i="273"/>
  <c r="L18" i="273"/>
  <c r="L13" i="273"/>
  <c r="L12" i="273"/>
  <c r="L19" i="273"/>
  <c r="L25" i="273"/>
  <c r="H18" i="273"/>
  <c r="L32" i="273"/>
  <c r="H13" i="273"/>
  <c r="H19" i="273"/>
  <c r="L24" i="273"/>
  <c r="L31" i="273"/>
  <c r="H12" i="273"/>
  <c r="H32" i="273"/>
  <c r="L39" i="273" l="1"/>
  <c r="K39" i="273"/>
  <c r="K37" i="273"/>
  <c r="L37" i="273"/>
  <c r="L40" i="273" s="1"/>
  <c r="C43" i="273" s="1"/>
  <c r="C44" i="273" s="1"/>
  <c r="L38" i="273"/>
  <c r="K38" i="273"/>
  <c r="H40" i="273"/>
  <c r="K40" i="27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08" authorId="0" shapeId="0" xr:uid="{FCAC2685-8359-4495-8E2C-461E16350F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<sst xmlns="http://schemas.openxmlformats.org/spreadsheetml/2006/main" count="657" uniqueCount="196">
  <si>
    <t>Dengan hormat,</t>
  </si>
  <si>
    <t>Hormat kami,</t>
  </si>
  <si>
    <t>Total</t>
  </si>
  <si>
    <t>Area Pemasangan</t>
  </si>
  <si>
    <t>Pengerjaan akan dilakukan sesuai dengan shop drawing yang telah disetujui</t>
  </si>
  <si>
    <t>Pembayaran dapat dilakukan melalui :</t>
  </si>
  <si>
    <t>No</t>
  </si>
  <si>
    <t xml:space="preserve">Harga Satuan </t>
  </si>
  <si>
    <t>Satino</t>
  </si>
  <si>
    <t>Qty</t>
  </si>
  <si>
    <t>Demikianlah penawaran harga ini kami sampaikan</t>
  </si>
  <si>
    <t>ls</t>
  </si>
  <si>
    <t>Pilar Asa Mandiri</t>
  </si>
  <si>
    <t>Ruko Permata Regensi Blok D No. 37, Jl. H. Kelik  RT 001/RW 006, Kel. Srengseng Kec. Kembangan, Jakarta Barat</t>
  </si>
  <si>
    <t xml:space="preserve">    Bersama ini kami ajukan penawaran pemasangan dengan perincian harga sebagai berikut  :</t>
  </si>
  <si>
    <t>m1</t>
  </si>
  <si>
    <t>unit</t>
  </si>
  <si>
    <t>A</t>
  </si>
  <si>
    <t>Female Toilet</t>
  </si>
  <si>
    <t>Male Toilet</t>
  </si>
  <si>
    <t>B</t>
  </si>
  <si>
    <t>C</t>
  </si>
  <si>
    <t>Difable Toilet</t>
  </si>
  <si>
    <t>D</t>
  </si>
  <si>
    <t>Nursery</t>
  </si>
  <si>
    <t>Jasa pasang lantai</t>
  </si>
  <si>
    <t>Jasa pasang dinding</t>
  </si>
  <si>
    <t>Jasa pasang &amp; material rangka boxes vanity</t>
  </si>
  <si>
    <t>m2</t>
  </si>
  <si>
    <t>Jasa pasang toping / ambalan</t>
  </si>
  <si>
    <t>Jasa pasang top vanity &amp; pelubangan</t>
  </si>
  <si>
    <t xml:space="preserve">PRELIMINARIES </t>
  </si>
  <si>
    <t>koordinasi &amp; supervisi</t>
  </si>
  <si>
    <t xml:space="preserve">Kepada Yth Bp Randy Andrian </t>
  </si>
  <si>
    <t>Project      :  IDD PIK 2</t>
  </si>
  <si>
    <t>Project</t>
  </si>
  <si>
    <t xml:space="preserve">: </t>
  </si>
  <si>
    <t>Subject</t>
  </si>
  <si>
    <t>: BREAKDOWN PEMASANGAN MARMER &amp; BAHAN BANTU</t>
  </si>
  <si>
    <t>Location</t>
  </si>
  <si>
    <t>: JABODETABEK</t>
  </si>
  <si>
    <t>NO</t>
  </si>
  <si>
    <t>DESCRIPTION</t>
  </si>
  <si>
    <t>HARGA SATUAN</t>
  </si>
  <si>
    <t>PERINCIAN PEMASANGAN LANTAI , PER M2</t>
  </si>
  <si>
    <t>Jasa setting &amp;  Pasang Material</t>
  </si>
  <si>
    <t>:</t>
  </si>
  <si>
    <t>Bahan Bantu :</t>
  </si>
  <si>
    <t>screed mu 301/ s3 / setara ( tebal 30mm )</t>
  </si>
  <si>
    <t>Tile Adhesive MU 450/ laticrete / Setara - Tebal max 5 mm</t>
  </si>
  <si>
    <t>Perekat Marmer Ke Adukan Laticrete L3642 ( bonding agent )</t>
  </si>
  <si>
    <t>Poles Marmer fin. polish + Resin</t>
  </si>
  <si>
    <t>Epoxy/ RTN</t>
  </si>
  <si>
    <t>Proteksi plastik cor</t>
  </si>
  <si>
    <t>Angkut</t>
  </si>
  <si>
    <t>Coating Material eks Akemi /FILA/ishinol</t>
  </si>
  <si>
    <t>PERINCIAN PEMASANGAN LANTAI MARMER PUTIH, PER M2</t>
  </si>
  <si>
    <t>Tile Adhesive  laticrete putih / Setara - Tebal max 5 mm</t>
  </si>
  <si>
    <t>Coating Material eks Akemi / FILA / ishinol</t>
  </si>
  <si>
    <t>PERINCIAN PEMASANGAN DINDING , PER M2</t>
  </si>
  <si>
    <t>Jasa setting &amp; Pasang Material</t>
  </si>
  <si>
    <t>Plester dinding mu 301  /  S3  / setara ( tebal 3cm )</t>
  </si>
  <si>
    <t>Tile Adhesive MU 450/ Laticrete /Setara - Tebal max 5 mm</t>
  </si>
  <si>
    <t xml:space="preserve">Resin &amp; finishing </t>
  </si>
  <si>
    <t>PERINCIAN PEMASANGAN DINDING MARMER PUTIH , PER M2</t>
  </si>
  <si>
    <t>PERINCIAN PEMASANGAN BORDER 10 - 20 CM, PER M1</t>
  </si>
  <si>
    <t>PERINCIAN PEMASANGAN SKIRTING 25 CM, PER M1</t>
  </si>
  <si>
    <t>PERINCIAN PEMASANGAN TRAP TANGGA, PER M1</t>
  </si>
  <si>
    <t>PERINCIAN PEMASANGAN TRESHOLD, PER M1</t>
  </si>
  <si>
    <t>Screed mu 301/ s3 / setara ( tebal 30mm )</t>
  </si>
  <si>
    <t>PERINCIAN PEMASANGAN COUNTER TOP / VANITY TOP, PER M1</t>
  </si>
  <si>
    <t>Perekat marmer</t>
  </si>
  <si>
    <t>detail edging minimalis</t>
  </si>
  <si>
    <t>Coating Material eks Akemi / ishinol</t>
  </si>
  <si>
    <t>PERINCIAN PEKERJAAN DETAIL ( M1 )</t>
  </si>
  <si>
    <t>pekerjaan detail profile</t>
  </si>
  <si>
    <t>pekerjaan detail  bullnose</t>
  </si>
  <si>
    <t>pekerjaan detail tali air</t>
  </si>
  <si>
    <t>pekerjaan detail gutter</t>
  </si>
  <si>
    <t>pekerjaan detail inlay</t>
  </si>
  <si>
    <t>PRELIMINARIES</t>
  </si>
  <si>
    <t>Mobilisasi + kebersihan u/ buang puing &amp; sampah</t>
  </si>
  <si>
    <t>Supervisi , gambar dan pemilihan marmer</t>
  </si>
  <si>
    <t>K3 dan Id Card</t>
  </si>
  <si>
    <t>Mobilisasi, kebersihan dll</t>
  </si>
  <si>
    <t xml:space="preserve">persipan &amp; kerja peralatan </t>
  </si>
  <si>
    <t>harga sudah termasuk bahan bantu pemasangan ( marking, perekat, resin &amp; finishing )</t>
  </si>
  <si>
    <t>Rekening Bank BCA  372 050  1111 an Pilar Asa Mandiri PT</t>
  </si>
  <si>
    <t>Harga Setelah Disc</t>
  </si>
  <si>
    <t>Harga adalah jasa dan alat kerja, tidak termasuk bahan bantu pemasangan</t>
  </si>
  <si>
    <t>1. menyedikan team / pekerja yg ahli dalam bidangnya</t>
  </si>
  <si>
    <t>2. menjaga, mengawasi dan koordinasi progres pekerjaan</t>
  </si>
  <si>
    <t>3. bertanggung jawab terhadap progres &amp; hasil pekerjaan</t>
  </si>
  <si>
    <t>Mandor bertanggung jawab atas :</t>
  </si>
  <si>
    <t>Penebalan rangka dinding ( dry sistem )</t>
  </si>
  <si>
    <t>Hal             : Penawaran Harga rev 3</t>
  </si>
  <si>
    <t>Termin Pembayaran : Dp 30% &amp; progres bulanan</t>
  </si>
  <si>
    <t>Jakarta, 04 April 2023</t>
  </si>
  <si>
    <t>Hal             : Berita Acara Progres pekerjaan 1</t>
  </si>
  <si>
    <t>BOBOT</t>
  </si>
  <si>
    <t>%</t>
  </si>
  <si>
    <t>M2</t>
  </si>
  <si>
    <t xml:space="preserve">PILAR ASA MANDIRI          </t>
  </si>
  <si>
    <t xml:space="preserve">Total   =   </t>
  </si>
  <si>
    <t>progres bulan lalu</t>
  </si>
  <si>
    <t>progres bulan ini</t>
  </si>
  <si>
    <t xml:space="preserve">Total progres </t>
  </si>
  <si>
    <t xml:space="preserve">  Demikian Berita Acara ini dibuat dengan sebenarnya dan diketahui oleh kedua belah pihak untuk dapat</t>
  </si>
  <si>
    <t>dipergunakan sebagaimana mestinya</t>
  </si>
  <si>
    <t xml:space="preserve">Mengetahui  : </t>
  </si>
  <si>
    <t>PROGRES LALU</t>
  </si>
  <si>
    <t>PROGRES INI</t>
  </si>
  <si>
    <t xml:space="preserve">                     Kedua belah pihak telah melakukan pengecekan bersama dan sepakat bahwa material telah terpasang dengan bobot </t>
  </si>
  <si>
    <t xml:space="preserve"> PT PILAR ASA MANDIRI</t>
  </si>
  <si>
    <t>KWITANSI</t>
  </si>
  <si>
    <t>Diterima Dari</t>
  </si>
  <si>
    <t>Alamat</t>
  </si>
  <si>
    <t>Tlp</t>
  </si>
  <si>
    <t>Fax</t>
  </si>
  <si>
    <t>Uang Sebanyak</t>
  </si>
  <si>
    <t>Untuk pembayaran</t>
  </si>
  <si>
    <t xml:space="preserve">Terbilang </t>
  </si>
  <si>
    <t>Nilai Kontrak</t>
  </si>
  <si>
    <t xml:space="preserve"> ( Satino )</t>
  </si>
  <si>
    <t>PT. Wijaya Kusuma Contractors</t>
  </si>
  <si>
    <t>Indonesia Design Districk , Jl Rasuna Said, Distrik 11 PIK - 2</t>
  </si>
  <si>
    <t>progres 1  Pekerjaan pasang marmer toilet magran - T2</t>
  </si>
  <si>
    <t>NO. …/SPK-SATINO/WKC-IDD/IV/2023</t>
  </si>
  <si>
    <t>No SPK</t>
  </si>
  <si>
    <t>021 390 5658</t>
  </si>
  <si>
    <t xml:space="preserve">Jl. R.P. Soeroso No. 32, Jakarta  </t>
  </si>
  <si>
    <t xml:space="preserve">Pembayaran di trasfer ke </t>
  </si>
  <si>
    <t>Bank</t>
  </si>
  <si>
    <t xml:space="preserve">Atas Nama </t>
  </si>
  <si>
    <t>No Rekening</t>
  </si>
  <si>
    <t>BCA</t>
  </si>
  <si>
    <t>372 050 1111</t>
  </si>
  <si>
    <t>Pilar Asa Mandiri PT</t>
  </si>
  <si>
    <t>Progres 1 sebesar 54,33 %</t>
  </si>
  <si>
    <t>#  sembilan puluh lima juta empat ratus tiga puluh ribu sembilan ratus  sembilan puluh dua rupiah #</t>
  </si>
  <si>
    <t>kemajuan progres pekerjaan sebesar 71,44 %</t>
  </si>
  <si>
    <t>Pembayaran 1</t>
  </si>
  <si>
    <t>Pembayaran 2</t>
  </si>
  <si>
    <t>Pembayaran 3</t>
  </si>
  <si>
    <t>Sisa pembayaran</t>
  </si>
  <si>
    <t>TOTAL</t>
  </si>
  <si>
    <t>REK BCA 0450 849 260  ( MUSHOLI )</t>
  </si>
  <si>
    <t>Total Bayar</t>
  </si>
  <si>
    <t>Pembayaran 4</t>
  </si>
  <si>
    <t>Sisa Bayar</t>
  </si>
  <si>
    <t>Pembayaran 5</t>
  </si>
  <si>
    <t>Pembayaran 6</t>
  </si>
  <si>
    <t>Pembayaran 7</t>
  </si>
  <si>
    <t>Pembayaran 8</t>
  </si>
  <si>
    <t>Total bayar</t>
  </si>
  <si>
    <t>a</t>
  </si>
  <si>
    <t>Toilet</t>
  </si>
  <si>
    <t>male</t>
  </si>
  <si>
    <t>fimale</t>
  </si>
  <si>
    <t>nursery</t>
  </si>
  <si>
    <t>difabel</t>
  </si>
  <si>
    <t>Rekap Bayar ruski</t>
  </si>
  <si>
    <t>IDD PIK 2 ( OPR &amp; BB )</t>
  </si>
  <si>
    <t>Operasioal didit</t>
  </si>
  <si>
    <t>Yanu</t>
  </si>
  <si>
    <t>Operasioal perekat MU 400</t>
  </si>
  <si>
    <t>REKAP IDD PIK</t>
  </si>
  <si>
    <t xml:space="preserve">Mandor , BB , Opr </t>
  </si>
  <si>
    <t>perekat sthree</t>
  </si>
  <si>
    <t xml:space="preserve">Uang Masuk opname </t>
  </si>
  <si>
    <t>Sisa / Margin</t>
  </si>
  <si>
    <t>: IDD PIK 2</t>
  </si>
  <si>
    <t>SPK MANDOR</t>
  </si>
  <si>
    <t>Total jasa</t>
  </si>
  <si>
    <t>Budget Bahan bantu pasang dan operasioanl</t>
  </si>
  <si>
    <t>Jakarta, 27 Maret 2021</t>
  </si>
  <si>
    <t>BAHAN BANTU &amp; OPR</t>
  </si>
  <si>
    <t>Lain lain</t>
  </si>
  <si>
    <t>Total Penegluaran</t>
  </si>
  <si>
    <t>Margin</t>
  </si>
  <si>
    <t>Presentase Margin</t>
  </si>
  <si>
    <t>SPH  ( deal )</t>
  </si>
  <si>
    <t>SPK Mandor</t>
  </si>
  <si>
    <t>Pengeluaran  :</t>
  </si>
  <si>
    <t>Rekap Bayar mandor ipung</t>
  </si>
  <si>
    <t>OPNAME PEKERJAAN MANDOR IPUNG</t>
  </si>
  <si>
    <t>OPNAME PEKERJAAN MANDOR MUSHOLLI</t>
  </si>
  <si>
    <t>OPNAME PEKERJAAN MANDOR RUSKI</t>
  </si>
  <si>
    <t xml:space="preserve">      Hari / Tanggal  : Selasa, 04 April 2022</t>
  </si>
  <si>
    <t>Jakarta , 11 April 2022</t>
  </si>
  <si>
    <t>No : KWI/ASA/356/2022</t>
  </si>
  <si>
    <t>Opname pekerjaan</t>
  </si>
  <si>
    <t>mandor ipung</t>
  </si>
  <si>
    <t>mandor musholi</t>
  </si>
  <si>
    <t>mandor ruski</t>
  </si>
  <si>
    <t>opname  Mandor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</si>
</sst>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8" formatCode="_(&quot;Rp&quot;* #,##0_);_(&quot;Rp&quot;* \(#,##0\);_(&quot;Rp&quot;* &quot;-&quot;_);_(@_)"/>
    <numFmt numFmtId="169" formatCode="_(* #,##0_);_(* \(#,##0\);_(* &quot;-&quot;_);_(@_)"/>
    <numFmt numFmtId="171" formatCode="_(* #,##0.00_);_(* \(#,##0.00\);_(* &quot;-&quot;??_);_(@_)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9" formatCode="0###0"/>
    <numFmt numFmtId="180" formatCode="#,##0_);[Red]\(#,##0\);;@"/>
    <numFmt numFmtId="181" formatCode="General\ ;[Red]\(General\)"/>
    <numFmt numFmtId="182" formatCode="0##0"/>
    <numFmt numFmtId="183" formatCode="_([$Rp-421]* #,##0_);_([$Rp-421]* \(#,##0\);_([$Rp-421]* &quot;-&quot;_);_(@_)"/>
    <numFmt numFmtId="188" formatCode="_([$Rp-421]* #,##0.00_);_([$Rp-421]* \(#,##0.00\);_([$Rp-421]* &quot;-&quot;??_);_(@_)"/>
    <numFmt numFmtId="195" formatCode="_([$Rp-421]* #,##0_);_([$Rp-421]* \(#,##0\);_([$Rp-421]* &quot;-&quot;??_);_(@_)"/>
    <numFmt numFmtId="198" formatCode="_-[$Rp-3809]* #,##0.00_-;\-[$Rp-3809]* #,##0.00_-;_-[$Rp-3809]* &quot;-&quot;??_-;_-@_-"/>
    <numFmt numFmtId="200" formatCode="_-[$Rp-3809]* #,##0_-;\-[$Rp-3809]* #,##0_-;_-[$Rp-3809]* &quot;-&quot;??_-;_-@_-"/>
  </numFmts>
  <fonts count="35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1"/>
      <name val="Times New Roman"/>
      <family val="1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Arial"/>
      <family val="2"/>
    </font>
    <font>
      <b/>
      <sz val="9"/>
      <name val="Arial"/>
      <family val="2"/>
    </font>
    <font>
      <b/>
      <u/>
      <sz val="10"/>
      <color indexed="18"/>
      <name val="Century Gothic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Dubai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Dubai Light"/>
      <family val="2"/>
    </font>
    <font>
      <b/>
      <sz val="9"/>
      <name val="Dubai Light"/>
      <family val="2"/>
    </font>
    <font>
      <sz val="9"/>
      <color indexed="8"/>
      <name val="Dubai Light"/>
      <family val="2"/>
    </font>
    <font>
      <u/>
      <sz val="9"/>
      <name val="Dubai Light"/>
      <family val="2"/>
    </font>
    <font>
      <b/>
      <sz val="20"/>
      <name val="Dubai Light"/>
      <family val="2"/>
    </font>
    <font>
      <b/>
      <sz val="9"/>
      <name val="Georgia"/>
      <family val="1"/>
    </font>
    <font>
      <b/>
      <sz val="18"/>
      <color indexed="8"/>
      <name val="Dubai Light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sz val="9"/>
      <color theme="1"/>
      <name val="Dubai Light"/>
      <family val="2"/>
    </font>
    <font>
      <b/>
      <sz val="9"/>
      <color theme="1"/>
      <name val="Dubai Light"/>
      <family val="2"/>
    </font>
    <font>
      <b/>
      <sz val="9"/>
      <color rgb="FF7030A0"/>
      <name val="Dubai Light"/>
      <family val="2"/>
    </font>
    <font>
      <sz val="9"/>
      <color rgb="FF7030A0"/>
      <name val="Dubai Light"/>
      <family val="2"/>
    </font>
    <font>
      <i/>
      <sz val="9"/>
      <color theme="1"/>
      <name val="Dubai Light"/>
      <family val="2"/>
    </font>
    <font>
      <b/>
      <u/>
      <sz val="9"/>
      <color rgb="FF222222"/>
      <name val="Dubai Light"/>
      <family val="2"/>
    </font>
    <font>
      <b/>
      <sz val="20"/>
      <color theme="1"/>
      <name val="Berlin Sans FB Demi"/>
      <family val="2"/>
    </font>
  </fonts>
  <fills count="7">
    <fill>
      <patternFill patternType="none"/>
    </fill>
    <fill>
      <patternFill patternType="gray125"/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2">
    <xf numFmtId="0" fontId="0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9" fontId="3" fillId="2" borderId="0" applyFill="0">
      <alignment horizontal="left" vertical="top"/>
      <protection locked="0"/>
    </xf>
    <xf numFmtId="176" fontId="1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13" fillId="0" borderId="0" applyFont="0" applyFill="0" applyBorder="0" applyAlignment="0" applyProtection="0"/>
    <xf numFmtId="180" fontId="4" fillId="0" borderId="0" applyFont="0" applyFill="0" applyBorder="0">
      <alignment horizontal="left" vertical="top" wrapText="1"/>
      <protection locked="0"/>
    </xf>
    <xf numFmtId="181" fontId="4" fillId="0" borderId="0" applyFont="0">
      <alignment horizontal="left"/>
      <protection locked="0"/>
    </xf>
    <xf numFmtId="179" fontId="5" fillId="0" borderId="0">
      <alignment horizontal="left"/>
    </xf>
    <xf numFmtId="0" fontId="14" fillId="0" borderId="0" applyNumberFormat="0" applyFill="0" applyBorder="0" applyAlignment="0" applyProtection="0">
      <alignment vertical="top"/>
      <protection locked="0"/>
    </xf>
    <xf numFmtId="179" fontId="4" fillId="0" borderId="0" applyFont="0">
      <alignment horizontal="left"/>
    </xf>
    <xf numFmtId="179" fontId="4" fillId="0" borderId="0" applyFont="0" applyFill="0" applyBorder="0">
      <alignment horizontal="left"/>
    </xf>
    <xf numFmtId="40" fontId="6" fillId="0" borderId="0" applyFont="0">
      <protection locked="0"/>
    </xf>
    <xf numFmtId="179" fontId="4" fillId="0" borderId="0" applyFont="0" applyFill="0" applyBorder="0">
      <alignment horizontal="left"/>
    </xf>
    <xf numFmtId="179" fontId="4" fillId="0" borderId="0" applyFont="0" applyFill="0" applyBorder="0">
      <alignment horizontal="left"/>
    </xf>
    <xf numFmtId="180" fontId="7" fillId="0" borderId="0">
      <alignment horizontal="left" vertical="top"/>
      <protection locked="0"/>
    </xf>
    <xf numFmtId="180" fontId="6" fillId="0" borderId="0" applyFont="0"/>
    <xf numFmtId="179" fontId="4" fillId="0" borderId="0" applyFont="0" applyFill="0" applyBorder="0">
      <alignment horizontal="left"/>
    </xf>
    <xf numFmtId="179" fontId="4" fillId="0" borderId="0" applyFont="0">
      <alignment horizontal="left"/>
    </xf>
    <xf numFmtId="0" fontId="1" fillId="0" borderId="0"/>
    <xf numFmtId="0" fontId="2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1" fontId="6" fillId="0" borderId="0" applyFont="0">
      <protection locked="0"/>
    </xf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0" fontId="4" fillId="0" borderId="0" applyFont="0">
      <protection locked="0"/>
    </xf>
    <xf numFmtId="40" fontId="5" fillId="0" borderId="0" applyFont="0">
      <protection locked="0"/>
    </xf>
    <xf numFmtId="180" fontId="8" fillId="0" borderId="0" applyFont="0">
      <alignment horizontal="left"/>
    </xf>
    <xf numFmtId="0" fontId="9" fillId="0" borderId="0" applyNumberFormat="0" applyProtection="0">
      <alignment wrapText="1"/>
      <protection locked="0"/>
    </xf>
    <xf numFmtId="180" fontId="10" fillId="0" borderId="1">
      <alignment vertical="center"/>
    </xf>
    <xf numFmtId="180" fontId="4" fillId="0" borderId="0" applyFont="0">
      <protection locked="0"/>
    </xf>
    <xf numFmtId="180" fontId="4" fillId="0" borderId="0" applyFill="0" applyProtection="0">
      <protection locked="0"/>
    </xf>
    <xf numFmtId="179" fontId="11" fillId="3" borderId="0" applyNumberFormat="0" applyAlignment="0">
      <alignment horizontal="left" vertical="top"/>
    </xf>
    <xf numFmtId="179" fontId="12" fillId="0" borderId="2" applyNumberFormat="0" applyFill="0" applyProtection="0">
      <alignment horizontal="center"/>
    </xf>
    <xf numFmtId="180" fontId="5" fillId="0" borderId="0"/>
    <xf numFmtId="182" fontId="4" fillId="0" borderId="0" applyFill="0">
      <alignment horizontal="center"/>
    </xf>
    <xf numFmtId="180" fontId="4" fillId="0" borderId="0" applyFont="0">
      <alignment horizontal="center"/>
      <protection locked="0"/>
    </xf>
  </cellStyleXfs>
  <cellXfs count="283">
    <xf numFmtId="0" fontId="0" fillId="0" borderId="0" xfId="0"/>
    <xf numFmtId="200" fontId="16" fillId="0" borderId="3" xfId="0" applyNumberFormat="1" applyFont="1" applyBorder="1" applyAlignment="1">
      <alignment horizontal="right" vertical="center"/>
    </xf>
    <xf numFmtId="0" fontId="19" fillId="0" borderId="0" xfId="42" applyFont="1" applyAlignment="1">
      <alignment vertical="center"/>
    </xf>
    <xf numFmtId="0" fontId="19" fillId="0" borderId="0" xfId="42" applyFont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200" fontId="19" fillId="0" borderId="0" xfId="16" applyNumberFormat="1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right" vertical="center"/>
    </xf>
    <xf numFmtId="2" fontId="19" fillId="0" borderId="0" xfId="42" applyNumberFormat="1" applyFont="1" applyAlignment="1">
      <alignment vertical="center"/>
    </xf>
    <xf numFmtId="0" fontId="19" fillId="0" borderId="0" xfId="0" applyFont="1" applyAlignment="1">
      <alignment vertical="center"/>
    </xf>
    <xf numFmtId="171" fontId="19" fillId="0" borderId="0" xfId="5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200" fontId="19" fillId="0" borderId="0" xfId="0" applyNumberFormat="1" applyFont="1" applyAlignment="1">
      <alignment horizontal="right" vertical="center"/>
    </xf>
    <xf numFmtId="200" fontId="19" fillId="0" borderId="0" xfId="42" applyNumberFormat="1" applyFont="1" applyAlignment="1">
      <alignment vertical="center"/>
    </xf>
    <xf numFmtId="0" fontId="19" fillId="0" borderId="0" xfId="52" applyFont="1" applyAlignment="1">
      <alignment vertical="center"/>
    </xf>
    <xf numFmtId="171" fontId="19" fillId="0" borderId="0" xfId="5" applyFont="1" applyAlignment="1">
      <alignment horizontal="center" vertical="center"/>
    </xf>
    <xf numFmtId="0" fontId="19" fillId="0" borderId="0" xfId="52" applyFont="1" applyAlignment="1">
      <alignment horizontal="left" vertical="center"/>
    </xf>
    <xf numFmtId="200" fontId="19" fillId="0" borderId="0" xfId="0" applyNumberFormat="1" applyFont="1" applyAlignment="1">
      <alignment vertical="center"/>
    </xf>
    <xf numFmtId="200" fontId="19" fillId="0" borderId="4" xfId="0" applyNumberFormat="1" applyFont="1" applyBorder="1" applyAlignment="1">
      <alignment vertical="center"/>
    </xf>
    <xf numFmtId="200" fontId="19" fillId="0" borderId="4" xfId="42" applyNumberFormat="1" applyFont="1" applyBorder="1" applyAlignment="1">
      <alignment vertical="center"/>
    </xf>
    <xf numFmtId="200" fontId="28" fillId="0" borderId="4" xfId="0" applyNumberFormat="1" applyFont="1" applyBorder="1" applyAlignment="1">
      <alignment horizontal="center" vertical="center"/>
    </xf>
    <xf numFmtId="0" fontId="20" fillId="0" borderId="4" xfId="42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2" fontId="19" fillId="0" borderId="5" xfId="1" applyNumberFormat="1" applyFont="1" applyFill="1" applyBorder="1" applyAlignment="1">
      <alignment vertical="center"/>
    </xf>
    <xf numFmtId="0" fontId="19" fillId="4" borderId="6" xfId="0" applyFont="1" applyFill="1" applyBorder="1" applyAlignment="1">
      <alignment vertical="center" wrapText="1"/>
    </xf>
    <xf numFmtId="200" fontId="19" fillId="0" borderId="4" xfId="1" applyNumberFormat="1" applyFont="1" applyFill="1" applyBorder="1" applyAlignment="1">
      <alignment vertical="center"/>
    </xf>
    <xf numFmtId="0" fontId="19" fillId="0" borderId="4" xfId="42" applyFont="1" applyBorder="1" applyAlignment="1">
      <alignment vertical="center"/>
    </xf>
    <xf numFmtId="2" fontId="19" fillId="0" borderId="4" xfId="42" applyNumberFormat="1" applyFont="1" applyBorder="1" applyAlignment="1">
      <alignment vertical="center"/>
    </xf>
    <xf numFmtId="0" fontId="19" fillId="0" borderId="4" xfId="42" applyFont="1" applyBorder="1" applyAlignment="1">
      <alignment horizontal="center" vertical="center"/>
    </xf>
    <xf numFmtId="0" fontId="19" fillId="0" borderId="4" xfId="0" applyFont="1" applyBorder="1" applyAlignment="1">
      <alignment vertical="center" wrapText="1"/>
    </xf>
    <xf numFmtId="2" fontId="19" fillId="0" borderId="5" xfId="1" applyNumberFormat="1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center" vertical="center"/>
    </xf>
    <xf numFmtId="0" fontId="29" fillId="0" borderId="4" xfId="47" applyFont="1" applyFill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200" fontId="19" fillId="0" borderId="4" xfId="44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8" fillId="0" borderId="4" xfId="47" applyFont="1" applyBorder="1" applyAlignment="1">
      <alignment vertical="center"/>
    </xf>
    <xf numFmtId="200" fontId="20" fillId="4" borderId="4" xfId="1" applyNumberFormat="1" applyFont="1" applyFill="1" applyBorder="1" applyAlignment="1">
      <alignment vertical="center" wrapText="1"/>
    </xf>
    <xf numFmtId="200" fontId="20" fillId="0" borderId="4" xfId="1" applyNumberFormat="1" applyFont="1" applyFill="1" applyBorder="1" applyAlignment="1">
      <alignment vertical="center"/>
    </xf>
    <xf numFmtId="2" fontId="20" fillId="0" borderId="4" xfId="1" applyNumberFormat="1" applyFont="1" applyFill="1" applyBorder="1" applyAlignment="1">
      <alignment horizontal="center" vertical="center"/>
    </xf>
    <xf numFmtId="0" fontId="19" fillId="0" borderId="0" xfId="42" applyFont="1" applyAlignment="1">
      <alignment horizontal="left" vertical="center"/>
    </xf>
    <xf numFmtId="0" fontId="19" fillId="0" borderId="7" xfId="42" applyFont="1" applyBorder="1" applyAlignment="1">
      <alignment vertical="center"/>
    </xf>
    <xf numFmtId="0" fontId="19" fillId="0" borderId="7" xfId="42" applyFont="1" applyBorder="1" applyAlignment="1">
      <alignment horizontal="left" vertical="center"/>
    </xf>
    <xf numFmtId="200" fontId="19" fillId="0" borderId="7" xfId="42" applyNumberFormat="1" applyFont="1" applyBorder="1" applyAlignment="1">
      <alignment vertical="center"/>
    </xf>
    <xf numFmtId="2" fontId="19" fillId="0" borderId="7" xfId="42" applyNumberFormat="1" applyFont="1" applyBorder="1" applyAlignment="1">
      <alignment vertical="center"/>
    </xf>
    <xf numFmtId="0" fontId="19" fillId="0" borderId="3" xfId="42" applyFont="1" applyBorder="1" applyAlignment="1">
      <alignment horizontal="right" vertical="center"/>
    </xf>
    <xf numFmtId="0" fontId="19" fillId="0" borderId="3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200" fontId="19" fillId="0" borderId="3" xfId="16" applyNumberFormat="1" applyFont="1" applyBorder="1" applyAlignment="1">
      <alignment horizontal="center" vertical="center"/>
    </xf>
    <xf numFmtId="200" fontId="19" fillId="0" borderId="3" xfId="0" applyNumberFormat="1" applyFont="1" applyBorder="1" applyAlignment="1">
      <alignment horizontal="right" vertical="center"/>
    </xf>
    <xf numFmtId="171" fontId="19" fillId="0" borderId="0" xfId="0" applyNumberFormat="1" applyFont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171" fontId="19" fillId="4" borderId="5" xfId="5" applyFont="1" applyFill="1" applyBorder="1" applyAlignment="1">
      <alignment horizontal="center" vertical="center" wrapText="1"/>
    </xf>
    <xf numFmtId="0" fontId="19" fillId="0" borderId="0" xfId="42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71" fontId="19" fillId="4" borderId="0" xfId="5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vertical="center" wrapText="1"/>
    </xf>
    <xf numFmtId="171" fontId="22" fillId="0" borderId="0" xfId="5" applyFont="1" applyAlignment="1">
      <alignment horizontal="center" vertical="center"/>
    </xf>
    <xf numFmtId="0" fontId="22" fillId="0" borderId="0" xfId="42" applyFont="1" applyAlignment="1">
      <alignment horizontal="left" vertical="center"/>
    </xf>
    <xf numFmtId="171" fontId="19" fillId="0" borderId="0" xfId="5" quotePrefix="1" applyFont="1" applyAlignment="1">
      <alignment horizontal="center" vertical="center"/>
    </xf>
    <xf numFmtId="0" fontId="19" fillId="0" borderId="0" xfId="42" quotePrefix="1" applyFont="1" applyAlignment="1">
      <alignment horizontal="left" vertical="center"/>
    </xf>
    <xf numFmtId="0" fontId="19" fillId="4" borderId="0" xfId="44" applyFont="1" applyFill="1" applyAlignment="1">
      <alignment vertical="center"/>
    </xf>
    <xf numFmtId="0" fontId="22" fillId="0" borderId="0" xfId="42" applyFont="1" applyAlignment="1">
      <alignment horizontal="center" vertical="center"/>
    </xf>
    <xf numFmtId="0" fontId="19" fillId="0" borderId="0" xfId="42" applyFont="1" applyAlignment="1">
      <alignment horizontal="center" vertical="center"/>
    </xf>
    <xf numFmtId="200" fontId="20" fillId="4" borderId="0" xfId="1" applyNumberFormat="1" applyFont="1" applyFill="1" applyBorder="1" applyAlignment="1">
      <alignment horizontal="center" vertical="center" wrapText="1"/>
    </xf>
    <xf numFmtId="200" fontId="20" fillId="0" borderId="0" xfId="1" applyNumberFormat="1" applyFont="1" applyFill="1" applyBorder="1" applyAlignment="1">
      <alignment vertical="center"/>
    </xf>
    <xf numFmtId="0" fontId="20" fillId="0" borderId="0" xfId="42" applyFont="1" applyAlignment="1">
      <alignment vertical="center"/>
    </xf>
    <xf numFmtId="0" fontId="20" fillId="0" borderId="0" xfId="44" applyFont="1" applyAlignment="1">
      <alignment vertical="center"/>
    </xf>
    <xf numFmtId="0" fontId="28" fillId="0" borderId="0" xfId="47" applyFont="1" applyAlignment="1">
      <alignment vertical="center"/>
    </xf>
    <xf numFmtId="0" fontId="28" fillId="0" borderId="0" xfId="47" applyFont="1" applyAlignment="1">
      <alignment horizontal="center" vertical="center"/>
    </xf>
    <xf numFmtId="183" fontId="28" fillId="0" borderId="0" xfId="47" applyNumberFormat="1" applyFont="1" applyAlignment="1">
      <alignment vertical="center"/>
    </xf>
    <xf numFmtId="0" fontId="28" fillId="0" borderId="0" xfId="47" applyFont="1"/>
    <xf numFmtId="15" fontId="29" fillId="0" borderId="0" xfId="47" applyNumberFormat="1" applyFont="1" applyAlignment="1">
      <alignment horizontal="right" vertical="center"/>
    </xf>
    <xf numFmtId="0" fontId="29" fillId="0" borderId="22" xfId="47" applyFont="1" applyBorder="1" applyAlignment="1">
      <alignment horizontal="center" vertical="center"/>
    </xf>
    <xf numFmtId="0" fontId="29" fillId="0" borderId="23" xfId="47" applyFont="1" applyBorder="1" applyAlignment="1">
      <alignment vertical="center"/>
    </xf>
    <xf numFmtId="0" fontId="28" fillId="0" borderId="24" xfId="47" applyFont="1" applyBorder="1" applyAlignment="1">
      <alignment vertical="center"/>
    </xf>
    <xf numFmtId="0" fontId="28" fillId="0" borderId="24" xfId="47" applyFont="1" applyBorder="1" applyAlignment="1">
      <alignment horizontal="center" vertical="center"/>
    </xf>
    <xf numFmtId="183" fontId="28" fillId="0" borderId="25" xfId="47" applyNumberFormat="1" applyFont="1" applyBorder="1" applyAlignment="1">
      <alignment vertical="center"/>
    </xf>
    <xf numFmtId="0" fontId="28" fillId="0" borderId="22" xfId="47" applyFont="1" applyBorder="1" applyAlignment="1">
      <alignment horizontal="center" vertical="center"/>
    </xf>
    <xf numFmtId="0" fontId="29" fillId="0" borderId="24" xfId="47" applyFont="1" applyBorder="1" applyAlignment="1">
      <alignment vertical="center"/>
    </xf>
    <xf numFmtId="0" fontId="29" fillId="0" borderId="24" xfId="47" applyFont="1" applyBorder="1" applyAlignment="1">
      <alignment horizontal="center" vertical="center"/>
    </xf>
    <xf numFmtId="183" fontId="29" fillId="0" borderId="25" xfId="47" applyNumberFormat="1" applyFont="1" applyBorder="1" applyAlignment="1">
      <alignment vertical="center"/>
    </xf>
    <xf numFmtId="0" fontId="28" fillId="0" borderId="23" xfId="47" applyFont="1" applyBorder="1" applyAlignment="1">
      <alignment vertical="center"/>
    </xf>
    <xf numFmtId="0" fontId="28" fillId="0" borderId="26" xfId="47" applyFont="1" applyBorder="1" applyAlignment="1">
      <alignment vertical="center"/>
    </xf>
    <xf numFmtId="0" fontId="28" fillId="0" borderId="1" xfId="47" applyFont="1" applyBorder="1" applyAlignment="1">
      <alignment vertical="center"/>
    </xf>
    <xf numFmtId="0" fontId="28" fillId="0" borderId="1" xfId="47" applyFont="1" applyBorder="1" applyAlignment="1">
      <alignment horizontal="center" vertical="center"/>
    </xf>
    <xf numFmtId="183" fontId="28" fillId="0" borderId="27" xfId="47" applyNumberFormat="1" applyFont="1" applyBorder="1" applyAlignment="1">
      <alignment vertical="center"/>
    </xf>
    <xf numFmtId="0" fontId="28" fillId="0" borderId="28" xfId="47" applyFont="1" applyBorder="1" applyAlignment="1">
      <alignment vertical="center"/>
    </xf>
    <xf numFmtId="0" fontId="28" fillId="0" borderId="29" xfId="47" applyFont="1" applyBorder="1" applyAlignment="1">
      <alignment vertical="center"/>
    </xf>
    <xf numFmtId="0" fontId="29" fillId="6" borderId="29" xfId="47" applyFont="1" applyFill="1" applyBorder="1" applyAlignment="1">
      <alignment horizontal="right" vertical="center"/>
    </xf>
    <xf numFmtId="0" fontId="29" fillId="6" borderId="29" xfId="47" applyFont="1" applyFill="1" applyBorder="1" applyAlignment="1">
      <alignment horizontal="center" vertical="center"/>
    </xf>
    <xf numFmtId="183" fontId="29" fillId="6" borderId="30" xfId="47" applyNumberFormat="1" applyFont="1" applyFill="1" applyBorder="1" applyAlignment="1">
      <alignment vertical="center"/>
    </xf>
    <xf numFmtId="0" fontId="30" fillId="0" borderId="23" xfId="47" applyFont="1" applyBorder="1" applyAlignment="1">
      <alignment vertical="center"/>
    </xf>
    <xf numFmtId="0" fontId="31" fillId="0" borderId="24" xfId="47" applyFont="1" applyBorder="1" applyAlignment="1">
      <alignment vertical="center"/>
    </xf>
    <xf numFmtId="0" fontId="31" fillId="0" borderId="24" xfId="47" applyFont="1" applyBorder="1" applyAlignment="1">
      <alignment horizontal="center" vertical="center"/>
    </xf>
    <xf numFmtId="183" fontId="31" fillId="0" borderId="25" xfId="47" applyNumberFormat="1" applyFont="1" applyBorder="1" applyAlignment="1">
      <alignment vertical="center"/>
    </xf>
    <xf numFmtId="0" fontId="30" fillId="0" borderId="24" xfId="47" applyFont="1" applyBorder="1" applyAlignment="1">
      <alignment vertical="center"/>
    </xf>
    <xf numFmtId="0" fontId="30" fillId="0" borderId="24" xfId="47" applyFont="1" applyBorder="1" applyAlignment="1">
      <alignment horizontal="center" vertical="center"/>
    </xf>
    <xf numFmtId="183" fontId="30" fillId="0" borderId="25" xfId="47" applyNumberFormat="1" applyFont="1" applyBorder="1" applyAlignment="1">
      <alignment vertical="center"/>
    </xf>
    <xf numFmtId="0" fontId="31" fillId="0" borderId="23" xfId="47" applyFont="1" applyBorder="1" applyAlignment="1">
      <alignment vertical="center"/>
    </xf>
    <xf numFmtId="0" fontId="31" fillId="0" borderId="26" xfId="47" applyFont="1" applyBorder="1" applyAlignment="1">
      <alignment vertical="center"/>
    </xf>
    <xf numFmtId="0" fontId="31" fillId="0" borderId="1" xfId="47" applyFont="1" applyBorder="1" applyAlignment="1">
      <alignment vertical="center"/>
    </xf>
    <xf numFmtId="0" fontId="31" fillId="0" borderId="1" xfId="47" applyFont="1" applyBorder="1" applyAlignment="1">
      <alignment horizontal="center" vertical="center"/>
    </xf>
    <xf numFmtId="183" fontId="31" fillId="0" borderId="27" xfId="47" applyNumberFormat="1" applyFont="1" applyBorder="1" applyAlignment="1">
      <alignment vertical="center"/>
    </xf>
    <xf numFmtId="0" fontId="31" fillId="0" borderId="28" xfId="47" applyFont="1" applyBorder="1" applyAlignment="1">
      <alignment vertical="center"/>
    </xf>
    <xf numFmtId="0" fontId="31" fillId="0" borderId="29" xfId="47" applyFont="1" applyBorder="1" applyAlignment="1">
      <alignment vertical="center"/>
    </xf>
    <xf numFmtId="0" fontId="30" fillId="6" borderId="29" xfId="47" applyFont="1" applyFill="1" applyBorder="1" applyAlignment="1">
      <alignment horizontal="right" vertical="center"/>
    </xf>
    <xf numFmtId="0" fontId="30" fillId="6" borderId="29" xfId="47" applyFont="1" applyFill="1" applyBorder="1" applyAlignment="1">
      <alignment horizontal="center" vertical="center"/>
    </xf>
    <xf numFmtId="183" fontId="30" fillId="6" borderId="30" xfId="47" applyNumberFormat="1" applyFont="1" applyFill="1" applyBorder="1" applyAlignment="1">
      <alignment vertical="center"/>
    </xf>
    <xf numFmtId="0" fontId="19" fillId="0" borderId="23" xfId="47" applyFont="1" applyBorder="1" applyAlignment="1">
      <alignment vertical="center"/>
    </xf>
    <xf numFmtId="0" fontId="19" fillId="0" borderId="24" xfId="47" applyFont="1" applyBorder="1" applyAlignment="1">
      <alignment vertical="center"/>
    </xf>
    <xf numFmtId="0" fontId="19" fillId="0" borderId="24" xfId="47" applyFont="1" applyBorder="1" applyAlignment="1">
      <alignment horizontal="center" vertical="center"/>
    </xf>
    <xf numFmtId="183" fontId="19" fillId="0" borderId="25" xfId="47" applyNumberFormat="1" applyFont="1" applyBorder="1" applyAlignment="1">
      <alignment vertical="center"/>
    </xf>
    <xf numFmtId="0" fontId="28" fillId="0" borderId="31" xfId="47" applyFont="1" applyBorder="1" applyAlignment="1">
      <alignment horizontal="center" vertical="center"/>
    </xf>
    <xf numFmtId="0" fontId="29" fillId="0" borderId="1" xfId="47" applyFont="1" applyBorder="1" applyAlignment="1">
      <alignment horizontal="right" vertical="center"/>
    </xf>
    <xf numFmtId="0" fontId="29" fillId="0" borderId="31" xfId="47" applyFont="1" applyBorder="1" applyAlignment="1">
      <alignment horizontal="center" vertical="center"/>
    </xf>
    <xf numFmtId="0" fontId="29" fillId="0" borderId="1" xfId="47" applyFont="1" applyBorder="1" applyAlignment="1">
      <alignment horizontal="center" vertical="center"/>
    </xf>
    <xf numFmtId="183" fontId="29" fillId="0" borderId="27" xfId="47" applyNumberFormat="1" applyFont="1" applyBorder="1" applyAlignment="1">
      <alignment vertical="center"/>
    </xf>
    <xf numFmtId="0" fontId="28" fillId="0" borderId="32" xfId="47" applyFont="1" applyBorder="1"/>
    <xf numFmtId="0" fontId="28" fillId="0" borderId="23" xfId="47" applyFont="1" applyBorder="1"/>
    <xf numFmtId="0" fontId="28" fillId="0" borderId="32" xfId="47" applyFont="1" applyBorder="1" applyAlignment="1">
      <alignment vertical="center"/>
    </xf>
    <xf numFmtId="0" fontId="28" fillId="0" borderId="33" xfId="47" applyFont="1" applyBorder="1" applyAlignment="1">
      <alignment horizontal="center" vertical="center"/>
    </xf>
    <xf numFmtId="0" fontId="28" fillId="0" borderId="34" xfId="47" applyFont="1" applyBorder="1" applyAlignment="1">
      <alignment vertical="center"/>
    </xf>
    <xf numFmtId="0" fontId="28" fillId="0" borderId="35" xfId="47" applyFont="1" applyBorder="1" applyAlignment="1">
      <alignment vertical="center"/>
    </xf>
    <xf numFmtId="0" fontId="28" fillId="0" borderId="35" xfId="47" applyFont="1" applyBorder="1" applyAlignment="1">
      <alignment horizontal="center" vertical="center"/>
    </xf>
    <xf numFmtId="183" fontId="29" fillId="0" borderId="36" xfId="47" applyNumberFormat="1" applyFont="1" applyBorder="1" applyAlignment="1">
      <alignment vertical="center"/>
    </xf>
    <xf numFmtId="0" fontId="29" fillId="0" borderId="0" xfId="47" applyFont="1" applyAlignment="1">
      <alignment horizontal="right" vertical="center"/>
    </xf>
    <xf numFmtId="183" fontId="29" fillId="0" borderId="0" xfId="47" applyNumberFormat="1" applyFont="1" applyAlignment="1">
      <alignment vertical="center"/>
    </xf>
    <xf numFmtId="0" fontId="29" fillId="0" borderId="0" xfId="47" applyFont="1" applyAlignment="1">
      <alignment vertical="center"/>
    </xf>
    <xf numFmtId="0" fontId="29" fillId="0" borderId="0" xfId="47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171" fontId="19" fillId="0" borderId="0" xfId="5" applyFont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198" fontId="19" fillId="0" borderId="4" xfId="42" applyNumberFormat="1" applyFont="1" applyBorder="1" applyAlignment="1">
      <alignment vertical="center"/>
    </xf>
    <xf numFmtId="198" fontId="19" fillId="0" borderId="5" xfId="1" applyNumberFormat="1" applyFont="1" applyFill="1" applyBorder="1" applyAlignment="1">
      <alignment vertical="center"/>
    </xf>
    <xf numFmtId="198" fontId="19" fillId="0" borderId="37" xfId="1" applyNumberFormat="1" applyFont="1" applyFill="1" applyBorder="1" applyAlignment="1">
      <alignment vertical="center"/>
    </xf>
    <xf numFmtId="198" fontId="19" fillId="0" borderId="6" xfId="42" applyNumberFormat="1" applyFont="1" applyBorder="1" applyAlignment="1">
      <alignment vertical="center"/>
    </xf>
    <xf numFmtId="198" fontId="19" fillId="0" borderId="4" xfId="1" applyNumberFormat="1" applyFont="1" applyFill="1" applyBorder="1" applyAlignment="1">
      <alignment vertical="center"/>
    </xf>
    <xf numFmtId="200" fontId="19" fillId="0" borderId="5" xfId="1" applyNumberFormat="1" applyFont="1" applyFill="1" applyBorder="1" applyAlignment="1">
      <alignment vertical="center"/>
    </xf>
    <xf numFmtId="200" fontId="19" fillId="0" borderId="37" xfId="1" applyNumberFormat="1" applyFont="1" applyFill="1" applyBorder="1" applyAlignment="1">
      <alignment vertical="center"/>
    </xf>
    <xf numFmtId="200" fontId="19" fillId="0" borderId="6" xfId="42" applyNumberFormat="1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200" fontId="19" fillId="0" borderId="5" xfId="44" applyNumberFormat="1" applyFont="1" applyBorder="1" applyAlignment="1">
      <alignment vertical="center"/>
    </xf>
    <xf numFmtId="200" fontId="19" fillId="0" borderId="37" xfId="44" applyNumberFormat="1" applyFont="1" applyBorder="1" applyAlignment="1">
      <alignment vertical="center"/>
    </xf>
    <xf numFmtId="200" fontId="19" fillId="0" borderId="6" xfId="44" applyNumberFormat="1" applyFont="1" applyBorder="1" applyAlignment="1">
      <alignment vertical="center"/>
    </xf>
    <xf numFmtId="195" fontId="19" fillId="0" borderId="6" xfId="44" applyNumberFormat="1" applyFont="1" applyBorder="1" applyAlignment="1">
      <alignment vertical="center"/>
    </xf>
    <xf numFmtId="200" fontId="20" fillId="4" borderId="4" xfId="1" applyNumberFormat="1" applyFont="1" applyFill="1" applyBorder="1" applyAlignment="1">
      <alignment horizontal="left" vertical="center" wrapText="1"/>
    </xf>
    <xf numFmtId="200" fontId="20" fillId="0" borderId="5" xfId="1" applyNumberFormat="1" applyFont="1" applyFill="1" applyBorder="1" applyAlignment="1">
      <alignment vertical="center"/>
    </xf>
    <xf numFmtId="200" fontId="20" fillId="0" borderId="37" xfId="1" applyNumberFormat="1" applyFont="1" applyFill="1" applyBorder="1" applyAlignment="1">
      <alignment vertical="center"/>
    </xf>
    <xf numFmtId="188" fontId="20" fillId="4" borderId="6" xfId="1" applyNumberFormat="1" applyFont="1" applyFill="1" applyBorder="1" applyAlignment="1">
      <alignment horizontal="left" vertical="center" wrapText="1"/>
    </xf>
    <xf numFmtId="195" fontId="20" fillId="0" borderId="4" xfId="1" applyNumberFormat="1" applyFont="1" applyFill="1" applyBorder="1" applyAlignment="1">
      <alignment vertical="center"/>
    </xf>
    <xf numFmtId="198" fontId="19" fillId="0" borderId="0" xfId="42" applyNumberFormat="1" applyFont="1" applyAlignment="1">
      <alignment vertical="center"/>
    </xf>
    <xf numFmtId="0" fontId="19" fillId="0" borderId="0" xfId="42" applyFont="1" applyFill="1" applyAlignment="1">
      <alignment vertical="center"/>
    </xf>
    <xf numFmtId="0" fontId="19" fillId="0" borderId="0" xfId="0" applyFont="1"/>
    <xf numFmtId="200" fontId="19" fillId="0" borderId="0" xfId="0" applyNumberFormat="1" applyFont="1" applyAlignment="1">
      <alignment horizontal="left" vertical="center"/>
    </xf>
    <xf numFmtId="200" fontId="19" fillId="0" borderId="0" xfId="0" applyNumberFormat="1" applyFont="1"/>
    <xf numFmtId="0" fontId="19" fillId="0" borderId="38" xfId="0" applyFont="1" applyBorder="1"/>
    <xf numFmtId="200" fontId="19" fillId="0" borderId="38" xfId="0" applyNumberFormat="1" applyFont="1" applyBorder="1"/>
    <xf numFmtId="2" fontId="19" fillId="0" borderId="0" xfId="0" applyNumberFormat="1" applyFont="1"/>
    <xf numFmtId="2" fontId="28" fillId="0" borderId="4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2" fontId="29" fillId="0" borderId="15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95" fontId="19" fillId="0" borderId="0" xfId="16" applyNumberFormat="1" applyFont="1" applyAlignment="1">
      <alignment horizontal="left" vertical="center"/>
    </xf>
    <xf numFmtId="0" fontId="19" fillId="0" borderId="0" xfId="42" applyFont="1" applyAlignment="1">
      <alignment horizontal="right" vertical="center"/>
    </xf>
    <xf numFmtId="195" fontId="19" fillId="0" borderId="0" xfId="16" applyNumberFormat="1" applyFont="1" applyAlignment="1">
      <alignment horizontal="center" vertical="center"/>
    </xf>
    <xf numFmtId="0" fontId="24" fillId="0" borderId="0" xfId="52" applyFont="1" applyAlignment="1">
      <alignment vertical="center" wrapText="1"/>
    </xf>
    <xf numFmtId="0" fontId="11" fillId="0" borderId="0" xfId="0" applyFont="1"/>
    <xf numFmtId="0" fontId="29" fillId="0" borderId="0" xfId="0" applyFont="1" applyAlignment="1">
      <alignment horizontal="center"/>
    </xf>
    <xf numFmtId="0" fontId="20" fillId="0" borderId="0" xfId="52" applyFont="1" applyAlignment="1">
      <alignment vertical="center" wrapText="1"/>
    </xf>
    <xf numFmtId="0" fontId="20" fillId="0" borderId="11" xfId="52" applyFont="1" applyBorder="1" applyAlignment="1">
      <alignment vertical="center" wrapText="1"/>
    </xf>
    <xf numFmtId="0" fontId="20" fillId="0" borderId="38" xfId="52" applyFont="1" applyBorder="1" applyAlignment="1">
      <alignment vertical="center" wrapText="1"/>
    </xf>
    <xf numFmtId="0" fontId="28" fillId="0" borderId="12" xfId="0" applyFont="1" applyBorder="1"/>
    <xf numFmtId="0" fontId="28" fillId="0" borderId="32" xfId="0" applyFont="1" applyBorder="1"/>
    <xf numFmtId="0" fontId="19" fillId="0" borderId="0" xfId="42" applyFont="1"/>
    <xf numFmtId="0" fontId="19" fillId="0" borderId="0" xfId="42" applyFont="1" applyAlignment="1">
      <alignment horizontal="center"/>
    </xf>
    <xf numFmtId="0" fontId="32" fillId="0" borderId="39" xfId="42" applyFont="1" applyBorder="1"/>
    <xf numFmtId="0" fontId="21" fillId="0" borderId="8" xfId="42" applyFont="1" applyBorder="1" applyAlignment="1">
      <alignment vertical="center"/>
    </xf>
    <xf numFmtId="0" fontId="28" fillId="0" borderId="32" xfId="0" applyFont="1" applyBorder="1" applyAlignment="1">
      <alignment vertical="center"/>
    </xf>
    <xf numFmtId="0" fontId="19" fillId="0" borderId="40" xfId="42" applyFont="1" applyBorder="1" applyAlignment="1">
      <alignment horizontal="left" vertical="center"/>
    </xf>
    <xf numFmtId="0" fontId="19" fillId="0" borderId="40" xfId="42" applyFont="1" applyBorder="1" applyAlignment="1">
      <alignment horizontal="center" vertical="center"/>
    </xf>
    <xf numFmtId="0" fontId="32" fillId="0" borderId="39" xfId="42" applyFont="1" applyBorder="1" applyAlignment="1">
      <alignment vertical="center"/>
    </xf>
    <xf numFmtId="0" fontId="19" fillId="0" borderId="3" xfId="42" applyFont="1" applyBorder="1" applyAlignment="1">
      <alignment horizontal="left" vertical="center"/>
    </xf>
    <xf numFmtId="0" fontId="19" fillId="0" borderId="3" xfId="42" applyFont="1" applyBorder="1" applyAlignment="1">
      <alignment horizontal="center" vertical="center"/>
    </xf>
    <xf numFmtId="0" fontId="19" fillId="0" borderId="3" xfId="42" applyFont="1" applyBorder="1"/>
    <xf numFmtId="0" fontId="19" fillId="0" borderId="3" xfId="42" applyFont="1" applyBorder="1" applyAlignment="1">
      <alignment wrapText="1"/>
    </xf>
    <xf numFmtId="0" fontId="19" fillId="0" borderId="0" xfId="42" applyFont="1" applyAlignment="1">
      <alignment horizontal="left" vertical="center" wrapText="1"/>
    </xf>
    <xf numFmtId="0" fontId="33" fillId="0" borderId="0" xfId="42" applyFont="1"/>
    <xf numFmtId="168" fontId="19" fillId="0" borderId="0" xfId="19" applyNumberFormat="1" applyFont="1" applyBorder="1" applyAlignment="1">
      <alignment horizontal="center" vertical="center"/>
    </xf>
    <xf numFmtId="188" fontId="19" fillId="0" borderId="0" xfId="42" applyNumberFormat="1" applyFont="1" applyAlignment="1">
      <alignment horizontal="center" vertical="center"/>
    </xf>
    <xf numFmtId="0" fontId="19" fillId="0" borderId="39" xfId="42" applyFont="1" applyBorder="1" applyAlignment="1">
      <alignment horizontal="left" vertical="center"/>
    </xf>
    <xf numFmtId="0" fontId="19" fillId="0" borderId="8" xfId="42" applyFont="1" applyBorder="1" applyAlignment="1">
      <alignment horizontal="left" vertical="center"/>
    </xf>
    <xf numFmtId="0" fontId="19" fillId="0" borderId="8" xfId="42" applyFont="1" applyBorder="1" applyAlignment="1">
      <alignment horizontal="center" vertical="center"/>
    </xf>
    <xf numFmtId="0" fontId="19" fillId="0" borderId="8" xfId="42" applyFont="1" applyBorder="1"/>
    <xf numFmtId="195" fontId="19" fillId="0" borderId="0" xfId="42" applyNumberFormat="1" applyFont="1"/>
    <xf numFmtId="171" fontId="19" fillId="0" borderId="0" xfId="5" applyFont="1" applyBorder="1" applyAlignment="1">
      <alignment horizontal="center"/>
    </xf>
    <xf numFmtId="0" fontId="20" fillId="0" borderId="0" xfId="42" applyFont="1"/>
    <xf numFmtId="0" fontId="20" fillId="0" borderId="0" xfId="42" applyFont="1" applyAlignment="1">
      <alignment horizontal="center"/>
    </xf>
    <xf numFmtId="195" fontId="20" fillId="0" borderId="0" xfId="42" applyNumberFormat="1" applyFont="1"/>
    <xf numFmtId="0" fontId="19" fillId="0" borderId="0" xfId="42" applyFont="1" applyAlignment="1">
      <alignment horizontal="left"/>
    </xf>
    <xf numFmtId="0" fontId="32" fillId="0" borderId="0" xfId="42" applyFont="1"/>
    <xf numFmtId="0" fontId="28" fillId="0" borderId="13" xfId="0" applyFont="1" applyBorder="1"/>
    <xf numFmtId="0" fontId="19" fillId="0" borderId="7" xfId="42" applyFont="1" applyBorder="1"/>
    <xf numFmtId="0" fontId="19" fillId="0" borderId="7" xfId="42" applyFont="1" applyBorder="1" applyAlignment="1">
      <alignment horizontal="center"/>
    </xf>
    <xf numFmtId="0" fontId="32" fillId="0" borderId="7" xfId="42" applyFont="1" applyBorder="1"/>
    <xf numFmtId="0" fontId="32" fillId="0" borderId="14" xfId="42" applyFont="1" applyBorder="1"/>
    <xf numFmtId="0" fontId="19" fillId="0" borderId="38" xfId="42" applyFont="1" applyBorder="1"/>
    <xf numFmtId="0" fontId="19" fillId="0" borderId="38" xfId="42" applyFont="1" applyBorder="1" applyAlignment="1">
      <alignment horizontal="center"/>
    </xf>
    <xf numFmtId="0" fontId="32" fillId="0" borderId="38" xfId="42" applyFont="1" applyBorder="1"/>
    <xf numFmtId="0" fontId="19" fillId="0" borderId="0" xfId="0" applyFont="1" applyFill="1" applyAlignment="1">
      <alignment vertical="center"/>
    </xf>
    <xf numFmtId="200" fontId="19" fillId="0" borderId="0" xfId="42" applyNumberFormat="1" applyFont="1" applyFill="1" applyAlignment="1">
      <alignment vertical="center"/>
    </xf>
    <xf numFmtId="0" fontId="19" fillId="0" borderId="4" xfId="42" applyFont="1" applyFill="1" applyBorder="1" applyAlignment="1">
      <alignment horizontal="center" vertical="center"/>
    </xf>
    <xf numFmtId="200" fontId="19" fillId="0" borderId="4" xfId="0" applyNumberFormat="1" applyFont="1" applyFill="1" applyBorder="1" applyAlignment="1">
      <alignment horizontal="center" vertical="center"/>
    </xf>
    <xf numFmtId="0" fontId="20" fillId="0" borderId="4" xfId="42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200" fontId="19" fillId="0" borderId="4" xfId="42" applyNumberFormat="1" applyFont="1" applyFill="1" applyBorder="1" applyAlignment="1">
      <alignment vertical="center"/>
    </xf>
    <xf numFmtId="0" fontId="19" fillId="0" borderId="4" xfId="0" applyFont="1" applyFill="1" applyBorder="1" applyAlignment="1">
      <alignment vertical="center" wrapText="1"/>
    </xf>
    <xf numFmtId="0" fontId="20" fillId="0" borderId="4" xfId="47" applyFont="1" applyFill="1" applyBorder="1" applyAlignment="1">
      <alignment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200" fontId="19" fillId="0" borderId="4" xfId="44" applyNumberFormat="1" applyFont="1" applyFill="1" applyBorder="1" applyAlignment="1">
      <alignment vertical="center"/>
    </xf>
    <xf numFmtId="0" fontId="19" fillId="0" borderId="4" xfId="47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 wrapText="1"/>
    </xf>
    <xf numFmtId="171" fontId="19" fillId="0" borderId="5" xfId="5" applyFont="1" applyFill="1" applyBorder="1" applyAlignment="1">
      <alignment horizontal="center" vertical="center" wrapText="1"/>
    </xf>
    <xf numFmtId="200" fontId="20" fillId="0" borderId="4" xfId="1" applyNumberFormat="1" applyFont="1" applyFill="1" applyBorder="1" applyAlignment="1">
      <alignment horizontal="left" vertical="center" wrapText="1"/>
    </xf>
    <xf numFmtId="200" fontId="19" fillId="0" borderId="0" xfId="42" applyNumberFormat="1" applyFont="1" applyFill="1" applyBorder="1" applyAlignment="1">
      <alignment vertical="center"/>
    </xf>
    <xf numFmtId="188" fontId="11" fillId="0" borderId="0" xfId="0" applyNumberFormat="1" applyFont="1" applyFill="1" applyBorder="1"/>
    <xf numFmtId="0" fontId="19" fillId="0" borderId="38" xfId="42" applyFont="1" applyFill="1" applyBorder="1" applyAlignment="1">
      <alignment vertical="center"/>
    </xf>
    <xf numFmtId="200" fontId="19" fillId="0" borderId="38" xfId="42" applyNumberFormat="1" applyFont="1" applyFill="1" applyBorder="1" applyAlignment="1">
      <alignment vertical="center"/>
    </xf>
    <xf numFmtId="0" fontId="19" fillId="0" borderId="4" xfId="42" applyFont="1" applyFill="1" applyBorder="1" applyAlignment="1">
      <alignment vertical="center"/>
    </xf>
    <xf numFmtId="200" fontId="20" fillId="0" borderId="4" xfId="42" applyNumberFormat="1" applyFont="1" applyFill="1" applyBorder="1" applyAlignment="1">
      <alignment vertical="center"/>
    </xf>
    <xf numFmtId="0" fontId="20" fillId="0" borderId="0" xfId="44" applyFont="1" applyAlignment="1">
      <alignment horizontal="right" vertical="center"/>
    </xf>
    <xf numFmtId="0" fontId="29" fillId="0" borderId="16" xfId="47" applyFont="1" applyBorder="1" applyAlignment="1">
      <alignment horizontal="center" vertical="center"/>
    </xf>
    <xf numFmtId="0" fontId="29" fillId="0" borderId="19" xfId="47" applyFont="1" applyBorder="1" applyAlignment="1">
      <alignment horizontal="center" vertical="center"/>
    </xf>
    <xf numFmtId="0" fontId="29" fillId="0" borderId="17" xfId="47" applyFont="1" applyBorder="1" applyAlignment="1">
      <alignment horizontal="center" vertical="center"/>
    </xf>
    <xf numFmtId="0" fontId="29" fillId="0" borderId="20" xfId="47" applyFont="1" applyBorder="1" applyAlignment="1">
      <alignment horizontal="center" vertical="center"/>
    </xf>
    <xf numFmtId="183" fontId="29" fillId="0" borderId="18" xfId="47" applyNumberFormat="1" applyFont="1" applyBorder="1" applyAlignment="1">
      <alignment horizontal="center" vertical="center"/>
    </xf>
    <xf numFmtId="183" fontId="29" fillId="0" borderId="21" xfId="47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4" xfId="42" applyFont="1" applyBorder="1" applyAlignment="1">
      <alignment horizontal="center" vertical="center"/>
    </xf>
    <xf numFmtId="200" fontId="20" fillId="4" borderId="5" xfId="1" applyNumberFormat="1" applyFont="1" applyFill="1" applyBorder="1" applyAlignment="1">
      <alignment horizontal="center" vertical="center" wrapText="1"/>
    </xf>
    <xf numFmtId="200" fontId="20" fillId="4" borderId="6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9" fillId="0" borderId="7" xfId="42" applyFont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9" fillId="0" borderId="9" xfId="42" applyFont="1" applyBorder="1" applyAlignment="1">
      <alignment horizontal="center" vertical="center"/>
    </xf>
    <xf numFmtId="0" fontId="19" fillId="0" borderId="10" xfId="42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/>
    </xf>
    <xf numFmtId="0" fontId="19" fillId="0" borderId="12" xfId="42" applyFont="1" applyBorder="1" applyAlignment="1">
      <alignment horizontal="center" vertical="center"/>
    </xf>
    <xf numFmtId="0" fontId="19" fillId="0" borderId="13" xfId="42" applyFont="1" applyBorder="1" applyAlignment="1">
      <alignment horizontal="center" vertical="center"/>
    </xf>
    <xf numFmtId="0" fontId="19" fillId="0" borderId="14" xfId="42" applyFont="1" applyBorder="1" applyAlignment="1">
      <alignment horizontal="center" vertical="center"/>
    </xf>
    <xf numFmtId="0" fontId="20" fillId="0" borderId="5" xfId="42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6" xfId="42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5" borderId="0" xfId="42" applyFont="1" applyFill="1" applyAlignment="1">
      <alignment horizontal="center" vertical="center"/>
    </xf>
    <xf numFmtId="0" fontId="19" fillId="0" borderId="0" xfId="42" applyFont="1" applyAlignment="1">
      <alignment horizontal="left" vertical="center" wrapText="1"/>
    </xf>
    <xf numFmtId="0" fontId="21" fillId="5" borderId="0" xfId="42" applyFont="1" applyFill="1" applyAlignment="1">
      <alignment horizontal="left" vertical="center"/>
    </xf>
    <xf numFmtId="198" fontId="19" fillId="0" borderId="0" xfId="42" applyNumberFormat="1" applyFont="1" applyFill="1" applyAlignment="1">
      <alignment horizontal="center" vertical="center"/>
    </xf>
    <xf numFmtId="0" fontId="19" fillId="0" borderId="5" xfId="42" applyFont="1" applyFill="1" applyBorder="1" applyAlignment="1">
      <alignment horizontal="center" vertical="center"/>
    </xf>
    <xf numFmtId="0" fontId="19" fillId="0" borderId="6" xfId="42" applyFont="1" applyFill="1" applyBorder="1" applyAlignment="1">
      <alignment horizontal="center" vertical="center"/>
    </xf>
    <xf numFmtId="0" fontId="19" fillId="0" borderId="4" xfId="42" applyFont="1" applyFill="1" applyBorder="1" applyAlignment="1">
      <alignment horizontal="center" vertical="center"/>
    </xf>
  </cellXfs>
  <cellStyles count="82">
    <cellStyle name="Comma [0] 2" xfId="1" xr:uid="{680A1476-70AE-4B9C-A0D1-4AAA905D4EDA}"/>
    <cellStyle name="Comma [0] 2 2" xfId="2" xr:uid="{EFCB41D8-671A-4FEF-A3B2-CA95BE780A8F}"/>
    <cellStyle name="Comma [0] 3" xfId="3" xr:uid="{27461207-E1AB-4279-8735-1570C8440E36}"/>
    <cellStyle name="Comma [0] 4" xfId="4" xr:uid="{8D1820C7-666D-4FAE-8608-0D3FEE6AC80C}"/>
    <cellStyle name="Comma 2" xfId="5" xr:uid="{B4C3F9AA-C74E-44C6-9B1A-CA506A6A27CF}"/>
    <cellStyle name="Comma 2 2" xfId="6" xr:uid="{3AB901D3-97B2-489B-A5BD-1B02BE8949AE}"/>
    <cellStyle name="Comma 2 2 2" xfId="7" xr:uid="{46C9F9B8-CE51-4634-BD8F-C087B14164C8}"/>
    <cellStyle name="Comma 2 3" xfId="8" xr:uid="{3E06D1AE-7397-4B74-9C99-CACC071D9683}"/>
    <cellStyle name="Comma 2 3 2" xfId="9" xr:uid="{DD9748E7-DDE9-4C80-867A-79E6AB528AC7}"/>
    <cellStyle name="Comma 2 4" xfId="10" xr:uid="{4B5D773B-9D45-4008-B263-3B264E905479}"/>
    <cellStyle name="Comma 3" xfId="11" xr:uid="{04FBB14A-10DC-48C6-AAB1-E4975446A59E}"/>
    <cellStyle name="Comma 3 10" xfId="12" xr:uid="{7B6103A4-ABB7-4050-AB27-523FFA69F47A}"/>
    <cellStyle name="Comma 3 2" xfId="13" xr:uid="{DF99865F-27D0-4D99-A6A1-1D3A8930EBD5}"/>
    <cellStyle name="Comma 4" xfId="14" xr:uid="{FB03D81A-8C75-4919-ADAF-F7526C972E92}"/>
    <cellStyle name="Comma 5" xfId="15" xr:uid="{C6E40FA6-407B-4C45-B276-673BFFA32764}"/>
    <cellStyle name="Comma 5 2" xfId="16" xr:uid="{9008B2DF-72AE-4A9A-B87C-374483011109}"/>
    <cellStyle name="Comma 6" xfId="17" xr:uid="{6261BCBE-CDD9-4E85-A408-8DCE3F87A9A2}"/>
    <cellStyle name="CSI" xfId="18" xr:uid="{E7717DAF-B975-41A3-BD22-9D075E412DB9}"/>
    <cellStyle name="Currency [0]" xfId="19" builtinId="7"/>
    <cellStyle name="Currency 2" xfId="20" xr:uid="{BFEA4892-1DA7-4B5F-948A-7D714FD6FDE9}"/>
    <cellStyle name="Currency 2 2" xfId="21" xr:uid="{E6139AF8-DB96-456D-A462-58BF0FFC4E0A}"/>
    <cellStyle name="Currency 2 2 2 2" xfId="22" xr:uid="{DE559879-016E-4C74-8A48-412B80676D21}"/>
    <cellStyle name="Currency 3" xfId="23" xr:uid="{B58143B1-A6D6-4E6A-885A-5F83FB305B58}"/>
    <cellStyle name="Currency 4" xfId="24" xr:uid="{265B0714-B258-4CC3-85C0-8BE9204ED0BF}"/>
    <cellStyle name="Currency 5" xfId="25" xr:uid="{4D21785D-D64B-438E-9E13-9DAD23EEE5AA}"/>
    <cellStyle name="Description" xfId="26" xr:uid="{797E2854-96BA-4705-98A3-397C5BAA2F9F}"/>
    <cellStyle name="Foottitle" xfId="27" xr:uid="{5E6C8B5E-A3D2-489A-A66A-98D51C80E4FD}"/>
    <cellStyle name="header" xfId="28" xr:uid="{F719EEE8-E0B7-435A-9455-F13F32A9B410}"/>
    <cellStyle name="Hyperlink 2" xfId="29" xr:uid="{A5600C50-A303-4F36-BAF4-F3F86315F23F}"/>
    <cellStyle name="k" xfId="30" xr:uid="{3DCA286D-1A3D-44C0-9E7B-67382B270124}"/>
    <cellStyle name="L" xfId="31" xr:uid="{FB8958AB-6AD4-4E56-8D33-4ED44B487C7B}"/>
    <cellStyle name="Length" xfId="32" xr:uid="{09C042C8-6532-4BCE-99F8-8456F80050D8}"/>
    <cellStyle name="M" xfId="33" xr:uid="{5A27A68D-70E4-4898-BD52-D80B007D0C4B}"/>
    <cellStyle name="M-0" xfId="34" xr:uid="{FD7B7921-98F6-45BA-86B5-22839139EB4D}"/>
    <cellStyle name="MainDescription" xfId="35" xr:uid="{8F328177-9E63-428D-901C-23BB9EA87163}"/>
    <cellStyle name="Measure" xfId="36" xr:uid="{77008E68-7BFD-4D8D-A18A-125D88887136}"/>
    <cellStyle name="m-o" xfId="37" xr:uid="{4919966C-8844-4C4F-A4D2-ACA9066F30E0}"/>
    <cellStyle name="n" xfId="38" xr:uid="{1EA5DA32-3254-4817-86A0-602DBD14314D}"/>
    <cellStyle name="Normal" xfId="0" builtinId="0"/>
    <cellStyle name="Normal - Style1 2" xfId="39" xr:uid="{BCD8B125-1761-407B-90E1-C151EB16F08B}"/>
    <cellStyle name="Normal 11" xfId="40" xr:uid="{C729EBA9-D3F3-421D-B5F9-3D787E6590F9}"/>
    <cellStyle name="Normal 16" xfId="41" xr:uid="{68180F9A-42AC-455C-8DA3-358276BA7B6B}"/>
    <cellStyle name="Normal 2" xfId="42" xr:uid="{D76C5567-9F53-47A8-903F-9049714CFEBB}"/>
    <cellStyle name="Normal 2 2" xfId="43" xr:uid="{4A46BE85-1FE1-4A1B-B651-BB4923E21B96}"/>
    <cellStyle name="Normal 2 2 10" xfId="44" xr:uid="{8265E5CD-FB18-48D2-B490-3C7607FF450F}"/>
    <cellStyle name="Normal 2 2 2" xfId="45" xr:uid="{D89BD940-A9DE-40C1-BC2A-8A0A923CA2B5}"/>
    <cellStyle name="Normal 2 2 2 7" xfId="46" xr:uid="{8A58C6B2-5DFE-42E0-BE38-96E611304A56}"/>
    <cellStyle name="Normal 2 3" xfId="47" xr:uid="{B853A304-1711-420D-BFC6-BEA0EE5FC9C5}"/>
    <cellStyle name="Normal 2 3 2" xfId="48" xr:uid="{300ED6C1-530B-4A9D-A5E6-396495BB9356}"/>
    <cellStyle name="Normal 2 3 2 2" xfId="49" xr:uid="{9CFC9BF5-B7E8-4DF3-831E-AECAF0D3F250}"/>
    <cellStyle name="Normal 2 3 3" xfId="50" xr:uid="{7454A817-8AB8-41A0-97C9-8FCC9F728B35}"/>
    <cellStyle name="Normal 2 37" xfId="51" xr:uid="{52E8F953-BC92-4E20-BA2A-615817D45A60}"/>
    <cellStyle name="Normal 3" xfId="52" xr:uid="{1A79ED7A-44E7-499C-95F5-C4B24B2F9C0A}"/>
    <cellStyle name="Normal 3 2" xfId="53" xr:uid="{980508A6-B5B6-4DDB-98C1-4988B9065F7D}"/>
    <cellStyle name="Normal 3 3" xfId="54" xr:uid="{8DC7F795-1EE5-496E-AEAB-EC2F3E0C6176}"/>
    <cellStyle name="Normal 3 3 2" xfId="55" xr:uid="{CDDC4F42-81AE-4F50-A49C-1E286A2D0070}"/>
    <cellStyle name="Normal 4" xfId="56" xr:uid="{BBA22161-56A9-4DE7-8391-F670BECAFFCC}"/>
    <cellStyle name="Normal 4 2" xfId="57" xr:uid="{CB3FED5E-C8E9-49C9-8DB3-8ADE45141D17}"/>
    <cellStyle name="Normal 4 3" xfId="58" xr:uid="{7D1A822B-1167-4A81-8A78-2E5C7B616C36}"/>
    <cellStyle name="Normal 5" xfId="59" xr:uid="{5875FA0E-08E0-45CB-A044-DD093BF58AF1}"/>
    <cellStyle name="Normal 6" xfId="60" xr:uid="{5B0B2D79-4B96-43A6-A38A-A1244394355B}"/>
    <cellStyle name="Normal 7" xfId="61" xr:uid="{689A4FE0-4011-4F5E-8462-7995AA48D612}"/>
    <cellStyle name="Normal 8" xfId="62" xr:uid="{034F1262-685B-48C3-9704-893F0C8C3564}"/>
    <cellStyle name="Normal 9" xfId="63" xr:uid="{B2A5614F-4C3F-43AE-A3BC-609B02A88B9A}"/>
    <cellStyle name="Nr" xfId="64" xr:uid="{49388AB5-CB3C-4AC8-A928-FA64E11A079C}"/>
    <cellStyle name="Percent 2" xfId="65" xr:uid="{F15EF2FE-1D22-4C14-BC13-60D961EA75EE}"/>
    <cellStyle name="Percent 3" xfId="66" xr:uid="{BA17BFF7-E727-4334-97AC-482A205DC895}"/>
    <cellStyle name="Percent 3 2" xfId="67" xr:uid="{D9851D20-0578-453B-A2CC-89A145D743F1}"/>
    <cellStyle name="Percent 4" xfId="68" xr:uid="{99EDE1D0-255C-4097-BC71-91D2B3BEDE33}"/>
    <cellStyle name="Percent 5" xfId="69" xr:uid="{D7BE1525-1249-4E70-B501-AE11E05E39F5}"/>
    <cellStyle name="Rate" xfId="70" xr:uid="{0EDACB35-2C90-4009-9268-68B23BD62F45}"/>
    <cellStyle name="RateBold" xfId="71" xr:uid="{A1086F95-D017-488F-972D-1C1561C9D747}"/>
    <cellStyle name="Section Title" xfId="72" xr:uid="{BC9B5ED5-9BE1-4194-BCD7-62D374119384}"/>
    <cellStyle name="Subtitle" xfId="73" xr:uid="{96F746D8-7A12-4888-A851-B3CF911DD22A}"/>
    <cellStyle name="Subtotal" xfId="74" xr:uid="{DEEE1F6B-A31A-46D1-B3D1-45FA2D3E4223}"/>
    <cellStyle name="sum" xfId="75" xr:uid="{C2C3B922-7D2E-4FD9-8EE9-EC614DA66E04}"/>
    <cellStyle name="sum8" xfId="76" xr:uid="{07AA1B12-B38C-4188-9684-434D01852EA9}"/>
    <cellStyle name="Summary_back" xfId="77" xr:uid="{8A39F263-AF5B-4D66-BE1C-17B43DC47F27}"/>
    <cellStyle name="Title Row" xfId="78" xr:uid="{5B124F2E-1A5D-4533-92C8-EA41F05C26D2}"/>
    <cellStyle name="totalbold" xfId="79" xr:uid="{5B0B4ADE-F5B6-4011-A988-1F98E0EA4A49}"/>
    <cellStyle name="uni" xfId="80" xr:uid="{4424CF73-BD11-4BA4-9B1B-2D8E497404E6}"/>
    <cellStyle name="Unit" xfId="81" xr:uid="{690C85CB-D992-4F30-B0EA-58907BAA5D0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0</xdr:row>
      <xdr:rowOff>47625</xdr:rowOff>
    </xdr:from>
    <xdr:to>
      <xdr:col>6</xdr:col>
      <xdr:colOff>1000125</xdr:colOff>
      <xdr:row>1</xdr:row>
      <xdr:rowOff>142875</xdr:rowOff>
    </xdr:to>
    <xdr:pic>
      <xdr:nvPicPr>
        <xdr:cNvPr id="249957" name="Picture 2">
          <a:extLst>
            <a:ext uri="{FF2B5EF4-FFF2-40B4-BE49-F238E27FC236}">
              <a16:creationId xmlns:a16="http://schemas.microsoft.com/office/drawing/2014/main" id="{F8DC5CD5-E490-B890-F68F-DB2B84233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47625"/>
          <a:ext cx="828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47625</xdr:rowOff>
    </xdr:from>
    <xdr:to>
      <xdr:col>5</xdr:col>
      <xdr:colOff>914400</xdr:colOff>
      <xdr:row>1</xdr:row>
      <xdr:rowOff>142875</xdr:rowOff>
    </xdr:to>
    <xdr:pic>
      <xdr:nvPicPr>
        <xdr:cNvPr id="261125" name="Picture 2">
          <a:extLst>
            <a:ext uri="{FF2B5EF4-FFF2-40B4-BE49-F238E27FC236}">
              <a16:creationId xmlns:a16="http://schemas.microsoft.com/office/drawing/2014/main" id="{782F6607-F5C1-A7B8-1A8D-F129B8664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7625"/>
          <a:ext cx="857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876300</xdr:colOff>
      <xdr:row>0</xdr:row>
      <xdr:rowOff>47625</xdr:rowOff>
    </xdr:from>
    <xdr:to>
      <xdr:col>5</xdr:col>
      <xdr:colOff>314325</xdr:colOff>
      <xdr:row>1</xdr:row>
      <xdr:rowOff>95250</xdr:rowOff>
    </xdr:to>
    <xdr:pic>
      <xdr:nvPicPr>
        <xdr:cNvPr id="262149" name="Picture 2">
          <a:extLst>
            <a:ext uri="{FF2B5EF4-FFF2-40B4-BE49-F238E27FC236}">
              <a16:creationId xmlns:a16="http://schemas.microsoft.com/office/drawing/2014/main" id="{AC5FDA13-11D7-BCF0-C0F0-A2A40DC6F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47625"/>
          <a:ext cx="5905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19050</xdr:rowOff>
    </xdr:from>
    <xdr:to>
      <xdr:col>11</xdr:col>
      <xdr:colOff>409575</xdr:colOff>
      <xdr:row>0</xdr:row>
      <xdr:rowOff>352425</xdr:rowOff>
    </xdr:to>
    <xdr:pic>
      <xdr:nvPicPr>
        <xdr:cNvPr id="254020" name="Picture 2">
          <a:extLst>
            <a:ext uri="{FF2B5EF4-FFF2-40B4-BE49-F238E27FC236}">
              <a16:creationId xmlns:a16="http://schemas.microsoft.com/office/drawing/2014/main" id="{B8603369-1B4B-0A3D-8A07-93C5F276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9050"/>
          <a:ext cx="10953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152400</xdr:rowOff>
    </xdr:from>
    <xdr:to>
      <xdr:col>5</xdr:col>
      <xdr:colOff>1504950</xdr:colOff>
      <xdr:row>1</xdr:row>
      <xdr:rowOff>228600</xdr:rowOff>
    </xdr:to>
    <xdr:pic>
      <xdr:nvPicPr>
        <xdr:cNvPr id="255035" name="Picture 1">
          <a:extLst>
            <a:ext uri="{FF2B5EF4-FFF2-40B4-BE49-F238E27FC236}">
              <a16:creationId xmlns:a16="http://schemas.microsoft.com/office/drawing/2014/main" id="{5F829CDE-10B5-6146-9A16-8B8E1FE23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2400"/>
          <a:ext cx="11715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876300</xdr:colOff>
      <xdr:row>0</xdr:row>
      <xdr:rowOff>47625</xdr:rowOff>
    </xdr:from>
    <xdr:to>
      <xdr:col>6</xdr:col>
      <xdr:colOff>9525</xdr:colOff>
      <xdr:row>1</xdr:row>
      <xdr:rowOff>95250</xdr:rowOff>
    </xdr:to>
    <xdr:pic>
      <xdr:nvPicPr>
        <xdr:cNvPr id="263172" name="Picture 2">
          <a:extLst>
            <a:ext uri="{FF2B5EF4-FFF2-40B4-BE49-F238E27FC236}">
              <a16:creationId xmlns:a16="http://schemas.microsoft.com/office/drawing/2014/main" id="{E1C5B12C-67FE-7131-710D-3577F161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47625"/>
          <a:ext cx="9620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fs1\Data\Projects\Q.03.090%20Bvlgari%20Hotel%20Bali\Design%20Stage\Estimates\Schematic\SDCE%20Rev%2003%20dd%2010.07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l this out first..."/>
      <sheetName val="Front"/>
      <sheetName val="Contents"/>
      <sheetName val="Basis"/>
      <sheetName val="Descrip"/>
      <sheetName val="Exclusions"/>
      <sheetName val="Areas"/>
      <sheetName val="Overall Summary"/>
      <sheetName val="Overall Summary (Bank)"/>
      <sheetName val="Admin Summary"/>
      <sheetName val="BOH Summary"/>
      <sheetName val="Serv Summary"/>
      <sheetName val="Kitchen Summary"/>
      <sheetName val="5 Summary"/>
      <sheetName val="6 Summary"/>
      <sheetName val="7 Summary "/>
      <sheetName val="8 Summary"/>
      <sheetName val="9 Summary "/>
      <sheetName val="10 Summary "/>
      <sheetName val="11 Summary"/>
      <sheetName val="12 Summary "/>
      <sheetName val="13 Summary"/>
      <sheetName val="14 Summary"/>
      <sheetName val="1 Bed Summary "/>
      <sheetName val="1 Bed Budgets"/>
      <sheetName val="2Bed Summary"/>
      <sheetName val="2Bed Budgets"/>
      <sheetName val="B Suite Summary"/>
      <sheetName val="B Suite Budgets"/>
      <sheetName val="Operating Equip"/>
      <sheetName val="Sitework Summary"/>
      <sheetName val="Sitework Budgets"/>
      <sheetName val="Budgets"/>
      <sheetName val="VE Proposals"/>
      <sheetName val="DAF-2"/>
    </sheetNames>
    <sheetDataSet>
      <sheetData sheetId="0" refreshError="1">
        <row r="19">
          <cell r="D19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B17A-B71A-4CC4-A685-D83700D88C27}">
  <dimension ref="A1:I136"/>
  <sheetViews>
    <sheetView tabSelected="1" workbookViewId="0">
      <selection activeCell="K6" sqref="K6"/>
    </sheetView>
  </sheetViews>
  <sheetFormatPr defaultRowHeight="18" x14ac:dyDescent="0.5"/>
  <cols>
    <col min="1" max="1" width="2.7109375" style="2" bestFit="1" customWidth="1"/>
    <col min="2" max="2" width="8.85546875" style="74" customWidth="1"/>
    <col min="3" max="5" width="9.140625" style="74"/>
    <col min="6" max="6" width="9.42578125" style="74" customWidth="1"/>
    <col min="7" max="7" width="15.28515625" style="74" customWidth="1"/>
    <col min="8" max="8" width="6.5703125" style="75" customWidth="1"/>
    <col min="9" max="9" width="26.140625" style="76" customWidth="1"/>
    <col min="10" max="16384" width="9.140625" style="77"/>
  </cols>
  <sheetData>
    <row r="1" spans="1:9" ht="15" customHeight="1" thickTop="1" x14ac:dyDescent="0.5">
      <c r="A1" s="72"/>
      <c r="B1" s="73" t="s">
        <v>35</v>
      </c>
      <c r="C1" s="73" t="s">
        <v>171</v>
      </c>
      <c r="D1" s="77"/>
      <c r="E1" s="134"/>
      <c r="F1" s="134"/>
      <c r="G1" s="134"/>
      <c r="H1" s="135"/>
      <c r="I1" s="1" t="s">
        <v>175</v>
      </c>
    </row>
    <row r="2" spans="1:9" ht="15" customHeight="1" x14ac:dyDescent="0.5">
      <c r="A2" s="72"/>
      <c r="B2" s="73" t="s">
        <v>37</v>
      </c>
      <c r="C2" s="73" t="s">
        <v>38</v>
      </c>
      <c r="D2" s="77"/>
      <c r="E2" s="134"/>
      <c r="F2" s="134"/>
      <c r="G2" s="134"/>
      <c r="H2" s="135"/>
      <c r="I2" s="133"/>
    </row>
    <row r="3" spans="1:9" ht="15" customHeight="1" x14ac:dyDescent="0.5">
      <c r="A3" s="72"/>
      <c r="B3" s="73" t="s">
        <v>39</v>
      </c>
      <c r="C3" s="73" t="s">
        <v>40</v>
      </c>
      <c r="D3" s="77"/>
      <c r="E3" s="134"/>
      <c r="F3" s="134"/>
      <c r="G3" s="248"/>
      <c r="H3" s="248"/>
      <c r="I3" s="73"/>
    </row>
    <row r="4" spans="1:9" ht="15" customHeight="1" thickBot="1" x14ac:dyDescent="0.55000000000000004">
      <c r="A4" s="72"/>
      <c r="B4" s="73"/>
      <c r="C4" s="134"/>
      <c r="D4" s="73"/>
      <c r="E4" s="134"/>
      <c r="F4" s="134"/>
      <c r="G4" s="134"/>
      <c r="H4" s="135"/>
      <c r="I4" s="78"/>
    </row>
    <row r="5" spans="1:9" ht="15" customHeight="1" x14ac:dyDescent="0.5">
      <c r="B5" s="249" t="s">
        <v>41</v>
      </c>
      <c r="C5" s="251" t="s">
        <v>42</v>
      </c>
      <c r="D5" s="251"/>
      <c r="E5" s="251"/>
      <c r="F5" s="251"/>
      <c r="G5" s="251"/>
      <c r="H5" s="251"/>
      <c r="I5" s="253" t="s">
        <v>43</v>
      </c>
    </row>
    <row r="6" spans="1:9" ht="15" customHeight="1" thickBot="1" x14ac:dyDescent="0.55000000000000004">
      <c r="B6" s="250"/>
      <c r="C6" s="252"/>
      <c r="D6" s="252"/>
      <c r="E6" s="252"/>
      <c r="F6" s="252"/>
      <c r="G6" s="252"/>
      <c r="H6" s="252"/>
      <c r="I6" s="254"/>
    </row>
    <row r="7" spans="1:9" ht="15" customHeight="1" thickTop="1" x14ac:dyDescent="0.5">
      <c r="B7" s="79">
        <v>1</v>
      </c>
      <c r="C7" s="80" t="s">
        <v>44</v>
      </c>
      <c r="D7" s="81"/>
      <c r="E7" s="81"/>
      <c r="F7" s="81"/>
      <c r="G7" s="81"/>
      <c r="H7" s="82"/>
      <c r="I7" s="83"/>
    </row>
    <row r="8" spans="1:9" ht="15" customHeight="1" x14ac:dyDescent="0.5">
      <c r="B8" s="84"/>
      <c r="C8" s="80" t="s">
        <v>45</v>
      </c>
      <c r="D8" s="85"/>
      <c r="E8" s="85"/>
      <c r="F8" s="85"/>
      <c r="G8" s="85"/>
      <c r="H8" s="86" t="s">
        <v>46</v>
      </c>
      <c r="I8" s="87">
        <v>243000</v>
      </c>
    </row>
    <row r="9" spans="1:9" ht="15" customHeight="1" x14ac:dyDescent="0.5">
      <c r="B9" s="84"/>
      <c r="C9" s="88" t="s">
        <v>48</v>
      </c>
      <c r="D9" s="85"/>
      <c r="E9" s="85"/>
      <c r="F9" s="85"/>
      <c r="G9" s="85"/>
      <c r="H9" s="82" t="s">
        <v>46</v>
      </c>
      <c r="I9" s="83">
        <f>64700*1.5</f>
        <v>97050</v>
      </c>
    </row>
    <row r="10" spans="1:9" ht="15" customHeight="1" x14ac:dyDescent="0.5">
      <c r="B10" s="84"/>
      <c r="C10" s="88" t="s">
        <v>49</v>
      </c>
      <c r="D10" s="81"/>
      <c r="E10" s="81"/>
      <c r="F10" s="81"/>
      <c r="G10" s="81"/>
      <c r="H10" s="82" t="s">
        <v>46</v>
      </c>
      <c r="I10" s="83">
        <v>47500</v>
      </c>
    </row>
    <row r="11" spans="1:9" ht="15" customHeight="1" x14ac:dyDescent="0.5">
      <c r="B11" s="84"/>
      <c r="C11" s="88" t="s">
        <v>50</v>
      </c>
      <c r="D11" s="81"/>
      <c r="E11" s="81"/>
      <c r="F11" s="81"/>
      <c r="G11" s="81"/>
      <c r="H11" s="82" t="s">
        <v>46</v>
      </c>
      <c r="I11" s="83">
        <v>23000</v>
      </c>
    </row>
    <row r="12" spans="1:9" ht="15" customHeight="1" x14ac:dyDescent="0.5">
      <c r="B12" s="84"/>
      <c r="C12" s="88" t="s">
        <v>51</v>
      </c>
      <c r="D12" s="81"/>
      <c r="E12" s="81"/>
      <c r="F12" s="81"/>
      <c r="G12" s="81"/>
      <c r="H12" s="82" t="s">
        <v>46</v>
      </c>
      <c r="I12" s="83">
        <v>115000</v>
      </c>
    </row>
    <row r="13" spans="1:9" ht="15" customHeight="1" x14ac:dyDescent="0.5">
      <c r="B13" s="84"/>
      <c r="C13" s="88" t="s">
        <v>52</v>
      </c>
      <c r="D13" s="81"/>
      <c r="E13" s="81"/>
      <c r="F13" s="81"/>
      <c r="G13" s="81"/>
      <c r="H13" s="82" t="s">
        <v>46</v>
      </c>
      <c r="I13" s="83">
        <v>52500</v>
      </c>
    </row>
    <row r="14" spans="1:9" ht="15" customHeight="1" x14ac:dyDescent="0.5">
      <c r="B14" s="84"/>
      <c r="C14" s="88" t="s">
        <v>53</v>
      </c>
      <c r="D14" s="81"/>
      <c r="E14" s="81"/>
      <c r="F14" s="81"/>
      <c r="G14" s="81"/>
      <c r="H14" s="82" t="s">
        <v>46</v>
      </c>
      <c r="I14" s="83">
        <v>17000</v>
      </c>
    </row>
    <row r="15" spans="1:9" ht="15" customHeight="1" x14ac:dyDescent="0.5">
      <c r="B15" s="84"/>
      <c r="C15" s="88" t="s">
        <v>54</v>
      </c>
      <c r="D15" s="81"/>
      <c r="E15" s="81"/>
      <c r="F15" s="81"/>
      <c r="G15" s="81"/>
      <c r="H15" s="82" t="s">
        <v>46</v>
      </c>
      <c r="I15" s="83">
        <v>15000</v>
      </c>
    </row>
    <row r="16" spans="1:9" ht="15" customHeight="1" x14ac:dyDescent="0.5">
      <c r="B16" s="84"/>
      <c r="C16" s="89" t="s">
        <v>55</v>
      </c>
      <c r="D16" s="90"/>
      <c r="E16" s="90"/>
      <c r="F16" s="90"/>
      <c r="G16" s="90"/>
      <c r="H16" s="91" t="s">
        <v>46</v>
      </c>
      <c r="I16" s="92">
        <v>67500</v>
      </c>
    </row>
    <row r="17" spans="2:9" ht="15" customHeight="1" x14ac:dyDescent="0.5">
      <c r="B17" s="84"/>
      <c r="C17" s="93"/>
      <c r="D17" s="94"/>
      <c r="E17" s="94"/>
      <c r="F17" s="94"/>
      <c r="G17" s="95" t="s">
        <v>2</v>
      </c>
      <c r="H17" s="96" t="s">
        <v>46</v>
      </c>
      <c r="I17" s="97">
        <f>SUM(I8:I16)</f>
        <v>677550</v>
      </c>
    </row>
    <row r="18" spans="2:9" ht="15" hidden="1" customHeight="1" x14ac:dyDescent="0.5">
      <c r="B18" s="84"/>
      <c r="C18" s="98" t="s">
        <v>56</v>
      </c>
      <c r="D18" s="99"/>
      <c r="E18" s="99"/>
      <c r="F18" s="99"/>
      <c r="G18" s="99"/>
      <c r="H18" s="100"/>
      <c r="I18" s="101"/>
    </row>
    <row r="19" spans="2:9" ht="15" hidden="1" customHeight="1" x14ac:dyDescent="0.5">
      <c r="B19" s="84"/>
      <c r="C19" s="98" t="s">
        <v>45</v>
      </c>
      <c r="D19" s="102"/>
      <c r="E19" s="102"/>
      <c r="F19" s="102"/>
      <c r="G19" s="102"/>
      <c r="H19" s="103" t="s">
        <v>46</v>
      </c>
      <c r="I19" s="104">
        <f>I8</f>
        <v>243000</v>
      </c>
    </row>
    <row r="20" spans="2:9" ht="15" hidden="1" customHeight="1" x14ac:dyDescent="0.5">
      <c r="B20" s="84"/>
      <c r="C20" s="98" t="s">
        <v>47</v>
      </c>
      <c r="D20" s="102"/>
      <c r="E20" s="102"/>
      <c r="F20" s="102"/>
      <c r="G20" s="102"/>
      <c r="H20" s="103"/>
      <c r="I20" s="104"/>
    </row>
    <row r="21" spans="2:9" ht="15" hidden="1" customHeight="1" x14ac:dyDescent="0.5">
      <c r="B21" s="84"/>
      <c r="C21" s="105" t="s">
        <v>48</v>
      </c>
      <c r="D21" s="102"/>
      <c r="E21" s="102"/>
      <c r="F21" s="102"/>
      <c r="G21" s="102"/>
      <c r="H21" s="100" t="s">
        <v>46</v>
      </c>
      <c r="I21" s="101">
        <f>I9</f>
        <v>97050</v>
      </c>
    </row>
    <row r="22" spans="2:9" ht="15" hidden="1" customHeight="1" x14ac:dyDescent="0.5">
      <c r="B22" s="84"/>
      <c r="C22" s="105" t="s">
        <v>57</v>
      </c>
      <c r="D22" s="99"/>
      <c r="E22" s="99"/>
      <c r="F22" s="99"/>
      <c r="G22" s="99"/>
      <c r="H22" s="100" t="s">
        <v>46</v>
      </c>
      <c r="I22" s="101">
        <v>60000</v>
      </c>
    </row>
    <row r="23" spans="2:9" ht="15" hidden="1" customHeight="1" x14ac:dyDescent="0.5">
      <c r="B23" s="84"/>
      <c r="C23" s="105" t="s">
        <v>50</v>
      </c>
      <c r="D23" s="99"/>
      <c r="E23" s="99"/>
      <c r="F23" s="99"/>
      <c r="G23" s="99"/>
      <c r="H23" s="100" t="s">
        <v>46</v>
      </c>
      <c r="I23" s="101">
        <f>I11</f>
        <v>23000</v>
      </c>
    </row>
    <row r="24" spans="2:9" ht="15" hidden="1" customHeight="1" x14ac:dyDescent="0.5">
      <c r="B24" s="84"/>
      <c r="C24" s="105" t="s">
        <v>51</v>
      </c>
      <c r="D24" s="99"/>
      <c r="E24" s="99"/>
      <c r="F24" s="99"/>
      <c r="G24" s="99"/>
      <c r="H24" s="100" t="s">
        <v>46</v>
      </c>
      <c r="I24" s="101">
        <f>I12</f>
        <v>115000</v>
      </c>
    </row>
    <row r="25" spans="2:9" ht="15" hidden="1" customHeight="1" x14ac:dyDescent="0.5">
      <c r="B25" s="84"/>
      <c r="C25" s="105" t="s">
        <v>52</v>
      </c>
      <c r="D25" s="99"/>
      <c r="E25" s="99"/>
      <c r="F25" s="99"/>
      <c r="G25" s="99"/>
      <c r="H25" s="100" t="s">
        <v>46</v>
      </c>
      <c r="I25" s="101">
        <f>I13</f>
        <v>52500</v>
      </c>
    </row>
    <row r="26" spans="2:9" ht="15" hidden="1" customHeight="1" x14ac:dyDescent="0.5">
      <c r="B26" s="84"/>
      <c r="C26" s="105" t="s">
        <v>53</v>
      </c>
      <c r="D26" s="99"/>
      <c r="E26" s="99"/>
      <c r="F26" s="99"/>
      <c r="G26" s="99"/>
      <c r="H26" s="100" t="s">
        <v>46</v>
      </c>
      <c r="I26" s="101">
        <f>I14</f>
        <v>17000</v>
      </c>
    </row>
    <row r="27" spans="2:9" ht="15" hidden="1" customHeight="1" x14ac:dyDescent="0.5">
      <c r="B27" s="84"/>
      <c r="C27" s="105" t="s">
        <v>54</v>
      </c>
      <c r="D27" s="99"/>
      <c r="E27" s="99"/>
      <c r="F27" s="99"/>
      <c r="G27" s="99"/>
      <c r="H27" s="100" t="s">
        <v>46</v>
      </c>
      <c r="I27" s="101">
        <f>I15</f>
        <v>15000</v>
      </c>
    </row>
    <row r="28" spans="2:9" ht="15" hidden="1" customHeight="1" x14ac:dyDescent="0.5">
      <c r="B28" s="84"/>
      <c r="C28" s="106" t="s">
        <v>58</v>
      </c>
      <c r="D28" s="107"/>
      <c r="E28" s="107"/>
      <c r="F28" s="107"/>
      <c r="G28" s="107"/>
      <c r="H28" s="108" t="s">
        <v>46</v>
      </c>
      <c r="I28" s="109">
        <f>I16+20000</f>
        <v>87500</v>
      </c>
    </row>
    <row r="29" spans="2:9" ht="15" hidden="1" customHeight="1" x14ac:dyDescent="0.5">
      <c r="B29" s="84"/>
      <c r="C29" s="110"/>
      <c r="D29" s="111"/>
      <c r="E29" s="111"/>
      <c r="F29" s="111"/>
      <c r="G29" s="112" t="s">
        <v>2</v>
      </c>
      <c r="H29" s="113" t="s">
        <v>46</v>
      </c>
      <c r="I29" s="114">
        <f>SUM(I19:I28)</f>
        <v>710050</v>
      </c>
    </row>
    <row r="30" spans="2:9" ht="15" customHeight="1" x14ac:dyDescent="0.5">
      <c r="B30" s="79">
        <v>2</v>
      </c>
      <c r="C30" s="80" t="s">
        <v>59</v>
      </c>
      <c r="D30" s="81"/>
      <c r="E30" s="81"/>
      <c r="F30" s="81"/>
      <c r="G30" s="81"/>
      <c r="H30" s="82"/>
      <c r="I30" s="83"/>
    </row>
    <row r="31" spans="2:9" ht="15" customHeight="1" x14ac:dyDescent="0.5">
      <c r="B31" s="84"/>
      <c r="C31" s="80" t="s">
        <v>60</v>
      </c>
      <c r="D31" s="85"/>
      <c r="E31" s="85"/>
      <c r="F31" s="85"/>
      <c r="G31" s="85"/>
      <c r="H31" s="86" t="s">
        <v>46</v>
      </c>
      <c r="I31" s="87">
        <v>335750</v>
      </c>
    </row>
    <row r="32" spans="2:9" ht="15" customHeight="1" x14ac:dyDescent="0.5">
      <c r="B32" s="84"/>
      <c r="C32" s="80" t="s">
        <v>47</v>
      </c>
      <c r="D32" s="85"/>
      <c r="E32" s="85"/>
      <c r="F32" s="85"/>
      <c r="G32" s="85"/>
      <c r="H32" s="86"/>
      <c r="I32" s="87"/>
    </row>
    <row r="33" spans="2:9" ht="15" customHeight="1" x14ac:dyDescent="0.5">
      <c r="B33" s="84"/>
      <c r="C33" s="88" t="s">
        <v>61</v>
      </c>
      <c r="D33" s="85"/>
      <c r="E33" s="85"/>
      <c r="F33" s="85"/>
      <c r="G33" s="85"/>
      <c r="H33" s="82" t="s">
        <v>46</v>
      </c>
      <c r="I33" s="83">
        <f>I9</f>
        <v>97050</v>
      </c>
    </row>
    <row r="34" spans="2:9" ht="15" customHeight="1" x14ac:dyDescent="0.5">
      <c r="B34" s="84"/>
      <c r="C34" s="88" t="s">
        <v>62</v>
      </c>
      <c r="D34" s="81"/>
      <c r="E34" s="81"/>
      <c r="F34" s="81"/>
      <c r="G34" s="81"/>
      <c r="H34" s="82" t="s">
        <v>46</v>
      </c>
      <c r="I34" s="83">
        <f>I10</f>
        <v>47500</v>
      </c>
    </row>
    <row r="35" spans="2:9" ht="15" customHeight="1" x14ac:dyDescent="0.5">
      <c r="B35" s="84"/>
      <c r="C35" s="88" t="s">
        <v>50</v>
      </c>
      <c r="D35" s="81"/>
      <c r="E35" s="81"/>
      <c r="F35" s="81"/>
      <c r="G35" s="81"/>
      <c r="H35" s="82" t="s">
        <v>46</v>
      </c>
      <c r="I35" s="83">
        <f>I11</f>
        <v>23000</v>
      </c>
    </row>
    <row r="36" spans="2:9" ht="15" customHeight="1" x14ac:dyDescent="0.5">
      <c r="B36" s="84"/>
      <c r="C36" s="88" t="s">
        <v>63</v>
      </c>
      <c r="D36" s="81"/>
      <c r="E36" s="81"/>
      <c r="F36" s="81"/>
      <c r="G36" s="81"/>
      <c r="H36" s="82" t="s">
        <v>46</v>
      </c>
      <c r="I36" s="83">
        <v>35000</v>
      </c>
    </row>
    <row r="37" spans="2:9" ht="15" customHeight="1" x14ac:dyDescent="0.5">
      <c r="B37" s="84"/>
      <c r="C37" s="88" t="s">
        <v>52</v>
      </c>
      <c r="D37" s="81"/>
      <c r="E37" s="81"/>
      <c r="F37" s="81"/>
      <c r="G37" s="81"/>
      <c r="H37" s="82" t="s">
        <v>46</v>
      </c>
      <c r="I37" s="83">
        <f>I13</f>
        <v>52500</v>
      </c>
    </row>
    <row r="38" spans="2:9" ht="15" customHeight="1" x14ac:dyDescent="0.5">
      <c r="B38" s="84"/>
      <c r="C38" s="115" t="s">
        <v>53</v>
      </c>
      <c r="D38" s="116"/>
      <c r="E38" s="116"/>
      <c r="F38" s="116"/>
      <c r="G38" s="116"/>
      <c r="H38" s="117" t="s">
        <v>46</v>
      </c>
      <c r="I38" s="118">
        <f>I26</f>
        <v>17000</v>
      </c>
    </row>
    <row r="39" spans="2:9" ht="15" customHeight="1" x14ac:dyDescent="0.5">
      <c r="B39" s="84"/>
      <c r="C39" s="88" t="s">
        <v>54</v>
      </c>
      <c r="D39" s="81"/>
      <c r="E39" s="81"/>
      <c r="F39" s="81"/>
      <c r="G39" s="81"/>
      <c r="H39" s="82" t="s">
        <v>46</v>
      </c>
      <c r="I39" s="83">
        <f>I15</f>
        <v>15000</v>
      </c>
    </row>
    <row r="40" spans="2:9" ht="15" customHeight="1" x14ac:dyDescent="0.5">
      <c r="B40" s="84"/>
      <c r="C40" s="89" t="s">
        <v>55</v>
      </c>
      <c r="D40" s="90"/>
      <c r="E40" s="90"/>
      <c r="F40" s="90"/>
      <c r="G40" s="90"/>
      <c r="H40" s="91" t="s">
        <v>46</v>
      </c>
      <c r="I40" s="92">
        <f>I16</f>
        <v>67500</v>
      </c>
    </row>
    <row r="41" spans="2:9" ht="15" customHeight="1" x14ac:dyDescent="0.5">
      <c r="B41" s="84"/>
      <c r="C41" s="93"/>
      <c r="D41" s="94"/>
      <c r="E41" s="94"/>
      <c r="F41" s="94"/>
      <c r="G41" s="95" t="s">
        <v>2</v>
      </c>
      <c r="H41" s="96" t="s">
        <v>46</v>
      </c>
      <c r="I41" s="97">
        <f>SUM(I31:I40)</f>
        <v>690300</v>
      </c>
    </row>
    <row r="42" spans="2:9" ht="15" hidden="1" customHeight="1" x14ac:dyDescent="0.5">
      <c r="B42" s="84"/>
      <c r="C42" s="98" t="s">
        <v>64</v>
      </c>
      <c r="D42" s="99"/>
      <c r="E42" s="99"/>
      <c r="F42" s="99"/>
      <c r="G42" s="99"/>
      <c r="H42" s="100"/>
      <c r="I42" s="101"/>
    </row>
    <row r="43" spans="2:9" ht="15" hidden="1" customHeight="1" x14ac:dyDescent="0.5">
      <c r="B43" s="84"/>
      <c r="C43" s="98" t="s">
        <v>60</v>
      </c>
      <c r="D43" s="102"/>
      <c r="E43" s="102"/>
      <c r="F43" s="102"/>
      <c r="G43" s="102"/>
      <c r="H43" s="103" t="s">
        <v>46</v>
      </c>
      <c r="I43" s="104">
        <v>325750</v>
      </c>
    </row>
    <row r="44" spans="2:9" ht="15" hidden="1" customHeight="1" x14ac:dyDescent="0.5">
      <c r="B44" s="84"/>
      <c r="C44" s="98" t="s">
        <v>47</v>
      </c>
      <c r="D44" s="102"/>
      <c r="E44" s="102"/>
      <c r="F44" s="102"/>
      <c r="G44" s="102"/>
      <c r="H44" s="103"/>
      <c r="I44" s="104"/>
    </row>
    <row r="45" spans="2:9" ht="15" hidden="1" customHeight="1" x14ac:dyDescent="0.5">
      <c r="B45" s="84"/>
      <c r="C45" s="105" t="s">
        <v>61</v>
      </c>
      <c r="D45" s="102"/>
      <c r="E45" s="102"/>
      <c r="F45" s="102"/>
      <c r="G45" s="102"/>
      <c r="H45" s="100" t="s">
        <v>46</v>
      </c>
      <c r="I45" s="101">
        <f>I21</f>
        <v>97050</v>
      </c>
    </row>
    <row r="46" spans="2:9" ht="15" hidden="1" customHeight="1" x14ac:dyDescent="0.5">
      <c r="B46" s="84"/>
      <c r="C46" s="105" t="s">
        <v>57</v>
      </c>
      <c r="D46" s="99"/>
      <c r="E46" s="99"/>
      <c r="F46" s="99"/>
      <c r="G46" s="99"/>
      <c r="H46" s="100" t="s">
        <v>46</v>
      </c>
      <c r="I46" s="101">
        <v>60000</v>
      </c>
    </row>
    <row r="47" spans="2:9" ht="15" hidden="1" customHeight="1" x14ac:dyDescent="0.5">
      <c r="B47" s="84"/>
      <c r="C47" s="105" t="s">
        <v>50</v>
      </c>
      <c r="D47" s="99"/>
      <c r="E47" s="99"/>
      <c r="F47" s="99"/>
      <c r="G47" s="99"/>
      <c r="H47" s="100" t="s">
        <v>46</v>
      </c>
      <c r="I47" s="101">
        <f>I23</f>
        <v>23000</v>
      </c>
    </row>
    <row r="48" spans="2:9" ht="15" hidden="1" customHeight="1" x14ac:dyDescent="0.5">
      <c r="B48" s="84"/>
      <c r="C48" s="105" t="s">
        <v>63</v>
      </c>
      <c r="D48" s="99"/>
      <c r="E48" s="99"/>
      <c r="F48" s="99"/>
      <c r="G48" s="99"/>
      <c r="H48" s="100" t="s">
        <v>46</v>
      </c>
      <c r="I48" s="101">
        <v>35000</v>
      </c>
    </row>
    <row r="49" spans="2:9" ht="15" hidden="1" customHeight="1" x14ac:dyDescent="0.5">
      <c r="B49" s="84"/>
      <c r="C49" s="105" t="s">
        <v>52</v>
      </c>
      <c r="D49" s="99"/>
      <c r="E49" s="99"/>
      <c r="F49" s="99"/>
      <c r="G49" s="99"/>
      <c r="H49" s="100" t="s">
        <v>46</v>
      </c>
      <c r="I49" s="101">
        <f>I25</f>
        <v>52500</v>
      </c>
    </row>
    <row r="50" spans="2:9" ht="15" hidden="1" customHeight="1" x14ac:dyDescent="0.5">
      <c r="B50" s="84"/>
      <c r="C50" s="105" t="s">
        <v>53</v>
      </c>
      <c r="D50" s="99"/>
      <c r="E50" s="99"/>
      <c r="F50" s="99"/>
      <c r="G50" s="99"/>
      <c r="H50" s="100" t="s">
        <v>46</v>
      </c>
      <c r="I50" s="101">
        <f>I38</f>
        <v>17000</v>
      </c>
    </row>
    <row r="51" spans="2:9" ht="15" hidden="1" customHeight="1" x14ac:dyDescent="0.5">
      <c r="B51" s="84"/>
      <c r="C51" s="105" t="s">
        <v>54</v>
      </c>
      <c r="D51" s="99"/>
      <c r="E51" s="99"/>
      <c r="F51" s="99"/>
      <c r="G51" s="99"/>
      <c r="H51" s="100" t="s">
        <v>46</v>
      </c>
      <c r="I51" s="101">
        <f>I27</f>
        <v>15000</v>
      </c>
    </row>
    <row r="52" spans="2:9" ht="15" hidden="1" customHeight="1" x14ac:dyDescent="0.5">
      <c r="B52" s="84"/>
      <c r="C52" s="106" t="s">
        <v>58</v>
      </c>
      <c r="D52" s="107"/>
      <c r="E52" s="107"/>
      <c r="F52" s="107"/>
      <c r="G52" s="107"/>
      <c r="H52" s="108" t="s">
        <v>46</v>
      </c>
      <c r="I52" s="109">
        <f>I40+20000</f>
        <v>87500</v>
      </c>
    </row>
    <row r="53" spans="2:9" ht="15" hidden="1" customHeight="1" x14ac:dyDescent="0.5">
      <c r="B53" s="84"/>
      <c r="C53" s="110"/>
      <c r="D53" s="111"/>
      <c r="E53" s="111"/>
      <c r="F53" s="111"/>
      <c r="G53" s="112" t="s">
        <v>2</v>
      </c>
      <c r="H53" s="113" t="s">
        <v>46</v>
      </c>
      <c r="I53" s="114">
        <f>SUM(I43:I52)</f>
        <v>712800</v>
      </c>
    </row>
    <row r="54" spans="2:9" ht="15" customHeight="1" x14ac:dyDescent="0.5">
      <c r="B54" s="79">
        <v>3</v>
      </c>
      <c r="C54" s="80" t="s">
        <v>65</v>
      </c>
      <c r="D54" s="81"/>
      <c r="E54" s="81"/>
      <c r="F54" s="81"/>
      <c r="G54" s="81"/>
      <c r="H54" s="82"/>
      <c r="I54" s="83"/>
    </row>
    <row r="55" spans="2:9" ht="15" customHeight="1" x14ac:dyDescent="0.5">
      <c r="B55" s="84"/>
      <c r="C55" s="80" t="s">
        <v>45</v>
      </c>
      <c r="D55" s="85"/>
      <c r="E55" s="85"/>
      <c r="F55" s="85"/>
      <c r="G55" s="85"/>
      <c r="H55" s="86" t="s">
        <v>46</v>
      </c>
      <c r="I55" s="87">
        <v>95000</v>
      </c>
    </row>
    <row r="56" spans="2:9" ht="15" customHeight="1" x14ac:dyDescent="0.5">
      <c r="B56" s="84"/>
      <c r="C56" s="80" t="s">
        <v>47</v>
      </c>
      <c r="D56" s="85"/>
      <c r="E56" s="85"/>
      <c r="F56" s="85"/>
      <c r="G56" s="85"/>
      <c r="H56" s="86"/>
      <c r="I56" s="87"/>
    </row>
    <row r="57" spans="2:9" ht="15" customHeight="1" x14ac:dyDescent="0.5">
      <c r="B57" s="84"/>
      <c r="C57" s="88" t="s">
        <v>48</v>
      </c>
      <c r="D57" s="85"/>
      <c r="E57" s="85"/>
      <c r="F57" s="85"/>
      <c r="G57" s="85"/>
      <c r="H57" s="82" t="s">
        <v>46</v>
      </c>
      <c r="I57" s="83">
        <f>64700/5</f>
        <v>12940</v>
      </c>
    </row>
    <row r="58" spans="2:9" ht="15" customHeight="1" x14ac:dyDescent="0.5">
      <c r="B58" s="84"/>
      <c r="C58" s="88" t="s">
        <v>49</v>
      </c>
      <c r="D58" s="81"/>
      <c r="E58" s="81"/>
      <c r="F58" s="81"/>
      <c r="G58" s="81"/>
      <c r="H58" s="82" t="s">
        <v>46</v>
      </c>
      <c r="I58" s="83">
        <f>47500/5</f>
        <v>9500</v>
      </c>
    </row>
    <row r="59" spans="2:9" ht="15" customHeight="1" x14ac:dyDescent="0.5">
      <c r="B59" s="84"/>
      <c r="C59" s="88" t="s">
        <v>50</v>
      </c>
      <c r="D59" s="81"/>
      <c r="E59" s="81"/>
      <c r="F59" s="81"/>
      <c r="G59" s="81"/>
      <c r="H59" s="82" t="s">
        <v>46</v>
      </c>
      <c r="I59" s="83">
        <f>23000/5</f>
        <v>4600</v>
      </c>
    </row>
    <row r="60" spans="2:9" ht="15" customHeight="1" x14ac:dyDescent="0.5">
      <c r="B60" s="84"/>
      <c r="C60" s="88" t="s">
        <v>51</v>
      </c>
      <c r="D60" s="81"/>
      <c r="E60" s="81"/>
      <c r="F60" s="81"/>
      <c r="G60" s="81"/>
      <c r="H60" s="82" t="s">
        <v>46</v>
      </c>
      <c r="I60" s="83">
        <f>115000/5</f>
        <v>23000</v>
      </c>
    </row>
    <row r="61" spans="2:9" ht="15" customHeight="1" x14ac:dyDescent="0.5">
      <c r="B61" s="84"/>
      <c r="C61" s="88" t="s">
        <v>52</v>
      </c>
      <c r="D61" s="81"/>
      <c r="E61" s="81"/>
      <c r="F61" s="81"/>
      <c r="G61" s="81"/>
      <c r="H61" s="82" t="s">
        <v>46</v>
      </c>
      <c r="I61" s="83">
        <f>42500/5</f>
        <v>8500</v>
      </c>
    </row>
    <row r="62" spans="2:9" ht="15" customHeight="1" x14ac:dyDescent="0.5">
      <c r="B62" s="84"/>
      <c r="C62" s="88" t="s">
        <v>53</v>
      </c>
      <c r="D62" s="81"/>
      <c r="E62" s="81"/>
      <c r="F62" s="81"/>
      <c r="G62" s="81"/>
      <c r="H62" s="82" t="s">
        <v>46</v>
      </c>
      <c r="I62" s="83">
        <f>17000/5</f>
        <v>3400</v>
      </c>
    </row>
    <row r="63" spans="2:9" ht="15" customHeight="1" x14ac:dyDescent="0.5">
      <c r="B63" s="84"/>
      <c r="C63" s="88" t="s">
        <v>54</v>
      </c>
      <c r="D63" s="81"/>
      <c r="E63" s="81"/>
      <c r="F63" s="81"/>
      <c r="G63" s="81"/>
      <c r="H63" s="82" t="s">
        <v>46</v>
      </c>
      <c r="I63" s="83">
        <f>15000/5</f>
        <v>3000</v>
      </c>
    </row>
    <row r="64" spans="2:9" ht="15" customHeight="1" x14ac:dyDescent="0.5">
      <c r="B64" s="84"/>
      <c r="C64" s="89" t="s">
        <v>55</v>
      </c>
      <c r="D64" s="90"/>
      <c r="E64" s="90"/>
      <c r="F64" s="90"/>
      <c r="G64" s="90"/>
      <c r="H64" s="91" t="s">
        <v>46</v>
      </c>
      <c r="I64" s="92">
        <f>47500/5</f>
        <v>9500</v>
      </c>
    </row>
    <row r="65" spans="2:9" ht="15" customHeight="1" x14ac:dyDescent="0.5">
      <c r="B65" s="84"/>
      <c r="C65" s="93"/>
      <c r="D65" s="94"/>
      <c r="E65" s="94"/>
      <c r="F65" s="94"/>
      <c r="G65" s="95" t="s">
        <v>2</v>
      </c>
      <c r="H65" s="96" t="s">
        <v>46</v>
      </c>
      <c r="I65" s="97">
        <f>SUM(I55:I64)</f>
        <v>169440</v>
      </c>
    </row>
    <row r="66" spans="2:9" ht="15" customHeight="1" x14ac:dyDescent="0.5">
      <c r="B66" s="79">
        <v>4</v>
      </c>
      <c r="C66" s="80" t="s">
        <v>66</v>
      </c>
      <c r="D66" s="81"/>
      <c r="E66" s="81"/>
      <c r="F66" s="81"/>
      <c r="G66" s="81"/>
      <c r="H66" s="82"/>
      <c r="I66" s="83"/>
    </row>
    <row r="67" spans="2:9" ht="15" customHeight="1" x14ac:dyDescent="0.5">
      <c r="B67" s="84"/>
      <c r="C67" s="80" t="s">
        <v>45</v>
      </c>
      <c r="D67" s="85"/>
      <c r="E67" s="85"/>
      <c r="F67" s="85"/>
      <c r="G67" s="85"/>
      <c r="H67" s="86" t="s">
        <v>46</v>
      </c>
      <c r="I67" s="87">
        <v>195000</v>
      </c>
    </row>
    <row r="68" spans="2:9" ht="15" customHeight="1" x14ac:dyDescent="0.5">
      <c r="B68" s="84"/>
      <c r="C68" s="80" t="s">
        <v>47</v>
      </c>
      <c r="D68" s="85"/>
      <c r="E68" s="85"/>
      <c r="F68" s="85"/>
      <c r="G68" s="85"/>
      <c r="H68" s="86"/>
      <c r="I68" s="87"/>
    </row>
    <row r="69" spans="2:9" ht="15" customHeight="1" x14ac:dyDescent="0.5">
      <c r="B69" s="84"/>
      <c r="C69" s="88" t="s">
        <v>61</v>
      </c>
      <c r="D69" s="85"/>
      <c r="E69" s="85"/>
      <c r="F69" s="85"/>
      <c r="G69" s="85"/>
      <c r="H69" s="82" t="s">
        <v>46</v>
      </c>
      <c r="I69" s="83">
        <f>I45/4</f>
        <v>24262.5</v>
      </c>
    </row>
    <row r="70" spans="2:9" ht="15" customHeight="1" x14ac:dyDescent="0.5">
      <c r="B70" s="84"/>
      <c r="C70" s="88" t="s">
        <v>62</v>
      </c>
      <c r="D70" s="81"/>
      <c r="E70" s="81"/>
      <c r="F70" s="81"/>
      <c r="G70" s="81"/>
      <c r="H70" s="82" t="s">
        <v>46</v>
      </c>
      <c r="I70" s="83">
        <f>I46/4</f>
        <v>15000</v>
      </c>
    </row>
    <row r="71" spans="2:9" ht="15" customHeight="1" x14ac:dyDescent="0.5">
      <c r="B71" s="84"/>
      <c r="C71" s="88" t="s">
        <v>50</v>
      </c>
      <c r="D71" s="81"/>
      <c r="E71" s="81"/>
      <c r="F71" s="81"/>
      <c r="G71" s="81"/>
      <c r="H71" s="82" t="s">
        <v>46</v>
      </c>
      <c r="I71" s="83">
        <f>I47/4</f>
        <v>5750</v>
      </c>
    </row>
    <row r="72" spans="2:9" ht="15" customHeight="1" x14ac:dyDescent="0.5">
      <c r="B72" s="84"/>
      <c r="C72" s="88" t="s">
        <v>63</v>
      </c>
      <c r="D72" s="81"/>
      <c r="E72" s="81"/>
      <c r="F72" s="81"/>
      <c r="G72" s="81"/>
      <c r="H72" s="82" t="s">
        <v>46</v>
      </c>
      <c r="I72" s="83">
        <f>35000/4</f>
        <v>8750</v>
      </c>
    </row>
    <row r="73" spans="2:9" ht="15" customHeight="1" x14ac:dyDescent="0.5">
      <c r="B73" s="84"/>
      <c r="C73" s="88" t="s">
        <v>52</v>
      </c>
      <c r="D73" s="81"/>
      <c r="E73" s="81"/>
      <c r="F73" s="81"/>
      <c r="G73" s="81"/>
      <c r="H73" s="82" t="s">
        <v>46</v>
      </c>
      <c r="I73" s="83">
        <f>I49/4</f>
        <v>13125</v>
      </c>
    </row>
    <row r="74" spans="2:9" ht="15" customHeight="1" x14ac:dyDescent="0.5">
      <c r="B74" s="84"/>
      <c r="C74" s="115" t="s">
        <v>53</v>
      </c>
      <c r="D74" s="116"/>
      <c r="E74" s="116"/>
      <c r="F74" s="116"/>
      <c r="G74" s="116"/>
      <c r="H74" s="117" t="s">
        <v>46</v>
      </c>
      <c r="I74" s="118">
        <f>I38/4</f>
        <v>4250</v>
      </c>
    </row>
    <row r="75" spans="2:9" ht="15" customHeight="1" x14ac:dyDescent="0.5">
      <c r="B75" s="84"/>
      <c r="C75" s="88" t="s">
        <v>54</v>
      </c>
      <c r="D75" s="81"/>
      <c r="E75" s="81"/>
      <c r="F75" s="81"/>
      <c r="G75" s="81"/>
      <c r="H75" s="82" t="s">
        <v>46</v>
      </c>
      <c r="I75" s="83">
        <f>I51/4</f>
        <v>3750</v>
      </c>
    </row>
    <row r="76" spans="2:9" ht="15" customHeight="1" x14ac:dyDescent="0.5">
      <c r="B76" s="84"/>
      <c r="C76" s="89" t="s">
        <v>55</v>
      </c>
      <c r="D76" s="90"/>
      <c r="E76" s="90"/>
      <c r="F76" s="90"/>
      <c r="G76" s="90"/>
      <c r="H76" s="91" t="s">
        <v>46</v>
      </c>
      <c r="I76" s="92">
        <f>I52/4</f>
        <v>21875</v>
      </c>
    </row>
    <row r="77" spans="2:9" ht="15" customHeight="1" x14ac:dyDescent="0.5">
      <c r="B77" s="84"/>
      <c r="C77" s="93"/>
      <c r="D77" s="94"/>
      <c r="E77" s="94"/>
      <c r="F77" s="94"/>
      <c r="G77" s="95" t="s">
        <v>2</v>
      </c>
      <c r="H77" s="96" t="s">
        <v>46</v>
      </c>
      <c r="I77" s="97">
        <f>SUM(I67:I76)</f>
        <v>291762.5</v>
      </c>
    </row>
    <row r="78" spans="2:9" ht="15" customHeight="1" x14ac:dyDescent="0.5">
      <c r="B78" s="79">
        <v>5</v>
      </c>
      <c r="C78" s="80" t="s">
        <v>67</v>
      </c>
      <c r="D78" s="81"/>
      <c r="E78" s="81"/>
      <c r="F78" s="81"/>
      <c r="G78" s="81"/>
      <c r="H78" s="82"/>
      <c r="I78" s="83"/>
    </row>
    <row r="79" spans="2:9" ht="15" customHeight="1" x14ac:dyDescent="0.5">
      <c r="B79" s="84"/>
      <c r="C79" s="80" t="s">
        <v>45</v>
      </c>
      <c r="D79" s="85"/>
      <c r="E79" s="85"/>
      <c r="F79" s="85"/>
      <c r="G79" s="85"/>
      <c r="H79" s="86" t="s">
        <v>46</v>
      </c>
      <c r="I79" s="87">
        <v>468000</v>
      </c>
    </row>
    <row r="80" spans="2:9" ht="15" customHeight="1" x14ac:dyDescent="0.5">
      <c r="B80" s="84"/>
      <c r="C80" s="80" t="s">
        <v>47</v>
      </c>
      <c r="D80" s="85"/>
      <c r="E80" s="85"/>
      <c r="F80" s="85"/>
      <c r="G80" s="85"/>
      <c r="H80" s="86"/>
      <c r="I80" s="87"/>
    </row>
    <row r="81" spans="2:9" ht="15" customHeight="1" x14ac:dyDescent="0.5">
      <c r="B81" s="84"/>
      <c r="C81" s="88" t="s">
        <v>48</v>
      </c>
      <c r="D81" s="85"/>
      <c r="E81" s="85"/>
      <c r="F81" s="85"/>
      <c r="G81" s="85"/>
      <c r="H81" s="82" t="s">
        <v>46</v>
      </c>
      <c r="I81" s="83">
        <f>64700/2</f>
        <v>32350</v>
      </c>
    </row>
    <row r="82" spans="2:9" ht="15" customHeight="1" x14ac:dyDescent="0.5">
      <c r="B82" s="84"/>
      <c r="C82" s="88" t="s">
        <v>49</v>
      </c>
      <c r="D82" s="81"/>
      <c r="E82" s="81"/>
      <c r="F82" s="81"/>
      <c r="G82" s="81"/>
      <c r="H82" s="82" t="s">
        <v>46</v>
      </c>
      <c r="I82" s="83">
        <f>47500/2</f>
        <v>23750</v>
      </c>
    </row>
    <row r="83" spans="2:9" ht="15" customHeight="1" x14ac:dyDescent="0.5">
      <c r="B83" s="84"/>
      <c r="C83" s="88" t="s">
        <v>50</v>
      </c>
      <c r="D83" s="81"/>
      <c r="E83" s="81"/>
      <c r="F83" s="81"/>
      <c r="G83" s="81"/>
      <c r="H83" s="82" t="s">
        <v>46</v>
      </c>
      <c r="I83" s="83">
        <f>23000/2</f>
        <v>11500</v>
      </c>
    </row>
    <row r="84" spans="2:9" ht="15" customHeight="1" x14ac:dyDescent="0.5">
      <c r="B84" s="84"/>
      <c r="C84" s="88" t="s">
        <v>51</v>
      </c>
      <c r="D84" s="81"/>
      <c r="E84" s="81"/>
      <c r="F84" s="81"/>
      <c r="G84" s="81"/>
      <c r="H84" s="82" t="s">
        <v>46</v>
      </c>
      <c r="I84" s="83">
        <f>115000/1.6</f>
        <v>71875</v>
      </c>
    </row>
    <row r="85" spans="2:9" ht="15" customHeight="1" x14ac:dyDescent="0.5">
      <c r="B85" s="84"/>
      <c r="C85" s="88" t="s">
        <v>52</v>
      </c>
      <c r="D85" s="81"/>
      <c r="E85" s="81"/>
      <c r="F85" s="81"/>
      <c r="G85" s="81"/>
      <c r="H85" s="82" t="s">
        <v>46</v>
      </c>
      <c r="I85" s="83">
        <f>42500/2</f>
        <v>21250</v>
      </c>
    </row>
    <row r="86" spans="2:9" ht="15" customHeight="1" x14ac:dyDescent="0.5">
      <c r="B86" s="84"/>
      <c r="C86" s="88" t="s">
        <v>53</v>
      </c>
      <c r="D86" s="81"/>
      <c r="E86" s="81"/>
      <c r="F86" s="81"/>
      <c r="G86" s="81"/>
      <c r="H86" s="82" t="s">
        <v>46</v>
      </c>
      <c r="I86" s="83">
        <v>17000</v>
      </c>
    </row>
    <row r="87" spans="2:9" ht="15" customHeight="1" x14ac:dyDescent="0.5">
      <c r="B87" s="84"/>
      <c r="C87" s="88" t="s">
        <v>54</v>
      </c>
      <c r="D87" s="81"/>
      <c r="E87" s="81"/>
      <c r="F87" s="81"/>
      <c r="G87" s="81"/>
      <c r="H87" s="82" t="s">
        <v>46</v>
      </c>
      <c r="I87" s="83">
        <v>15000</v>
      </c>
    </row>
    <row r="88" spans="2:9" ht="15" customHeight="1" x14ac:dyDescent="0.5">
      <c r="B88" s="84"/>
      <c r="C88" s="89" t="s">
        <v>55</v>
      </c>
      <c r="D88" s="90"/>
      <c r="E88" s="90"/>
      <c r="F88" s="90"/>
      <c r="G88" s="90"/>
      <c r="H88" s="91" t="s">
        <v>46</v>
      </c>
      <c r="I88" s="92">
        <f>47500/2</f>
        <v>23750</v>
      </c>
    </row>
    <row r="89" spans="2:9" ht="15" customHeight="1" x14ac:dyDescent="0.5">
      <c r="B89" s="84"/>
      <c r="C89" s="93"/>
      <c r="D89" s="94"/>
      <c r="E89" s="94"/>
      <c r="F89" s="94"/>
      <c r="G89" s="95" t="s">
        <v>2</v>
      </c>
      <c r="H89" s="96" t="s">
        <v>46</v>
      </c>
      <c r="I89" s="97">
        <f>SUM(I79:I88)</f>
        <v>684475</v>
      </c>
    </row>
    <row r="90" spans="2:9" ht="15" customHeight="1" x14ac:dyDescent="0.5">
      <c r="B90" s="79">
        <v>6</v>
      </c>
      <c r="C90" s="80" t="s">
        <v>68</v>
      </c>
      <c r="D90" s="81"/>
      <c r="E90" s="81"/>
      <c r="F90" s="81"/>
      <c r="G90" s="81"/>
      <c r="H90" s="82"/>
      <c r="I90" s="83"/>
    </row>
    <row r="91" spans="2:9" ht="15" customHeight="1" x14ac:dyDescent="0.5">
      <c r="B91" s="84"/>
      <c r="C91" s="80" t="s">
        <v>45</v>
      </c>
      <c r="D91" s="85"/>
      <c r="E91" s="85"/>
      <c r="F91" s="85"/>
      <c r="G91" s="85"/>
      <c r="H91" s="86" t="s">
        <v>46</v>
      </c>
      <c r="I91" s="87">
        <v>95000</v>
      </c>
    </row>
    <row r="92" spans="2:9" ht="15" customHeight="1" x14ac:dyDescent="0.5">
      <c r="B92" s="84"/>
      <c r="C92" s="80" t="s">
        <v>47</v>
      </c>
      <c r="D92" s="85"/>
      <c r="E92" s="85"/>
      <c r="F92" s="85"/>
      <c r="G92" s="85"/>
      <c r="H92" s="86"/>
      <c r="I92" s="87"/>
    </row>
    <row r="93" spans="2:9" ht="15" customHeight="1" x14ac:dyDescent="0.5">
      <c r="B93" s="84"/>
      <c r="C93" s="88" t="s">
        <v>69</v>
      </c>
      <c r="D93" s="85"/>
      <c r="E93" s="85"/>
      <c r="F93" s="85"/>
      <c r="G93" s="85"/>
      <c r="H93" s="82" t="s">
        <v>46</v>
      </c>
      <c r="I93" s="83">
        <f>64700/5</f>
        <v>12940</v>
      </c>
    </row>
    <row r="94" spans="2:9" ht="15" customHeight="1" x14ac:dyDescent="0.5">
      <c r="B94" s="84"/>
      <c r="C94" s="88" t="s">
        <v>49</v>
      </c>
      <c r="D94" s="81"/>
      <c r="E94" s="81"/>
      <c r="F94" s="81"/>
      <c r="G94" s="81"/>
      <c r="H94" s="82" t="s">
        <v>46</v>
      </c>
      <c r="I94" s="83">
        <f>47500/5</f>
        <v>9500</v>
      </c>
    </row>
    <row r="95" spans="2:9" ht="15" customHeight="1" x14ac:dyDescent="0.5">
      <c r="B95" s="84"/>
      <c r="C95" s="88" t="s">
        <v>50</v>
      </c>
      <c r="D95" s="81"/>
      <c r="E95" s="81"/>
      <c r="F95" s="81"/>
      <c r="G95" s="81"/>
      <c r="H95" s="82" t="s">
        <v>46</v>
      </c>
      <c r="I95" s="83">
        <f>23000/5</f>
        <v>4600</v>
      </c>
    </row>
    <row r="96" spans="2:9" ht="15" customHeight="1" x14ac:dyDescent="0.5">
      <c r="B96" s="84"/>
      <c r="C96" s="88" t="s">
        <v>51</v>
      </c>
      <c r="D96" s="81"/>
      <c r="E96" s="81"/>
      <c r="F96" s="81"/>
      <c r="G96" s="81"/>
      <c r="H96" s="82" t="s">
        <v>46</v>
      </c>
      <c r="I96" s="83">
        <f>115000/5</f>
        <v>23000</v>
      </c>
    </row>
    <row r="97" spans="2:9" ht="15" customHeight="1" x14ac:dyDescent="0.5">
      <c r="B97" s="84"/>
      <c r="C97" s="88" t="s">
        <v>52</v>
      </c>
      <c r="D97" s="81"/>
      <c r="E97" s="81"/>
      <c r="F97" s="81"/>
      <c r="G97" s="81"/>
      <c r="H97" s="82" t="s">
        <v>46</v>
      </c>
      <c r="I97" s="83">
        <f>42500/5</f>
        <v>8500</v>
      </c>
    </row>
    <row r="98" spans="2:9" ht="15" customHeight="1" x14ac:dyDescent="0.5">
      <c r="B98" s="84"/>
      <c r="C98" s="88" t="s">
        <v>53</v>
      </c>
      <c r="D98" s="81"/>
      <c r="E98" s="81"/>
      <c r="F98" s="81"/>
      <c r="G98" s="81"/>
      <c r="H98" s="82" t="s">
        <v>46</v>
      </c>
      <c r="I98" s="83">
        <f>17000/5</f>
        <v>3400</v>
      </c>
    </row>
    <row r="99" spans="2:9" ht="15" customHeight="1" x14ac:dyDescent="0.5">
      <c r="B99" s="84"/>
      <c r="C99" s="88" t="s">
        <v>54</v>
      </c>
      <c r="D99" s="81"/>
      <c r="E99" s="81"/>
      <c r="F99" s="81"/>
      <c r="G99" s="81"/>
      <c r="H99" s="82" t="s">
        <v>46</v>
      </c>
      <c r="I99" s="83">
        <f>15000/5</f>
        <v>3000</v>
      </c>
    </row>
    <row r="100" spans="2:9" ht="15" customHeight="1" x14ac:dyDescent="0.5">
      <c r="B100" s="84"/>
      <c r="C100" s="89" t="s">
        <v>55</v>
      </c>
      <c r="D100" s="90"/>
      <c r="E100" s="90"/>
      <c r="F100" s="90"/>
      <c r="G100" s="90"/>
      <c r="H100" s="91" t="s">
        <v>46</v>
      </c>
      <c r="I100" s="92">
        <f>47500/5</f>
        <v>9500</v>
      </c>
    </row>
    <row r="101" spans="2:9" ht="15" customHeight="1" x14ac:dyDescent="0.5">
      <c r="B101" s="84"/>
      <c r="C101" s="93"/>
      <c r="D101" s="94"/>
      <c r="E101" s="94"/>
      <c r="F101" s="94"/>
      <c r="G101" s="95" t="s">
        <v>2</v>
      </c>
      <c r="H101" s="96" t="s">
        <v>46</v>
      </c>
      <c r="I101" s="97">
        <f>SUM(I91:I100)</f>
        <v>169440</v>
      </c>
    </row>
    <row r="102" spans="2:9" ht="15" customHeight="1" x14ac:dyDescent="0.5">
      <c r="B102" s="79">
        <v>7</v>
      </c>
      <c r="C102" s="80" t="s">
        <v>70</v>
      </c>
      <c r="D102" s="81"/>
      <c r="E102" s="81"/>
      <c r="F102" s="81"/>
      <c r="G102" s="81"/>
      <c r="H102" s="82"/>
      <c r="I102" s="83"/>
    </row>
    <row r="103" spans="2:9" ht="15" customHeight="1" x14ac:dyDescent="0.5">
      <c r="B103" s="84"/>
      <c r="C103" s="80" t="s">
        <v>45</v>
      </c>
      <c r="D103" s="85"/>
      <c r="E103" s="85"/>
      <c r="F103" s="85"/>
      <c r="G103" s="85"/>
      <c r="H103" s="86" t="s">
        <v>46</v>
      </c>
      <c r="I103" s="87">
        <v>735000</v>
      </c>
    </row>
    <row r="104" spans="2:9" ht="15" customHeight="1" x14ac:dyDescent="0.5">
      <c r="B104" s="84"/>
      <c r="C104" s="80" t="s">
        <v>47</v>
      </c>
      <c r="D104" s="85"/>
      <c r="E104" s="85"/>
      <c r="F104" s="85"/>
      <c r="G104" s="85"/>
      <c r="H104" s="86"/>
      <c r="I104" s="87"/>
    </row>
    <row r="105" spans="2:9" ht="15" customHeight="1" x14ac:dyDescent="0.5">
      <c r="B105" s="84"/>
      <c r="C105" s="88" t="s">
        <v>71</v>
      </c>
      <c r="D105" s="81"/>
      <c r="E105" s="81"/>
      <c r="F105" s="81"/>
      <c r="G105" s="81"/>
      <c r="H105" s="82" t="s">
        <v>46</v>
      </c>
      <c r="I105" s="83">
        <v>24000</v>
      </c>
    </row>
    <row r="106" spans="2:9" ht="15" customHeight="1" x14ac:dyDescent="0.5">
      <c r="B106" s="84"/>
      <c r="C106" s="88" t="s">
        <v>72</v>
      </c>
      <c r="D106" s="81"/>
      <c r="E106" s="81"/>
      <c r="F106" s="81"/>
      <c r="G106" s="81"/>
      <c r="H106" s="82" t="s">
        <v>46</v>
      </c>
      <c r="I106" s="83">
        <v>75000</v>
      </c>
    </row>
    <row r="107" spans="2:9" ht="15" customHeight="1" x14ac:dyDescent="0.5">
      <c r="B107" s="84"/>
      <c r="C107" s="88" t="s">
        <v>54</v>
      </c>
      <c r="D107" s="81"/>
      <c r="E107" s="81"/>
      <c r="F107" s="81"/>
      <c r="G107" s="81"/>
      <c r="H107" s="82" t="s">
        <v>46</v>
      </c>
      <c r="I107" s="83">
        <v>18000</v>
      </c>
    </row>
    <row r="108" spans="2:9" ht="15" customHeight="1" x14ac:dyDescent="0.5">
      <c r="B108" s="84"/>
      <c r="C108" s="89" t="s">
        <v>73</v>
      </c>
      <c r="D108" s="90"/>
      <c r="E108" s="90"/>
      <c r="F108" s="90"/>
      <c r="G108" s="90"/>
      <c r="H108" s="91" t="s">
        <v>46</v>
      </c>
      <c r="I108" s="92">
        <f>I16</f>
        <v>67500</v>
      </c>
    </row>
    <row r="109" spans="2:9" ht="15" customHeight="1" x14ac:dyDescent="0.5">
      <c r="B109" s="84"/>
      <c r="C109" s="93"/>
      <c r="D109" s="94"/>
      <c r="E109" s="94"/>
      <c r="F109" s="94"/>
      <c r="G109" s="95" t="s">
        <v>2</v>
      </c>
      <c r="H109" s="96" t="s">
        <v>46</v>
      </c>
      <c r="I109" s="97">
        <f>SUM(I103:I108)</f>
        <v>919500</v>
      </c>
    </row>
    <row r="110" spans="2:9" ht="15" customHeight="1" x14ac:dyDescent="0.5">
      <c r="B110" s="79">
        <v>8</v>
      </c>
      <c r="C110" s="80" t="s">
        <v>74</v>
      </c>
      <c r="D110" s="90"/>
      <c r="E110" s="90"/>
      <c r="F110" s="90"/>
      <c r="G110" s="81"/>
      <c r="H110" s="82"/>
      <c r="I110" s="83"/>
    </row>
    <row r="111" spans="2:9" ht="15" customHeight="1" x14ac:dyDescent="0.5">
      <c r="B111" s="119"/>
      <c r="C111" s="89" t="s">
        <v>75</v>
      </c>
      <c r="D111" s="90"/>
      <c r="E111" s="90"/>
      <c r="F111" s="90"/>
      <c r="G111" s="81"/>
      <c r="H111" s="82" t="s">
        <v>46</v>
      </c>
      <c r="I111" s="83">
        <v>575000</v>
      </c>
    </row>
    <row r="112" spans="2:9" ht="15" customHeight="1" x14ac:dyDescent="0.5">
      <c r="B112" s="119"/>
      <c r="C112" s="89" t="s">
        <v>76</v>
      </c>
      <c r="D112" s="90"/>
      <c r="E112" s="90"/>
      <c r="F112" s="90"/>
      <c r="G112" s="81"/>
      <c r="H112" s="82" t="s">
        <v>46</v>
      </c>
      <c r="I112" s="83">
        <v>45000</v>
      </c>
    </row>
    <row r="113" spans="1:9" ht="15" customHeight="1" x14ac:dyDescent="0.5">
      <c r="B113" s="119"/>
      <c r="C113" s="89" t="s">
        <v>77</v>
      </c>
      <c r="D113" s="90"/>
      <c r="E113" s="90"/>
      <c r="F113" s="90"/>
      <c r="G113" s="81"/>
      <c r="H113" s="82" t="s">
        <v>46</v>
      </c>
      <c r="I113" s="83">
        <v>52000</v>
      </c>
    </row>
    <row r="114" spans="1:9" ht="15" customHeight="1" x14ac:dyDescent="0.5">
      <c r="B114" s="119"/>
      <c r="C114" s="89" t="s">
        <v>78</v>
      </c>
      <c r="D114" s="90"/>
      <c r="E114" s="90"/>
      <c r="F114" s="90"/>
      <c r="G114" s="81"/>
      <c r="H114" s="82" t="s">
        <v>46</v>
      </c>
      <c r="I114" s="83">
        <v>182000</v>
      </c>
    </row>
    <row r="115" spans="1:9" ht="15" customHeight="1" x14ac:dyDescent="0.5">
      <c r="B115" s="119"/>
      <c r="C115" s="89" t="s">
        <v>79</v>
      </c>
      <c r="D115" s="90"/>
      <c r="E115" s="90"/>
      <c r="F115" s="90"/>
      <c r="G115" s="120"/>
      <c r="H115" s="82" t="s">
        <v>46</v>
      </c>
      <c r="I115" s="83">
        <v>85000</v>
      </c>
    </row>
    <row r="116" spans="1:9" ht="15" customHeight="1" x14ac:dyDescent="0.5">
      <c r="B116" s="121">
        <v>9</v>
      </c>
      <c r="C116" s="80" t="s">
        <v>80</v>
      </c>
      <c r="D116" s="90"/>
      <c r="E116" s="90"/>
      <c r="F116" s="90"/>
      <c r="G116" s="120"/>
      <c r="H116" s="122"/>
      <c r="I116" s="123"/>
    </row>
    <row r="117" spans="1:9" ht="15" customHeight="1" x14ac:dyDescent="0.5">
      <c r="B117" s="119"/>
      <c r="C117" s="124" t="s">
        <v>81</v>
      </c>
      <c r="D117" s="90"/>
      <c r="E117" s="90"/>
      <c r="F117" s="90"/>
      <c r="G117" s="120"/>
      <c r="H117" s="122" t="s">
        <v>46</v>
      </c>
      <c r="I117" s="83">
        <v>3540000</v>
      </c>
    </row>
    <row r="118" spans="1:9" ht="15" customHeight="1" x14ac:dyDescent="0.5">
      <c r="B118" s="119"/>
      <c r="C118" s="125" t="s">
        <v>82</v>
      </c>
      <c r="D118" s="90"/>
      <c r="E118" s="90"/>
      <c r="F118" s="90"/>
      <c r="G118" s="120"/>
      <c r="H118" s="122" t="s">
        <v>46</v>
      </c>
      <c r="I118" s="92">
        <f>7500000*3</f>
        <v>22500000</v>
      </c>
    </row>
    <row r="119" spans="1:9" ht="15" customHeight="1" x14ac:dyDescent="0.5">
      <c r="B119" s="119"/>
      <c r="C119" s="126" t="s">
        <v>83</v>
      </c>
      <c r="D119" s="90"/>
      <c r="E119" s="90"/>
      <c r="F119" s="90"/>
      <c r="G119" s="120"/>
      <c r="H119" s="122" t="s">
        <v>46</v>
      </c>
      <c r="I119" s="92">
        <v>3250000</v>
      </c>
    </row>
    <row r="120" spans="1:9" ht="15" customHeight="1" x14ac:dyDescent="0.5">
      <c r="B120" s="119"/>
      <c r="C120" s="93"/>
      <c r="D120" s="94"/>
      <c r="E120" s="94"/>
      <c r="F120" s="94"/>
      <c r="G120" s="95" t="s">
        <v>2</v>
      </c>
      <c r="H120" s="96" t="s">
        <v>46</v>
      </c>
      <c r="I120" s="97">
        <f>SUM(I117:I119)</f>
        <v>29290000</v>
      </c>
    </row>
    <row r="121" spans="1:9" ht="15" customHeight="1" thickBot="1" x14ac:dyDescent="0.55000000000000004">
      <c r="B121" s="127"/>
      <c r="C121" s="128"/>
      <c r="D121" s="129"/>
      <c r="E121" s="129"/>
      <c r="F121" s="129"/>
      <c r="G121" s="129"/>
      <c r="H121" s="130"/>
      <c r="I121" s="131"/>
    </row>
    <row r="122" spans="1:9" ht="15" customHeight="1" x14ac:dyDescent="0.5">
      <c r="B122" s="75"/>
      <c r="G122" s="132"/>
      <c r="I122" s="133"/>
    </row>
    <row r="123" spans="1:9" s="74" customFormat="1" ht="15" customHeight="1" x14ac:dyDescent="0.2">
      <c r="A123" s="2"/>
      <c r="B123" s="75"/>
      <c r="H123" s="75"/>
      <c r="I123" s="76"/>
    </row>
    <row r="124" spans="1:9" s="74" customFormat="1" ht="15" customHeight="1" x14ac:dyDescent="0.2">
      <c r="A124" s="2"/>
      <c r="B124" s="75"/>
      <c r="H124" s="75"/>
      <c r="I124" s="76"/>
    </row>
    <row r="125" spans="1:9" s="74" customFormat="1" ht="15" customHeight="1" x14ac:dyDescent="0.2">
      <c r="A125" s="2"/>
      <c r="B125" s="75"/>
      <c r="H125" s="75"/>
      <c r="I125" s="76"/>
    </row>
    <row r="126" spans="1:9" s="74" customFormat="1" ht="15" customHeight="1" x14ac:dyDescent="0.2">
      <c r="A126" s="2"/>
      <c r="B126" s="75"/>
      <c r="H126" s="75"/>
      <c r="I126" s="76"/>
    </row>
    <row r="127" spans="1:9" s="74" customFormat="1" ht="15" customHeight="1" x14ac:dyDescent="0.2">
      <c r="A127" s="2"/>
      <c r="B127" s="75"/>
      <c r="H127" s="75"/>
      <c r="I127" s="76"/>
    </row>
    <row r="128" spans="1:9" s="74" customFormat="1" ht="15" customHeight="1" x14ac:dyDescent="0.2">
      <c r="A128" s="2"/>
      <c r="B128" s="75"/>
      <c r="H128" s="75"/>
      <c r="I128" s="76"/>
    </row>
    <row r="129" spans="1:9" s="74" customFormat="1" ht="15" customHeight="1" x14ac:dyDescent="0.2">
      <c r="A129" s="2"/>
      <c r="B129" s="75"/>
      <c r="H129" s="75"/>
      <c r="I129" s="76"/>
    </row>
    <row r="130" spans="1:9" s="74" customFormat="1" ht="15" customHeight="1" x14ac:dyDescent="0.2">
      <c r="A130" s="2"/>
      <c r="B130" s="75"/>
      <c r="H130" s="75"/>
      <c r="I130" s="76"/>
    </row>
    <row r="131" spans="1:9" s="74" customFormat="1" ht="15" customHeight="1" x14ac:dyDescent="0.2">
      <c r="A131" s="2"/>
      <c r="B131" s="75"/>
      <c r="H131" s="75"/>
      <c r="I131" s="76"/>
    </row>
    <row r="132" spans="1:9" s="74" customFormat="1" ht="15" customHeight="1" x14ac:dyDescent="0.2">
      <c r="A132" s="2"/>
      <c r="H132" s="75"/>
      <c r="I132" s="76"/>
    </row>
    <row r="133" spans="1:9" s="74" customFormat="1" ht="15" customHeight="1" x14ac:dyDescent="0.2">
      <c r="A133" s="2"/>
      <c r="H133" s="75"/>
      <c r="I133" s="76"/>
    </row>
    <row r="134" spans="1:9" s="74" customFormat="1" ht="15" customHeight="1" x14ac:dyDescent="0.2">
      <c r="A134" s="2"/>
      <c r="H134" s="75"/>
      <c r="I134" s="76"/>
    </row>
    <row r="135" spans="1:9" s="74" customFormat="1" ht="15" customHeight="1" x14ac:dyDescent="0.2">
      <c r="A135" s="2"/>
      <c r="H135" s="75"/>
      <c r="I135" s="76"/>
    </row>
    <row r="136" spans="1:9" s="74" customFormat="1" ht="15" customHeight="1" x14ac:dyDescent="0.2">
      <c r="A136" s="2"/>
      <c r="H136" s="75"/>
      <c r="I136" s="76"/>
    </row>
  </sheetData>
  <mergeCells count="4">
    <mergeCell ref="G3:H3"/>
    <mergeCell ref="B5:B6"/>
    <mergeCell ref="C5:H6"/>
    <mergeCell ref="I5:I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7892-7699-4F15-9534-1D7A1DF5C44F}">
  <dimension ref="A1:G57"/>
  <sheetViews>
    <sheetView topLeftCell="A37" zoomScale="98" zoomScaleNormal="98" workbookViewId="0">
      <selection activeCell="H43" sqref="H43"/>
    </sheetView>
  </sheetViews>
  <sheetFormatPr defaultRowHeight="14.1" customHeight="1" x14ac:dyDescent="0.2"/>
  <cols>
    <col min="1" max="1" width="5.140625" style="2" customWidth="1"/>
    <col min="2" max="2" width="34.85546875" style="2" customWidth="1"/>
    <col min="3" max="3" width="7.5703125" style="16" customWidth="1"/>
    <col min="4" max="4" width="4.85546875" style="43" customWidth="1"/>
    <col min="5" max="6" width="14.85546875" style="14" customWidth="1"/>
    <col min="7" max="7" width="18.85546875" style="14" customWidth="1"/>
    <col min="8" max="16384" width="9.140625" style="2"/>
  </cols>
  <sheetData>
    <row r="1" spans="1:7" ht="14.1" customHeight="1" x14ac:dyDescent="0.2">
      <c r="A1" s="259" t="s">
        <v>102</v>
      </c>
      <c r="B1" s="259"/>
      <c r="C1" s="259"/>
      <c r="D1" s="259"/>
      <c r="E1" s="259"/>
      <c r="F1" s="259"/>
      <c r="G1" s="259"/>
    </row>
    <row r="2" spans="1:7" ht="14.1" customHeight="1" x14ac:dyDescent="0.2">
      <c r="A2" s="259"/>
      <c r="B2" s="259"/>
      <c r="C2" s="259"/>
      <c r="D2" s="259"/>
      <c r="E2" s="259"/>
      <c r="F2" s="259"/>
      <c r="G2" s="259"/>
    </row>
    <row r="3" spans="1:7" ht="14.1" customHeight="1" thickBot="1" x14ac:dyDescent="0.25">
      <c r="A3" s="255" t="s">
        <v>13</v>
      </c>
      <c r="B3" s="255"/>
      <c r="C3" s="255"/>
      <c r="D3" s="255"/>
      <c r="E3" s="255"/>
      <c r="F3" s="255"/>
      <c r="G3" s="255"/>
    </row>
    <row r="4" spans="1:7" ht="14.1" customHeight="1" thickTop="1" x14ac:dyDescent="0.2">
      <c r="A4" s="48"/>
      <c r="B4" s="49"/>
      <c r="C4" s="50"/>
      <c r="D4" s="51"/>
      <c r="E4" s="52"/>
      <c r="F4" s="52"/>
      <c r="G4" s="53" t="s">
        <v>175</v>
      </c>
    </row>
    <row r="5" spans="1:7" ht="14.1" customHeight="1" x14ac:dyDescent="0.2">
      <c r="B5" s="10" t="s">
        <v>33</v>
      </c>
      <c r="C5" s="11"/>
      <c r="D5" s="12"/>
      <c r="E5" s="13"/>
      <c r="F5" s="13"/>
    </row>
    <row r="6" spans="1:7" ht="14.1" customHeight="1" x14ac:dyDescent="0.2">
      <c r="B6" s="15"/>
      <c r="D6" s="17"/>
      <c r="E6" s="13"/>
      <c r="F6" s="13"/>
    </row>
    <row r="7" spans="1:7" ht="14.1" customHeight="1" x14ac:dyDescent="0.2">
      <c r="B7" s="10" t="s">
        <v>95</v>
      </c>
      <c r="D7" s="12"/>
      <c r="E7" s="18"/>
      <c r="F7" s="18"/>
    </row>
    <row r="8" spans="1:7" ht="14.1" customHeight="1" x14ac:dyDescent="0.2">
      <c r="B8" s="10" t="s">
        <v>34</v>
      </c>
      <c r="D8" s="12"/>
      <c r="E8" s="18"/>
      <c r="F8" s="18"/>
    </row>
    <row r="9" spans="1:7" ht="14.1" customHeight="1" x14ac:dyDescent="0.2">
      <c r="B9" s="10"/>
      <c r="D9" s="12"/>
      <c r="E9" s="18"/>
      <c r="F9" s="18"/>
    </row>
    <row r="10" spans="1:7" ht="14.1" customHeight="1" x14ac:dyDescent="0.2">
      <c r="B10" s="10" t="s">
        <v>0</v>
      </c>
      <c r="D10" s="12"/>
      <c r="E10" s="18"/>
      <c r="F10" s="18"/>
    </row>
    <row r="11" spans="1:7" ht="14.1" customHeight="1" x14ac:dyDescent="0.2">
      <c r="B11" s="10" t="s">
        <v>14</v>
      </c>
      <c r="C11" s="54"/>
      <c r="D11" s="12"/>
      <c r="E11" s="18"/>
      <c r="F11" s="18"/>
    </row>
    <row r="12" spans="1:7" ht="14.1" customHeight="1" x14ac:dyDescent="0.2">
      <c r="A12" s="29" t="s">
        <v>6</v>
      </c>
      <c r="B12" s="136" t="s">
        <v>3</v>
      </c>
      <c r="C12" s="256" t="s">
        <v>9</v>
      </c>
      <c r="D12" s="256"/>
      <c r="E12" s="21" t="s">
        <v>7</v>
      </c>
      <c r="F12" s="21" t="s">
        <v>88</v>
      </c>
      <c r="G12" s="21" t="s">
        <v>2</v>
      </c>
    </row>
    <row r="13" spans="1:7" ht="14.1" customHeight="1" x14ac:dyDescent="0.2">
      <c r="A13" s="22" t="s">
        <v>17</v>
      </c>
      <c r="B13" s="23" t="s">
        <v>18</v>
      </c>
      <c r="C13" s="31"/>
      <c r="D13" s="32"/>
      <c r="E13" s="20"/>
      <c r="F13" s="20"/>
      <c r="G13" s="26"/>
    </row>
    <row r="14" spans="1:7" ht="14.1" customHeight="1" x14ac:dyDescent="0.2">
      <c r="A14" s="29">
        <v>1</v>
      </c>
      <c r="B14" s="30" t="s">
        <v>25</v>
      </c>
      <c r="C14" s="31">
        <v>16</v>
      </c>
      <c r="D14" s="32" t="s">
        <v>28</v>
      </c>
      <c r="E14" s="20">
        <f>BD!I17</f>
        <v>677550</v>
      </c>
      <c r="F14" s="20">
        <f>E14-(E14*12%)</f>
        <v>596244</v>
      </c>
      <c r="G14" s="26">
        <f>F14*C14</f>
        <v>9539904</v>
      </c>
    </row>
    <row r="15" spans="1:7" ht="14.1" customHeight="1" x14ac:dyDescent="0.2">
      <c r="A15" s="29">
        <v>2</v>
      </c>
      <c r="B15" s="30" t="s">
        <v>26</v>
      </c>
      <c r="C15" s="31">
        <f>16.39+6+6+9.59+4.78</f>
        <v>42.760000000000005</v>
      </c>
      <c r="D15" s="32" t="s">
        <v>28</v>
      </c>
      <c r="E15" s="20">
        <f>BD!I41</f>
        <v>690300</v>
      </c>
      <c r="F15" s="20">
        <f t="shared" ref="F15:F41" si="0">E15-(E15*12%)</f>
        <v>607464</v>
      </c>
      <c r="G15" s="26">
        <f t="shared" ref="G15:G41" si="1">F15*C15</f>
        <v>25975160.640000004</v>
      </c>
    </row>
    <row r="16" spans="1:7" ht="14.1" customHeight="1" x14ac:dyDescent="0.2">
      <c r="A16" s="29">
        <v>3</v>
      </c>
      <c r="B16" s="30" t="s">
        <v>29</v>
      </c>
      <c r="C16" s="31">
        <f>4.6+4.6</f>
        <v>9.1999999999999993</v>
      </c>
      <c r="D16" s="32" t="s">
        <v>15</v>
      </c>
      <c r="E16" s="20">
        <f>BD!I109/2</f>
        <v>459750</v>
      </c>
      <c r="F16" s="20">
        <f t="shared" si="0"/>
        <v>404580</v>
      </c>
      <c r="G16" s="26">
        <f t="shared" si="1"/>
        <v>3722135.9999999995</v>
      </c>
    </row>
    <row r="17" spans="1:7" ht="14.1" customHeight="1" x14ac:dyDescent="0.2">
      <c r="A17" s="29">
        <v>4</v>
      </c>
      <c r="B17" s="30" t="s">
        <v>30</v>
      </c>
      <c r="C17" s="31">
        <v>4.5999999999999996</v>
      </c>
      <c r="D17" s="32" t="s">
        <v>15</v>
      </c>
      <c r="E17" s="20">
        <f>BD!I109</f>
        <v>919500</v>
      </c>
      <c r="F17" s="20">
        <f t="shared" si="0"/>
        <v>809160</v>
      </c>
      <c r="G17" s="26">
        <f t="shared" si="1"/>
        <v>3722135.9999999995</v>
      </c>
    </row>
    <row r="18" spans="1:7" ht="14.1" customHeight="1" x14ac:dyDescent="0.2">
      <c r="A18" s="29">
        <v>5</v>
      </c>
      <c r="B18" s="30" t="s">
        <v>27</v>
      </c>
      <c r="C18" s="31">
        <v>5</v>
      </c>
      <c r="D18" s="32" t="s">
        <v>16</v>
      </c>
      <c r="E18" s="20">
        <f>BD!I109*1.5</f>
        <v>1379250</v>
      </c>
      <c r="F18" s="20">
        <f t="shared" si="0"/>
        <v>1213740</v>
      </c>
      <c r="G18" s="26">
        <f t="shared" si="1"/>
        <v>6068700</v>
      </c>
    </row>
    <row r="19" spans="1:7" ht="14.1" customHeight="1" x14ac:dyDescent="0.2">
      <c r="A19" s="22" t="s">
        <v>20</v>
      </c>
      <c r="B19" s="23" t="s">
        <v>19</v>
      </c>
      <c r="C19" s="31"/>
      <c r="D19" s="32"/>
      <c r="E19" s="20"/>
      <c r="F19" s="20"/>
      <c r="G19" s="26"/>
    </row>
    <row r="20" spans="1:7" ht="14.1" customHeight="1" x14ac:dyDescent="0.2">
      <c r="A20" s="29">
        <v>1</v>
      </c>
      <c r="B20" s="30" t="s">
        <v>25</v>
      </c>
      <c r="C20" s="31">
        <v>21.02</v>
      </c>
      <c r="D20" s="32" t="s">
        <v>28</v>
      </c>
      <c r="E20" s="20">
        <f>E14</f>
        <v>677550</v>
      </c>
      <c r="F20" s="20">
        <f t="shared" si="0"/>
        <v>596244</v>
      </c>
      <c r="G20" s="26">
        <f t="shared" si="1"/>
        <v>12533048.879999999</v>
      </c>
    </row>
    <row r="21" spans="1:7" ht="14.1" customHeight="1" x14ac:dyDescent="0.2">
      <c r="A21" s="29">
        <v>2</v>
      </c>
      <c r="B21" s="30" t="s">
        <v>26</v>
      </c>
      <c r="C21" s="31">
        <f>10.37+11.28+6.77+4.38+7.7+6.5+1.96+11.12+1</f>
        <v>61.08</v>
      </c>
      <c r="D21" s="32" t="s">
        <v>28</v>
      </c>
      <c r="E21" s="20">
        <f>E15</f>
        <v>690300</v>
      </c>
      <c r="F21" s="20">
        <f t="shared" si="0"/>
        <v>607464</v>
      </c>
      <c r="G21" s="26">
        <f t="shared" si="1"/>
        <v>37103901.119999997</v>
      </c>
    </row>
    <row r="22" spans="1:7" ht="14.1" customHeight="1" x14ac:dyDescent="0.2">
      <c r="A22" s="29">
        <v>3</v>
      </c>
      <c r="B22" s="30" t="s">
        <v>29</v>
      </c>
      <c r="C22" s="31">
        <f>3.7+3.7</f>
        <v>7.4</v>
      </c>
      <c r="D22" s="32" t="s">
        <v>15</v>
      </c>
      <c r="E22" s="20">
        <f>E16</f>
        <v>459750</v>
      </c>
      <c r="F22" s="20">
        <f t="shared" si="0"/>
        <v>404580</v>
      </c>
      <c r="G22" s="26">
        <f t="shared" si="1"/>
        <v>2993892</v>
      </c>
    </row>
    <row r="23" spans="1:7" ht="14.1" customHeight="1" x14ac:dyDescent="0.2">
      <c r="A23" s="29">
        <v>4</v>
      </c>
      <c r="B23" s="30" t="s">
        <v>30</v>
      </c>
      <c r="C23" s="31">
        <v>3.85</v>
      </c>
      <c r="D23" s="32" t="s">
        <v>15</v>
      </c>
      <c r="E23" s="20">
        <f>E17</f>
        <v>919500</v>
      </c>
      <c r="F23" s="20">
        <f t="shared" si="0"/>
        <v>809160</v>
      </c>
      <c r="G23" s="26">
        <f t="shared" si="1"/>
        <v>3115266</v>
      </c>
    </row>
    <row r="24" spans="1:7" ht="14.1" customHeight="1" x14ac:dyDescent="0.2">
      <c r="A24" s="29">
        <v>5</v>
      </c>
      <c r="B24" s="30" t="s">
        <v>27</v>
      </c>
      <c r="C24" s="31">
        <v>4</v>
      </c>
      <c r="D24" s="32" t="s">
        <v>16</v>
      </c>
      <c r="E24" s="20">
        <f>E18</f>
        <v>1379250</v>
      </c>
      <c r="F24" s="20">
        <f t="shared" si="0"/>
        <v>1213740</v>
      </c>
      <c r="G24" s="26">
        <f t="shared" si="1"/>
        <v>4854960</v>
      </c>
    </row>
    <row r="25" spans="1:7" ht="14.1" customHeight="1" x14ac:dyDescent="0.2">
      <c r="A25" s="22" t="s">
        <v>21</v>
      </c>
      <c r="B25" s="23" t="s">
        <v>22</v>
      </c>
      <c r="C25" s="31"/>
      <c r="D25" s="32"/>
      <c r="E25" s="20"/>
      <c r="F25" s="20"/>
      <c r="G25" s="26"/>
    </row>
    <row r="26" spans="1:7" ht="14.1" customHeight="1" x14ac:dyDescent="0.2">
      <c r="A26" s="29">
        <v>1</v>
      </c>
      <c r="B26" s="30" t="s">
        <v>25</v>
      </c>
      <c r="C26" s="31">
        <v>4.0199999999999996</v>
      </c>
      <c r="D26" s="32" t="s">
        <v>28</v>
      </c>
      <c r="E26" s="20">
        <f>E14</f>
        <v>677550</v>
      </c>
      <c r="F26" s="20">
        <f t="shared" si="0"/>
        <v>596244</v>
      </c>
      <c r="G26" s="26">
        <f t="shared" si="1"/>
        <v>2396900.88</v>
      </c>
    </row>
    <row r="27" spans="1:7" ht="14.1" customHeight="1" x14ac:dyDescent="0.2">
      <c r="A27" s="29">
        <v>2</v>
      </c>
      <c r="B27" s="30" t="s">
        <v>26</v>
      </c>
      <c r="C27" s="31">
        <v>23.25</v>
      </c>
      <c r="D27" s="32" t="s">
        <v>28</v>
      </c>
      <c r="E27" s="20">
        <f>E15</f>
        <v>690300</v>
      </c>
      <c r="F27" s="20">
        <f t="shared" si="0"/>
        <v>607464</v>
      </c>
      <c r="G27" s="26">
        <f t="shared" si="1"/>
        <v>14123538</v>
      </c>
    </row>
    <row r="28" spans="1:7" ht="14.1" customHeight="1" x14ac:dyDescent="0.2">
      <c r="A28" s="29">
        <v>3</v>
      </c>
      <c r="B28" s="30" t="s">
        <v>29</v>
      </c>
      <c r="C28" s="31">
        <v>7.44</v>
      </c>
      <c r="D28" s="32" t="s">
        <v>15</v>
      </c>
      <c r="E28" s="20">
        <f>E16</f>
        <v>459750</v>
      </c>
      <c r="F28" s="20">
        <f t="shared" si="0"/>
        <v>404580</v>
      </c>
      <c r="G28" s="26">
        <f t="shared" si="1"/>
        <v>3010075.2</v>
      </c>
    </row>
    <row r="29" spans="1:7" ht="14.1" customHeight="1" x14ac:dyDescent="0.2">
      <c r="A29" s="29">
        <v>4</v>
      </c>
      <c r="B29" s="30" t="s">
        <v>30</v>
      </c>
      <c r="C29" s="31">
        <v>0.65</v>
      </c>
      <c r="D29" s="32" t="s">
        <v>15</v>
      </c>
      <c r="E29" s="20">
        <f>E17</f>
        <v>919500</v>
      </c>
      <c r="F29" s="20">
        <f t="shared" si="0"/>
        <v>809160</v>
      </c>
      <c r="G29" s="26">
        <f t="shared" si="1"/>
        <v>525954</v>
      </c>
    </row>
    <row r="30" spans="1:7" ht="14.1" customHeight="1" x14ac:dyDescent="0.2">
      <c r="A30" s="29">
        <v>5</v>
      </c>
      <c r="B30" s="30" t="s">
        <v>27</v>
      </c>
      <c r="C30" s="31">
        <v>1</v>
      </c>
      <c r="D30" s="32" t="s">
        <v>16</v>
      </c>
      <c r="E30" s="20">
        <f>E18</f>
        <v>1379250</v>
      </c>
      <c r="F30" s="20">
        <f t="shared" si="0"/>
        <v>1213740</v>
      </c>
      <c r="G30" s="26">
        <f>F30*C30</f>
        <v>1213740</v>
      </c>
    </row>
    <row r="31" spans="1:7" ht="14.1" customHeight="1" x14ac:dyDescent="0.2">
      <c r="A31" s="29">
        <v>6</v>
      </c>
      <c r="B31" s="30" t="s">
        <v>94</v>
      </c>
      <c r="C31" s="31">
        <f>1.86*3</f>
        <v>5.58</v>
      </c>
      <c r="D31" s="32" t="s">
        <v>28</v>
      </c>
      <c r="E31" s="20">
        <v>750000</v>
      </c>
      <c r="F31" s="20">
        <f t="shared" si="0"/>
        <v>660000</v>
      </c>
      <c r="G31" s="26">
        <f>F31*C31</f>
        <v>3682800</v>
      </c>
    </row>
    <row r="32" spans="1:7" ht="14.1" customHeight="1" x14ac:dyDescent="0.2">
      <c r="A32" s="22" t="s">
        <v>23</v>
      </c>
      <c r="B32" s="23" t="s">
        <v>24</v>
      </c>
      <c r="C32" s="31"/>
      <c r="D32" s="32"/>
      <c r="E32" s="20"/>
      <c r="F32" s="20"/>
      <c r="G32" s="26"/>
    </row>
    <row r="33" spans="1:7" ht="14.1" customHeight="1" x14ac:dyDescent="0.2">
      <c r="A33" s="29">
        <v>1</v>
      </c>
      <c r="B33" s="30" t="s">
        <v>25</v>
      </c>
      <c r="C33" s="31">
        <v>4.68</v>
      </c>
      <c r="D33" s="32" t="s">
        <v>28</v>
      </c>
      <c r="E33" s="20">
        <f>E26</f>
        <v>677550</v>
      </c>
      <c r="F33" s="20">
        <f t="shared" si="0"/>
        <v>596244</v>
      </c>
      <c r="G33" s="26">
        <f>F33*C33</f>
        <v>2790421.92</v>
      </c>
    </row>
    <row r="34" spans="1:7" ht="14.1" customHeight="1" x14ac:dyDescent="0.2">
      <c r="A34" s="29">
        <v>2</v>
      </c>
      <c r="B34" s="30" t="s">
        <v>26</v>
      </c>
      <c r="C34" s="31">
        <f>6.37+3.68+11.89+2</f>
        <v>23.94</v>
      </c>
      <c r="D34" s="32" t="s">
        <v>28</v>
      </c>
      <c r="E34" s="20">
        <f>E27</f>
        <v>690300</v>
      </c>
      <c r="F34" s="20">
        <f t="shared" si="0"/>
        <v>607464</v>
      </c>
      <c r="G34" s="26">
        <f t="shared" si="1"/>
        <v>14542688.16</v>
      </c>
    </row>
    <row r="35" spans="1:7" ht="14.1" customHeight="1" x14ac:dyDescent="0.2">
      <c r="A35" s="29">
        <v>3</v>
      </c>
      <c r="B35" s="30" t="s">
        <v>29</v>
      </c>
      <c r="C35" s="31">
        <v>7.45</v>
      </c>
      <c r="D35" s="32" t="s">
        <v>15</v>
      </c>
      <c r="E35" s="20">
        <f>E28</f>
        <v>459750</v>
      </c>
      <c r="F35" s="20">
        <f t="shared" si="0"/>
        <v>404580</v>
      </c>
      <c r="G35" s="26">
        <f>F35*C35</f>
        <v>3014121</v>
      </c>
    </row>
    <row r="36" spans="1:7" ht="14.1" customHeight="1" x14ac:dyDescent="0.2">
      <c r="A36" s="29">
        <v>4</v>
      </c>
      <c r="B36" s="30" t="s">
        <v>30</v>
      </c>
      <c r="C36" s="31">
        <v>0.65</v>
      </c>
      <c r="D36" s="32" t="s">
        <v>15</v>
      </c>
      <c r="E36" s="20">
        <f>E29</f>
        <v>919500</v>
      </c>
      <c r="F36" s="20">
        <f t="shared" si="0"/>
        <v>809160</v>
      </c>
      <c r="G36" s="26">
        <f t="shared" si="1"/>
        <v>525954</v>
      </c>
    </row>
    <row r="37" spans="1:7" ht="14.1" customHeight="1" x14ac:dyDescent="0.2">
      <c r="A37" s="29">
        <v>5</v>
      </c>
      <c r="B37" s="30" t="s">
        <v>27</v>
      </c>
      <c r="C37" s="31">
        <v>1</v>
      </c>
      <c r="D37" s="32" t="s">
        <v>16</v>
      </c>
      <c r="E37" s="20">
        <f>E30</f>
        <v>1379250</v>
      </c>
      <c r="F37" s="20">
        <f t="shared" si="0"/>
        <v>1213740</v>
      </c>
      <c r="G37" s="26">
        <f>F37*C37</f>
        <v>1213740</v>
      </c>
    </row>
    <row r="38" spans="1:7" ht="14.1" customHeight="1" x14ac:dyDescent="0.2">
      <c r="A38" s="33" t="s">
        <v>20</v>
      </c>
      <c r="B38" s="34" t="s">
        <v>31</v>
      </c>
      <c r="C38" s="35"/>
      <c r="D38" s="36"/>
      <c r="E38" s="37"/>
      <c r="F38" s="20"/>
      <c r="G38" s="26"/>
    </row>
    <row r="39" spans="1:7" ht="14.1" customHeight="1" x14ac:dyDescent="0.2">
      <c r="A39" s="38">
        <v>1</v>
      </c>
      <c r="B39" s="39" t="s">
        <v>84</v>
      </c>
      <c r="C39" s="35">
        <v>1</v>
      </c>
      <c r="D39" s="36" t="s">
        <v>11</v>
      </c>
      <c r="E39" s="37">
        <v>3870000</v>
      </c>
      <c r="F39" s="20">
        <f t="shared" si="0"/>
        <v>3405600</v>
      </c>
      <c r="G39" s="26">
        <f>F39*C39</f>
        <v>3405600</v>
      </c>
    </row>
    <row r="40" spans="1:7" ht="14.1" customHeight="1" x14ac:dyDescent="0.2">
      <c r="A40" s="38">
        <v>2</v>
      </c>
      <c r="B40" s="39" t="s">
        <v>85</v>
      </c>
      <c r="C40" s="35">
        <v>1</v>
      </c>
      <c r="D40" s="36" t="s">
        <v>11</v>
      </c>
      <c r="E40" s="37">
        <v>1200000</v>
      </c>
      <c r="F40" s="20">
        <f t="shared" si="0"/>
        <v>1056000</v>
      </c>
      <c r="G40" s="26">
        <f t="shared" si="1"/>
        <v>1056000</v>
      </c>
    </row>
    <row r="41" spans="1:7" ht="14.1" customHeight="1" x14ac:dyDescent="0.2">
      <c r="A41" s="38">
        <v>3</v>
      </c>
      <c r="B41" s="39" t="s">
        <v>32</v>
      </c>
      <c r="C41" s="35">
        <v>1</v>
      </c>
      <c r="D41" s="36" t="s">
        <v>11</v>
      </c>
      <c r="E41" s="37">
        <v>16500000</v>
      </c>
      <c r="F41" s="20">
        <f t="shared" si="0"/>
        <v>14520000</v>
      </c>
      <c r="G41" s="26">
        <f t="shared" si="1"/>
        <v>14520000</v>
      </c>
    </row>
    <row r="42" spans="1:7" ht="14.1" customHeight="1" x14ac:dyDescent="0.2">
      <c r="A42" s="29"/>
      <c r="B42" s="57"/>
      <c r="C42" s="58"/>
      <c r="D42" s="32"/>
      <c r="E42" s="257" t="s">
        <v>2</v>
      </c>
      <c r="F42" s="258"/>
      <c r="G42" s="41">
        <f>SUM(G13:G41)</f>
        <v>175650637.79999995</v>
      </c>
    </row>
    <row r="43" spans="1:7" ht="14.1" customHeight="1" x14ac:dyDescent="0.2">
      <c r="A43" s="59"/>
      <c r="B43" s="60"/>
      <c r="C43" s="61"/>
      <c r="D43" s="62"/>
      <c r="E43" s="70"/>
      <c r="F43" s="70"/>
      <c r="G43" s="71"/>
    </row>
    <row r="44" spans="1:7" ht="14.1" customHeight="1" x14ac:dyDescent="0.2">
      <c r="A44" s="2">
        <v>1</v>
      </c>
      <c r="B44" s="2" t="s">
        <v>86</v>
      </c>
      <c r="C44" s="63"/>
      <c r="D44" s="64"/>
    </row>
    <row r="45" spans="1:7" ht="14.1" customHeight="1" x14ac:dyDescent="0.2">
      <c r="A45" s="2">
        <v>2</v>
      </c>
      <c r="B45" s="2" t="s">
        <v>4</v>
      </c>
    </row>
    <row r="46" spans="1:7" ht="14.1" customHeight="1" x14ac:dyDescent="0.2">
      <c r="A46" s="2">
        <v>3</v>
      </c>
      <c r="B46" s="2" t="s">
        <v>96</v>
      </c>
    </row>
    <row r="47" spans="1:7" ht="14.1" customHeight="1" x14ac:dyDescent="0.2">
      <c r="A47" s="2">
        <v>4</v>
      </c>
      <c r="B47" s="2" t="s">
        <v>5</v>
      </c>
      <c r="C47" s="65"/>
      <c r="D47" s="66"/>
    </row>
    <row r="48" spans="1:7" ht="14.1" customHeight="1" x14ac:dyDescent="0.2">
      <c r="B48" s="67" t="s">
        <v>87</v>
      </c>
    </row>
    <row r="50" spans="2:7" ht="14.1" customHeight="1" x14ac:dyDescent="0.2">
      <c r="B50" s="43" t="s">
        <v>10</v>
      </c>
    </row>
    <row r="51" spans="2:7" ht="14.1" customHeight="1" x14ac:dyDescent="0.2">
      <c r="B51" s="43"/>
    </row>
    <row r="52" spans="2:7" ht="14.1" customHeight="1" x14ac:dyDescent="0.2">
      <c r="B52" s="2" t="s">
        <v>1</v>
      </c>
    </row>
    <row r="55" spans="2:7" ht="14.1" customHeight="1" x14ac:dyDescent="0.2">
      <c r="B55" s="68" t="s">
        <v>8</v>
      </c>
    </row>
    <row r="56" spans="2:7" ht="14.1" customHeight="1" x14ac:dyDescent="0.2">
      <c r="B56" s="69" t="s">
        <v>12</v>
      </c>
    </row>
    <row r="57" spans="2:7" ht="14.1" customHeight="1" x14ac:dyDescent="0.2">
      <c r="C57" s="2"/>
      <c r="D57" s="2"/>
      <c r="E57" s="2"/>
      <c r="F57" s="2"/>
      <c r="G57" s="2"/>
    </row>
  </sheetData>
  <mergeCells count="4">
    <mergeCell ref="A3:G3"/>
    <mergeCell ref="C12:D12"/>
    <mergeCell ref="E42:F42"/>
    <mergeCell ref="A1:G2"/>
  </mergeCells>
  <pageMargins left="0.23622047244094491" right="0.23622047244094491" top="0.15748031496062992" bottom="0.15748031496062992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647C-3DF4-42B5-A2A5-B73D2F52051E}">
  <dimension ref="A1:I48"/>
  <sheetViews>
    <sheetView topLeftCell="A4" workbookViewId="0">
      <selection sqref="A1:F11"/>
    </sheetView>
  </sheetViews>
  <sheetFormatPr defaultRowHeight="15.95" customHeight="1" x14ac:dyDescent="0.2"/>
  <cols>
    <col min="1" max="1" width="7.85546875" style="2" customWidth="1"/>
    <col min="2" max="2" width="29.5703125" style="2" customWidth="1"/>
    <col min="3" max="4" width="9.140625" style="2"/>
    <col min="5" max="5" width="16" style="2" customWidth="1"/>
    <col min="6" max="7" width="17.85546875" style="2" customWidth="1"/>
    <col min="8" max="8" width="16" style="2" customWidth="1"/>
    <col min="9" max="9" width="17.85546875" style="2" customWidth="1"/>
    <col min="10" max="16384" width="9.140625" style="2"/>
  </cols>
  <sheetData>
    <row r="1" spans="1:9" ht="15.95" customHeight="1" x14ac:dyDescent="0.2">
      <c r="A1" s="259" t="s">
        <v>102</v>
      </c>
      <c r="B1" s="259"/>
      <c r="C1" s="259"/>
      <c r="D1" s="259"/>
      <c r="E1" s="259"/>
      <c r="F1" s="259"/>
      <c r="G1" s="137"/>
    </row>
    <row r="2" spans="1:9" ht="15.95" customHeight="1" x14ac:dyDescent="0.2">
      <c r="A2" s="259"/>
      <c r="B2" s="259"/>
      <c r="C2" s="259"/>
      <c r="D2" s="259"/>
      <c r="E2" s="259"/>
      <c r="F2" s="259"/>
      <c r="G2" s="137"/>
    </row>
    <row r="3" spans="1:9" ht="15.95" customHeight="1" thickBot="1" x14ac:dyDescent="0.25">
      <c r="A3" s="255" t="s">
        <v>13</v>
      </c>
      <c r="B3" s="255"/>
      <c r="C3" s="255"/>
      <c r="D3" s="255"/>
      <c r="E3" s="255"/>
      <c r="F3" s="255"/>
      <c r="G3" s="60"/>
    </row>
    <row r="4" spans="1:9" ht="15.95" customHeight="1" thickTop="1" x14ac:dyDescent="0.2">
      <c r="A4" s="49"/>
      <c r="B4" s="50"/>
      <c r="C4" s="51"/>
      <c r="D4" s="52"/>
      <c r="E4" s="52"/>
      <c r="F4" s="53" t="s">
        <v>175</v>
      </c>
      <c r="G4" s="8"/>
    </row>
    <row r="5" spans="1:9" ht="15.95" customHeight="1" x14ac:dyDescent="0.2">
      <c r="A5" s="10"/>
      <c r="B5" s="11"/>
      <c r="C5" s="12"/>
      <c r="D5" s="13"/>
      <c r="E5" s="13"/>
      <c r="F5" s="14"/>
      <c r="G5" s="14"/>
    </row>
    <row r="6" spans="1:9" ht="15.95" customHeight="1" x14ac:dyDescent="0.2">
      <c r="A6" s="15"/>
      <c r="B6" s="16"/>
      <c r="C6" s="17"/>
      <c r="D6" s="13"/>
      <c r="E6" s="13"/>
      <c r="F6" s="14"/>
      <c r="G6" s="14"/>
    </row>
    <row r="7" spans="1:9" ht="15.95" customHeight="1" x14ac:dyDescent="0.2">
      <c r="A7" s="10" t="s">
        <v>95</v>
      </c>
      <c r="B7" s="138" t="s">
        <v>172</v>
      </c>
      <c r="C7" s="12"/>
      <c r="D7" s="18"/>
      <c r="E7" s="18"/>
      <c r="F7" s="14"/>
      <c r="G7" s="14"/>
    </row>
    <row r="8" spans="1:9" ht="15.95" customHeight="1" x14ac:dyDescent="0.2">
      <c r="A8" s="10" t="s">
        <v>34</v>
      </c>
      <c r="B8" s="16"/>
      <c r="C8" s="12"/>
      <c r="D8" s="18"/>
      <c r="E8" s="18"/>
      <c r="F8" s="14"/>
      <c r="G8" s="14"/>
    </row>
    <row r="11" spans="1:9" ht="15.95" customHeight="1" x14ac:dyDescent="0.2">
      <c r="H11" s="260" t="s">
        <v>174</v>
      </c>
      <c r="I11" s="260"/>
    </row>
    <row r="12" spans="1:9" ht="15.95" customHeight="1" x14ac:dyDescent="0.2">
      <c r="A12" s="29" t="s">
        <v>6</v>
      </c>
      <c r="B12" s="136" t="s">
        <v>3</v>
      </c>
      <c r="C12" s="256" t="s">
        <v>9</v>
      </c>
      <c r="D12" s="256"/>
      <c r="E12" s="136" t="s">
        <v>7</v>
      </c>
      <c r="F12" s="139" t="s">
        <v>173</v>
      </c>
      <c r="G12" s="140"/>
      <c r="H12" s="141" t="s">
        <v>7</v>
      </c>
      <c r="I12" s="136" t="s">
        <v>2</v>
      </c>
    </row>
    <row r="13" spans="1:9" ht="15.95" customHeight="1" x14ac:dyDescent="0.2">
      <c r="A13" s="22" t="s">
        <v>17</v>
      </c>
      <c r="B13" s="23" t="s">
        <v>18</v>
      </c>
      <c r="C13" s="31"/>
      <c r="D13" s="142"/>
      <c r="E13" s="143"/>
      <c r="F13" s="144"/>
      <c r="G13" s="145"/>
      <c r="H13" s="146"/>
      <c r="I13" s="147"/>
    </row>
    <row r="14" spans="1:9" ht="15.95" customHeight="1" x14ac:dyDescent="0.2">
      <c r="A14" s="29">
        <v>1</v>
      </c>
      <c r="B14" s="30" t="s">
        <v>25</v>
      </c>
      <c r="C14" s="31">
        <v>16</v>
      </c>
      <c r="D14" s="142" t="s">
        <v>28</v>
      </c>
      <c r="E14" s="20">
        <v>170000</v>
      </c>
      <c r="F14" s="148">
        <f>E14*C14</f>
        <v>2720000</v>
      </c>
      <c r="G14" s="149"/>
      <c r="H14" s="150">
        <v>100000</v>
      </c>
      <c r="I14" s="26">
        <f t="shared" ref="I14:I30" si="0">H14*C14</f>
        <v>1600000</v>
      </c>
    </row>
    <row r="15" spans="1:9" ht="15.95" customHeight="1" x14ac:dyDescent="0.2">
      <c r="A15" s="29">
        <v>2</v>
      </c>
      <c r="B15" s="30" t="s">
        <v>26</v>
      </c>
      <c r="C15" s="31">
        <f>16.39+6+6+9.59+4.78</f>
        <v>42.760000000000005</v>
      </c>
      <c r="D15" s="142" t="s">
        <v>28</v>
      </c>
      <c r="E15" s="20">
        <v>250000</v>
      </c>
      <c r="F15" s="148">
        <f>E15*C15</f>
        <v>10690000.000000002</v>
      </c>
      <c r="G15" s="149"/>
      <c r="H15" s="150">
        <v>140000</v>
      </c>
      <c r="I15" s="26">
        <f t="shared" si="0"/>
        <v>5986400.0000000009</v>
      </c>
    </row>
    <row r="16" spans="1:9" ht="15.95" customHeight="1" x14ac:dyDescent="0.2">
      <c r="A16" s="29">
        <v>3</v>
      </c>
      <c r="B16" s="30" t="s">
        <v>29</v>
      </c>
      <c r="C16" s="31">
        <f>4.6+4.6</f>
        <v>9.1999999999999993</v>
      </c>
      <c r="D16" s="142" t="s">
        <v>15</v>
      </c>
      <c r="E16" s="20">
        <v>250000</v>
      </c>
      <c r="F16" s="148">
        <f>E16*C16</f>
        <v>2300000</v>
      </c>
      <c r="G16" s="149"/>
      <c r="H16" s="150">
        <v>100000</v>
      </c>
      <c r="I16" s="26">
        <f t="shared" si="0"/>
        <v>919999.99999999988</v>
      </c>
    </row>
    <row r="17" spans="1:9" ht="15.95" customHeight="1" x14ac:dyDescent="0.2">
      <c r="A17" s="29">
        <v>4</v>
      </c>
      <c r="B17" s="30" t="s">
        <v>30</v>
      </c>
      <c r="C17" s="31">
        <v>4.5999999999999996</v>
      </c>
      <c r="D17" s="142" t="s">
        <v>15</v>
      </c>
      <c r="E17" s="20">
        <v>450000</v>
      </c>
      <c r="F17" s="148">
        <f>E17*C17</f>
        <v>2069999.9999999998</v>
      </c>
      <c r="G17" s="149"/>
      <c r="H17" s="150">
        <v>200000</v>
      </c>
      <c r="I17" s="26">
        <f t="shared" si="0"/>
        <v>919999.99999999988</v>
      </c>
    </row>
    <row r="18" spans="1:9" ht="15.95" customHeight="1" x14ac:dyDescent="0.2">
      <c r="A18" s="29">
        <v>5</v>
      </c>
      <c r="B18" s="30" t="s">
        <v>27</v>
      </c>
      <c r="C18" s="31">
        <v>5</v>
      </c>
      <c r="D18" s="142" t="s">
        <v>16</v>
      </c>
      <c r="E18" s="20">
        <v>400000</v>
      </c>
      <c r="F18" s="148">
        <f>E18*C18</f>
        <v>2000000</v>
      </c>
      <c r="G18" s="149"/>
      <c r="H18" s="150">
        <v>200000</v>
      </c>
      <c r="I18" s="26">
        <f t="shared" si="0"/>
        <v>1000000</v>
      </c>
    </row>
    <row r="19" spans="1:9" ht="15.95" customHeight="1" x14ac:dyDescent="0.2">
      <c r="A19" s="22" t="s">
        <v>20</v>
      </c>
      <c r="B19" s="23" t="s">
        <v>19</v>
      </c>
      <c r="C19" s="31"/>
      <c r="D19" s="142"/>
      <c r="E19" s="20"/>
      <c r="F19" s="148"/>
      <c r="G19" s="149"/>
      <c r="H19" s="150"/>
      <c r="I19" s="26">
        <f t="shared" si="0"/>
        <v>0</v>
      </c>
    </row>
    <row r="20" spans="1:9" ht="15.95" customHeight="1" x14ac:dyDescent="0.2">
      <c r="A20" s="29">
        <v>1</v>
      </c>
      <c r="B20" s="30" t="s">
        <v>25</v>
      </c>
      <c r="C20" s="31">
        <v>21.02</v>
      </c>
      <c r="D20" s="142" t="s">
        <v>28</v>
      </c>
      <c r="E20" s="20">
        <v>260000</v>
      </c>
      <c r="F20" s="148">
        <f>E20*C20</f>
        <v>5465200</v>
      </c>
      <c r="G20" s="149"/>
      <c r="H20" s="150">
        <f>H14</f>
        <v>100000</v>
      </c>
      <c r="I20" s="26">
        <f t="shared" si="0"/>
        <v>2102000</v>
      </c>
    </row>
    <row r="21" spans="1:9" ht="15.95" customHeight="1" x14ac:dyDescent="0.2">
      <c r="A21" s="29">
        <v>2</v>
      </c>
      <c r="B21" s="30" t="s">
        <v>26</v>
      </c>
      <c r="C21" s="31">
        <f>10.37+11.28+6.77+4.38+7.7+6.5+1.96+11.12+1</f>
        <v>61.08</v>
      </c>
      <c r="D21" s="142" t="s">
        <v>28</v>
      </c>
      <c r="E21" s="20">
        <v>330000</v>
      </c>
      <c r="F21" s="148">
        <f>E21*C21</f>
        <v>20156400</v>
      </c>
      <c r="G21" s="149"/>
      <c r="H21" s="150">
        <f>H15</f>
        <v>140000</v>
      </c>
      <c r="I21" s="26">
        <f t="shared" si="0"/>
        <v>8551200</v>
      </c>
    </row>
    <row r="22" spans="1:9" ht="15.95" customHeight="1" x14ac:dyDescent="0.2">
      <c r="A22" s="29">
        <v>3</v>
      </c>
      <c r="B22" s="30" t="s">
        <v>29</v>
      </c>
      <c r="C22" s="31">
        <f>3.7+3.7</f>
        <v>7.4</v>
      </c>
      <c r="D22" s="142" t="s">
        <v>15</v>
      </c>
      <c r="E22" s="20">
        <v>90000</v>
      </c>
      <c r="F22" s="148">
        <f>E22*C22</f>
        <v>666000</v>
      </c>
      <c r="G22" s="149"/>
      <c r="H22" s="150">
        <f>H16</f>
        <v>100000</v>
      </c>
      <c r="I22" s="26">
        <f t="shared" si="0"/>
        <v>740000</v>
      </c>
    </row>
    <row r="23" spans="1:9" ht="15.95" customHeight="1" x14ac:dyDescent="0.2">
      <c r="A23" s="29">
        <v>4</v>
      </c>
      <c r="B23" s="30" t="s">
        <v>30</v>
      </c>
      <c r="C23" s="31">
        <v>3.85</v>
      </c>
      <c r="D23" s="142" t="s">
        <v>15</v>
      </c>
      <c r="E23" s="20">
        <f>E17</f>
        <v>450000</v>
      </c>
      <c r="F23" s="148">
        <f>E23*C23</f>
        <v>1732500</v>
      </c>
      <c r="G23" s="149"/>
      <c r="H23" s="150">
        <f>H17</f>
        <v>200000</v>
      </c>
      <c r="I23" s="26">
        <f t="shared" si="0"/>
        <v>770000</v>
      </c>
    </row>
    <row r="24" spans="1:9" ht="15.95" customHeight="1" x14ac:dyDescent="0.2">
      <c r="A24" s="29">
        <v>5</v>
      </c>
      <c r="B24" s="30" t="s">
        <v>27</v>
      </c>
      <c r="C24" s="31">
        <v>4</v>
      </c>
      <c r="D24" s="142" t="s">
        <v>16</v>
      </c>
      <c r="E24" s="20">
        <f>E18</f>
        <v>400000</v>
      </c>
      <c r="F24" s="148">
        <f>E24*C24</f>
        <v>1600000</v>
      </c>
      <c r="G24" s="149"/>
      <c r="H24" s="150">
        <f>H18</f>
        <v>200000</v>
      </c>
      <c r="I24" s="26">
        <f t="shared" si="0"/>
        <v>800000</v>
      </c>
    </row>
    <row r="25" spans="1:9" ht="15.95" customHeight="1" x14ac:dyDescent="0.2">
      <c r="A25" s="22" t="s">
        <v>21</v>
      </c>
      <c r="B25" s="23" t="s">
        <v>22</v>
      </c>
      <c r="C25" s="31"/>
      <c r="D25" s="142"/>
      <c r="E25" s="20"/>
      <c r="F25" s="148"/>
      <c r="G25" s="149"/>
      <c r="H25" s="150"/>
      <c r="I25" s="26">
        <f t="shared" si="0"/>
        <v>0</v>
      </c>
    </row>
    <row r="26" spans="1:9" ht="15.95" customHeight="1" x14ac:dyDescent="0.2">
      <c r="A26" s="29">
        <v>1</v>
      </c>
      <c r="B26" s="30" t="s">
        <v>25</v>
      </c>
      <c r="C26" s="31">
        <v>4.0199999999999996</v>
      </c>
      <c r="D26" s="142" t="s">
        <v>28</v>
      </c>
      <c r="E26" s="20">
        <v>260000</v>
      </c>
      <c r="F26" s="148">
        <f>E26*C26</f>
        <v>1045199.9999999999</v>
      </c>
      <c r="G26" s="149"/>
      <c r="H26" s="150">
        <f>H14</f>
        <v>100000</v>
      </c>
      <c r="I26" s="26">
        <f t="shared" si="0"/>
        <v>401999.99999999994</v>
      </c>
    </row>
    <row r="27" spans="1:9" ht="15.95" customHeight="1" x14ac:dyDescent="0.2">
      <c r="A27" s="29">
        <v>2</v>
      </c>
      <c r="B27" s="30" t="s">
        <v>26</v>
      </c>
      <c r="C27" s="31">
        <v>23.25</v>
      </c>
      <c r="D27" s="142" t="s">
        <v>28</v>
      </c>
      <c r="E27" s="20">
        <v>330000</v>
      </c>
      <c r="F27" s="148">
        <f>E27*C27</f>
        <v>7672500</v>
      </c>
      <c r="G27" s="149"/>
      <c r="H27" s="150">
        <f>H15</f>
        <v>140000</v>
      </c>
      <c r="I27" s="26">
        <f t="shared" si="0"/>
        <v>3255000</v>
      </c>
    </row>
    <row r="28" spans="1:9" ht="15.95" customHeight="1" x14ac:dyDescent="0.2">
      <c r="A28" s="29">
        <v>3</v>
      </c>
      <c r="B28" s="30" t="s">
        <v>29</v>
      </c>
      <c r="C28" s="31">
        <v>7.44</v>
      </c>
      <c r="D28" s="142" t="s">
        <v>15</v>
      </c>
      <c r="E28" s="20">
        <v>90000</v>
      </c>
      <c r="F28" s="148">
        <f>E28*C28</f>
        <v>669600</v>
      </c>
      <c r="G28" s="149"/>
      <c r="H28" s="150">
        <f>H16</f>
        <v>100000</v>
      </c>
      <c r="I28" s="26">
        <f t="shared" si="0"/>
        <v>744000</v>
      </c>
    </row>
    <row r="29" spans="1:9" ht="15.95" customHeight="1" x14ac:dyDescent="0.2">
      <c r="A29" s="29">
        <v>4</v>
      </c>
      <c r="B29" s="30" t="s">
        <v>30</v>
      </c>
      <c r="C29" s="31">
        <v>0.65</v>
      </c>
      <c r="D29" s="142" t="s">
        <v>15</v>
      </c>
      <c r="E29" s="20">
        <f>E23</f>
        <v>450000</v>
      </c>
      <c r="F29" s="148">
        <f>E29</f>
        <v>450000</v>
      </c>
      <c r="G29" s="149"/>
      <c r="H29" s="150">
        <f>H17</f>
        <v>200000</v>
      </c>
      <c r="I29" s="26">
        <f t="shared" si="0"/>
        <v>130000</v>
      </c>
    </row>
    <row r="30" spans="1:9" ht="15.95" customHeight="1" x14ac:dyDescent="0.2">
      <c r="A30" s="29">
        <v>5</v>
      </c>
      <c r="B30" s="30" t="s">
        <v>27</v>
      </c>
      <c r="C30" s="31">
        <v>1</v>
      </c>
      <c r="D30" s="142" t="s">
        <v>16</v>
      </c>
      <c r="E30" s="20">
        <f>E24</f>
        <v>400000</v>
      </c>
      <c r="F30" s="148">
        <f>E30*C30</f>
        <v>400000</v>
      </c>
      <c r="G30" s="149"/>
      <c r="H30" s="150">
        <f>H18</f>
        <v>200000</v>
      </c>
      <c r="I30" s="26">
        <f t="shared" si="0"/>
        <v>200000</v>
      </c>
    </row>
    <row r="31" spans="1:9" ht="15.95" customHeight="1" x14ac:dyDescent="0.2">
      <c r="A31" s="29"/>
      <c r="B31" s="30"/>
      <c r="C31" s="31"/>
      <c r="D31" s="142"/>
      <c r="E31" s="20"/>
      <c r="F31" s="148"/>
      <c r="G31" s="149"/>
      <c r="H31" s="150"/>
      <c r="I31" s="26"/>
    </row>
    <row r="32" spans="1:9" ht="15.95" customHeight="1" x14ac:dyDescent="0.2">
      <c r="A32" s="22" t="s">
        <v>23</v>
      </c>
      <c r="B32" s="23" t="s">
        <v>24</v>
      </c>
      <c r="C32" s="31"/>
      <c r="D32" s="142"/>
      <c r="E32" s="20"/>
      <c r="F32" s="148"/>
      <c r="G32" s="149"/>
      <c r="H32" s="150"/>
      <c r="I32" s="26">
        <f t="shared" ref="I32:I39" si="1">H32*C32</f>
        <v>0</v>
      </c>
    </row>
    <row r="33" spans="1:9" ht="15.95" customHeight="1" x14ac:dyDescent="0.2">
      <c r="A33" s="29">
        <v>1</v>
      </c>
      <c r="B33" s="30" t="s">
        <v>25</v>
      </c>
      <c r="C33" s="31">
        <v>4.68</v>
      </c>
      <c r="D33" s="142" t="s">
        <v>28</v>
      </c>
      <c r="E33" s="20">
        <f>E26</f>
        <v>260000</v>
      </c>
      <c r="F33" s="148">
        <f>E33*C33</f>
        <v>1216800</v>
      </c>
      <c r="G33" s="149"/>
      <c r="H33" s="150">
        <f>H26</f>
        <v>100000</v>
      </c>
      <c r="I33" s="26">
        <f t="shared" si="1"/>
        <v>468000</v>
      </c>
    </row>
    <row r="34" spans="1:9" ht="15.95" customHeight="1" x14ac:dyDescent="0.2">
      <c r="A34" s="29">
        <v>2</v>
      </c>
      <c r="B34" s="30" t="s">
        <v>26</v>
      </c>
      <c r="C34" s="31">
        <f>6.37+3.68+11.89+2</f>
        <v>23.94</v>
      </c>
      <c r="D34" s="142" t="s">
        <v>28</v>
      </c>
      <c r="E34" s="20">
        <f>E27</f>
        <v>330000</v>
      </c>
      <c r="F34" s="148">
        <f>E34*C34</f>
        <v>7900200</v>
      </c>
      <c r="G34" s="149"/>
      <c r="H34" s="150">
        <f>H27</f>
        <v>140000</v>
      </c>
      <c r="I34" s="26">
        <f t="shared" si="1"/>
        <v>3351600</v>
      </c>
    </row>
    <row r="35" spans="1:9" ht="15.95" customHeight="1" x14ac:dyDescent="0.2">
      <c r="A35" s="29">
        <v>3</v>
      </c>
      <c r="B35" s="30" t="s">
        <v>29</v>
      </c>
      <c r="C35" s="31">
        <v>7.45</v>
      </c>
      <c r="D35" s="142" t="s">
        <v>15</v>
      </c>
      <c r="E35" s="20">
        <f>E28</f>
        <v>90000</v>
      </c>
      <c r="F35" s="148">
        <f>E35*C35</f>
        <v>670500</v>
      </c>
      <c r="G35" s="149"/>
      <c r="H35" s="150">
        <f>H28</f>
        <v>100000</v>
      </c>
      <c r="I35" s="26">
        <f t="shared" si="1"/>
        <v>745000</v>
      </c>
    </row>
    <row r="36" spans="1:9" ht="15.95" customHeight="1" x14ac:dyDescent="0.2">
      <c r="A36" s="29">
        <v>4</v>
      </c>
      <c r="B36" s="30" t="s">
        <v>30</v>
      </c>
      <c r="C36" s="31">
        <v>0.65</v>
      </c>
      <c r="D36" s="142" t="s">
        <v>15</v>
      </c>
      <c r="E36" s="20">
        <f>E29</f>
        <v>450000</v>
      </c>
      <c r="F36" s="148">
        <f>E36</f>
        <v>450000</v>
      </c>
      <c r="G36" s="149"/>
      <c r="H36" s="150">
        <f>H29</f>
        <v>200000</v>
      </c>
      <c r="I36" s="26">
        <f t="shared" si="1"/>
        <v>130000</v>
      </c>
    </row>
    <row r="37" spans="1:9" ht="15.95" customHeight="1" x14ac:dyDescent="0.2">
      <c r="A37" s="29">
        <v>5</v>
      </c>
      <c r="B37" s="30" t="s">
        <v>27</v>
      </c>
      <c r="C37" s="31">
        <v>1</v>
      </c>
      <c r="D37" s="142" t="s">
        <v>16</v>
      </c>
      <c r="E37" s="20">
        <f>E30</f>
        <v>400000</v>
      </c>
      <c r="F37" s="148">
        <f>E37*C37</f>
        <v>400000</v>
      </c>
      <c r="G37" s="149"/>
      <c r="H37" s="150">
        <f>H30</f>
        <v>200000</v>
      </c>
      <c r="I37" s="26">
        <f t="shared" si="1"/>
        <v>200000</v>
      </c>
    </row>
    <row r="38" spans="1:9" ht="15.95" customHeight="1" x14ac:dyDescent="0.2">
      <c r="A38" s="33" t="s">
        <v>20</v>
      </c>
      <c r="B38" s="34" t="s">
        <v>31</v>
      </c>
      <c r="C38" s="35"/>
      <c r="D38" s="151"/>
      <c r="E38" s="37"/>
      <c r="F38" s="152"/>
      <c r="G38" s="153"/>
      <c r="H38" s="154"/>
      <c r="I38" s="26">
        <f t="shared" si="1"/>
        <v>0</v>
      </c>
    </row>
    <row r="39" spans="1:9" ht="15.95" customHeight="1" x14ac:dyDescent="0.2">
      <c r="A39" s="56">
        <v>1</v>
      </c>
      <c r="B39" s="39" t="s">
        <v>84</v>
      </c>
      <c r="C39" s="35">
        <v>1</v>
      </c>
      <c r="D39" s="151" t="s">
        <v>11</v>
      </c>
      <c r="E39" s="37">
        <v>2000000</v>
      </c>
      <c r="F39" s="152">
        <f>E39*C39</f>
        <v>2000000</v>
      </c>
      <c r="G39" s="153"/>
      <c r="H39" s="154">
        <v>4000000</v>
      </c>
      <c r="I39" s="26">
        <f t="shared" si="1"/>
        <v>4000000</v>
      </c>
    </row>
    <row r="40" spans="1:9" ht="15.95" customHeight="1" x14ac:dyDescent="0.2">
      <c r="A40" s="38"/>
      <c r="B40" s="39"/>
      <c r="C40" s="35"/>
      <c r="D40" s="151"/>
      <c r="E40" s="37"/>
      <c r="F40" s="152"/>
      <c r="G40" s="153"/>
      <c r="H40" s="155"/>
      <c r="I40" s="37"/>
    </row>
    <row r="41" spans="1:9" ht="15.95" customHeight="1" x14ac:dyDescent="0.2">
      <c r="A41" s="38"/>
      <c r="B41" s="39"/>
      <c r="C41" s="35"/>
      <c r="D41" s="151"/>
      <c r="E41" s="37"/>
      <c r="F41" s="152"/>
      <c r="G41" s="153"/>
      <c r="H41" s="155"/>
      <c r="I41" s="37"/>
    </row>
    <row r="42" spans="1:9" ht="15.95" customHeight="1" x14ac:dyDescent="0.2">
      <c r="A42" s="29"/>
      <c r="B42" s="57"/>
      <c r="C42" s="58"/>
      <c r="D42" s="142"/>
      <c r="E42" s="156" t="s">
        <v>2</v>
      </c>
      <c r="F42" s="157">
        <f>SUM(F13:F41)</f>
        <v>72274900</v>
      </c>
      <c r="G42" s="158"/>
      <c r="H42" s="159" t="s">
        <v>2</v>
      </c>
      <c r="I42" s="160">
        <f>SUM(I13:I41)</f>
        <v>37015200</v>
      </c>
    </row>
    <row r="44" spans="1:9" ht="15.95" customHeight="1" x14ac:dyDescent="0.2">
      <c r="B44" s="2" t="s">
        <v>89</v>
      </c>
      <c r="I44" s="161"/>
    </row>
    <row r="45" spans="1:9" ht="15.95" customHeight="1" x14ac:dyDescent="0.2">
      <c r="B45" s="2" t="s">
        <v>93</v>
      </c>
      <c r="I45" s="161"/>
    </row>
    <row r="46" spans="1:9" ht="15.95" customHeight="1" x14ac:dyDescent="0.2">
      <c r="B46" s="2" t="s">
        <v>90</v>
      </c>
    </row>
    <row r="47" spans="1:9" ht="15.95" customHeight="1" x14ac:dyDescent="0.2">
      <c r="B47" s="2" t="s">
        <v>91</v>
      </c>
    </row>
    <row r="48" spans="1:9" ht="15.95" customHeight="1" x14ac:dyDescent="0.2">
      <c r="B48" s="2" t="s">
        <v>92</v>
      </c>
    </row>
  </sheetData>
  <mergeCells count="4">
    <mergeCell ref="H11:I11"/>
    <mergeCell ref="A3:F3"/>
    <mergeCell ref="A1:F2"/>
    <mergeCell ref="C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CAB5-C876-4298-991F-2AD1F4788BCB}">
  <dimension ref="A1:F19"/>
  <sheetViews>
    <sheetView workbookViewId="0">
      <selection sqref="A1:IV65536"/>
    </sheetView>
  </sheetViews>
  <sheetFormatPr defaultRowHeight="12.75" x14ac:dyDescent="0.2"/>
  <cols>
    <col min="1" max="1" width="5.5703125" customWidth="1"/>
    <col min="2" max="3" width="20.140625" customWidth="1"/>
    <col min="4" max="5" width="17.28515625" customWidth="1"/>
    <col min="6" max="6" width="10.140625" customWidth="1"/>
  </cols>
  <sheetData>
    <row r="1" spans="1:6" x14ac:dyDescent="0.2">
      <c r="A1" s="259" t="s">
        <v>102</v>
      </c>
      <c r="B1" s="259"/>
      <c r="C1" s="259"/>
      <c r="D1" s="259"/>
      <c r="E1" s="259"/>
      <c r="F1" s="259"/>
    </row>
    <row r="2" spans="1:6" x14ac:dyDescent="0.2">
      <c r="A2" s="259"/>
      <c r="B2" s="259"/>
      <c r="C2" s="259"/>
      <c r="D2" s="259"/>
      <c r="E2" s="259"/>
      <c r="F2" s="259"/>
    </row>
    <row r="3" spans="1:6" ht="18.75" thickBot="1" x14ac:dyDescent="0.25">
      <c r="A3" s="255" t="s">
        <v>13</v>
      </c>
      <c r="B3" s="255"/>
      <c r="C3" s="255"/>
      <c r="D3" s="255"/>
      <c r="E3" s="255"/>
      <c r="F3" s="255"/>
    </row>
    <row r="4" spans="1:6" ht="18.75" thickTop="1" x14ac:dyDescent="0.2">
      <c r="A4" s="49"/>
      <c r="B4" s="50"/>
      <c r="C4" s="51"/>
      <c r="D4" s="52"/>
      <c r="E4" s="52"/>
      <c r="F4" s="53" t="s">
        <v>175</v>
      </c>
    </row>
    <row r="5" spans="1:6" ht="18" x14ac:dyDescent="0.2">
      <c r="A5" s="10"/>
      <c r="B5" s="11"/>
      <c r="C5" s="12"/>
      <c r="D5" s="13"/>
      <c r="E5" s="13"/>
      <c r="F5" s="14"/>
    </row>
    <row r="6" spans="1:6" ht="18" x14ac:dyDescent="0.2">
      <c r="A6" s="15"/>
      <c r="B6" s="16"/>
      <c r="C6" s="17"/>
      <c r="D6" s="13"/>
      <c r="E6" s="13"/>
      <c r="F6" s="14"/>
    </row>
    <row r="7" spans="1:6" ht="18" x14ac:dyDescent="0.2">
      <c r="A7" s="10"/>
      <c r="B7" s="138" t="s">
        <v>181</v>
      </c>
      <c r="C7" s="164">
        <f>'SPH IDD'!G42</f>
        <v>175650637.79999995</v>
      </c>
      <c r="D7" s="18"/>
      <c r="E7" s="18"/>
      <c r="F7" s="14"/>
    </row>
    <row r="8" spans="1:6" ht="18" x14ac:dyDescent="0.2">
      <c r="A8" s="10"/>
      <c r="B8" s="16"/>
      <c r="C8" s="164"/>
      <c r="D8" s="18"/>
      <c r="E8" s="18"/>
      <c r="F8" s="14"/>
    </row>
    <row r="9" spans="1:6" ht="18" x14ac:dyDescent="0.2">
      <c r="A9" s="2"/>
      <c r="B9" s="2"/>
      <c r="C9" s="14"/>
      <c r="D9" s="2"/>
      <c r="E9" s="2"/>
      <c r="F9" s="2"/>
    </row>
    <row r="10" spans="1:6" ht="18" x14ac:dyDescent="0.2">
      <c r="A10" s="2"/>
      <c r="B10" s="2" t="s">
        <v>183</v>
      </c>
      <c r="C10" s="14"/>
      <c r="D10" s="2"/>
      <c r="E10" s="2"/>
      <c r="F10" s="2"/>
    </row>
    <row r="11" spans="1:6" ht="18" x14ac:dyDescent="0.2">
      <c r="A11" s="2"/>
      <c r="B11" s="2" t="s">
        <v>182</v>
      </c>
      <c r="C11" s="14">
        <f>'SPK MANDOR'!F42</f>
        <v>72274900</v>
      </c>
      <c r="D11" s="2"/>
      <c r="E11" s="2"/>
      <c r="F11" s="2"/>
    </row>
    <row r="12" spans="1:6" ht="18" x14ac:dyDescent="0.5">
      <c r="A12" s="163"/>
      <c r="B12" s="162" t="s">
        <v>176</v>
      </c>
      <c r="C12" s="165">
        <f>'SPK MANDOR'!I42</f>
        <v>37015200</v>
      </c>
      <c r="D12" s="163"/>
      <c r="E12" s="163"/>
      <c r="F12" s="163"/>
    </row>
    <row r="13" spans="1:6" ht="18" x14ac:dyDescent="0.5">
      <c r="A13" s="163"/>
      <c r="B13" s="162" t="s">
        <v>177</v>
      </c>
      <c r="C13" s="165">
        <v>10000000</v>
      </c>
      <c r="D13" s="163"/>
      <c r="E13" s="163"/>
      <c r="F13" s="163"/>
    </row>
    <row r="14" spans="1:6" ht="18" x14ac:dyDescent="0.5">
      <c r="A14" s="163"/>
      <c r="B14" s="163"/>
      <c r="C14" s="165"/>
      <c r="D14" s="163"/>
      <c r="E14" s="163"/>
      <c r="F14" s="163"/>
    </row>
    <row r="15" spans="1:6" ht="18" x14ac:dyDescent="0.5">
      <c r="A15" s="163"/>
      <c r="B15" s="166" t="s">
        <v>178</v>
      </c>
      <c r="C15" s="167">
        <f>SUM(C11:C14)</f>
        <v>119290100</v>
      </c>
      <c r="D15" s="163"/>
      <c r="E15" s="163"/>
      <c r="F15" s="163"/>
    </row>
    <row r="16" spans="1:6" ht="18" x14ac:dyDescent="0.5">
      <c r="A16" s="163"/>
      <c r="B16" s="163"/>
      <c r="C16" s="163"/>
      <c r="D16" s="163"/>
      <c r="E16" s="163"/>
      <c r="F16" s="163"/>
    </row>
    <row r="17" spans="1:6" ht="18" x14ac:dyDescent="0.5">
      <c r="A17" s="163"/>
      <c r="B17" s="163" t="s">
        <v>179</v>
      </c>
      <c r="C17" s="165">
        <f>C7-C15</f>
        <v>56360537.799999952</v>
      </c>
      <c r="D17" s="163"/>
      <c r="E17" s="163"/>
      <c r="F17" s="163"/>
    </row>
    <row r="18" spans="1:6" ht="18" x14ac:dyDescent="0.5">
      <c r="A18" s="163"/>
      <c r="B18" s="163" t="s">
        <v>180</v>
      </c>
      <c r="C18" s="168">
        <f>C17/C7*100</f>
        <v>32.086725391896053</v>
      </c>
      <c r="D18" s="163" t="s">
        <v>100</v>
      </c>
      <c r="E18" s="163"/>
      <c r="F18" s="163"/>
    </row>
    <row r="19" spans="1:6" ht="18" x14ac:dyDescent="0.5">
      <c r="A19" s="163"/>
      <c r="B19" s="163"/>
      <c r="C19" s="163"/>
      <c r="D19" s="163"/>
      <c r="E19" s="163"/>
      <c r="F19" s="163"/>
    </row>
  </sheetData>
  <mergeCells count="2">
    <mergeCell ref="A1:F2"/>
    <mergeCell ref="A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4360-382F-43A1-8AD6-06530193E3E8}">
  <dimension ref="A1:L56"/>
  <sheetViews>
    <sheetView topLeftCell="A31" zoomScaleNormal="100" workbookViewId="0">
      <selection activeCell="L42" sqref="L42"/>
    </sheetView>
  </sheetViews>
  <sheetFormatPr defaultRowHeight="14.1" customHeight="1" x14ac:dyDescent="0.2"/>
  <cols>
    <col min="1" max="1" width="5.140625" style="2" customWidth="1"/>
    <col min="2" max="2" width="29.85546875" style="2" customWidth="1"/>
    <col min="3" max="3" width="5.42578125" style="16" customWidth="1"/>
    <col min="4" max="4" width="5.42578125" style="43" customWidth="1"/>
    <col min="5" max="6" width="14.85546875" style="14" hidden="1" customWidth="1"/>
    <col min="7" max="7" width="18.85546875" style="14" hidden="1" customWidth="1"/>
    <col min="8" max="8" width="9.140625" style="2"/>
    <col min="9" max="11" width="11.140625" style="2" customWidth="1"/>
    <col min="12" max="12" width="11.140625" style="9" customWidth="1"/>
    <col min="13" max="16384" width="9.140625" style="2"/>
  </cols>
  <sheetData>
    <row r="1" spans="1:12" ht="32.450000000000003" customHeight="1" x14ac:dyDescent="0.2">
      <c r="A1" s="259" t="s">
        <v>102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</row>
    <row r="2" spans="1:12" ht="14.1" customHeight="1" thickBot="1" x14ac:dyDescent="0.25">
      <c r="A2" s="255" t="s">
        <v>13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</row>
    <row r="3" spans="1:12" ht="14.1" customHeight="1" thickTop="1" x14ac:dyDescent="0.2">
      <c r="A3" s="3"/>
      <c r="B3" s="4"/>
      <c r="C3" s="5"/>
      <c r="D3" s="6"/>
      <c r="E3" s="7"/>
      <c r="F3" s="7"/>
      <c r="G3" s="8" t="s">
        <v>97</v>
      </c>
    </row>
    <row r="4" spans="1:12" ht="14.1" customHeight="1" x14ac:dyDescent="0.2">
      <c r="B4" s="10" t="s">
        <v>33</v>
      </c>
      <c r="C4" s="11"/>
      <c r="D4" s="12"/>
      <c r="E4" s="13"/>
      <c r="F4" s="13"/>
      <c r="K4" s="2" t="s">
        <v>189</v>
      </c>
    </row>
    <row r="5" spans="1:12" ht="14.1" customHeight="1" x14ac:dyDescent="0.2">
      <c r="B5" s="15"/>
      <c r="D5" s="17"/>
      <c r="E5" s="13"/>
      <c r="F5" s="13"/>
    </row>
    <row r="6" spans="1:12" ht="14.1" customHeight="1" x14ac:dyDescent="0.2">
      <c r="B6" s="10" t="s">
        <v>98</v>
      </c>
      <c r="D6" s="12"/>
      <c r="E6" s="18"/>
      <c r="F6" s="18"/>
    </row>
    <row r="7" spans="1:12" ht="14.1" customHeight="1" x14ac:dyDescent="0.2">
      <c r="B7" s="10" t="s">
        <v>34</v>
      </c>
      <c r="D7" s="12"/>
      <c r="E7" s="18"/>
      <c r="F7" s="18"/>
    </row>
    <row r="8" spans="1:12" ht="14.1" customHeight="1" x14ac:dyDescent="0.2">
      <c r="B8" s="10"/>
      <c r="D8" s="12"/>
      <c r="E8" s="18"/>
      <c r="F8" s="18"/>
    </row>
    <row r="9" spans="1:12" ht="14.1" customHeight="1" x14ac:dyDescent="0.2">
      <c r="A9" s="264" t="s">
        <v>6</v>
      </c>
      <c r="B9" s="266" t="s">
        <v>3</v>
      </c>
      <c r="C9" s="268" t="s">
        <v>9</v>
      </c>
      <c r="D9" s="269"/>
      <c r="E9" s="19"/>
      <c r="F9" s="19"/>
      <c r="G9" s="20"/>
      <c r="H9" s="136" t="s">
        <v>99</v>
      </c>
      <c r="I9" s="262" t="s">
        <v>110</v>
      </c>
      <c r="J9" s="263"/>
      <c r="K9" s="262" t="s">
        <v>111</v>
      </c>
      <c r="L9" s="263"/>
    </row>
    <row r="10" spans="1:12" ht="14.1" customHeight="1" x14ac:dyDescent="0.2">
      <c r="A10" s="265"/>
      <c r="B10" s="267"/>
      <c r="C10" s="270"/>
      <c r="D10" s="271"/>
      <c r="E10" s="21" t="s">
        <v>7</v>
      </c>
      <c r="F10" s="21" t="s">
        <v>88</v>
      </c>
      <c r="G10" s="21" t="s">
        <v>2</v>
      </c>
      <c r="H10" s="136" t="s">
        <v>100</v>
      </c>
      <c r="I10" s="136" t="s">
        <v>101</v>
      </c>
      <c r="J10" s="136" t="s">
        <v>100</v>
      </c>
      <c r="K10" s="136" t="s">
        <v>101</v>
      </c>
      <c r="L10" s="169" t="s">
        <v>100</v>
      </c>
    </row>
    <row r="11" spans="1:12" ht="14.1" customHeight="1" x14ac:dyDescent="0.2">
      <c r="A11" s="22" t="s">
        <v>17</v>
      </c>
      <c r="B11" s="23" t="s">
        <v>18</v>
      </c>
      <c r="C11" s="24"/>
      <c r="D11" s="25"/>
      <c r="E11" s="20"/>
      <c r="F11" s="20"/>
      <c r="G11" s="26"/>
      <c r="H11" s="27"/>
      <c r="I11" s="27"/>
      <c r="J11" s="27"/>
      <c r="K11" s="27"/>
      <c r="L11" s="28"/>
    </row>
    <row r="12" spans="1:12" ht="14.1" customHeight="1" x14ac:dyDescent="0.2">
      <c r="A12" s="29">
        <v>1</v>
      </c>
      <c r="B12" s="30" t="s">
        <v>25</v>
      </c>
      <c r="C12" s="31">
        <v>16</v>
      </c>
      <c r="D12" s="32" t="s">
        <v>28</v>
      </c>
      <c r="E12" s="20">
        <f>BD!I17</f>
        <v>677550</v>
      </c>
      <c r="F12" s="20">
        <f>E12-(E12*12%)</f>
        <v>596244</v>
      </c>
      <c r="G12" s="26">
        <f>F12*C12</f>
        <v>9539904</v>
      </c>
      <c r="H12" s="169">
        <f>G12/G40*100</f>
        <v>5.4311809620995311</v>
      </c>
      <c r="I12" s="169">
        <v>0</v>
      </c>
      <c r="J12" s="169">
        <v>0</v>
      </c>
      <c r="K12" s="169">
        <v>13.62</v>
      </c>
      <c r="L12" s="169">
        <f>(K12*F12)/G40*100</f>
        <v>4.6232927939872255</v>
      </c>
    </row>
    <row r="13" spans="1:12" ht="14.1" customHeight="1" x14ac:dyDescent="0.2">
      <c r="A13" s="29">
        <v>2</v>
      </c>
      <c r="B13" s="30" t="s">
        <v>26</v>
      </c>
      <c r="C13" s="31">
        <f>16.39+6+6+9.59+4.78</f>
        <v>42.760000000000005</v>
      </c>
      <c r="D13" s="32" t="s">
        <v>28</v>
      </c>
      <c r="E13" s="20">
        <f>BD!I41</f>
        <v>690300</v>
      </c>
      <c r="F13" s="20">
        <f t="shared" ref="F13:F39" si="0">E13-(E13*12%)</f>
        <v>607464</v>
      </c>
      <c r="G13" s="26">
        <f t="shared" ref="G13:G39" si="1">F13*C13</f>
        <v>25975160.640000004</v>
      </c>
      <c r="H13" s="169">
        <f>G13/G40*100</f>
        <v>14.787968301928938</v>
      </c>
      <c r="I13" s="169">
        <v>0</v>
      </c>
      <c r="J13" s="169">
        <v>0</v>
      </c>
      <c r="K13" s="169">
        <v>32.42</v>
      </c>
      <c r="L13" s="169">
        <f>(K13*F13)/G40*100</f>
        <v>11.212018997860996</v>
      </c>
    </row>
    <row r="14" spans="1:12" ht="14.1" customHeight="1" x14ac:dyDescent="0.2">
      <c r="A14" s="29">
        <v>3</v>
      </c>
      <c r="B14" s="30" t="s">
        <v>29</v>
      </c>
      <c r="C14" s="31">
        <f>4.6+4.6</f>
        <v>9.1999999999999993</v>
      </c>
      <c r="D14" s="32" t="s">
        <v>15</v>
      </c>
      <c r="E14" s="20">
        <f>BD!I109/2</f>
        <v>459750</v>
      </c>
      <c r="F14" s="20">
        <f t="shared" si="0"/>
        <v>404580</v>
      </c>
      <c r="G14" s="26">
        <f t="shared" si="1"/>
        <v>3722135.9999999995</v>
      </c>
      <c r="H14" s="169">
        <f>G14/G40*100</f>
        <v>2.1190563533496038</v>
      </c>
      <c r="I14" s="169">
        <v>0</v>
      </c>
      <c r="J14" s="169">
        <v>0</v>
      </c>
      <c r="K14" s="169">
        <v>4.58</v>
      </c>
      <c r="L14" s="169">
        <f>(K14*F14)/G40*100</f>
        <v>1.0549215324283898</v>
      </c>
    </row>
    <row r="15" spans="1:12" ht="14.1" customHeight="1" x14ac:dyDescent="0.2">
      <c r="A15" s="29">
        <v>4</v>
      </c>
      <c r="B15" s="30" t="s">
        <v>30</v>
      </c>
      <c r="C15" s="31">
        <v>4.5999999999999996</v>
      </c>
      <c r="D15" s="32" t="s">
        <v>15</v>
      </c>
      <c r="E15" s="20">
        <f>BD!I109</f>
        <v>919500</v>
      </c>
      <c r="F15" s="20">
        <f t="shared" si="0"/>
        <v>809160</v>
      </c>
      <c r="G15" s="26">
        <f t="shared" si="1"/>
        <v>3722135.9999999995</v>
      </c>
      <c r="H15" s="169">
        <f>G15/G40*100</f>
        <v>2.1190563533496038</v>
      </c>
      <c r="I15" s="169">
        <v>0</v>
      </c>
      <c r="J15" s="169">
        <v>0</v>
      </c>
      <c r="K15" s="169">
        <v>0</v>
      </c>
      <c r="L15" s="169">
        <v>0</v>
      </c>
    </row>
    <row r="16" spans="1:12" ht="14.1" customHeight="1" x14ac:dyDescent="0.2">
      <c r="A16" s="29">
        <v>5</v>
      </c>
      <c r="B16" s="30" t="s">
        <v>27</v>
      </c>
      <c r="C16" s="31">
        <v>5</v>
      </c>
      <c r="D16" s="32" t="s">
        <v>16</v>
      </c>
      <c r="E16" s="20">
        <f>BD!I109*1.5</f>
        <v>1379250</v>
      </c>
      <c r="F16" s="20">
        <f t="shared" si="0"/>
        <v>1213740</v>
      </c>
      <c r="G16" s="26">
        <f t="shared" si="1"/>
        <v>6068700</v>
      </c>
      <c r="H16" s="169">
        <f>G16/G40*100</f>
        <v>3.4549831848091372</v>
      </c>
      <c r="I16" s="169">
        <v>0</v>
      </c>
      <c r="J16" s="169">
        <v>0</v>
      </c>
      <c r="K16" s="169">
        <v>0</v>
      </c>
      <c r="L16" s="169">
        <v>0</v>
      </c>
    </row>
    <row r="17" spans="1:12" ht="14.1" customHeight="1" x14ac:dyDescent="0.2">
      <c r="A17" s="22" t="s">
        <v>20</v>
      </c>
      <c r="B17" s="23" t="s">
        <v>19</v>
      </c>
      <c r="C17" s="31"/>
      <c r="D17" s="32"/>
      <c r="E17" s="20"/>
      <c r="F17" s="20"/>
      <c r="G17" s="26"/>
      <c r="H17" s="169"/>
      <c r="I17" s="169"/>
      <c r="J17" s="169"/>
      <c r="K17" s="169"/>
      <c r="L17" s="169"/>
    </row>
    <row r="18" spans="1:12" ht="14.1" customHeight="1" x14ac:dyDescent="0.2">
      <c r="A18" s="29">
        <v>1</v>
      </c>
      <c r="B18" s="30" t="s">
        <v>25</v>
      </c>
      <c r="C18" s="31">
        <v>21.02</v>
      </c>
      <c r="D18" s="32" t="s">
        <v>28</v>
      </c>
      <c r="E18" s="20">
        <f>E12</f>
        <v>677550</v>
      </c>
      <c r="F18" s="20">
        <f t="shared" si="0"/>
        <v>596244</v>
      </c>
      <c r="G18" s="26">
        <f t="shared" si="1"/>
        <v>12533048.879999999</v>
      </c>
      <c r="H18" s="169">
        <f>G18/G40*100</f>
        <v>7.1352139889582586</v>
      </c>
      <c r="I18" s="169">
        <v>0</v>
      </c>
      <c r="J18" s="169">
        <v>0</v>
      </c>
      <c r="K18" s="169">
        <v>12.92</v>
      </c>
      <c r="L18" s="169">
        <f>(K18*F18)/G40*100</f>
        <v>4.3856786268953707</v>
      </c>
    </row>
    <row r="19" spans="1:12" ht="14.1" customHeight="1" x14ac:dyDescent="0.2">
      <c r="A19" s="29">
        <v>2</v>
      </c>
      <c r="B19" s="30" t="s">
        <v>26</v>
      </c>
      <c r="C19" s="31">
        <f>10.37+11.28+6.77+4.38+7.7+6.5+1.96+11.12+1</f>
        <v>61.08</v>
      </c>
      <c r="D19" s="32" t="s">
        <v>28</v>
      </c>
      <c r="E19" s="20">
        <f>E13</f>
        <v>690300</v>
      </c>
      <c r="F19" s="20">
        <f t="shared" si="0"/>
        <v>607464</v>
      </c>
      <c r="G19" s="26">
        <f t="shared" si="1"/>
        <v>37103901.119999997</v>
      </c>
      <c r="H19" s="169">
        <f>G19/G40*100</f>
        <v>21.123692794242736</v>
      </c>
      <c r="I19" s="169">
        <v>0</v>
      </c>
      <c r="J19" s="169">
        <v>0</v>
      </c>
      <c r="K19" s="169">
        <v>61.31</v>
      </c>
      <c r="L19" s="169">
        <f>(K19*F19)/G40*100</f>
        <v>21.203235186886417</v>
      </c>
    </row>
    <row r="20" spans="1:12" ht="14.1" customHeight="1" x14ac:dyDescent="0.2">
      <c r="A20" s="29">
        <v>3</v>
      </c>
      <c r="B20" s="30" t="s">
        <v>29</v>
      </c>
      <c r="C20" s="31">
        <f>3.7+3.7</f>
        <v>7.4</v>
      </c>
      <c r="D20" s="32" t="s">
        <v>15</v>
      </c>
      <c r="E20" s="20">
        <f>E14</f>
        <v>459750</v>
      </c>
      <c r="F20" s="20">
        <f t="shared" si="0"/>
        <v>404580</v>
      </c>
      <c r="G20" s="26">
        <f t="shared" si="1"/>
        <v>2993892</v>
      </c>
      <c r="H20" s="169">
        <f>G20/G40*100</f>
        <v>1.7044583711725076</v>
      </c>
      <c r="I20" s="169">
        <v>0</v>
      </c>
      <c r="J20" s="169">
        <v>0</v>
      </c>
      <c r="K20" s="169">
        <f>8.44+3.6</f>
        <v>12.04</v>
      </c>
      <c r="L20" s="169">
        <f>(K20*F20)/G40*100</f>
        <v>2.7731998363401336</v>
      </c>
    </row>
    <row r="21" spans="1:12" ht="14.1" customHeight="1" x14ac:dyDescent="0.2">
      <c r="A21" s="29">
        <v>4</v>
      </c>
      <c r="B21" s="30" t="s">
        <v>30</v>
      </c>
      <c r="C21" s="31">
        <v>3.85</v>
      </c>
      <c r="D21" s="32" t="s">
        <v>15</v>
      </c>
      <c r="E21" s="20">
        <f>E15</f>
        <v>919500</v>
      </c>
      <c r="F21" s="20">
        <f t="shared" si="0"/>
        <v>809160</v>
      </c>
      <c r="G21" s="26">
        <f t="shared" si="1"/>
        <v>3115266</v>
      </c>
      <c r="H21" s="169">
        <f>G21/G40*100</f>
        <v>1.7735580348686903</v>
      </c>
      <c r="I21" s="169">
        <v>0</v>
      </c>
      <c r="J21" s="169">
        <v>0</v>
      </c>
      <c r="K21" s="169">
        <v>0</v>
      </c>
      <c r="L21" s="169">
        <v>0</v>
      </c>
    </row>
    <row r="22" spans="1:12" ht="14.1" customHeight="1" x14ac:dyDescent="0.2">
      <c r="A22" s="29">
        <v>5</v>
      </c>
      <c r="B22" s="30" t="s">
        <v>27</v>
      </c>
      <c r="C22" s="31">
        <v>4</v>
      </c>
      <c r="D22" s="32" t="s">
        <v>16</v>
      </c>
      <c r="E22" s="20">
        <f>E16</f>
        <v>1379250</v>
      </c>
      <c r="F22" s="20">
        <f t="shared" si="0"/>
        <v>1213740</v>
      </c>
      <c r="G22" s="26">
        <f t="shared" si="1"/>
        <v>4854960</v>
      </c>
      <c r="H22" s="169">
        <f>G22/G40*100</f>
        <v>2.7639865478473093</v>
      </c>
      <c r="I22" s="169">
        <v>0</v>
      </c>
      <c r="J22" s="169">
        <v>0</v>
      </c>
      <c r="K22" s="169">
        <v>0</v>
      </c>
      <c r="L22" s="169">
        <v>0</v>
      </c>
    </row>
    <row r="23" spans="1:12" ht="14.1" customHeight="1" x14ac:dyDescent="0.2">
      <c r="A23" s="22" t="s">
        <v>21</v>
      </c>
      <c r="B23" s="23" t="s">
        <v>22</v>
      </c>
      <c r="C23" s="31"/>
      <c r="D23" s="32"/>
      <c r="E23" s="20"/>
      <c r="F23" s="20"/>
      <c r="G23" s="26"/>
      <c r="H23" s="169"/>
      <c r="I23" s="169"/>
      <c r="J23" s="169"/>
      <c r="K23" s="169"/>
      <c r="L23" s="169"/>
    </row>
    <row r="24" spans="1:12" ht="14.1" customHeight="1" x14ac:dyDescent="0.2">
      <c r="A24" s="29">
        <v>1</v>
      </c>
      <c r="B24" s="30" t="s">
        <v>25</v>
      </c>
      <c r="C24" s="31">
        <v>4.0199999999999996</v>
      </c>
      <c r="D24" s="32" t="s">
        <v>28</v>
      </c>
      <c r="E24" s="20">
        <f>E12</f>
        <v>677550</v>
      </c>
      <c r="F24" s="20">
        <f t="shared" si="0"/>
        <v>596244</v>
      </c>
      <c r="G24" s="26">
        <f t="shared" si="1"/>
        <v>2396900.88</v>
      </c>
      <c r="H24" s="169">
        <f>G24/G40*100</f>
        <v>1.3645842167275071</v>
      </c>
      <c r="I24" s="169">
        <v>0</v>
      </c>
      <c r="J24" s="169">
        <v>0</v>
      </c>
      <c r="K24" s="169">
        <v>0</v>
      </c>
      <c r="L24" s="169">
        <f>(K24*F24)/G40*100</f>
        <v>0</v>
      </c>
    </row>
    <row r="25" spans="1:12" ht="14.1" customHeight="1" x14ac:dyDescent="0.2">
      <c r="A25" s="29">
        <v>2</v>
      </c>
      <c r="B25" s="30" t="s">
        <v>26</v>
      </c>
      <c r="C25" s="31">
        <v>23.25</v>
      </c>
      <c r="D25" s="32" t="s">
        <v>28</v>
      </c>
      <c r="E25" s="20">
        <f>E13</f>
        <v>690300</v>
      </c>
      <c r="F25" s="20">
        <f t="shared" si="0"/>
        <v>607464</v>
      </c>
      <c r="G25" s="26">
        <f t="shared" si="1"/>
        <v>14123538</v>
      </c>
      <c r="H25" s="169">
        <f>G25/G40*100</f>
        <v>8.0406983868065431</v>
      </c>
      <c r="I25" s="169">
        <v>0</v>
      </c>
      <c r="J25" s="169">
        <v>0</v>
      </c>
      <c r="K25" s="169">
        <v>16.149999999999999</v>
      </c>
      <c r="L25" s="169">
        <f>(K25*F25)/G40*100</f>
        <v>5.5852593095451892</v>
      </c>
    </row>
    <row r="26" spans="1:12" ht="14.1" customHeight="1" x14ac:dyDescent="0.2">
      <c r="A26" s="29">
        <v>3</v>
      </c>
      <c r="B26" s="30" t="s">
        <v>29</v>
      </c>
      <c r="C26" s="31">
        <v>7.44</v>
      </c>
      <c r="D26" s="32" t="s">
        <v>15</v>
      </c>
      <c r="E26" s="20">
        <f>E14</f>
        <v>459750</v>
      </c>
      <c r="F26" s="20">
        <f t="shared" si="0"/>
        <v>404580</v>
      </c>
      <c r="G26" s="26">
        <f t="shared" si="1"/>
        <v>3010075.2</v>
      </c>
      <c r="H26" s="169">
        <f>G26/G40*100</f>
        <v>1.7136716596653321</v>
      </c>
      <c r="I26" s="169">
        <v>0</v>
      </c>
      <c r="J26" s="169">
        <v>0</v>
      </c>
      <c r="K26" s="169">
        <v>5.21</v>
      </c>
      <c r="L26" s="169">
        <f>(K26*F26)/G40*100</f>
        <v>1.2000308261903734</v>
      </c>
    </row>
    <row r="27" spans="1:12" ht="14.1" customHeight="1" x14ac:dyDescent="0.2">
      <c r="A27" s="29">
        <v>4</v>
      </c>
      <c r="B27" s="30" t="s">
        <v>30</v>
      </c>
      <c r="C27" s="31">
        <v>0.65</v>
      </c>
      <c r="D27" s="32" t="s">
        <v>15</v>
      </c>
      <c r="E27" s="20">
        <f>E15</f>
        <v>919500</v>
      </c>
      <c r="F27" s="20">
        <f t="shared" si="0"/>
        <v>809160</v>
      </c>
      <c r="G27" s="26">
        <f t="shared" si="1"/>
        <v>525954</v>
      </c>
      <c r="H27" s="169">
        <f>G27/G40*100</f>
        <v>0.29943187601679189</v>
      </c>
      <c r="I27" s="169">
        <v>0</v>
      </c>
      <c r="J27" s="169">
        <v>0</v>
      </c>
      <c r="K27" s="169">
        <v>0</v>
      </c>
      <c r="L27" s="169">
        <v>0</v>
      </c>
    </row>
    <row r="28" spans="1:12" ht="14.1" customHeight="1" x14ac:dyDescent="0.2">
      <c r="A28" s="29">
        <v>5</v>
      </c>
      <c r="B28" s="30" t="s">
        <v>27</v>
      </c>
      <c r="C28" s="31">
        <v>1</v>
      </c>
      <c r="D28" s="32" t="s">
        <v>16</v>
      </c>
      <c r="E28" s="20">
        <f>E16</f>
        <v>1379250</v>
      </c>
      <c r="F28" s="20">
        <f t="shared" si="0"/>
        <v>1213740</v>
      </c>
      <c r="G28" s="26">
        <f>F28*C28</f>
        <v>1213740</v>
      </c>
      <c r="H28" s="169">
        <f>G28/G40*100</f>
        <v>0.69099663696182734</v>
      </c>
      <c r="I28" s="169">
        <v>0</v>
      </c>
      <c r="J28" s="169">
        <v>0</v>
      </c>
      <c r="K28" s="169">
        <v>0</v>
      </c>
      <c r="L28" s="169">
        <v>0</v>
      </c>
    </row>
    <row r="29" spans="1:12" ht="14.1" customHeight="1" x14ac:dyDescent="0.2">
      <c r="A29" s="29">
        <v>6</v>
      </c>
      <c r="B29" s="30" t="s">
        <v>94</v>
      </c>
      <c r="C29" s="31">
        <f>1.86*3</f>
        <v>5.58</v>
      </c>
      <c r="D29" s="32" t="s">
        <v>28</v>
      </c>
      <c r="E29" s="20">
        <v>750000</v>
      </c>
      <c r="F29" s="20">
        <f t="shared" si="0"/>
        <v>660000</v>
      </c>
      <c r="G29" s="26">
        <f>F29*C29</f>
        <v>3682800</v>
      </c>
      <c r="H29" s="169">
        <f>G29/G40*100</f>
        <v>2.0966619000799329</v>
      </c>
      <c r="I29" s="169">
        <v>0</v>
      </c>
      <c r="J29" s="169">
        <v>0</v>
      </c>
      <c r="K29" s="169">
        <v>6.82</v>
      </c>
      <c r="L29" s="169">
        <f>(K29*F29)/G40*100</f>
        <v>2.5625867667643623</v>
      </c>
    </row>
    <row r="30" spans="1:12" ht="14.1" customHeight="1" x14ac:dyDescent="0.2">
      <c r="A30" s="22" t="s">
        <v>23</v>
      </c>
      <c r="B30" s="23" t="s">
        <v>24</v>
      </c>
      <c r="C30" s="31"/>
      <c r="D30" s="32"/>
      <c r="E30" s="20"/>
      <c r="F30" s="20"/>
      <c r="G30" s="26"/>
      <c r="H30" s="169"/>
      <c r="I30" s="169"/>
      <c r="J30" s="169"/>
      <c r="K30" s="169"/>
      <c r="L30" s="169"/>
    </row>
    <row r="31" spans="1:12" ht="14.1" customHeight="1" x14ac:dyDescent="0.2">
      <c r="A31" s="29">
        <v>1</v>
      </c>
      <c r="B31" s="30" t="s">
        <v>25</v>
      </c>
      <c r="C31" s="31">
        <v>4.68</v>
      </c>
      <c r="D31" s="32" t="s">
        <v>28</v>
      </c>
      <c r="E31" s="20">
        <f>E24</f>
        <v>677550</v>
      </c>
      <c r="F31" s="20">
        <f t="shared" si="0"/>
        <v>596244</v>
      </c>
      <c r="G31" s="26">
        <f>F31*C31</f>
        <v>2790421.92</v>
      </c>
      <c r="H31" s="169">
        <f>G31/G40*100</f>
        <v>1.5886204314141128</v>
      </c>
      <c r="I31" s="169">
        <v>0</v>
      </c>
      <c r="J31" s="169">
        <v>0</v>
      </c>
      <c r="K31" s="169">
        <v>4.47</v>
      </c>
      <c r="L31" s="169">
        <f>(K31*F31)/G40*100</f>
        <v>1.5173361812865562</v>
      </c>
    </row>
    <row r="32" spans="1:12" ht="14.1" customHeight="1" x14ac:dyDescent="0.2">
      <c r="A32" s="29">
        <v>2</v>
      </c>
      <c r="B32" s="30" t="s">
        <v>26</v>
      </c>
      <c r="C32" s="31">
        <f>6.37+3.68+11.89+2</f>
        <v>23.94</v>
      </c>
      <c r="D32" s="32" t="s">
        <v>28</v>
      </c>
      <c r="E32" s="20">
        <f>E25</f>
        <v>690300</v>
      </c>
      <c r="F32" s="20">
        <f t="shared" si="0"/>
        <v>607464</v>
      </c>
      <c r="G32" s="26">
        <f t="shared" si="1"/>
        <v>14542688.16</v>
      </c>
      <c r="H32" s="169">
        <f>G32/G40*100</f>
        <v>8.2793255647375759</v>
      </c>
      <c r="I32" s="169">
        <v>0</v>
      </c>
      <c r="J32" s="169">
        <v>0</v>
      </c>
      <c r="K32" s="169">
        <v>23.73</v>
      </c>
      <c r="L32" s="169">
        <f>(K32*F32)/G40*100</f>
        <v>8.2066999018890012</v>
      </c>
    </row>
    <row r="33" spans="1:12" ht="14.1" customHeight="1" x14ac:dyDescent="0.2">
      <c r="A33" s="29">
        <v>3</v>
      </c>
      <c r="B33" s="30" t="s">
        <v>29</v>
      </c>
      <c r="C33" s="31">
        <v>7.45</v>
      </c>
      <c r="D33" s="32" t="s">
        <v>15</v>
      </c>
      <c r="E33" s="20">
        <f>E26</f>
        <v>459750</v>
      </c>
      <c r="F33" s="20">
        <f t="shared" si="0"/>
        <v>404580</v>
      </c>
      <c r="G33" s="26">
        <f>F33*C33</f>
        <v>3014121</v>
      </c>
      <c r="H33" s="169">
        <f>G33/G40*100</f>
        <v>1.7159749817885379</v>
      </c>
      <c r="I33" s="169">
        <v>0</v>
      </c>
      <c r="J33" s="169">
        <v>0</v>
      </c>
      <c r="K33" s="169">
        <v>7.43</v>
      </c>
      <c r="L33" s="169">
        <f>(K33*F33)/G40*100</f>
        <v>1.7113683375421258</v>
      </c>
    </row>
    <row r="34" spans="1:12" ht="14.1" customHeight="1" x14ac:dyDescent="0.2">
      <c r="A34" s="29">
        <v>4</v>
      </c>
      <c r="B34" s="30" t="s">
        <v>30</v>
      </c>
      <c r="C34" s="31">
        <v>0.65</v>
      </c>
      <c r="D34" s="32" t="s">
        <v>15</v>
      </c>
      <c r="E34" s="20">
        <f>E27</f>
        <v>919500</v>
      </c>
      <c r="F34" s="20">
        <f t="shared" si="0"/>
        <v>809160</v>
      </c>
      <c r="G34" s="26">
        <f t="shared" si="1"/>
        <v>525954</v>
      </c>
      <c r="H34" s="169">
        <f>G34/G40*100</f>
        <v>0.29943187601679189</v>
      </c>
      <c r="I34" s="169">
        <v>0</v>
      </c>
      <c r="J34" s="169">
        <v>0</v>
      </c>
      <c r="K34" s="169">
        <v>0</v>
      </c>
      <c r="L34" s="169">
        <v>0</v>
      </c>
    </row>
    <row r="35" spans="1:12" ht="14.1" customHeight="1" x14ac:dyDescent="0.2">
      <c r="A35" s="29">
        <v>5</v>
      </c>
      <c r="B35" s="30" t="s">
        <v>27</v>
      </c>
      <c r="C35" s="31">
        <v>1</v>
      </c>
      <c r="D35" s="32" t="s">
        <v>16</v>
      </c>
      <c r="E35" s="20">
        <f>E28</f>
        <v>1379250</v>
      </c>
      <c r="F35" s="20">
        <f t="shared" si="0"/>
        <v>1213740</v>
      </c>
      <c r="G35" s="26">
        <f>F35*C35</f>
        <v>1213740</v>
      </c>
      <c r="H35" s="169">
        <f>G35/G40*100</f>
        <v>0.69099663696182734</v>
      </c>
      <c r="I35" s="169">
        <v>0</v>
      </c>
      <c r="J35" s="169">
        <v>0</v>
      </c>
      <c r="K35" s="169">
        <v>0</v>
      </c>
      <c r="L35" s="169">
        <v>0</v>
      </c>
    </row>
    <row r="36" spans="1:12" ht="14.1" customHeight="1" x14ac:dyDescent="0.2">
      <c r="A36" s="33" t="s">
        <v>20</v>
      </c>
      <c r="B36" s="34" t="s">
        <v>31</v>
      </c>
      <c r="C36" s="35"/>
      <c r="D36" s="36"/>
      <c r="E36" s="37"/>
      <c r="F36" s="20"/>
      <c r="G36" s="26"/>
      <c r="H36" s="169"/>
      <c r="I36" s="169"/>
      <c r="J36" s="169"/>
      <c r="K36" s="136"/>
      <c r="L36" s="169"/>
    </row>
    <row r="37" spans="1:12" ht="14.1" customHeight="1" x14ac:dyDescent="0.2">
      <c r="A37" s="38">
        <v>1</v>
      </c>
      <c r="B37" s="39" t="s">
        <v>84</v>
      </c>
      <c r="C37" s="35">
        <v>1</v>
      </c>
      <c r="D37" s="36" t="s">
        <v>11</v>
      </c>
      <c r="E37" s="37">
        <v>3870000</v>
      </c>
      <c r="F37" s="20">
        <f t="shared" si="0"/>
        <v>3405600</v>
      </c>
      <c r="G37" s="26">
        <f>F37*C37</f>
        <v>3405600</v>
      </c>
      <c r="H37" s="169">
        <f>G37/G40*100</f>
        <v>1.9388486387835941</v>
      </c>
      <c r="I37" s="169">
        <v>0</v>
      </c>
      <c r="J37" s="169">
        <v>0</v>
      </c>
      <c r="K37" s="169">
        <f>H37*35%</f>
        <v>0.67859702357425788</v>
      </c>
      <c r="L37" s="169">
        <f>H37*50%</f>
        <v>0.96942431939179707</v>
      </c>
    </row>
    <row r="38" spans="1:12" ht="14.1" customHeight="1" x14ac:dyDescent="0.2">
      <c r="A38" s="38">
        <v>2</v>
      </c>
      <c r="B38" s="39" t="s">
        <v>85</v>
      </c>
      <c r="C38" s="35">
        <v>1</v>
      </c>
      <c r="D38" s="36" t="s">
        <v>11</v>
      </c>
      <c r="E38" s="37">
        <v>1200000</v>
      </c>
      <c r="F38" s="20">
        <f t="shared" si="0"/>
        <v>1056000</v>
      </c>
      <c r="G38" s="26">
        <f t="shared" si="1"/>
        <v>1056000</v>
      </c>
      <c r="H38" s="169">
        <f>G38/G40*100</f>
        <v>0.60119337636700587</v>
      </c>
      <c r="I38" s="169">
        <v>0</v>
      </c>
      <c r="J38" s="169">
        <v>0</v>
      </c>
      <c r="K38" s="169">
        <f>H38*35%</f>
        <v>0.21041768172845204</v>
      </c>
      <c r="L38" s="169">
        <f>H38*50%</f>
        <v>0.30059668818350294</v>
      </c>
    </row>
    <row r="39" spans="1:12" ht="14.1" customHeight="1" x14ac:dyDescent="0.2">
      <c r="A39" s="38">
        <v>3</v>
      </c>
      <c r="B39" s="39" t="s">
        <v>32</v>
      </c>
      <c r="C39" s="35">
        <v>1</v>
      </c>
      <c r="D39" s="36" t="s">
        <v>11</v>
      </c>
      <c r="E39" s="37">
        <v>16500000</v>
      </c>
      <c r="F39" s="20">
        <f t="shared" si="0"/>
        <v>14520000</v>
      </c>
      <c r="G39" s="26">
        <f t="shared" si="1"/>
        <v>14520000</v>
      </c>
      <c r="H39" s="169">
        <f>G39/G40*100</f>
        <v>8.2664089250463313</v>
      </c>
      <c r="I39" s="169">
        <v>0</v>
      </c>
      <c r="J39" s="169">
        <v>0</v>
      </c>
      <c r="K39" s="169">
        <f>H39*35%</f>
        <v>2.893243123766216</v>
      </c>
      <c r="L39" s="169">
        <f>H39*50%</f>
        <v>4.1332044625231656</v>
      </c>
    </row>
    <row r="40" spans="1:12" ht="18.95" customHeight="1" x14ac:dyDescent="0.2">
      <c r="A40" s="272" t="s">
        <v>103</v>
      </c>
      <c r="B40" s="273"/>
      <c r="C40" s="273"/>
      <c r="D40" s="274"/>
      <c r="E40" s="40" t="s">
        <v>2</v>
      </c>
      <c r="F40" s="40"/>
      <c r="G40" s="41">
        <f>SUM(G11:G39)</f>
        <v>175650637.79999995</v>
      </c>
      <c r="H40" s="42">
        <f>SUM(H10:H39)</f>
        <v>100.00000000000006</v>
      </c>
      <c r="I40" s="42">
        <f>SUM(I10:I39)</f>
        <v>0</v>
      </c>
      <c r="J40" s="42">
        <f>SUM(J10:J39)</f>
        <v>0</v>
      </c>
      <c r="K40" s="42">
        <f>SUM(K10:K39)</f>
        <v>204.48225782906891</v>
      </c>
      <c r="L40" s="42">
        <f>SUM(L10:L39)</f>
        <v>71.438853767714591</v>
      </c>
    </row>
    <row r="42" spans="1:12" ht="14.1" customHeight="1" x14ac:dyDescent="0.5">
      <c r="A42" s="170"/>
      <c r="B42" s="171" t="s">
        <v>104</v>
      </c>
      <c r="C42" s="172">
        <f>J40</f>
        <v>0</v>
      </c>
      <c r="D42" s="173" t="s">
        <v>100</v>
      </c>
      <c r="E42" s="173"/>
      <c r="F42" s="174"/>
      <c r="G42" s="174"/>
    </row>
    <row r="43" spans="1:12" ht="14.1" customHeight="1" x14ac:dyDescent="0.5">
      <c r="A43" s="170"/>
      <c r="B43" s="171" t="s">
        <v>105</v>
      </c>
      <c r="C43" s="172">
        <f>L40</f>
        <v>71.438853767714591</v>
      </c>
      <c r="D43" s="173" t="s">
        <v>100</v>
      </c>
      <c r="E43" s="173"/>
      <c r="F43" s="174"/>
      <c r="G43" s="174"/>
    </row>
    <row r="44" spans="1:12" ht="14.1" customHeight="1" x14ac:dyDescent="0.5">
      <c r="A44" s="170"/>
      <c r="B44" s="175" t="s">
        <v>106</v>
      </c>
      <c r="C44" s="176">
        <f>C43</f>
        <v>71.438853767714591</v>
      </c>
      <c r="D44" s="177" t="s">
        <v>100</v>
      </c>
      <c r="E44" s="173"/>
      <c r="F44" s="174"/>
      <c r="G44" s="174"/>
    </row>
    <row r="45" spans="1:12" ht="14.1" customHeight="1" x14ac:dyDescent="0.5">
      <c r="A45" s="170"/>
      <c r="B45" s="43"/>
      <c r="C45" s="178"/>
      <c r="D45" s="173"/>
      <c r="E45" s="173"/>
      <c r="F45" s="174"/>
      <c r="G45" s="174"/>
    </row>
    <row r="46" spans="1:12" ht="14.1" customHeight="1" x14ac:dyDescent="0.5">
      <c r="A46" s="170"/>
      <c r="B46" s="171" t="s">
        <v>112</v>
      </c>
      <c r="C46" s="171"/>
      <c r="E46" s="43"/>
      <c r="F46" s="174"/>
      <c r="G46" s="174"/>
    </row>
    <row r="47" spans="1:12" ht="14.1" customHeight="1" x14ac:dyDescent="0.5">
      <c r="A47" s="170"/>
      <c r="B47" s="171" t="s">
        <v>140</v>
      </c>
      <c r="C47" s="171"/>
      <c r="E47" s="43"/>
      <c r="F47" s="174"/>
      <c r="G47" s="174"/>
    </row>
    <row r="48" spans="1:12" ht="14.1" customHeight="1" x14ac:dyDescent="0.5">
      <c r="A48" s="170"/>
      <c r="B48" s="171"/>
      <c r="C48" s="171"/>
      <c r="E48" s="43"/>
      <c r="F48" s="174"/>
      <c r="G48" s="174"/>
    </row>
    <row r="49" spans="1:12" ht="14.1" customHeight="1" x14ac:dyDescent="0.5">
      <c r="A49" s="170"/>
      <c r="B49" s="171" t="s">
        <v>107</v>
      </c>
      <c r="C49" s="173"/>
      <c r="E49" s="43"/>
      <c r="F49" s="174"/>
      <c r="G49" s="174"/>
    </row>
    <row r="50" spans="1:12" ht="14.1" customHeight="1" x14ac:dyDescent="0.5">
      <c r="A50" s="170"/>
      <c r="B50" s="171" t="s">
        <v>108</v>
      </c>
      <c r="C50" s="173"/>
      <c r="E50" s="43"/>
      <c r="F50" s="174"/>
      <c r="G50" s="174"/>
    </row>
    <row r="51" spans="1:12" ht="14.1" customHeight="1" x14ac:dyDescent="0.5">
      <c r="A51" s="170"/>
      <c r="B51" s="173"/>
      <c r="C51" s="173"/>
      <c r="E51" s="179"/>
      <c r="F51" s="174"/>
      <c r="G51" s="174"/>
    </row>
    <row r="52" spans="1:12" ht="14.1" customHeight="1" x14ac:dyDescent="0.5">
      <c r="A52" s="170"/>
      <c r="B52" s="261" t="s">
        <v>109</v>
      </c>
      <c r="C52" s="261"/>
      <c r="E52" s="179"/>
      <c r="F52" s="174"/>
      <c r="G52" s="174"/>
      <c r="K52" s="2" t="s">
        <v>189</v>
      </c>
    </row>
    <row r="53" spans="1:12" ht="14.1" customHeight="1" x14ac:dyDescent="0.5">
      <c r="A53" s="170"/>
      <c r="B53" s="43"/>
      <c r="C53" s="43"/>
      <c r="E53" s="179"/>
      <c r="F53" s="174"/>
      <c r="G53" s="174"/>
    </row>
    <row r="54" spans="1:12" ht="14.1" customHeight="1" x14ac:dyDescent="0.5">
      <c r="A54" s="170"/>
      <c r="B54" s="180"/>
      <c r="C54" s="2"/>
      <c r="D54" s="2"/>
      <c r="E54" s="181"/>
      <c r="F54" s="174"/>
      <c r="G54" s="174"/>
    </row>
    <row r="56" spans="1:12" ht="14.1" customHeight="1" x14ac:dyDescent="0.2">
      <c r="B56" s="44"/>
      <c r="D56" s="45"/>
      <c r="E56" s="46"/>
      <c r="F56" s="46"/>
      <c r="G56" s="46"/>
      <c r="H56" s="44"/>
      <c r="I56" s="44"/>
      <c r="K56" s="44"/>
      <c r="L56" s="47"/>
    </row>
  </sheetData>
  <mergeCells count="9">
    <mergeCell ref="B52:C52"/>
    <mergeCell ref="I9:J9"/>
    <mergeCell ref="K9:L9"/>
    <mergeCell ref="A1:L1"/>
    <mergeCell ref="A2:L2"/>
    <mergeCell ref="A9:A10"/>
    <mergeCell ref="B9:B10"/>
    <mergeCell ref="C9:D10"/>
    <mergeCell ref="A40:D40"/>
  </mergeCells>
  <pageMargins left="0.23622047244094491" right="0.23622047244094491" top="0.15748031496062992" bottom="0.15748031496062992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3C6C-E51E-405B-A766-0BD6D19CB94B}">
  <dimension ref="A1:G38"/>
  <sheetViews>
    <sheetView topLeftCell="A28" zoomScaleNormal="100" workbookViewId="0">
      <selection activeCell="F13" sqref="F13"/>
    </sheetView>
  </sheetViews>
  <sheetFormatPr defaultColWidth="8.7109375" defaultRowHeight="20.100000000000001" customHeight="1" x14ac:dyDescent="0.2"/>
  <cols>
    <col min="1" max="1" width="2.85546875" style="183" customWidth="1"/>
    <col min="2" max="2" width="23.140625" style="183" customWidth="1"/>
    <col min="3" max="3" width="3.42578125" style="183" customWidth="1"/>
    <col min="4" max="4" width="25.28515625" style="183" customWidth="1"/>
    <col min="5" max="5" width="8.7109375" style="183"/>
    <col min="6" max="6" width="31.85546875" style="183" customWidth="1"/>
    <col min="7" max="7" width="4.42578125" style="183" customWidth="1"/>
    <col min="8" max="8" width="8.7109375" style="183"/>
    <col min="9" max="9" width="13.7109375" style="183" bestFit="1" customWidth="1"/>
    <col min="10" max="16384" width="8.7109375" style="183"/>
  </cols>
  <sheetData>
    <row r="1" spans="1:7" ht="20.100000000000001" customHeight="1" x14ac:dyDescent="0.2">
      <c r="A1" s="275" t="s">
        <v>113</v>
      </c>
      <c r="B1" s="275"/>
      <c r="C1" s="275"/>
      <c r="D1" s="275"/>
      <c r="E1" s="275"/>
      <c r="F1" s="182"/>
    </row>
    <row r="2" spans="1:7" ht="20.100000000000001" customHeight="1" x14ac:dyDescent="0.2">
      <c r="A2" s="275"/>
      <c r="B2" s="275"/>
      <c r="C2" s="275"/>
      <c r="D2" s="275"/>
      <c r="E2" s="275"/>
      <c r="F2" s="182"/>
    </row>
    <row r="3" spans="1:7" s="163" customFormat="1" ht="20.100000000000001" customHeight="1" x14ac:dyDescent="0.5">
      <c r="A3" s="184"/>
      <c r="B3" s="184"/>
      <c r="C3" s="184"/>
      <c r="D3" s="184"/>
      <c r="E3" s="184"/>
      <c r="F3" s="185"/>
    </row>
    <row r="4" spans="1:7" s="163" customFormat="1" ht="20.100000000000001" customHeight="1" x14ac:dyDescent="0.5">
      <c r="A4" s="185"/>
      <c r="B4" s="185"/>
      <c r="C4" s="185"/>
      <c r="D4" s="185"/>
      <c r="E4" s="185"/>
      <c r="F4" s="185"/>
    </row>
    <row r="5" spans="1:7" s="163" customFormat="1" ht="20.100000000000001" customHeight="1" x14ac:dyDescent="0.5">
      <c r="A5" s="186"/>
      <c r="B5" s="187"/>
      <c r="C5" s="187"/>
      <c r="D5" s="187"/>
      <c r="E5" s="187"/>
      <c r="F5" s="187"/>
      <c r="G5" s="188"/>
    </row>
    <row r="6" spans="1:7" s="163" customFormat="1" ht="20.100000000000001" customHeight="1" x14ac:dyDescent="0.5">
      <c r="A6" s="189"/>
      <c r="B6" s="190"/>
      <c r="C6" s="191"/>
      <c r="D6" s="190"/>
      <c r="E6" s="190"/>
      <c r="F6" s="276" t="s">
        <v>114</v>
      </c>
      <c r="G6" s="192"/>
    </row>
    <row r="7" spans="1:7" s="163" customFormat="1" ht="20.100000000000001" customHeight="1" x14ac:dyDescent="0.5">
      <c r="A7" s="189"/>
      <c r="B7" s="190"/>
      <c r="C7" s="191"/>
      <c r="D7" s="190"/>
      <c r="E7" s="190"/>
      <c r="F7" s="276"/>
      <c r="G7" s="192"/>
    </row>
    <row r="8" spans="1:7" s="163" customFormat="1" ht="20.100000000000001" customHeight="1" thickBot="1" x14ac:dyDescent="0.55000000000000004">
      <c r="A8" s="189"/>
      <c r="B8" s="190"/>
      <c r="C8" s="191"/>
      <c r="D8" s="190"/>
      <c r="E8" s="190"/>
      <c r="F8" s="193"/>
      <c r="G8" s="192"/>
    </row>
    <row r="9" spans="1:7" s="163" customFormat="1" ht="20.100000000000001" customHeight="1" thickTop="1" thickBot="1" x14ac:dyDescent="0.55000000000000004">
      <c r="A9" s="194"/>
      <c r="B9" s="195" t="s">
        <v>188</v>
      </c>
      <c r="C9" s="196"/>
      <c r="D9" s="195"/>
      <c r="E9" s="195"/>
      <c r="F9" s="196" t="s">
        <v>190</v>
      </c>
      <c r="G9" s="197"/>
    </row>
    <row r="10" spans="1:7" s="163" customFormat="1" ht="20.100000000000001" customHeight="1" thickTop="1" x14ac:dyDescent="0.5">
      <c r="A10" s="189"/>
      <c r="B10" s="198" t="s">
        <v>115</v>
      </c>
      <c r="C10" s="199" t="s">
        <v>46</v>
      </c>
      <c r="D10" s="200" t="s">
        <v>124</v>
      </c>
      <c r="E10" s="201"/>
      <c r="F10" s="200"/>
      <c r="G10" s="192"/>
    </row>
    <row r="11" spans="1:7" s="163" customFormat="1" ht="20.100000000000001" customHeight="1" x14ac:dyDescent="0.5">
      <c r="A11" s="189"/>
      <c r="B11" s="43" t="s">
        <v>116</v>
      </c>
      <c r="C11" s="69" t="s">
        <v>46</v>
      </c>
      <c r="D11" s="277" t="s">
        <v>130</v>
      </c>
      <c r="E11" s="277"/>
      <c r="F11" s="277"/>
      <c r="G11" s="192"/>
    </row>
    <row r="12" spans="1:7" s="163" customFormat="1" ht="20.100000000000001" customHeight="1" x14ac:dyDescent="0.5">
      <c r="A12" s="189"/>
      <c r="B12" s="43"/>
      <c r="C12" s="69"/>
      <c r="D12" s="43"/>
      <c r="E12" s="43"/>
      <c r="F12" s="202"/>
      <c r="G12" s="192"/>
    </row>
    <row r="13" spans="1:7" s="163" customFormat="1" ht="20.100000000000001" customHeight="1" x14ac:dyDescent="0.5">
      <c r="A13" s="189"/>
      <c r="B13" s="43" t="s">
        <v>117</v>
      </c>
      <c r="C13" s="69" t="s">
        <v>46</v>
      </c>
      <c r="D13" s="43" t="s">
        <v>129</v>
      </c>
      <c r="E13" s="43"/>
      <c r="F13" s="202"/>
      <c r="G13" s="192"/>
    </row>
    <row r="14" spans="1:7" s="163" customFormat="1" ht="20.100000000000001" customHeight="1" x14ac:dyDescent="0.5">
      <c r="A14" s="189"/>
      <c r="B14" s="43" t="s">
        <v>118</v>
      </c>
      <c r="C14" s="69" t="s">
        <v>46</v>
      </c>
      <c r="D14" s="203"/>
      <c r="E14" s="203"/>
      <c r="F14" s="202"/>
      <c r="G14" s="192"/>
    </row>
    <row r="15" spans="1:7" s="163" customFormat="1" ht="20.100000000000001" customHeight="1" x14ac:dyDescent="0.5">
      <c r="A15" s="189"/>
      <c r="B15" s="43" t="s">
        <v>119</v>
      </c>
      <c r="C15" s="69" t="s">
        <v>46</v>
      </c>
      <c r="D15" s="204">
        <f>D24</f>
        <v>95430991.516739979</v>
      </c>
      <c r="E15" s="205"/>
      <c r="F15" s="190"/>
      <c r="G15" s="192"/>
    </row>
    <row r="16" spans="1:7" s="163" customFormat="1" ht="20.100000000000001" customHeight="1" x14ac:dyDescent="0.5">
      <c r="A16" s="189"/>
      <c r="B16" s="43" t="s">
        <v>120</v>
      </c>
      <c r="C16" s="69" t="s">
        <v>46</v>
      </c>
      <c r="D16" s="72" t="s">
        <v>126</v>
      </c>
      <c r="E16" s="43"/>
      <c r="F16" s="190"/>
      <c r="G16" s="192"/>
    </row>
    <row r="17" spans="1:7" s="163" customFormat="1" ht="20.100000000000001" customHeight="1" x14ac:dyDescent="0.5">
      <c r="A17" s="189"/>
      <c r="B17" s="43" t="s">
        <v>35</v>
      </c>
      <c r="C17" s="69" t="s">
        <v>46</v>
      </c>
      <c r="D17" s="43" t="s">
        <v>125</v>
      </c>
      <c r="E17" s="43"/>
      <c r="F17" s="190"/>
      <c r="G17" s="206"/>
    </row>
    <row r="18" spans="1:7" s="163" customFormat="1" ht="20.100000000000001" customHeight="1" x14ac:dyDescent="0.5">
      <c r="A18" s="189"/>
      <c r="B18" s="43" t="s">
        <v>128</v>
      </c>
      <c r="C18" s="69" t="s">
        <v>46</v>
      </c>
      <c r="D18" s="43" t="s">
        <v>127</v>
      </c>
      <c r="E18" s="43"/>
      <c r="F18" s="190"/>
      <c r="G18" s="192"/>
    </row>
    <row r="19" spans="1:7" s="163" customFormat="1" ht="20.100000000000001" customHeight="1" thickBot="1" x14ac:dyDescent="0.55000000000000004">
      <c r="A19" s="189"/>
      <c r="B19" s="207"/>
      <c r="C19" s="208"/>
      <c r="D19" s="207"/>
      <c r="E19" s="207"/>
      <c r="F19" s="209"/>
      <c r="G19" s="192"/>
    </row>
    <row r="20" spans="1:7" s="163" customFormat="1" ht="20.100000000000001" customHeight="1" thickTop="1" x14ac:dyDescent="0.5">
      <c r="A20" s="189"/>
      <c r="B20" s="190"/>
      <c r="C20" s="191"/>
      <c r="D20" s="190"/>
      <c r="E20" s="190"/>
      <c r="F20" s="190"/>
      <c r="G20" s="192"/>
    </row>
    <row r="21" spans="1:7" s="163" customFormat="1" ht="20.100000000000001" customHeight="1" x14ac:dyDescent="0.5">
      <c r="A21" s="189"/>
      <c r="B21" s="43" t="s">
        <v>121</v>
      </c>
      <c r="C21" s="69" t="s">
        <v>36</v>
      </c>
      <c r="D21" s="278" t="s">
        <v>139</v>
      </c>
      <c r="E21" s="278"/>
      <c r="F21" s="278"/>
      <c r="G21" s="192"/>
    </row>
    <row r="22" spans="1:7" s="163" customFormat="1" ht="20.100000000000001" customHeight="1" x14ac:dyDescent="0.5">
      <c r="A22" s="189"/>
      <c r="B22" s="190"/>
      <c r="C22" s="191"/>
      <c r="D22" s="190"/>
      <c r="E22" s="190"/>
      <c r="F22" s="191"/>
      <c r="G22" s="192"/>
    </row>
    <row r="23" spans="1:7" s="163" customFormat="1" ht="20.100000000000001" customHeight="1" x14ac:dyDescent="0.5">
      <c r="A23" s="189"/>
      <c r="B23" s="190" t="s">
        <v>122</v>
      </c>
      <c r="C23" s="191" t="s">
        <v>46</v>
      </c>
      <c r="D23" s="210">
        <f>'SPH IDD'!G42</f>
        <v>175650637.79999995</v>
      </c>
      <c r="E23" s="191"/>
      <c r="F23" s="211"/>
      <c r="G23" s="192"/>
    </row>
    <row r="24" spans="1:7" s="163" customFormat="1" ht="20.100000000000001" customHeight="1" x14ac:dyDescent="0.5">
      <c r="A24" s="189"/>
      <c r="B24" s="212" t="s">
        <v>138</v>
      </c>
      <c r="C24" s="213" t="s">
        <v>46</v>
      </c>
      <c r="D24" s="214">
        <f>D23*54.33%</f>
        <v>95430991.516739979</v>
      </c>
      <c r="E24" s="215"/>
      <c r="F24" s="190"/>
      <c r="G24" s="192"/>
    </row>
    <row r="25" spans="1:7" s="163" customFormat="1" ht="20.100000000000001" customHeight="1" x14ac:dyDescent="0.5">
      <c r="A25" s="189"/>
      <c r="B25" s="190"/>
      <c r="C25" s="191"/>
      <c r="D25" s="190"/>
      <c r="E25" s="215"/>
      <c r="F25" s="190"/>
      <c r="G25" s="192"/>
    </row>
    <row r="26" spans="1:7" s="163" customFormat="1" ht="20.100000000000001" customHeight="1" x14ac:dyDescent="0.5">
      <c r="A26" s="189"/>
      <c r="B26" s="2" t="s">
        <v>131</v>
      </c>
      <c r="C26" s="69"/>
      <c r="D26" s="2"/>
      <c r="E26" s="216"/>
      <c r="F26" s="216"/>
      <c r="G26" s="192"/>
    </row>
    <row r="27" spans="1:7" s="163" customFormat="1" ht="20.100000000000001" customHeight="1" x14ac:dyDescent="0.5">
      <c r="A27" s="189"/>
      <c r="B27" s="2" t="s">
        <v>132</v>
      </c>
      <c r="C27" s="69" t="s">
        <v>46</v>
      </c>
      <c r="D27" s="2" t="s">
        <v>135</v>
      </c>
      <c r="E27" s="216"/>
      <c r="F27" s="216"/>
      <c r="G27" s="192"/>
    </row>
    <row r="28" spans="1:7" s="163" customFormat="1" ht="20.100000000000001" customHeight="1" x14ac:dyDescent="0.5">
      <c r="A28" s="189"/>
      <c r="B28" s="2" t="s">
        <v>134</v>
      </c>
      <c r="C28" s="69" t="s">
        <v>46</v>
      </c>
      <c r="D28" s="2" t="s">
        <v>136</v>
      </c>
      <c r="E28" s="216"/>
      <c r="F28" s="216"/>
      <c r="G28" s="192"/>
    </row>
    <row r="29" spans="1:7" s="163" customFormat="1" ht="20.100000000000001" customHeight="1" x14ac:dyDescent="0.5">
      <c r="A29" s="189"/>
      <c r="B29" s="2" t="s">
        <v>133</v>
      </c>
      <c r="C29" s="69" t="s">
        <v>46</v>
      </c>
      <c r="D29" s="2" t="s">
        <v>137</v>
      </c>
      <c r="E29" s="216"/>
      <c r="F29" s="216"/>
      <c r="G29" s="192"/>
    </row>
    <row r="30" spans="1:7" s="163" customFormat="1" ht="20.100000000000001" customHeight="1" x14ac:dyDescent="0.5">
      <c r="A30" s="189"/>
      <c r="B30" s="2"/>
      <c r="C30" s="69"/>
      <c r="D30" s="2"/>
      <c r="E30" s="216"/>
      <c r="F30" s="216"/>
      <c r="G30" s="192"/>
    </row>
    <row r="31" spans="1:7" s="163" customFormat="1" ht="20.100000000000001" customHeight="1" x14ac:dyDescent="0.5">
      <c r="A31" s="189"/>
      <c r="B31" s="2"/>
      <c r="C31" s="69"/>
      <c r="D31" s="2"/>
      <c r="E31" s="216"/>
      <c r="F31" s="216"/>
      <c r="G31" s="192"/>
    </row>
    <row r="32" spans="1:7" s="163" customFormat="1" ht="20.100000000000001" customHeight="1" x14ac:dyDescent="0.5">
      <c r="A32" s="189"/>
      <c r="B32" s="2"/>
      <c r="C32" s="69"/>
      <c r="D32" s="2"/>
      <c r="E32" s="216"/>
      <c r="F32" s="216"/>
      <c r="G32" s="192"/>
    </row>
    <row r="33" spans="1:7" s="163" customFormat="1" ht="20.100000000000001" customHeight="1" x14ac:dyDescent="0.5">
      <c r="A33" s="189"/>
      <c r="B33" s="2"/>
      <c r="C33" s="69"/>
      <c r="D33" s="2"/>
      <c r="E33" s="216"/>
      <c r="F33" s="216"/>
      <c r="G33" s="192"/>
    </row>
    <row r="34" spans="1:7" s="163" customFormat="1" ht="20.100000000000001" customHeight="1" x14ac:dyDescent="0.5">
      <c r="A34" s="189"/>
      <c r="B34" s="2"/>
      <c r="C34" s="69"/>
      <c r="D34" s="2"/>
      <c r="E34" s="216"/>
      <c r="F34" s="216"/>
      <c r="G34" s="192"/>
    </row>
    <row r="35" spans="1:7" s="163" customFormat="1" ht="20.100000000000001" customHeight="1" x14ac:dyDescent="0.5">
      <c r="A35" s="189"/>
      <c r="B35" s="69" t="s">
        <v>123</v>
      </c>
      <c r="C35" s="69"/>
      <c r="D35" s="2"/>
      <c r="E35" s="216"/>
      <c r="F35" s="216"/>
      <c r="G35" s="192"/>
    </row>
    <row r="36" spans="1:7" s="163" customFormat="1" ht="20.100000000000001" customHeight="1" x14ac:dyDescent="0.5">
      <c r="A36" s="217"/>
      <c r="B36" s="218"/>
      <c r="C36" s="219"/>
      <c r="D36" s="219"/>
      <c r="E36" s="220"/>
      <c r="F36" s="220"/>
      <c r="G36" s="221"/>
    </row>
    <row r="37" spans="1:7" s="163" customFormat="1" ht="20.100000000000001" customHeight="1" x14ac:dyDescent="0.5">
      <c r="B37" s="222"/>
      <c r="C37" s="223"/>
      <c r="D37" s="223"/>
      <c r="E37" s="224"/>
      <c r="F37" s="224"/>
    </row>
    <row r="38" spans="1:7" s="163" customFormat="1" ht="20.100000000000001" customHeight="1" x14ac:dyDescent="0.5"/>
  </sheetData>
  <mergeCells count="4">
    <mergeCell ref="A1:E2"/>
    <mergeCell ref="F6:F7"/>
    <mergeCell ref="D11:F11"/>
    <mergeCell ref="D21:F21"/>
  </mergeCells>
  <pageMargins left="0.25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C00-9A23-42A6-BE7D-87E7C80E1E0F}">
  <dimension ref="A1:F118"/>
  <sheetViews>
    <sheetView topLeftCell="A82" workbookViewId="0">
      <selection activeCell="H109" sqref="H109"/>
    </sheetView>
  </sheetViews>
  <sheetFormatPr defaultRowHeight="15" customHeight="1" x14ac:dyDescent="0.2"/>
  <cols>
    <col min="1" max="1" width="9.140625" style="162" customWidth="1"/>
    <col min="2" max="2" width="29.5703125" style="162" customWidth="1"/>
    <col min="3" max="4" width="9.140625" style="162"/>
    <col min="5" max="5" width="16" style="226" customWidth="1"/>
    <col min="6" max="6" width="17.85546875" style="226" customWidth="1"/>
    <col min="7" max="16384" width="9.140625" style="162"/>
  </cols>
  <sheetData>
    <row r="1" spans="1:6" ht="15" customHeight="1" x14ac:dyDescent="0.2">
      <c r="A1" s="225" t="s">
        <v>34</v>
      </c>
    </row>
    <row r="3" spans="1:6" ht="15" customHeight="1" x14ac:dyDescent="0.2">
      <c r="B3" s="162" t="s">
        <v>185</v>
      </c>
    </row>
    <row r="5" spans="1:6" ht="15" customHeight="1" x14ac:dyDescent="0.2">
      <c r="A5" s="227" t="s">
        <v>6</v>
      </c>
      <c r="B5" s="55" t="s">
        <v>3</v>
      </c>
      <c r="C5" s="282" t="s">
        <v>9</v>
      </c>
      <c r="D5" s="282"/>
      <c r="E5" s="228" t="s">
        <v>7</v>
      </c>
      <c r="F5" s="228" t="s">
        <v>2</v>
      </c>
    </row>
    <row r="6" spans="1:6" ht="15" customHeight="1" x14ac:dyDescent="0.2">
      <c r="A6" s="229" t="s">
        <v>17</v>
      </c>
      <c r="B6" s="230" t="s">
        <v>18</v>
      </c>
      <c r="C6" s="31"/>
      <c r="D6" s="231"/>
      <c r="E6" s="232"/>
      <c r="F6" s="26"/>
    </row>
    <row r="7" spans="1:6" ht="15" customHeight="1" x14ac:dyDescent="0.2">
      <c r="A7" s="227">
        <v>1</v>
      </c>
      <c r="B7" s="233" t="s">
        <v>25</v>
      </c>
      <c r="C7" s="31">
        <v>16</v>
      </c>
      <c r="D7" s="231" t="s">
        <v>28</v>
      </c>
      <c r="E7" s="232">
        <v>170000</v>
      </c>
      <c r="F7" s="26">
        <f>E7*C7</f>
        <v>2720000</v>
      </c>
    </row>
    <row r="8" spans="1:6" ht="15" customHeight="1" x14ac:dyDescent="0.2">
      <c r="A8" s="227">
        <v>2</v>
      </c>
      <c r="B8" s="233" t="s">
        <v>26</v>
      </c>
      <c r="C8" s="31">
        <f>16.39+6+6+9.59+4.78</f>
        <v>42.760000000000005</v>
      </c>
      <c r="D8" s="231" t="s">
        <v>28</v>
      </c>
      <c r="E8" s="232">
        <v>250000</v>
      </c>
      <c r="F8" s="26">
        <f>E8*C8</f>
        <v>10690000.000000002</v>
      </c>
    </row>
    <row r="9" spans="1:6" ht="15" customHeight="1" x14ac:dyDescent="0.2">
      <c r="A9" s="227">
        <v>3</v>
      </c>
      <c r="B9" s="233" t="s">
        <v>29</v>
      </c>
      <c r="C9" s="31">
        <f>4.6+4.6</f>
        <v>9.1999999999999993</v>
      </c>
      <c r="D9" s="231" t="s">
        <v>15</v>
      </c>
      <c r="E9" s="232">
        <v>250000</v>
      </c>
      <c r="F9" s="26">
        <f>E9*C9</f>
        <v>2300000</v>
      </c>
    </row>
    <row r="10" spans="1:6" ht="15" customHeight="1" x14ac:dyDescent="0.2">
      <c r="A10" s="227">
        <v>4</v>
      </c>
      <c r="B10" s="233" t="s">
        <v>30</v>
      </c>
      <c r="C10" s="31">
        <v>4.5999999999999996</v>
      </c>
      <c r="D10" s="231" t="s">
        <v>15</v>
      </c>
      <c r="E10" s="232">
        <v>450000</v>
      </c>
      <c r="F10" s="26">
        <f>E10*C10</f>
        <v>2069999.9999999998</v>
      </c>
    </row>
    <row r="11" spans="1:6" ht="15" customHeight="1" x14ac:dyDescent="0.2">
      <c r="A11" s="227"/>
      <c r="B11" s="233"/>
      <c r="C11" s="31"/>
      <c r="D11" s="231"/>
      <c r="E11" s="232"/>
      <c r="F11" s="26"/>
    </row>
    <row r="13" spans="1:6" ht="15" customHeight="1" x14ac:dyDescent="0.2">
      <c r="A13" s="229" t="s">
        <v>20</v>
      </c>
      <c r="B13" s="230" t="s">
        <v>24</v>
      </c>
      <c r="C13" s="31"/>
      <c r="D13" s="231"/>
      <c r="E13" s="232"/>
      <c r="F13" s="26"/>
    </row>
    <row r="14" spans="1:6" ht="15" customHeight="1" x14ac:dyDescent="0.2">
      <c r="A14" s="227">
        <v>1</v>
      </c>
      <c r="B14" s="233" t="s">
        <v>25</v>
      </c>
      <c r="C14" s="31">
        <v>4.68</v>
      </c>
      <c r="D14" s="231" t="s">
        <v>28</v>
      </c>
      <c r="E14" s="232">
        <f>E47</f>
        <v>260000</v>
      </c>
      <c r="F14" s="26">
        <f>E14*C14</f>
        <v>1216800</v>
      </c>
    </row>
    <row r="15" spans="1:6" ht="15" customHeight="1" x14ac:dyDescent="0.2">
      <c r="A15" s="227">
        <v>2</v>
      </c>
      <c r="B15" s="233" t="s">
        <v>26</v>
      </c>
      <c r="C15" s="31">
        <f>6.37+3.68+11.89+2</f>
        <v>23.94</v>
      </c>
      <c r="D15" s="231" t="s">
        <v>28</v>
      </c>
      <c r="E15" s="232">
        <f>E48</f>
        <v>330000</v>
      </c>
      <c r="F15" s="26">
        <f>E15*C15</f>
        <v>7900200</v>
      </c>
    </row>
    <row r="16" spans="1:6" ht="15" customHeight="1" x14ac:dyDescent="0.2">
      <c r="A16" s="227">
        <v>3</v>
      </c>
      <c r="B16" s="233" t="s">
        <v>29</v>
      </c>
      <c r="C16" s="31">
        <v>7.45</v>
      </c>
      <c r="D16" s="231" t="s">
        <v>15</v>
      </c>
      <c r="E16" s="232">
        <f>E49</f>
        <v>90000</v>
      </c>
      <c r="F16" s="26">
        <f>E16*C16</f>
        <v>670500</v>
      </c>
    </row>
    <row r="17" spans="1:6" ht="15" customHeight="1" x14ac:dyDescent="0.2">
      <c r="A17" s="227">
        <v>4</v>
      </c>
      <c r="B17" s="233" t="s">
        <v>30</v>
      </c>
      <c r="C17" s="31">
        <v>0.65</v>
      </c>
      <c r="D17" s="231" t="s">
        <v>15</v>
      </c>
      <c r="E17" s="232">
        <f>E50</f>
        <v>450000</v>
      </c>
      <c r="F17" s="26">
        <f>E17</f>
        <v>450000</v>
      </c>
    </row>
    <row r="18" spans="1:6" ht="15" customHeight="1" x14ac:dyDescent="0.2">
      <c r="A18" s="227"/>
      <c r="B18" s="233"/>
      <c r="C18" s="31"/>
      <c r="D18" s="231"/>
      <c r="E18" s="232"/>
      <c r="F18" s="26"/>
    </row>
    <row r="19" spans="1:6" ht="15" customHeight="1" x14ac:dyDescent="0.2">
      <c r="A19" s="33" t="s">
        <v>20</v>
      </c>
      <c r="B19" s="234" t="s">
        <v>31</v>
      </c>
      <c r="C19" s="235"/>
      <c r="D19" s="236"/>
      <c r="E19" s="237"/>
      <c r="F19" s="237"/>
    </row>
    <row r="20" spans="1:6" ht="15" customHeight="1" x14ac:dyDescent="0.2">
      <c r="A20" s="55">
        <v>1</v>
      </c>
      <c r="B20" s="238" t="s">
        <v>84</v>
      </c>
      <c r="C20" s="235">
        <v>1</v>
      </c>
      <c r="D20" s="236" t="s">
        <v>11</v>
      </c>
      <c r="E20" s="237">
        <v>2000000</v>
      </c>
      <c r="F20" s="237">
        <f>E20*C20</f>
        <v>2000000</v>
      </c>
    </row>
    <row r="21" spans="1:6" ht="15" customHeight="1" x14ac:dyDescent="0.2">
      <c r="A21" s="33"/>
      <c r="B21" s="238"/>
      <c r="C21" s="235"/>
      <c r="D21" s="236"/>
      <c r="E21" s="237"/>
      <c r="F21" s="237"/>
    </row>
    <row r="22" spans="1:6" ht="15" customHeight="1" x14ac:dyDescent="0.2">
      <c r="A22" s="33"/>
      <c r="B22" s="238"/>
      <c r="C22" s="235"/>
      <c r="D22" s="236"/>
      <c r="E22" s="237"/>
      <c r="F22" s="237"/>
    </row>
    <row r="23" spans="1:6" ht="15" customHeight="1" x14ac:dyDescent="0.2">
      <c r="A23" s="227"/>
      <c r="B23" s="239"/>
      <c r="C23" s="240"/>
      <c r="D23" s="231"/>
      <c r="E23" s="241" t="s">
        <v>2</v>
      </c>
      <c r="F23" s="41">
        <f>SUM(F6:F22)</f>
        <v>30017500</v>
      </c>
    </row>
    <row r="25" spans="1:6" ht="15" customHeight="1" x14ac:dyDescent="0.2">
      <c r="E25" s="226" t="s">
        <v>184</v>
      </c>
    </row>
    <row r="26" spans="1:6" ht="15" customHeight="1" x14ac:dyDescent="0.2">
      <c r="E26" s="232" t="s">
        <v>141</v>
      </c>
      <c r="F26" s="232">
        <v>5000000</v>
      </c>
    </row>
    <row r="27" spans="1:6" ht="15" customHeight="1" x14ac:dyDescent="0.2">
      <c r="E27" s="232" t="s">
        <v>142</v>
      </c>
      <c r="F27" s="232">
        <v>6000000</v>
      </c>
    </row>
    <row r="28" spans="1:6" ht="15" customHeight="1" x14ac:dyDescent="0.2">
      <c r="E28" s="232" t="s">
        <v>143</v>
      </c>
      <c r="F28" s="232">
        <v>5000000</v>
      </c>
    </row>
    <row r="29" spans="1:6" ht="15" customHeight="1" x14ac:dyDescent="0.2">
      <c r="E29" s="232" t="s">
        <v>148</v>
      </c>
      <c r="F29" s="232">
        <v>10000000</v>
      </c>
    </row>
    <row r="30" spans="1:6" ht="15" customHeight="1" x14ac:dyDescent="0.2">
      <c r="E30" s="232" t="s">
        <v>147</v>
      </c>
      <c r="F30" s="232">
        <f>SUM(F26:F29)</f>
        <v>26000000</v>
      </c>
    </row>
    <row r="31" spans="1:6" ht="15" customHeight="1" x14ac:dyDescent="0.2">
      <c r="E31" s="242" t="s">
        <v>149</v>
      </c>
      <c r="F31" s="242">
        <f>F23-F30</f>
        <v>4017500</v>
      </c>
    </row>
    <row r="32" spans="1:6" ht="15" customHeight="1" x14ac:dyDescent="0.2">
      <c r="B32" s="162" t="s">
        <v>89</v>
      </c>
    </row>
    <row r="33" spans="1:6" ht="15" customHeight="1" x14ac:dyDescent="0.2">
      <c r="B33" s="162" t="s">
        <v>93</v>
      </c>
    </row>
    <row r="34" spans="1:6" ht="15" customHeight="1" x14ac:dyDescent="0.2">
      <c r="B34" s="162" t="s">
        <v>90</v>
      </c>
      <c r="F34" s="243"/>
    </row>
    <row r="35" spans="1:6" ht="15" customHeight="1" x14ac:dyDescent="0.2">
      <c r="B35" s="162" t="s">
        <v>91</v>
      </c>
      <c r="F35" s="243"/>
    </row>
    <row r="36" spans="1:6" ht="15" customHeight="1" x14ac:dyDescent="0.2">
      <c r="B36" s="162" t="s">
        <v>92</v>
      </c>
      <c r="F36" s="242"/>
    </row>
    <row r="37" spans="1:6" s="244" customFormat="1" ht="15" customHeight="1" x14ac:dyDescent="0.2">
      <c r="E37" s="245"/>
      <c r="F37" s="245"/>
    </row>
    <row r="38" spans="1:6" ht="15" customHeight="1" x14ac:dyDescent="0.2">
      <c r="B38" s="162" t="s">
        <v>186</v>
      </c>
    </row>
    <row r="40" spans="1:6" ht="15" customHeight="1" x14ac:dyDescent="0.2">
      <c r="A40" s="229" t="s">
        <v>20</v>
      </c>
      <c r="B40" s="230" t="s">
        <v>19</v>
      </c>
      <c r="C40" s="31"/>
      <c r="D40" s="231"/>
      <c r="E40" s="232"/>
      <c r="F40" s="26"/>
    </row>
    <row r="41" spans="1:6" ht="15" customHeight="1" x14ac:dyDescent="0.2">
      <c r="A41" s="227">
        <v>1</v>
      </c>
      <c r="B41" s="233" t="s">
        <v>25</v>
      </c>
      <c r="C41" s="31">
        <v>21</v>
      </c>
      <c r="D41" s="231" t="s">
        <v>28</v>
      </c>
      <c r="E41" s="232">
        <v>260000</v>
      </c>
      <c r="F41" s="26">
        <f>E41*C41</f>
        <v>5460000</v>
      </c>
    </row>
    <row r="42" spans="1:6" ht="15" customHeight="1" x14ac:dyDescent="0.2">
      <c r="A42" s="227">
        <v>2</v>
      </c>
      <c r="B42" s="233" t="s">
        <v>26</v>
      </c>
      <c r="C42" s="31">
        <v>63</v>
      </c>
      <c r="D42" s="231" t="s">
        <v>28</v>
      </c>
      <c r="E42" s="232">
        <v>330000</v>
      </c>
      <c r="F42" s="26">
        <f>E42*C42</f>
        <v>20790000</v>
      </c>
    </row>
    <row r="43" spans="1:6" ht="15" customHeight="1" x14ac:dyDescent="0.2">
      <c r="A43" s="227">
        <v>3</v>
      </c>
      <c r="B43" s="233" t="s">
        <v>29</v>
      </c>
      <c r="C43" s="31">
        <v>12</v>
      </c>
      <c r="D43" s="231" t="s">
        <v>15</v>
      </c>
      <c r="E43" s="232">
        <v>90000</v>
      </c>
      <c r="F43" s="26">
        <f>E43*C43</f>
        <v>1080000</v>
      </c>
    </row>
    <row r="44" spans="1:6" ht="15" customHeight="1" x14ac:dyDescent="0.2">
      <c r="A44" s="227">
        <v>4</v>
      </c>
      <c r="B44" s="233" t="s">
        <v>30</v>
      </c>
      <c r="C44" s="31">
        <v>3.85</v>
      </c>
      <c r="D44" s="231" t="s">
        <v>15</v>
      </c>
      <c r="E44" s="232">
        <f>E10</f>
        <v>450000</v>
      </c>
      <c r="F44" s="26">
        <f>E44*C44</f>
        <v>1732500</v>
      </c>
    </row>
    <row r="45" spans="1:6" ht="15" customHeight="1" x14ac:dyDescent="0.2">
      <c r="A45" s="227"/>
      <c r="B45" s="233"/>
      <c r="C45" s="31"/>
      <c r="D45" s="231"/>
      <c r="E45" s="232"/>
      <c r="F45" s="26"/>
    </row>
    <row r="46" spans="1:6" ht="15" customHeight="1" x14ac:dyDescent="0.2">
      <c r="A46" s="229" t="s">
        <v>21</v>
      </c>
      <c r="B46" s="230" t="s">
        <v>22</v>
      </c>
      <c r="C46" s="31"/>
      <c r="D46" s="231"/>
      <c r="E46" s="232"/>
      <c r="F46" s="26"/>
    </row>
    <row r="47" spans="1:6" ht="15" customHeight="1" x14ac:dyDescent="0.2">
      <c r="A47" s="227">
        <v>1</v>
      </c>
      <c r="B47" s="233" t="s">
        <v>25</v>
      </c>
      <c r="C47" s="31">
        <v>3.4</v>
      </c>
      <c r="D47" s="231" t="s">
        <v>28</v>
      </c>
      <c r="E47" s="232">
        <v>260000</v>
      </c>
      <c r="F47" s="26">
        <f>E47*C47</f>
        <v>884000</v>
      </c>
    </row>
    <row r="48" spans="1:6" ht="15" customHeight="1" x14ac:dyDescent="0.2">
      <c r="A48" s="227">
        <v>2</v>
      </c>
      <c r="B48" s="233" t="s">
        <v>26</v>
      </c>
      <c r="C48" s="31">
        <v>22</v>
      </c>
      <c r="D48" s="231" t="s">
        <v>28</v>
      </c>
      <c r="E48" s="232">
        <v>330000</v>
      </c>
      <c r="F48" s="26">
        <f>E48*C48</f>
        <v>7260000</v>
      </c>
    </row>
    <row r="49" spans="1:6" ht="15" customHeight="1" x14ac:dyDescent="0.2">
      <c r="A49" s="227">
        <v>3</v>
      </c>
      <c r="B49" s="233" t="s">
        <v>29</v>
      </c>
      <c r="C49" s="31">
        <v>7.44</v>
      </c>
      <c r="D49" s="231" t="s">
        <v>15</v>
      </c>
      <c r="E49" s="232">
        <v>90000</v>
      </c>
      <c r="F49" s="26">
        <f>E49*C49</f>
        <v>669600</v>
      </c>
    </row>
    <row r="50" spans="1:6" ht="15" customHeight="1" x14ac:dyDescent="0.2">
      <c r="A50" s="227">
        <v>4</v>
      </c>
      <c r="B50" s="233" t="s">
        <v>30</v>
      </c>
      <c r="C50" s="31">
        <v>0.65</v>
      </c>
      <c r="D50" s="231" t="s">
        <v>15</v>
      </c>
      <c r="E50" s="232">
        <f>E44</f>
        <v>450000</v>
      </c>
      <c r="F50" s="26">
        <f>E50</f>
        <v>450000</v>
      </c>
    </row>
    <row r="51" spans="1:6" ht="15" customHeight="1" x14ac:dyDescent="0.2">
      <c r="A51" s="227"/>
      <c r="B51" s="233"/>
      <c r="C51" s="31"/>
      <c r="D51" s="231"/>
      <c r="E51" s="232"/>
      <c r="F51" s="26"/>
    </row>
    <row r="52" spans="1:6" ht="15" customHeight="1" x14ac:dyDescent="0.2">
      <c r="A52" s="227"/>
      <c r="B52" s="233"/>
      <c r="C52" s="31"/>
      <c r="D52" s="231"/>
      <c r="E52" s="232"/>
      <c r="F52" s="26"/>
    </row>
    <row r="53" spans="1:6" ht="15" customHeight="1" x14ac:dyDescent="0.2">
      <c r="A53" s="246"/>
      <c r="B53" s="246"/>
      <c r="C53" s="280"/>
      <c r="D53" s="281"/>
      <c r="E53" s="247" t="s">
        <v>145</v>
      </c>
      <c r="F53" s="247">
        <f>SUM(F40:F52)</f>
        <v>38326100</v>
      </c>
    </row>
    <row r="55" spans="1:6" ht="15" customHeight="1" x14ac:dyDescent="0.2">
      <c r="E55" s="232" t="s">
        <v>141</v>
      </c>
      <c r="F55" s="232">
        <v>5000000</v>
      </c>
    </row>
    <row r="56" spans="1:6" ht="15" customHeight="1" x14ac:dyDescent="0.2">
      <c r="E56" s="232" t="s">
        <v>142</v>
      </c>
      <c r="F56" s="232">
        <v>20000000</v>
      </c>
    </row>
    <row r="57" spans="1:6" ht="15" customHeight="1" x14ac:dyDescent="0.2">
      <c r="E57" s="232" t="s">
        <v>143</v>
      </c>
      <c r="F57" s="232">
        <v>4000000</v>
      </c>
    </row>
    <row r="58" spans="1:6" ht="15" customHeight="1" x14ac:dyDescent="0.2">
      <c r="E58" s="232" t="s">
        <v>148</v>
      </c>
      <c r="F58" s="232">
        <v>1700000</v>
      </c>
    </row>
    <row r="59" spans="1:6" ht="15" customHeight="1" x14ac:dyDescent="0.2">
      <c r="E59" s="232" t="s">
        <v>150</v>
      </c>
      <c r="F59" s="232">
        <v>850000</v>
      </c>
    </row>
    <row r="60" spans="1:6" ht="15" customHeight="1" x14ac:dyDescent="0.2">
      <c r="E60" s="232" t="s">
        <v>151</v>
      </c>
      <c r="F60" s="232">
        <v>6900000</v>
      </c>
    </row>
    <row r="61" spans="1:6" ht="15" customHeight="1" x14ac:dyDescent="0.2">
      <c r="E61" s="232" t="s">
        <v>152</v>
      </c>
      <c r="F61" s="232">
        <v>2650000</v>
      </c>
    </row>
    <row r="62" spans="1:6" ht="15" customHeight="1" x14ac:dyDescent="0.2">
      <c r="E62" s="232" t="s">
        <v>153</v>
      </c>
      <c r="F62" s="232"/>
    </row>
    <row r="63" spans="1:6" ht="15" customHeight="1" x14ac:dyDescent="0.2">
      <c r="E63" s="232" t="s">
        <v>154</v>
      </c>
      <c r="F63" s="232">
        <f>SUM(F55:F62)</f>
        <v>41100000</v>
      </c>
    </row>
    <row r="64" spans="1:6" ht="15" customHeight="1" x14ac:dyDescent="0.2">
      <c r="E64" s="232" t="s">
        <v>144</v>
      </c>
      <c r="F64" s="232">
        <f>F53-F63</f>
        <v>-2773900</v>
      </c>
    </row>
    <row r="66" spans="1:6" ht="15" customHeight="1" x14ac:dyDescent="0.2">
      <c r="E66" s="226" t="s">
        <v>146</v>
      </c>
    </row>
    <row r="68" spans="1:6" ht="15" customHeight="1" x14ac:dyDescent="0.2">
      <c r="B68" s="162" t="s">
        <v>89</v>
      </c>
    </row>
    <row r="69" spans="1:6" ht="15" customHeight="1" x14ac:dyDescent="0.2">
      <c r="B69" s="162" t="s">
        <v>93</v>
      </c>
    </row>
    <row r="70" spans="1:6" ht="15" customHeight="1" x14ac:dyDescent="0.2">
      <c r="B70" s="162" t="s">
        <v>90</v>
      </c>
    </row>
    <row r="71" spans="1:6" ht="15" customHeight="1" x14ac:dyDescent="0.2">
      <c r="B71" s="162" t="s">
        <v>91</v>
      </c>
    </row>
    <row r="72" spans="1:6" ht="15" customHeight="1" x14ac:dyDescent="0.2">
      <c r="B72" s="162" t="s">
        <v>92</v>
      </c>
    </row>
    <row r="74" spans="1:6" s="244" customFormat="1" ht="15" customHeight="1" x14ac:dyDescent="0.2">
      <c r="E74" s="245"/>
      <c r="F74" s="245"/>
    </row>
    <row r="75" spans="1:6" ht="15" customHeight="1" x14ac:dyDescent="0.2">
      <c r="B75" s="162" t="s">
        <v>187</v>
      </c>
    </row>
    <row r="77" spans="1:6" ht="15" customHeight="1" x14ac:dyDescent="0.2">
      <c r="A77" s="229" t="s">
        <v>155</v>
      </c>
      <c r="B77" s="230" t="s">
        <v>156</v>
      </c>
      <c r="C77" s="31"/>
      <c r="D77" s="231"/>
      <c r="E77" s="232"/>
      <c r="F77" s="26"/>
    </row>
    <row r="78" spans="1:6" ht="15" customHeight="1" x14ac:dyDescent="0.2">
      <c r="A78" s="227">
        <v>1</v>
      </c>
      <c r="B78" s="233" t="s">
        <v>157</v>
      </c>
      <c r="C78" s="31">
        <v>1</v>
      </c>
      <c r="D78" s="231" t="s">
        <v>11</v>
      </c>
      <c r="E78" s="232">
        <v>4500000</v>
      </c>
      <c r="F78" s="26">
        <f>E78*C78</f>
        <v>4500000</v>
      </c>
    </row>
    <row r="79" spans="1:6" ht="15" customHeight="1" x14ac:dyDescent="0.2">
      <c r="A79" s="227">
        <v>2</v>
      </c>
      <c r="B79" s="233" t="s">
        <v>158</v>
      </c>
      <c r="C79" s="31">
        <v>1</v>
      </c>
      <c r="D79" s="231" t="s">
        <v>11</v>
      </c>
      <c r="E79" s="232">
        <v>4500000</v>
      </c>
      <c r="F79" s="26">
        <f>E79*C79</f>
        <v>4500000</v>
      </c>
    </row>
    <row r="80" spans="1:6" ht="15" customHeight="1" x14ac:dyDescent="0.2">
      <c r="A80" s="227">
        <v>3</v>
      </c>
      <c r="B80" s="233" t="s">
        <v>159</v>
      </c>
      <c r="C80" s="31">
        <v>1</v>
      </c>
      <c r="D80" s="231" t="s">
        <v>11</v>
      </c>
      <c r="E80" s="232">
        <v>2000000</v>
      </c>
      <c r="F80" s="26">
        <f>E80*C80</f>
        <v>2000000</v>
      </c>
    </row>
    <row r="81" spans="1:6" ht="15" customHeight="1" x14ac:dyDescent="0.2">
      <c r="A81" s="227">
        <v>4</v>
      </c>
      <c r="B81" s="233" t="s">
        <v>160</v>
      </c>
      <c r="C81" s="31">
        <v>1</v>
      </c>
      <c r="D81" s="231" t="s">
        <v>11</v>
      </c>
      <c r="E81" s="232">
        <v>3000000</v>
      </c>
      <c r="F81" s="26">
        <f>E81*C81</f>
        <v>3000000</v>
      </c>
    </row>
    <row r="82" spans="1:6" ht="15" customHeight="1" x14ac:dyDescent="0.2">
      <c r="A82" s="227"/>
      <c r="B82" s="233"/>
      <c r="C82" s="31"/>
      <c r="D82" s="231"/>
      <c r="E82" s="232"/>
      <c r="F82" s="26"/>
    </row>
    <row r="83" spans="1:6" ht="15" customHeight="1" x14ac:dyDescent="0.2">
      <c r="A83" s="227"/>
      <c r="B83" s="233"/>
      <c r="C83" s="31"/>
      <c r="D83" s="231"/>
      <c r="E83" s="232"/>
      <c r="F83" s="26"/>
    </row>
    <row r="84" spans="1:6" ht="15" customHeight="1" x14ac:dyDescent="0.2">
      <c r="A84" s="227"/>
      <c r="B84" s="233"/>
      <c r="C84" s="31"/>
      <c r="D84" s="231"/>
      <c r="E84" s="232"/>
      <c r="F84" s="26"/>
    </row>
    <row r="85" spans="1:6" ht="15" customHeight="1" x14ac:dyDescent="0.2">
      <c r="A85" s="246"/>
      <c r="B85" s="246"/>
      <c r="C85" s="280"/>
      <c r="D85" s="281"/>
      <c r="E85" s="247" t="s">
        <v>145</v>
      </c>
      <c r="F85" s="247">
        <f>SUM(F77:F84)</f>
        <v>14000000</v>
      </c>
    </row>
    <row r="87" spans="1:6" ht="15" customHeight="1" x14ac:dyDescent="0.2">
      <c r="E87" s="226" t="s">
        <v>161</v>
      </c>
    </row>
    <row r="88" spans="1:6" ht="15" customHeight="1" x14ac:dyDescent="0.2">
      <c r="E88" s="232" t="s">
        <v>141</v>
      </c>
      <c r="F88" s="232">
        <v>5000000</v>
      </c>
    </row>
    <row r="89" spans="1:6" ht="15" customHeight="1" x14ac:dyDescent="0.2">
      <c r="E89" s="232" t="s">
        <v>142</v>
      </c>
      <c r="F89" s="232">
        <v>2000000</v>
      </c>
    </row>
    <row r="90" spans="1:6" ht="15" customHeight="1" x14ac:dyDescent="0.2">
      <c r="E90" s="232" t="s">
        <v>143</v>
      </c>
      <c r="F90" s="232">
        <v>6000000</v>
      </c>
    </row>
    <row r="91" spans="1:6" ht="15" customHeight="1" x14ac:dyDescent="0.2">
      <c r="E91" s="232" t="s">
        <v>148</v>
      </c>
      <c r="F91" s="232">
        <v>1000000</v>
      </c>
    </row>
    <row r="92" spans="1:6" ht="15" customHeight="1" x14ac:dyDescent="0.2">
      <c r="E92" s="232" t="s">
        <v>147</v>
      </c>
      <c r="F92" s="232">
        <f>SUM(F88:F91)</f>
        <v>14000000</v>
      </c>
    </row>
    <row r="93" spans="1:6" ht="15" customHeight="1" x14ac:dyDescent="0.2">
      <c r="E93" s="242" t="s">
        <v>149</v>
      </c>
      <c r="F93" s="242">
        <f>F85-F92</f>
        <v>0</v>
      </c>
    </row>
    <row r="95" spans="1:6" s="244" customFormat="1" ht="15" customHeight="1" x14ac:dyDescent="0.2">
      <c r="E95" s="245"/>
      <c r="F95" s="245"/>
    </row>
    <row r="96" spans="1:6" ht="15" customHeight="1" x14ac:dyDescent="0.2">
      <c r="B96" s="162" t="s">
        <v>162</v>
      </c>
    </row>
    <row r="98" spans="1:6" ht="15" customHeight="1" x14ac:dyDescent="0.2">
      <c r="A98" s="229" t="s">
        <v>155</v>
      </c>
      <c r="B98" s="230" t="s">
        <v>156</v>
      </c>
      <c r="C98" s="31"/>
      <c r="D98" s="231"/>
      <c r="E98" s="232"/>
      <c r="F98" s="26"/>
    </row>
    <row r="99" spans="1:6" ht="15" customHeight="1" x14ac:dyDescent="0.2">
      <c r="A99" s="227">
        <v>1</v>
      </c>
      <c r="B99" s="233" t="s">
        <v>165</v>
      </c>
      <c r="C99" s="31"/>
      <c r="D99" s="231" t="s">
        <v>11</v>
      </c>
      <c r="E99" s="232"/>
      <c r="F99" s="26">
        <v>648250</v>
      </c>
    </row>
    <row r="100" spans="1:6" ht="15" customHeight="1" x14ac:dyDescent="0.2">
      <c r="A100" s="227">
        <v>2</v>
      </c>
      <c r="B100" s="233" t="s">
        <v>163</v>
      </c>
      <c r="C100" s="31"/>
      <c r="D100" s="231" t="s">
        <v>11</v>
      </c>
      <c r="E100" s="232"/>
      <c r="F100" s="26">
        <v>1000000</v>
      </c>
    </row>
    <row r="101" spans="1:6" ht="15" customHeight="1" x14ac:dyDescent="0.2">
      <c r="A101" s="227">
        <v>3</v>
      </c>
      <c r="B101" s="233" t="s">
        <v>163</v>
      </c>
      <c r="C101" s="31"/>
      <c r="D101" s="231" t="s">
        <v>11</v>
      </c>
      <c r="E101" s="232"/>
      <c r="F101" s="26">
        <v>1000000</v>
      </c>
    </row>
    <row r="102" spans="1:6" ht="15" customHeight="1" x14ac:dyDescent="0.2">
      <c r="A102" s="227">
        <v>4</v>
      </c>
      <c r="B102" s="233" t="s">
        <v>163</v>
      </c>
      <c r="C102" s="31"/>
      <c r="D102" s="231" t="s">
        <v>11</v>
      </c>
      <c r="E102" s="232"/>
      <c r="F102" s="26">
        <v>1000000</v>
      </c>
    </row>
    <row r="103" spans="1:6" ht="15" customHeight="1" x14ac:dyDescent="0.2">
      <c r="A103" s="227">
        <v>5</v>
      </c>
      <c r="B103" s="233" t="s">
        <v>164</v>
      </c>
      <c r="C103" s="31"/>
      <c r="D103" s="231" t="s">
        <v>11</v>
      </c>
      <c r="E103" s="232"/>
      <c r="F103" s="26">
        <v>8500000</v>
      </c>
    </row>
    <row r="104" spans="1:6" ht="15" customHeight="1" x14ac:dyDescent="0.2">
      <c r="A104" s="227">
        <v>6</v>
      </c>
      <c r="B104" s="233" t="s">
        <v>168</v>
      </c>
      <c r="C104" s="31"/>
      <c r="D104" s="231" t="s">
        <v>11</v>
      </c>
      <c r="E104" s="232"/>
      <c r="F104" s="232">
        <v>8258000</v>
      </c>
    </row>
    <row r="105" spans="1:6" ht="15" customHeight="1" x14ac:dyDescent="0.2">
      <c r="F105" s="226">
        <f>SUM(F99:F104)</f>
        <v>20406250</v>
      </c>
    </row>
    <row r="108" spans="1:6" s="244" customFormat="1" ht="15" customHeight="1" x14ac:dyDescent="0.2">
      <c r="E108" s="245"/>
      <c r="F108" s="245"/>
    </row>
    <row r="109" spans="1:6" ht="15" customHeight="1" x14ac:dyDescent="0.2">
      <c r="B109" s="162" t="s">
        <v>166</v>
      </c>
    </row>
    <row r="111" spans="1:6" ht="15" customHeight="1" x14ac:dyDescent="0.2">
      <c r="A111" s="162">
        <v>1</v>
      </c>
      <c r="B111" s="162" t="s">
        <v>169</v>
      </c>
      <c r="C111" s="279">
        <v>148427520</v>
      </c>
      <c r="D111" s="279"/>
    </row>
    <row r="112" spans="1:6" ht="15" customHeight="1" x14ac:dyDescent="0.2">
      <c r="C112" s="279"/>
      <c r="D112" s="279"/>
    </row>
    <row r="113" spans="1:4" ht="15" customHeight="1" x14ac:dyDescent="0.2">
      <c r="C113" s="279"/>
      <c r="D113" s="279"/>
    </row>
    <row r="114" spans="1:4" ht="15" customHeight="1" x14ac:dyDescent="0.2">
      <c r="A114" s="162">
        <v>2</v>
      </c>
      <c r="B114" s="162" t="s">
        <v>167</v>
      </c>
      <c r="C114" s="279">
        <f>F105+F92+F63+F30</f>
        <v>101506250</v>
      </c>
      <c r="D114" s="279"/>
    </row>
    <row r="115" spans="1:4" ht="15" customHeight="1" x14ac:dyDescent="0.2">
      <c r="C115" s="279"/>
      <c r="D115" s="279"/>
    </row>
    <row r="116" spans="1:4" ht="15" customHeight="1" x14ac:dyDescent="0.2">
      <c r="A116" s="162">
        <v>3</v>
      </c>
      <c r="B116" s="162" t="s">
        <v>170</v>
      </c>
      <c r="C116" s="279">
        <f>C111-C114</f>
        <v>46921270</v>
      </c>
      <c r="D116" s="279"/>
    </row>
    <row r="117" spans="1:4" ht="15" customHeight="1" x14ac:dyDescent="0.2">
      <c r="C117" s="279"/>
      <c r="D117" s="279"/>
    </row>
    <row r="118" spans="1:4" ht="15" customHeight="1" x14ac:dyDescent="0.2">
      <c r="C118" s="279"/>
      <c r="D118" s="279"/>
    </row>
  </sheetData>
  <mergeCells count="11">
    <mergeCell ref="C116:D116"/>
    <mergeCell ref="C117:D117"/>
    <mergeCell ref="C118:D118"/>
    <mergeCell ref="C112:D112"/>
    <mergeCell ref="C113:D113"/>
    <mergeCell ref="C53:D53"/>
    <mergeCell ref="C5:D5"/>
    <mergeCell ref="C85:D85"/>
    <mergeCell ref="C111:D111"/>
    <mergeCell ref="C114:D114"/>
    <mergeCell ref="C115:D115"/>
  </mergeCells>
  <phoneticPr fontId="6" type="noConversion"/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94C6-36C0-48A7-8DC9-A8A95C021440}">
  <dimension ref="A1:F22"/>
  <sheetViews>
    <sheetView topLeftCell="A16" workbookViewId="0">
      <selection activeCell="F11" sqref="F11"/>
    </sheetView>
  </sheetViews>
  <sheetFormatPr defaultRowHeight="12.75" x14ac:dyDescent="0.2"/>
  <cols>
    <col min="1" max="1" width="5.5703125" customWidth="1"/>
    <col min="2" max="3" width="20.140625" customWidth="1"/>
    <col min="4" max="5" width="17.28515625" customWidth="1"/>
    <col min="6" max="6" width="10.140625" customWidth="1"/>
  </cols>
  <sheetData>
    <row r="1" spans="1:6" x14ac:dyDescent="0.2">
      <c r="A1" s="259" t="s">
        <v>102</v>
      </c>
      <c r="B1" s="259"/>
      <c r="C1" s="259"/>
      <c r="D1" s="259"/>
      <c r="E1" s="259"/>
      <c r="F1" s="259"/>
    </row>
    <row r="2" spans="1:6" x14ac:dyDescent="0.2">
      <c r="A2" s="259"/>
      <c r="B2" s="259"/>
      <c r="C2" s="259"/>
      <c r="D2" s="259"/>
      <c r="E2" s="259"/>
      <c r="F2" s="259"/>
    </row>
    <row r="3" spans="1:6" ht="18.75" thickBot="1" x14ac:dyDescent="0.25">
      <c r="A3" s="255" t="s">
        <v>13</v>
      </c>
      <c r="B3" s="255"/>
      <c r="C3" s="255"/>
      <c r="D3" s="255"/>
      <c r="E3" s="255"/>
      <c r="F3" s="255"/>
    </row>
    <row r="4" spans="1:6" ht="18.75" thickTop="1" x14ac:dyDescent="0.2">
      <c r="A4" s="49"/>
      <c r="B4" s="50"/>
      <c r="C4" s="51"/>
      <c r="D4" s="52"/>
      <c r="E4" s="52"/>
      <c r="F4" s="53"/>
    </row>
    <row r="5" spans="1:6" ht="18" x14ac:dyDescent="0.2">
      <c r="A5" s="10"/>
      <c r="B5" s="11"/>
      <c r="C5" s="12"/>
      <c r="D5" s="13"/>
      <c r="E5" s="13"/>
      <c r="F5" s="14"/>
    </row>
    <row r="6" spans="1:6" ht="18" x14ac:dyDescent="0.2">
      <c r="A6" s="15"/>
      <c r="B6" s="16"/>
      <c r="C6" s="17"/>
      <c r="D6" s="13"/>
      <c r="E6" s="13"/>
      <c r="F6" s="14"/>
    </row>
    <row r="7" spans="1:6" ht="18" x14ac:dyDescent="0.2">
      <c r="A7" s="10"/>
      <c r="B7" s="138" t="s">
        <v>191</v>
      </c>
      <c r="C7" s="164">
        <f>'opname mandor'!C111:D111</f>
        <v>148427520</v>
      </c>
      <c r="D7" s="18"/>
      <c r="E7" s="18"/>
      <c r="F7" s="14"/>
    </row>
    <row r="8" spans="1:6" ht="18" x14ac:dyDescent="0.2">
      <c r="A8" s="10"/>
      <c r="B8" s="16"/>
      <c r="C8" s="164"/>
      <c r="D8" s="18"/>
      <c r="E8" s="18"/>
      <c r="F8" s="14"/>
    </row>
    <row r="9" spans="1:6" ht="18" x14ac:dyDescent="0.2">
      <c r="A9" s="2"/>
      <c r="B9" s="2"/>
      <c r="C9" s="14"/>
      <c r="D9" s="2"/>
      <c r="E9" s="2"/>
      <c r="F9" s="2"/>
    </row>
    <row r="10" spans="1:6" ht="18" x14ac:dyDescent="0.2">
      <c r="A10" s="2"/>
      <c r="B10" s="2" t="s">
        <v>183</v>
      </c>
      <c r="C10" s="14"/>
      <c r="D10" s="2"/>
      <c r="E10" s="2"/>
      <c r="F10" s="2"/>
    </row>
    <row r="11" spans="1:6" ht="18" x14ac:dyDescent="0.2">
      <c r="A11" s="2"/>
      <c r="B11" s="2" t="s">
        <v>195</v>
      </c>
      <c r="C11" s="14"/>
      <c r="D11" s="2"/>
      <c r="E11" s="2"/>
      <c r="F11" s="2"/>
    </row>
    <row r="12" spans="1:6" ht="18" x14ac:dyDescent="0.2">
      <c r="A12" s="2"/>
      <c r="B12" s="2" t="s">
        <v>192</v>
      </c>
      <c r="C12" s="14">
        <f>'opname mandor'!F23</f>
        <v>30017500</v>
      </c>
      <c r="D12" s="2"/>
      <c r="E12" s="2"/>
      <c r="F12" s="2"/>
    </row>
    <row r="13" spans="1:6" ht="18" x14ac:dyDescent="0.2">
      <c r="A13" s="2"/>
      <c r="B13" s="2" t="s">
        <v>193</v>
      </c>
      <c r="C13" s="14">
        <f>'opname mandor'!F53</f>
        <v>38326100</v>
      </c>
      <c r="D13" s="2"/>
      <c r="E13" s="2"/>
      <c r="F13" s="2"/>
    </row>
    <row r="14" spans="1:6" ht="18" x14ac:dyDescent="0.2">
      <c r="A14" s="2"/>
      <c r="B14" s="2" t="s">
        <v>194</v>
      </c>
      <c r="C14" s="14">
        <f>'opname mandor'!F85</f>
        <v>14000000</v>
      </c>
      <c r="D14" s="2"/>
      <c r="E14" s="2"/>
      <c r="F14" s="2"/>
    </row>
    <row r="15" spans="1:6" ht="18" x14ac:dyDescent="0.5">
      <c r="A15" s="163"/>
      <c r="B15" s="162" t="s">
        <v>176</v>
      </c>
      <c r="C15" s="165">
        <f>'opname mandor'!F105</f>
        <v>20406250</v>
      </c>
      <c r="D15" s="163"/>
      <c r="E15" s="163"/>
      <c r="F15" s="163"/>
    </row>
    <row r="16" spans="1:6" ht="18" x14ac:dyDescent="0.5">
      <c r="A16" s="163"/>
      <c r="B16" s="162" t="s">
        <v>177</v>
      </c>
      <c r="C16" s="165"/>
      <c r="D16" s="163"/>
      <c r="E16" s="163"/>
      <c r="F16" s="163"/>
    </row>
    <row r="17" spans="1:6" ht="18" x14ac:dyDescent="0.5">
      <c r="A17" s="163"/>
      <c r="B17" s="163"/>
      <c r="C17" s="165"/>
      <c r="D17" s="163"/>
      <c r="E17" s="163"/>
      <c r="F17" s="163"/>
    </row>
    <row r="18" spans="1:6" ht="18" x14ac:dyDescent="0.5">
      <c r="A18" s="163"/>
      <c r="B18" s="166" t="s">
        <v>178</v>
      </c>
      <c r="C18" s="167">
        <f>SUM(C11:C17)</f>
        <v>102749850</v>
      </c>
      <c r="D18" s="163"/>
      <c r="E18" s="163"/>
      <c r="F18" s="163"/>
    </row>
    <row r="19" spans="1:6" ht="18" x14ac:dyDescent="0.5">
      <c r="A19" s="163"/>
      <c r="B19" s="163"/>
      <c r="C19" s="163"/>
      <c r="D19" s="163"/>
      <c r="E19" s="163"/>
      <c r="F19" s="163"/>
    </row>
    <row r="20" spans="1:6" ht="18" x14ac:dyDescent="0.5">
      <c r="A20" s="163"/>
      <c r="B20" s="163" t="s">
        <v>179</v>
      </c>
      <c r="C20" s="165">
        <f>C7-C18</f>
        <v>45677670</v>
      </c>
      <c r="D20" s="163"/>
      <c r="E20" s="163"/>
      <c r="F20" s="163"/>
    </row>
    <row r="21" spans="1:6" ht="18" x14ac:dyDescent="0.5">
      <c r="A21" s="163"/>
      <c r="B21" s="163" t="s">
        <v>180</v>
      </c>
      <c r="C21" s="168">
        <f>C20/C7*100</f>
        <v>30.774394128528186</v>
      </c>
      <c r="D21" s="163" t="s">
        <v>100</v>
      </c>
      <c r="E21" s="163"/>
      <c r="F21" s="163"/>
    </row>
    <row r="22" spans="1:6" ht="18" x14ac:dyDescent="0.5">
      <c r="A22" s="163"/>
      <c r="B22" s="163"/>
      <c r="C22" s="163"/>
      <c r="D22" s="163"/>
      <c r="E22" s="163"/>
      <c r="F22" s="163"/>
    </row>
  </sheetData>
  <mergeCells count="2">
    <mergeCell ref="A1:F2"/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BD</vt:lpstr>
      <vt:lpstr>SPH IDD</vt:lpstr>
      <vt:lpstr>SPK MANDOR</vt:lpstr>
      <vt:lpstr>REKAP PROYEK</vt:lpstr>
      <vt:lpstr>BA PROGRES</vt:lpstr>
      <vt:lpstr>INVOICE</vt:lpstr>
      <vt:lpstr>opname mandor</vt:lpstr>
      <vt:lpstr>REKAP OPNAME PROYEK</vt:lpstr>
      <vt:lpstr>'opname mandor'!Print_Area</vt:lpstr>
      <vt:lpstr>'SPH IDD'!Print_Area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Nurul Hadi</cp:lastModifiedBy>
  <cp:lastPrinted>2023-09-11T04:28:03Z</cp:lastPrinted>
  <dcterms:created xsi:type="dcterms:W3CDTF">2013-03-07T06:13:27Z</dcterms:created>
  <dcterms:modified xsi:type="dcterms:W3CDTF">2024-11-14T14:10:28Z</dcterms:modified>
</cp:coreProperties>
</file>