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deaeduco-my.sharepoint.com/personal/smarcela_correa_udea_edu_co/Documents/Colaboration/Potato/ScriptsGPRrules/InputData/"/>
    </mc:Choice>
  </mc:AlternateContent>
  <xr:revisionPtr revIDLastSave="2987" documentId="6_{EB83B372-1A21-431A-AE16-9E448977FA9E}" xr6:coauthVersionLast="47" xr6:coauthVersionMax="47" xr10:uidLastSave="{5FC7A63A-74F0-4C2D-BB8A-56324DD5B587}"/>
  <bookViews>
    <workbookView xWindow="43080" yWindow="7590" windowWidth="25440" windowHeight="15270" tabRatio="964" xr2:uid="{C68A82EB-0DC3-40DF-9131-C03180089F45}"/>
  </bookViews>
  <sheets>
    <sheet name="Acyl_chains" sheetId="14" r:id="rId1"/>
    <sheet name="Lipid_classes" sheetId="10" r:id="rId2"/>
    <sheet name="ST1-Total_FAs_I" sheetId="4" r:id="rId3"/>
    <sheet name="ST2-Total_FAs_II" sheetId="6" r:id="rId4"/>
    <sheet name="ST3-Wax_monomers" sheetId="9" r:id="rId5"/>
    <sheet name="ST4-Correlation_Stu_varieties" sheetId="11" r:id="rId6"/>
    <sheet name="ST5-Sterols" sheetId="12" r:id="rId7"/>
    <sheet name="ST6-Chlorophyll" sheetId="13" r:id="rId8"/>
    <sheet name="ST7_Total_waxes" sheetId="8" r:id="rId9"/>
    <sheet name="ST8_Wax_esters" sheetId="15"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0" i="15" l="1"/>
  <c r="E9" i="15"/>
  <c r="E8" i="15"/>
  <c r="E7" i="15"/>
  <c r="E6" i="15"/>
  <c r="E5" i="15"/>
  <c r="E4" i="15"/>
  <c r="E3" i="15"/>
  <c r="D46" i="14"/>
  <c r="D45" i="14"/>
  <c r="D44" i="14"/>
  <c r="D43" i="14"/>
  <c r="D42" i="14"/>
  <c r="D41" i="14"/>
  <c r="D40" i="14"/>
  <c r="D39" i="14"/>
  <c r="D38" i="14"/>
  <c r="D37" i="14"/>
  <c r="D36" i="14"/>
  <c r="D35" i="14"/>
  <c r="D34" i="14"/>
  <c r="D33" i="14"/>
  <c r="D32" i="14"/>
  <c r="D31" i="14"/>
  <c r="D30" i="14"/>
  <c r="D29" i="14"/>
  <c r="D28" i="14"/>
  <c r="D27" i="14"/>
  <c r="D26" i="14"/>
  <c r="D25" i="14"/>
  <c r="D24" i="14"/>
  <c r="D23" i="14"/>
  <c r="D22" i="14"/>
  <c r="D21" i="14"/>
  <c r="D20" i="14"/>
  <c r="D19" i="14"/>
  <c r="D18" i="14"/>
  <c r="D17" i="14"/>
  <c r="D16" i="14"/>
  <c r="D15" i="14"/>
  <c r="D14" i="14"/>
  <c r="D13" i="14"/>
  <c r="D12" i="14"/>
  <c r="D11" i="14"/>
  <c r="D10" i="14"/>
  <c r="D9" i="14"/>
  <c r="D8" i="14"/>
  <c r="D7" i="14"/>
  <c r="D6" i="14"/>
  <c r="D5" i="14"/>
  <c r="D4" i="14"/>
  <c r="D3" i="14"/>
  <c r="E16" i="10"/>
  <c r="H4" i="13"/>
  <c r="H5" i="13"/>
  <c r="E15" i="10"/>
  <c r="F4" i="12"/>
  <c r="F5" i="12"/>
  <c r="F6" i="12"/>
  <c r="F7" i="12"/>
  <c r="F3" i="12"/>
  <c r="E3" i="10"/>
  <c r="E3" i="12"/>
  <c r="I5" i="13" l="1"/>
  <c r="I4" i="13"/>
  <c r="D4" i="12"/>
  <c r="E4" i="12" s="1"/>
  <c r="D5" i="12"/>
  <c r="E5" i="12" s="1"/>
  <c r="D6" i="12"/>
  <c r="E6" i="12" s="1"/>
  <c r="D7" i="12"/>
  <c r="E7" i="12" s="1"/>
  <c r="D3" i="12"/>
  <c r="H46" i="9"/>
  <c r="I46" i="9" s="1"/>
  <c r="J46" i="9" s="1"/>
  <c r="K46" i="9" s="1"/>
  <c r="H45" i="9"/>
  <c r="I45" i="9" s="1"/>
  <c r="J45" i="9" s="1"/>
  <c r="K45" i="9" s="1"/>
  <c r="AC6" i="11"/>
  <c r="AC3" i="11"/>
  <c r="AC5" i="11" s="1"/>
  <c r="AC7" i="11" s="1"/>
  <c r="X6" i="11"/>
  <c r="X3" i="11"/>
  <c r="X5" i="11" s="1"/>
  <c r="X7" i="11" s="1"/>
  <c r="S6" i="11"/>
  <c r="S3" i="11"/>
  <c r="S5" i="11" s="1"/>
  <c r="S7" i="11" s="1"/>
  <c r="N6" i="11"/>
  <c r="N3" i="11"/>
  <c r="N5" i="11" s="1"/>
  <c r="N7" i="11" s="1"/>
  <c r="I6" i="11"/>
  <c r="I3" i="11"/>
  <c r="I5" i="11" s="1"/>
  <c r="I7" i="11" s="1"/>
  <c r="D6" i="11"/>
  <c r="A29" i="11"/>
  <c r="A28" i="11"/>
  <c r="A27" i="11"/>
  <c r="A26" i="11"/>
  <c r="A25" i="11"/>
  <c r="A24" i="11"/>
  <c r="D3" i="11" s="1"/>
  <c r="D5" i="11" s="1"/>
  <c r="D7" i="11" s="1"/>
  <c r="L4" i="13" l="1"/>
  <c r="K4" i="13"/>
  <c r="K5" i="13"/>
  <c r="L5" i="13"/>
  <c r="K6" i="13" l="1"/>
  <c r="L6" i="13"/>
  <c r="E9" i="10" l="1"/>
  <c r="E8" i="10"/>
  <c r="E7" i="10"/>
  <c r="E6" i="10"/>
  <c r="E5" i="10"/>
  <c r="E4" i="10"/>
  <c r="H44" i="9"/>
  <c r="I44" i="9" s="1"/>
  <c r="J44" i="9" s="1"/>
  <c r="L44" i="9" s="1"/>
  <c r="H43" i="9"/>
  <c r="I43" i="9" s="1"/>
  <c r="J43" i="9" s="1"/>
  <c r="L43" i="9" s="1"/>
  <c r="H42" i="9"/>
  <c r="I42" i="9" s="1"/>
  <c r="J42" i="9" s="1"/>
  <c r="L42" i="9" s="1"/>
  <c r="H41" i="9"/>
  <c r="I41" i="9" s="1"/>
  <c r="J41" i="9" s="1"/>
  <c r="L41" i="9" s="1"/>
  <c r="H40" i="9"/>
  <c r="I40" i="9" s="1"/>
  <c r="J40" i="9" s="1"/>
  <c r="L40" i="9" s="1"/>
  <c r="H39" i="9"/>
  <c r="I39" i="9" s="1"/>
  <c r="J39" i="9" s="1"/>
  <c r="L39" i="9" s="1"/>
  <c r="H38" i="9"/>
  <c r="I38" i="9" s="1"/>
  <c r="J38" i="9" s="1"/>
  <c r="L38" i="9" s="1"/>
  <c r="H37" i="9"/>
  <c r="I37" i="9" s="1"/>
  <c r="J37" i="9" s="1"/>
  <c r="L37" i="9" s="1"/>
  <c r="H31" i="9"/>
  <c r="I31" i="9" s="1"/>
  <c r="J31" i="9" s="1"/>
  <c r="L31" i="9" s="1"/>
  <c r="H32" i="9"/>
  <c r="I32" i="9" s="1"/>
  <c r="J32" i="9" s="1"/>
  <c r="L32" i="9" s="1"/>
  <c r="H33" i="9"/>
  <c r="I33" i="9" s="1"/>
  <c r="J33" i="9" s="1"/>
  <c r="L33" i="9" s="1"/>
  <c r="H34" i="9"/>
  <c r="I34" i="9" s="1"/>
  <c r="J34" i="9" s="1"/>
  <c r="L34" i="9" s="1"/>
  <c r="H35" i="9"/>
  <c r="I35" i="9" s="1"/>
  <c r="J35" i="9" s="1"/>
  <c r="L35" i="9" s="1"/>
  <c r="H36" i="9"/>
  <c r="I36" i="9" s="1"/>
  <c r="J36" i="9" s="1"/>
  <c r="L36" i="9" s="1"/>
  <c r="G29" i="9"/>
  <c r="G30" i="9"/>
  <c r="G28" i="9"/>
  <c r="F29" i="9"/>
  <c r="F30" i="9"/>
  <c r="F28" i="9"/>
  <c r="D29" i="9"/>
  <c r="D30" i="9"/>
  <c r="D28" i="9"/>
  <c r="G26" i="9"/>
  <c r="G27" i="9"/>
  <c r="G25" i="9"/>
  <c r="F26" i="9"/>
  <c r="F27" i="9"/>
  <c r="F25" i="9"/>
  <c r="D26" i="9"/>
  <c r="D27" i="9"/>
  <c r="D25" i="9"/>
  <c r="H24" i="9"/>
  <c r="I24" i="9" s="1"/>
  <c r="J24" i="9" s="1"/>
  <c r="H23" i="9"/>
  <c r="I23" i="9" s="1"/>
  <c r="J23" i="9" s="1"/>
  <c r="K23" i="9" s="1"/>
  <c r="H22" i="9"/>
  <c r="I22" i="9" s="1"/>
  <c r="J22" i="9" s="1"/>
  <c r="K22" i="9" s="1"/>
  <c r="H21" i="9"/>
  <c r="I21" i="9" s="1"/>
  <c r="J21" i="9" s="1"/>
  <c r="K21" i="9" s="1"/>
  <c r="H20" i="9"/>
  <c r="I20" i="9" s="1"/>
  <c r="J20" i="9" s="1"/>
  <c r="K20" i="9" s="1"/>
  <c r="H19" i="9"/>
  <c r="I19" i="9" s="1"/>
  <c r="J19" i="9" s="1"/>
  <c r="K19" i="9" s="1"/>
  <c r="H18" i="9"/>
  <c r="I18" i="9" s="1"/>
  <c r="J18" i="9" s="1"/>
  <c r="K18" i="9" s="1"/>
  <c r="H17" i="9"/>
  <c r="I17" i="9" s="1"/>
  <c r="J17" i="9" s="1"/>
  <c r="K17" i="9" s="1"/>
  <c r="H16" i="9"/>
  <c r="I16" i="9" s="1"/>
  <c r="J16" i="9" s="1"/>
  <c r="K16" i="9" s="1"/>
  <c r="H15" i="9"/>
  <c r="I15" i="9" s="1"/>
  <c r="J15" i="9" s="1"/>
  <c r="H14" i="9"/>
  <c r="I14" i="9" s="1"/>
  <c r="J14" i="9" s="1"/>
  <c r="H13" i="9"/>
  <c r="I13" i="9" s="1"/>
  <c r="J13" i="9" s="1"/>
  <c r="H12" i="9"/>
  <c r="I12" i="9" s="1"/>
  <c r="J12" i="9" s="1"/>
  <c r="H11" i="9"/>
  <c r="I11" i="9" s="1"/>
  <c r="J11" i="9" s="1"/>
  <c r="H10" i="9"/>
  <c r="I10" i="9" s="1"/>
  <c r="J10" i="9" s="1"/>
  <c r="H9" i="9"/>
  <c r="I9" i="9" s="1"/>
  <c r="J9" i="9" s="1"/>
  <c r="H8" i="9"/>
  <c r="I8" i="9" s="1"/>
  <c r="J8" i="9" s="1"/>
  <c r="H5" i="9"/>
  <c r="I5" i="9" s="1"/>
  <c r="J5" i="9" s="1"/>
  <c r="H6" i="9"/>
  <c r="I6" i="9" s="1"/>
  <c r="J6" i="9" s="1"/>
  <c r="H7" i="9"/>
  <c r="I7" i="9" s="1"/>
  <c r="J7" i="9" s="1"/>
  <c r="H4" i="9"/>
  <c r="I4" i="9" s="1"/>
  <c r="J4" i="9" s="1"/>
  <c r="K13" i="9" l="1"/>
  <c r="L13" i="9"/>
  <c r="K6" i="9"/>
  <c r="L6" i="9"/>
  <c r="K14" i="9"/>
  <c r="L14" i="9"/>
  <c r="K4" i="9"/>
  <c r="L4" i="9"/>
  <c r="E13" i="10" s="1"/>
  <c r="K7" i="9"/>
  <c r="L7" i="9"/>
  <c r="K5" i="9"/>
  <c r="L5" i="9"/>
  <c r="K15" i="9"/>
  <c r="L15" i="9"/>
  <c r="E11" i="10"/>
  <c r="K12" i="9"/>
  <c r="L12" i="9"/>
  <c r="K8" i="9"/>
  <c r="L8" i="9"/>
  <c r="K24" i="9"/>
  <c r="L24" i="9"/>
  <c r="E14" i="10" s="1"/>
  <c r="K9" i="9"/>
  <c r="L9" i="9"/>
  <c r="K11" i="9"/>
  <c r="L11" i="9"/>
  <c r="K10" i="9"/>
  <c r="L10" i="9"/>
  <c r="K35" i="9"/>
  <c r="K33" i="9"/>
  <c r="K32" i="9"/>
  <c r="K31" i="9"/>
  <c r="K34" i="9"/>
  <c r="K36" i="9"/>
  <c r="H27" i="9"/>
  <c r="I27" i="9" s="1"/>
  <c r="J27" i="9" s="1"/>
  <c r="H28" i="9"/>
  <c r="I28" i="9" s="1"/>
  <c r="J28" i="9" s="1"/>
  <c r="H26" i="9"/>
  <c r="I26" i="9" s="1"/>
  <c r="J26" i="9" s="1"/>
  <c r="H30" i="9"/>
  <c r="I30" i="9" s="1"/>
  <c r="H25" i="9"/>
  <c r="I25" i="9" s="1"/>
  <c r="J25" i="9" s="1"/>
  <c r="H29" i="9"/>
  <c r="I29" i="9" s="1"/>
  <c r="J29" i="9" s="1"/>
  <c r="C3" i="8"/>
  <c r="D3" i="8" s="1"/>
  <c r="E3" i="8" s="1"/>
  <c r="K25" i="9" l="1"/>
  <c r="L25" i="9"/>
  <c r="K28" i="9"/>
  <c r="L28" i="9"/>
  <c r="K29" i="9"/>
  <c r="L29" i="9"/>
  <c r="K26" i="9"/>
  <c r="L26" i="9"/>
  <c r="K27" i="9"/>
  <c r="L27" i="9"/>
  <c r="J30" i="9"/>
  <c r="K30" i="9" l="1"/>
  <c r="L30" i="9"/>
  <c r="E12" i="10" s="1"/>
  <c r="E17" i="10" s="1"/>
  <c r="C4" i="6"/>
  <c r="D4" i="6" s="1"/>
  <c r="E4" i="6" s="1"/>
  <c r="C5" i="6"/>
  <c r="D5" i="6" s="1"/>
  <c r="E5" i="6" s="1"/>
  <c r="C6" i="6"/>
  <c r="D6" i="6" s="1"/>
  <c r="E6" i="6" s="1"/>
  <c r="C7" i="6"/>
  <c r="D7" i="6" s="1"/>
  <c r="E7" i="6" s="1"/>
  <c r="C8" i="6"/>
  <c r="D8" i="6" s="1"/>
  <c r="E8" i="6" s="1"/>
  <c r="C9" i="6"/>
  <c r="D9" i="6" s="1"/>
  <c r="E9" i="6" s="1"/>
  <c r="G9" i="6" s="1"/>
  <c r="C10" i="6"/>
  <c r="D10" i="6" s="1"/>
  <c r="E10" i="6" s="1"/>
  <c r="G10" i="6" s="1"/>
  <c r="C11" i="6"/>
  <c r="D11" i="6" s="1"/>
  <c r="E11" i="6" s="1"/>
  <c r="C12" i="6"/>
  <c r="D12" i="6" s="1"/>
  <c r="E12" i="6" s="1"/>
  <c r="C13" i="6"/>
  <c r="D13" i="6" s="1"/>
  <c r="E13" i="6" s="1"/>
  <c r="C14" i="6"/>
  <c r="D14" i="6" s="1"/>
  <c r="E14" i="6" s="1"/>
  <c r="C15" i="6"/>
  <c r="D15" i="6" s="1"/>
  <c r="E15" i="6" s="1"/>
  <c r="C16" i="6"/>
  <c r="D16" i="6" s="1"/>
  <c r="E16" i="6" s="1"/>
  <c r="C17" i="6"/>
  <c r="D17" i="6" s="1"/>
  <c r="E17" i="6" s="1"/>
  <c r="C18" i="6"/>
  <c r="D18" i="6" s="1"/>
  <c r="E18" i="6" s="1"/>
  <c r="C19" i="6"/>
  <c r="D19" i="6" s="1"/>
  <c r="E19" i="6" s="1"/>
  <c r="C20" i="6"/>
  <c r="D20" i="6" s="1"/>
  <c r="E20" i="6" s="1"/>
  <c r="C21" i="6"/>
  <c r="D21" i="6" s="1"/>
  <c r="E21" i="6" s="1"/>
  <c r="G21" i="6" s="1"/>
  <c r="C3" i="6"/>
  <c r="D3" i="6" s="1"/>
  <c r="E3" i="6" s="1"/>
  <c r="E9" i="4"/>
  <c r="F9" i="4" s="1"/>
  <c r="E8" i="4"/>
  <c r="F8" i="4" s="1"/>
  <c r="E7" i="4"/>
  <c r="F7" i="4" s="1"/>
  <c r="E6" i="4"/>
  <c r="F6" i="4" s="1"/>
  <c r="E5" i="4"/>
  <c r="F5" i="4" s="1"/>
  <c r="E4" i="4"/>
  <c r="F4" i="4" s="1"/>
  <c r="E3" i="4"/>
  <c r="F3" i="4" s="1"/>
  <c r="F12" i="10" l="1"/>
  <c r="F15" i="10"/>
  <c r="F11" i="10"/>
  <c r="F9" i="10"/>
  <c r="F10" i="10"/>
  <c r="F5" i="10"/>
  <c r="F16" i="10"/>
  <c r="F7" i="10"/>
  <c r="F3" i="10"/>
  <c r="F4" i="10"/>
  <c r="F8" i="10"/>
  <c r="F6" i="10"/>
  <c r="F13" i="10"/>
  <c r="F14" i="10"/>
  <c r="G6" i="4"/>
  <c r="I6" i="4" s="1"/>
  <c r="J6" i="4" s="1"/>
  <c r="G7" i="4"/>
  <c r="I7" i="4" s="1"/>
  <c r="J7" i="4" s="1"/>
  <c r="G8" i="4"/>
  <c r="I8" i="4" s="1"/>
  <c r="J8" i="4" s="1"/>
  <c r="G9" i="4"/>
  <c r="I9" i="4" s="1"/>
  <c r="J9" i="4" s="1"/>
  <c r="G5" i="4"/>
  <c r="I5" i="4" s="1"/>
  <c r="J5" i="4" s="1"/>
  <c r="G3" i="4"/>
  <c r="I3" i="4" s="1"/>
  <c r="J3" i="4" s="1"/>
  <c r="G4" i="4"/>
  <c r="I4" i="4" s="1"/>
  <c r="J4" i="4" s="1"/>
</calcChain>
</file>

<file path=xl/sharedStrings.xml><?xml version="1.0" encoding="utf-8"?>
<sst xmlns="http://schemas.openxmlformats.org/spreadsheetml/2006/main" count="386" uniqueCount="308">
  <si>
    <t>C16:0</t>
  </si>
  <si>
    <t>mol%</t>
  </si>
  <si>
    <t>C18:0</t>
  </si>
  <si>
    <t>species</t>
  </si>
  <si>
    <t>mol</t>
  </si>
  <si>
    <t>g</t>
  </si>
  <si>
    <t>MW (g/mol)</t>
  </si>
  <si>
    <t>Notes:</t>
  </si>
  <si>
    <r>
      <t>g g</t>
    </r>
    <r>
      <rPr>
        <b/>
        <vertAlign val="superscript"/>
        <sz val="11"/>
        <color theme="1"/>
        <rFont val="Calibri"/>
        <family val="2"/>
        <scheme val="minor"/>
      </rPr>
      <t>-1</t>
    </r>
    <r>
      <rPr>
        <b/>
        <sz val="11"/>
        <color theme="1"/>
        <rFont val="Calibri"/>
        <family val="2"/>
        <scheme val="minor"/>
      </rPr>
      <t>DW</t>
    </r>
  </si>
  <si>
    <r>
      <t>mmol g</t>
    </r>
    <r>
      <rPr>
        <b/>
        <vertAlign val="superscript"/>
        <sz val="11"/>
        <color theme="1"/>
        <rFont val="Calibri"/>
        <family val="2"/>
        <scheme val="minor"/>
      </rPr>
      <t>-1</t>
    </r>
    <r>
      <rPr>
        <b/>
        <sz val="11"/>
        <color theme="1"/>
        <rFont val="Calibri"/>
        <family val="2"/>
        <scheme val="minor"/>
      </rPr>
      <t>DW</t>
    </r>
  </si>
  <si>
    <t>15-Me-17:0</t>
  </si>
  <si>
    <t>14:0</t>
  </si>
  <si>
    <t>15:0</t>
  </si>
  <si>
    <t>13-Me-14:0</t>
  </si>
  <si>
    <t>iso-16:0</t>
  </si>
  <si>
    <t>16:0</t>
  </si>
  <si>
    <t>16:1ω7</t>
  </si>
  <si>
    <t>16:2ω7</t>
  </si>
  <si>
    <t>16:2ω5</t>
  </si>
  <si>
    <t>16:3ω3</t>
  </si>
  <si>
    <t>18:0</t>
  </si>
  <si>
    <t>18:1ω9</t>
  </si>
  <si>
    <t>18:1ω7</t>
  </si>
  <si>
    <t>18:2</t>
  </si>
  <si>
    <t>19:0</t>
  </si>
  <si>
    <t>18:3ω3</t>
  </si>
  <si>
    <t>18-Me-19:0</t>
  </si>
  <si>
    <t>17-Me-19:0</t>
  </si>
  <si>
    <t>20:0</t>
  </si>
  <si>
    <t>PC</t>
  </si>
  <si>
    <t>MGDG</t>
  </si>
  <si>
    <t>DGDG</t>
  </si>
  <si>
    <t>PE</t>
  </si>
  <si>
    <t>PG</t>
  </si>
  <si>
    <r>
      <rPr>
        <vertAlign val="superscript"/>
        <sz val="11"/>
        <color theme="1"/>
        <rFont val="Calibri"/>
        <family val="2"/>
        <scheme val="minor"/>
      </rPr>
      <t xml:space="preserve">1 </t>
    </r>
    <r>
      <rPr>
        <sz val="11"/>
        <color theme="1"/>
        <rFont val="Calibri"/>
        <family val="2"/>
        <scheme val="minor"/>
      </rPr>
      <t>Values for the lipid classes expressed as percentage of dry biomass weight (%DW) were measured in leaves of wild-type (WT) potato plants at flowering stage. The plants were grown in a phytotron glasshouse (24/20 °C, 16 h photoperiod). Samples for analysis were harvested at the flowering stage, that is, at the beginning of the opening of the first flower (&gt;70% of flowers in one plant were blossoming and developing tubers were visible). Healthy and fully expanded leaves were collected from three randomly arranged and biologically replicated plants. Samples were immediately freeze-dried for 72 h prior to extraction of lipids. The data was published by Xu et al., 2019 (Front. Plant Sci. 10:1444,  doi: 10.3389/fpls.2019.01444)</t>
    </r>
  </si>
  <si>
    <r>
      <rPr>
        <vertAlign val="superscript"/>
        <sz val="11"/>
        <color theme="1"/>
        <rFont val="Calibri"/>
        <family val="2"/>
        <scheme val="minor"/>
      </rPr>
      <t xml:space="preserve">2 </t>
    </r>
    <r>
      <rPr>
        <sz val="11"/>
        <color theme="1"/>
        <rFont val="Calibri"/>
        <family val="2"/>
        <scheme val="minor"/>
      </rPr>
      <t>Values for lipid classes (%DW) were measured in leaves of wild-type (WT) potato plants at flowering stage. The plants were grown in a glasshouse (24/20 °C, 16 h photoperiod). Samples for analysis were harvested at the flowering stage, that is, at the beginning of the opening of the first flower (&gt;70% of flowers in one plant were blossoming). Healthy and fully expanded leaves were collected from three randomly arranged and biologically replicated plants. Samples were immediately freeze-dried for 72 h prior to extraction of lipids. The data was published by Xu et al., 2020 (Front. Plant Sci. 11:215,  doi: 10.3389/fpls.2020.00215)</t>
    </r>
  </si>
  <si>
    <t>TG</t>
  </si>
  <si>
    <t>FFA</t>
  </si>
  <si>
    <t>average %DW</t>
  </si>
  <si>
    <t>scaled up to 1</t>
  </si>
  <si>
    <t>lipid class</t>
  </si>
  <si>
    <r>
      <t>μmol g</t>
    </r>
    <r>
      <rPr>
        <b/>
        <vertAlign val="superscript"/>
        <sz val="11"/>
        <color theme="1"/>
        <rFont val="Calibri"/>
        <family val="2"/>
        <scheme val="minor"/>
      </rPr>
      <t>-1</t>
    </r>
    <r>
      <rPr>
        <b/>
        <sz val="11"/>
        <color theme="1"/>
        <rFont val="Calibri"/>
        <family val="2"/>
        <scheme val="minor"/>
      </rPr>
      <t xml:space="preserve"> FW</t>
    </r>
  </si>
  <si>
    <r>
      <t>mmol g</t>
    </r>
    <r>
      <rPr>
        <b/>
        <vertAlign val="superscript"/>
        <sz val="11"/>
        <color theme="1"/>
        <rFont val="Calibri"/>
        <family val="2"/>
        <scheme val="minor"/>
      </rPr>
      <t>-1</t>
    </r>
    <r>
      <rPr>
        <b/>
        <sz val="11"/>
        <color theme="1"/>
        <rFont val="Calibri"/>
        <family val="2"/>
        <scheme val="minor"/>
      </rPr>
      <t xml:space="preserve"> DW</t>
    </r>
  </si>
  <si>
    <r>
      <rPr>
        <vertAlign val="superscript"/>
        <sz val="11"/>
        <color theme="1"/>
        <rFont val="Calibri"/>
        <family val="2"/>
        <scheme val="minor"/>
      </rPr>
      <t>1</t>
    </r>
    <r>
      <rPr>
        <sz val="11"/>
        <color theme="1"/>
        <rFont val="Calibri"/>
        <family val="2"/>
        <scheme val="minor"/>
      </rPr>
      <t>C16:0</t>
    </r>
  </si>
  <si>
    <r>
      <rPr>
        <vertAlign val="superscript"/>
        <sz val="11"/>
        <color theme="1"/>
        <rFont val="Calibri"/>
        <family val="2"/>
        <scheme val="minor"/>
      </rPr>
      <t>1</t>
    </r>
    <r>
      <rPr>
        <sz val="11"/>
        <color theme="1"/>
        <rFont val="Calibri"/>
        <family val="2"/>
        <scheme val="minor"/>
      </rPr>
      <t>C16:1</t>
    </r>
  </si>
  <si>
    <r>
      <rPr>
        <vertAlign val="superscript"/>
        <sz val="11"/>
        <color theme="1"/>
        <rFont val="Calibri"/>
        <family val="2"/>
        <scheme val="minor"/>
      </rPr>
      <t>1</t>
    </r>
    <r>
      <rPr>
        <sz val="11"/>
        <color theme="1"/>
        <rFont val="Calibri"/>
        <family val="2"/>
        <scheme val="minor"/>
      </rPr>
      <t>C16:3</t>
    </r>
  </si>
  <si>
    <r>
      <rPr>
        <vertAlign val="superscript"/>
        <sz val="11"/>
        <color theme="1"/>
        <rFont val="Calibri"/>
        <family val="2"/>
        <scheme val="minor"/>
      </rPr>
      <t>1</t>
    </r>
    <r>
      <rPr>
        <sz val="11"/>
        <color theme="1"/>
        <rFont val="Calibri"/>
        <family val="2"/>
        <scheme val="minor"/>
      </rPr>
      <t>C18:0</t>
    </r>
  </si>
  <si>
    <r>
      <rPr>
        <vertAlign val="superscript"/>
        <sz val="11"/>
        <color theme="1"/>
        <rFont val="Calibri"/>
        <family val="2"/>
        <scheme val="minor"/>
      </rPr>
      <t>1</t>
    </r>
    <r>
      <rPr>
        <sz val="11"/>
        <color theme="1"/>
        <rFont val="Calibri"/>
        <family val="2"/>
        <scheme val="minor"/>
      </rPr>
      <t>C18:1</t>
    </r>
    <r>
      <rPr>
        <sz val="11"/>
        <color theme="1"/>
        <rFont val="Calibri"/>
        <family val="2"/>
        <scheme val="minor"/>
      </rPr>
      <t/>
    </r>
  </si>
  <si>
    <r>
      <rPr>
        <vertAlign val="superscript"/>
        <sz val="11"/>
        <color theme="1"/>
        <rFont val="Calibri"/>
        <family val="2"/>
        <scheme val="minor"/>
      </rPr>
      <t>1</t>
    </r>
    <r>
      <rPr>
        <sz val="11"/>
        <color theme="1"/>
        <rFont val="Calibri"/>
        <family val="2"/>
        <scheme val="minor"/>
      </rPr>
      <t>C18:2</t>
    </r>
    <r>
      <rPr>
        <sz val="11"/>
        <color theme="1"/>
        <rFont val="Calibri"/>
        <family val="2"/>
        <scheme val="minor"/>
      </rPr>
      <t/>
    </r>
  </si>
  <si>
    <r>
      <rPr>
        <vertAlign val="superscript"/>
        <sz val="11"/>
        <color theme="1"/>
        <rFont val="Calibri"/>
        <family val="2"/>
        <scheme val="minor"/>
      </rPr>
      <t>1</t>
    </r>
    <r>
      <rPr>
        <sz val="11"/>
        <color theme="1"/>
        <rFont val="Calibri"/>
        <family val="2"/>
        <scheme val="minor"/>
      </rPr>
      <t>C18:3</t>
    </r>
    <r>
      <rPr>
        <sz val="11"/>
        <color theme="1"/>
        <rFont val="Calibri"/>
        <family val="2"/>
        <scheme val="minor"/>
      </rPr>
      <t/>
    </r>
  </si>
  <si>
    <t>S. tuberosum</t>
  </si>
  <si>
    <t>n-alkanes</t>
  </si>
  <si>
    <t>ketones</t>
  </si>
  <si>
    <t>esters</t>
  </si>
  <si>
    <t>s-alcohols</t>
  </si>
  <si>
    <t>aldehydes</t>
  </si>
  <si>
    <t>p-alcohols</t>
  </si>
  <si>
    <t>acids</t>
  </si>
  <si>
    <r>
      <rPr>
        <vertAlign val="superscript"/>
        <sz val="11"/>
        <color theme="1"/>
        <rFont val="Calibri"/>
        <family val="2"/>
        <scheme val="minor"/>
      </rPr>
      <t xml:space="preserve">1 </t>
    </r>
    <r>
      <rPr>
        <sz val="11"/>
        <color theme="1"/>
        <rFont val="Calibri"/>
        <family val="2"/>
        <scheme val="minor"/>
      </rPr>
      <t>Potato plants (variety: Norland) were grown in the field under normal agronomic conditions without the application of pesticides. Leaves were collected from 10 week old plants, put in polythene bags and brought to the laboratory for extraction of leaf surface waxes. The source data was published by Sen A. (1987) (Zeitschrift für Naturforschung C. (1987), 42:1153-1158, https://doi.org/10.1515/znc-1987-11-1203)</t>
    </r>
  </si>
  <si>
    <r>
      <rPr>
        <b/>
        <vertAlign val="superscript"/>
        <sz val="11"/>
        <color theme="1"/>
        <rFont val="Calibri"/>
        <family val="2"/>
        <scheme val="minor"/>
      </rPr>
      <t>2</t>
    </r>
    <r>
      <rPr>
        <b/>
        <sz val="11"/>
        <color theme="1"/>
        <rFont val="Calibri"/>
        <family val="2"/>
        <scheme val="minor"/>
      </rPr>
      <t>μg g</t>
    </r>
    <r>
      <rPr>
        <b/>
        <vertAlign val="superscript"/>
        <sz val="11"/>
        <color theme="1"/>
        <rFont val="Calibri"/>
        <family val="2"/>
        <scheme val="minor"/>
      </rPr>
      <t xml:space="preserve">-1 </t>
    </r>
    <r>
      <rPr>
        <b/>
        <sz val="11"/>
        <color theme="1"/>
        <rFont val="Calibri"/>
        <family val="2"/>
        <scheme val="minor"/>
      </rPr>
      <t>DW</t>
    </r>
  </si>
  <si>
    <r>
      <rPr>
        <b/>
        <vertAlign val="superscript"/>
        <sz val="11"/>
        <color theme="1"/>
        <rFont val="Calibri"/>
        <family val="2"/>
        <scheme val="minor"/>
      </rPr>
      <t>a</t>
    </r>
    <r>
      <rPr>
        <b/>
        <sz val="11"/>
        <color theme="1"/>
        <rFont val="Calibri"/>
        <family val="2"/>
        <scheme val="minor"/>
      </rPr>
      <t>Conversion factor (g/dm</t>
    </r>
    <r>
      <rPr>
        <b/>
        <vertAlign val="superscript"/>
        <sz val="11"/>
        <color theme="1"/>
        <rFont val="Calibri"/>
        <family val="2"/>
        <scheme val="minor"/>
      </rPr>
      <t>2</t>
    </r>
    <r>
      <rPr>
        <b/>
        <sz val="11"/>
        <color theme="1"/>
        <rFont val="Calibri"/>
        <family val="2"/>
        <scheme val="minor"/>
      </rPr>
      <t>)</t>
    </r>
  </si>
  <si>
    <r>
      <rPr>
        <b/>
        <vertAlign val="superscript"/>
        <sz val="11"/>
        <color theme="1"/>
        <rFont val="Calibri"/>
        <family val="2"/>
        <scheme val="minor"/>
      </rPr>
      <t>1</t>
    </r>
    <r>
      <rPr>
        <b/>
        <sz val="11"/>
        <color theme="1"/>
        <rFont val="Calibri"/>
        <family val="2"/>
      </rPr>
      <t>µ</t>
    </r>
    <r>
      <rPr>
        <b/>
        <sz val="11"/>
        <color theme="1"/>
        <rFont val="Calibri"/>
        <family val="2"/>
        <scheme val="minor"/>
      </rPr>
      <t>g cm</t>
    </r>
    <r>
      <rPr>
        <b/>
        <vertAlign val="superscript"/>
        <sz val="11"/>
        <color theme="1"/>
        <rFont val="Calibri"/>
        <family val="2"/>
        <scheme val="minor"/>
      </rPr>
      <t>-2</t>
    </r>
  </si>
  <si>
    <r>
      <rPr>
        <b/>
        <sz val="11"/>
        <color theme="1"/>
        <rFont val="Calibri"/>
        <family val="2"/>
      </rPr>
      <t>µ</t>
    </r>
    <r>
      <rPr>
        <b/>
        <sz val="11"/>
        <color theme="1"/>
        <rFont val="Calibri"/>
        <family val="2"/>
        <scheme val="minor"/>
      </rPr>
      <t>g dm</t>
    </r>
    <r>
      <rPr>
        <b/>
        <vertAlign val="superscript"/>
        <sz val="11"/>
        <color theme="1"/>
        <rFont val="Calibri"/>
        <family val="2"/>
        <scheme val="minor"/>
      </rPr>
      <t>-2</t>
    </r>
  </si>
  <si>
    <r>
      <t>%</t>
    </r>
    <r>
      <rPr>
        <b/>
        <vertAlign val="superscript"/>
        <sz val="11"/>
        <color theme="1"/>
        <rFont val="Calibri"/>
        <family val="2"/>
        <scheme val="minor"/>
      </rPr>
      <t xml:space="preserve"> </t>
    </r>
    <r>
      <rPr>
        <b/>
        <sz val="11"/>
        <color theme="1"/>
        <rFont val="Calibri"/>
        <family val="2"/>
        <scheme val="minor"/>
      </rPr>
      <t>DW</t>
    </r>
  </si>
  <si>
    <t>FAs</t>
  </si>
  <si>
    <t>C27:0</t>
  </si>
  <si>
    <t>C29:0</t>
  </si>
  <si>
    <t>C31:0</t>
  </si>
  <si>
    <t>C33:0</t>
  </si>
  <si>
    <r>
      <rPr>
        <i/>
        <sz val="11"/>
        <color theme="1"/>
        <rFont val="Calibri"/>
        <family val="2"/>
        <scheme val="minor"/>
      </rPr>
      <t>n</t>
    </r>
    <r>
      <rPr>
        <sz val="11"/>
        <color theme="1"/>
        <rFont val="Calibri"/>
        <family val="2"/>
        <scheme val="minor"/>
      </rPr>
      <t>-alkanes</t>
    </r>
  </si>
  <si>
    <t>C29-14k</t>
  </si>
  <si>
    <t>C26:0</t>
  </si>
  <si>
    <t>C28:0</t>
  </si>
  <si>
    <t>C30:0</t>
  </si>
  <si>
    <t>FOH-18:0</t>
  </si>
  <si>
    <t>FAL-22_0</t>
  </si>
  <si>
    <t>FAL-24_0</t>
  </si>
  <si>
    <t>FAL-26_0</t>
  </si>
  <si>
    <t>FAL-28_0</t>
  </si>
  <si>
    <t>FAL-30_0</t>
  </si>
  <si>
    <t>FAL-32_0</t>
  </si>
  <si>
    <t>C27-12OH</t>
  </si>
  <si>
    <t>C27-13OH</t>
  </si>
  <si>
    <t>C27-14OH</t>
  </si>
  <si>
    <t>C29-13OH</t>
  </si>
  <si>
    <t>C29-14OH</t>
  </si>
  <si>
    <t>C29-15OH</t>
  </si>
  <si>
    <t>C20:0</t>
  </si>
  <si>
    <r>
      <t xml:space="preserve">Percent composition of component classes from leaf surface waxes of </t>
    </r>
    <r>
      <rPr>
        <i/>
        <sz val="11"/>
        <color theme="1"/>
        <rFont val="Calibri"/>
        <family val="2"/>
        <scheme val="minor"/>
      </rPr>
      <t>S. tuberosum</t>
    </r>
  </si>
  <si>
    <t>C24:0</t>
  </si>
  <si>
    <r>
      <rPr>
        <b/>
        <vertAlign val="superscript"/>
        <sz val="11"/>
        <color theme="1"/>
        <rFont val="Calibri"/>
        <family val="2"/>
        <scheme val="minor"/>
      </rPr>
      <t>1</t>
    </r>
    <r>
      <rPr>
        <b/>
        <sz val="11"/>
        <color theme="1"/>
        <rFont val="Calibri"/>
        <family val="2"/>
      </rPr>
      <t>n</t>
    </r>
    <r>
      <rPr>
        <b/>
        <sz val="11"/>
        <color theme="1"/>
        <rFont val="Calibri"/>
        <family val="2"/>
        <scheme val="minor"/>
      </rPr>
      <t>g cm</t>
    </r>
    <r>
      <rPr>
        <b/>
        <vertAlign val="superscript"/>
        <sz val="11"/>
        <color theme="1"/>
        <rFont val="Calibri"/>
        <family val="2"/>
        <scheme val="minor"/>
      </rPr>
      <t>-2</t>
    </r>
  </si>
  <si>
    <t>cv. Aster</t>
  </si>
  <si>
    <t>cv. Ibis</t>
  </si>
  <si>
    <t>cv. Maryna</t>
  </si>
  <si>
    <t>cv. Perkoz</t>
  </si>
  <si>
    <r>
      <t>ng dm</t>
    </r>
    <r>
      <rPr>
        <b/>
        <vertAlign val="superscript"/>
        <sz val="11"/>
        <color theme="1"/>
        <rFont val="Calibri"/>
        <family val="2"/>
        <scheme val="minor"/>
      </rPr>
      <t>-2</t>
    </r>
  </si>
  <si>
    <r>
      <t>Conversion factor (g/dm</t>
    </r>
    <r>
      <rPr>
        <b/>
        <vertAlign val="superscript"/>
        <sz val="11"/>
        <color theme="1"/>
        <rFont val="Calibri"/>
        <family val="2"/>
        <scheme val="minor"/>
      </rPr>
      <t>2</t>
    </r>
    <r>
      <rPr>
        <b/>
        <sz val="11"/>
        <color theme="1"/>
        <rFont val="Calibri"/>
        <family val="2"/>
        <scheme val="minor"/>
      </rPr>
      <t>)</t>
    </r>
  </si>
  <si>
    <t>FOH-20:0</t>
  </si>
  <si>
    <t>FOH-22:0</t>
  </si>
  <si>
    <t>FOH-24:0</t>
  </si>
  <si>
    <t>FOH-26:0</t>
  </si>
  <si>
    <t>FOH-28:0</t>
  </si>
  <si>
    <t>FOH-30:0</t>
  </si>
  <si>
    <t>FOH-32:0</t>
  </si>
  <si>
    <t>C22:0</t>
  </si>
  <si>
    <t>WE-38:0</t>
  </si>
  <si>
    <t>WE-40:0</t>
  </si>
  <si>
    <t>WE-42:0</t>
  </si>
  <si>
    <t>WE-44:0</t>
  </si>
  <si>
    <t>WE-46:0</t>
  </si>
  <si>
    <t>WE-48:0</t>
  </si>
  <si>
    <t>WE-50:0</t>
  </si>
  <si>
    <t>WE-52:0</t>
  </si>
  <si>
    <t>Coefficient r:</t>
  </si>
  <si>
    <t>N:</t>
  </si>
  <si>
    <t>T statistic:</t>
  </si>
  <si>
    <t>DF:</t>
  </si>
  <si>
    <r>
      <rPr>
        <b/>
        <i/>
        <sz val="11"/>
        <color theme="1"/>
        <rFont val="Calibri"/>
        <family val="2"/>
        <scheme val="minor"/>
      </rPr>
      <t>p</t>
    </r>
    <r>
      <rPr>
        <b/>
        <sz val="11"/>
        <color theme="1"/>
        <rFont val="Calibri"/>
        <family val="2"/>
        <scheme val="minor"/>
      </rPr>
      <t>-value:</t>
    </r>
  </si>
  <si>
    <t>Terpenoids</t>
  </si>
  <si>
    <t>cholesterol</t>
  </si>
  <si>
    <t>beta-sitosterol</t>
  </si>
  <si>
    <t>Cholesterol</t>
  </si>
  <si>
    <t>Campesterol</t>
  </si>
  <si>
    <t>Isofucosterol</t>
  </si>
  <si>
    <t>Sitosterol</t>
  </si>
  <si>
    <t>Stigmasterol</t>
  </si>
  <si>
    <r>
      <rPr>
        <vertAlign val="superscript"/>
        <sz val="11"/>
        <color theme="1"/>
        <rFont val="Calibri"/>
        <family val="2"/>
        <scheme val="minor"/>
      </rPr>
      <t>2</t>
    </r>
    <r>
      <rPr>
        <sz val="11"/>
        <color theme="1"/>
        <rFont val="Calibri"/>
        <family val="2"/>
        <scheme val="minor"/>
      </rPr>
      <t xml:space="preserve"> The conversion of FW into DW was conducted by assuming a dry weight content under conditions of optimal growth of 0.088 (g DW g</t>
    </r>
    <r>
      <rPr>
        <vertAlign val="superscript"/>
        <sz val="11"/>
        <color theme="1"/>
        <rFont val="Calibri"/>
        <family val="2"/>
        <scheme val="minor"/>
      </rPr>
      <t>-1</t>
    </r>
    <r>
      <rPr>
        <sz val="11"/>
        <color theme="1"/>
        <rFont val="Calibri"/>
        <family val="2"/>
        <scheme val="minor"/>
      </rPr>
      <t xml:space="preserve"> FW). (Arnold and Nikoloski, Plant Physiol. (2014), 165:1380–1391; Tschoep et al., Plant. Cell Environ. (2009), 32:300–318).</t>
    </r>
  </si>
  <si>
    <t>chlorophyll-a</t>
  </si>
  <si>
    <t>chlorophyll-b</t>
  </si>
  <si>
    <t>TI</t>
  </si>
  <si>
    <t>TE</t>
  </si>
  <si>
    <t>TM</t>
  </si>
  <si>
    <r>
      <rPr>
        <b/>
        <vertAlign val="superscript"/>
        <sz val="11"/>
        <color theme="1"/>
        <rFont val="Calibri"/>
        <family val="2"/>
        <scheme val="minor"/>
      </rPr>
      <t>1</t>
    </r>
    <r>
      <rPr>
        <b/>
        <sz val="11"/>
        <color theme="1"/>
        <rFont val="Calibri"/>
        <family val="2"/>
        <scheme val="minor"/>
      </rPr>
      <t>Year 1 (mg g</t>
    </r>
    <r>
      <rPr>
        <b/>
        <vertAlign val="superscript"/>
        <sz val="11"/>
        <color indexed="8"/>
        <rFont val="Calibri"/>
        <family val="2"/>
        <scheme val="minor"/>
      </rPr>
      <t xml:space="preserve">-1 </t>
    </r>
    <r>
      <rPr>
        <b/>
        <sz val="11"/>
        <color indexed="8"/>
        <rFont val="Calibri"/>
        <family val="2"/>
        <scheme val="minor"/>
      </rPr>
      <t>FW)</t>
    </r>
  </si>
  <si>
    <r>
      <rPr>
        <b/>
        <vertAlign val="superscript"/>
        <sz val="11"/>
        <color theme="1"/>
        <rFont val="Calibri"/>
        <family val="2"/>
        <scheme val="minor"/>
      </rPr>
      <t>1</t>
    </r>
    <r>
      <rPr>
        <b/>
        <sz val="11"/>
        <color theme="1"/>
        <rFont val="Calibri"/>
        <family val="2"/>
        <scheme val="minor"/>
      </rPr>
      <t>Year 2 (mg g</t>
    </r>
    <r>
      <rPr>
        <b/>
        <vertAlign val="superscript"/>
        <sz val="11"/>
        <color indexed="8"/>
        <rFont val="Calibri"/>
        <family val="2"/>
        <scheme val="minor"/>
      </rPr>
      <t xml:space="preserve">-1 </t>
    </r>
    <r>
      <rPr>
        <b/>
        <sz val="11"/>
        <color indexed="8"/>
        <rFont val="Calibri"/>
        <family val="2"/>
        <scheme val="minor"/>
      </rPr>
      <t>FW)</t>
    </r>
  </si>
  <si>
    <r>
      <rPr>
        <b/>
        <vertAlign val="superscript"/>
        <sz val="11"/>
        <color theme="1"/>
        <rFont val="Calibri"/>
        <family val="2"/>
        <scheme val="minor"/>
      </rPr>
      <t>1</t>
    </r>
    <r>
      <rPr>
        <b/>
        <sz val="11"/>
        <color theme="1"/>
        <rFont val="Calibri"/>
        <family val="2"/>
        <scheme val="minor"/>
      </rPr>
      <t>mg kg</t>
    </r>
    <r>
      <rPr>
        <b/>
        <vertAlign val="superscript"/>
        <sz val="11"/>
        <color indexed="8"/>
        <rFont val="Calibri"/>
        <family val="2"/>
        <scheme val="minor"/>
      </rPr>
      <t xml:space="preserve">-1 </t>
    </r>
    <r>
      <rPr>
        <b/>
        <sz val="11"/>
        <color indexed="8"/>
        <rFont val="Calibri"/>
        <family val="2"/>
        <scheme val="minor"/>
      </rPr>
      <t>f.w.</t>
    </r>
  </si>
  <si>
    <r>
      <rPr>
        <b/>
        <vertAlign val="superscript"/>
        <sz val="11"/>
        <color theme="1"/>
        <rFont val="Calibri"/>
        <family val="2"/>
        <scheme val="minor"/>
      </rPr>
      <t>2</t>
    </r>
    <r>
      <rPr>
        <b/>
        <sz val="11"/>
        <color theme="1"/>
        <rFont val="Calibri"/>
        <family val="2"/>
        <scheme val="minor"/>
      </rPr>
      <t>mg g</t>
    </r>
    <r>
      <rPr>
        <b/>
        <vertAlign val="superscript"/>
        <sz val="11"/>
        <color indexed="8"/>
        <rFont val="Calibri"/>
        <family val="2"/>
        <scheme val="minor"/>
      </rPr>
      <t xml:space="preserve">-1 </t>
    </r>
    <r>
      <rPr>
        <b/>
        <sz val="11"/>
        <color indexed="8"/>
        <rFont val="Calibri"/>
        <family val="2"/>
        <scheme val="minor"/>
      </rPr>
      <t>DW</t>
    </r>
  </si>
  <si>
    <t>Period</t>
  </si>
  <si>
    <t>Growth stage</t>
  </si>
  <si>
    <t>Total chlorophyll</t>
  </si>
  <si>
    <r>
      <rPr>
        <vertAlign val="superscript"/>
        <sz val="11"/>
        <color theme="1"/>
        <rFont val="Calibri"/>
        <family val="2"/>
        <scheme val="minor"/>
      </rPr>
      <t xml:space="preserve">6 </t>
    </r>
    <r>
      <rPr>
        <sz val="11"/>
        <color theme="1"/>
        <rFont val="Calibri"/>
        <family val="2"/>
        <scheme val="minor"/>
      </rPr>
      <t>wax esters</t>
    </r>
  </si>
  <si>
    <r>
      <rPr>
        <vertAlign val="superscript"/>
        <sz val="11"/>
        <color theme="1"/>
        <rFont val="Calibri"/>
        <family val="2"/>
        <scheme val="minor"/>
      </rPr>
      <t>5</t>
    </r>
    <r>
      <rPr>
        <sz val="11"/>
        <color theme="1"/>
        <rFont val="Calibri"/>
        <family val="2"/>
        <scheme val="minor"/>
      </rPr>
      <t>s-alcohols</t>
    </r>
  </si>
  <si>
    <r>
      <rPr>
        <vertAlign val="superscript"/>
        <sz val="11"/>
        <color theme="1"/>
        <rFont val="Calibri"/>
        <family val="2"/>
        <scheme val="minor"/>
      </rPr>
      <t>4</t>
    </r>
    <r>
      <rPr>
        <sz val="11"/>
        <color theme="1"/>
        <rFont val="Calibri"/>
        <family val="2"/>
        <scheme val="minor"/>
      </rPr>
      <t>ketones</t>
    </r>
  </si>
  <si>
    <r>
      <rPr>
        <b/>
        <vertAlign val="superscript"/>
        <sz val="11"/>
        <color theme="1"/>
        <rFont val="Calibri"/>
        <family val="2"/>
        <scheme val="minor"/>
      </rPr>
      <t>3</t>
    </r>
    <r>
      <rPr>
        <b/>
        <sz val="11"/>
        <color theme="1"/>
        <rFont val="Calibri"/>
        <family val="2"/>
        <scheme val="minor"/>
      </rPr>
      <t>μg g</t>
    </r>
    <r>
      <rPr>
        <b/>
        <vertAlign val="superscript"/>
        <sz val="11"/>
        <color theme="1"/>
        <rFont val="Calibri"/>
        <family val="2"/>
        <scheme val="minor"/>
      </rPr>
      <t xml:space="preserve">-1 </t>
    </r>
    <r>
      <rPr>
        <b/>
        <sz val="11"/>
        <color theme="1"/>
        <rFont val="Calibri"/>
        <family val="2"/>
        <scheme val="minor"/>
      </rPr>
      <t>DW</t>
    </r>
  </si>
  <si>
    <r>
      <rPr>
        <b/>
        <vertAlign val="superscript"/>
        <sz val="11"/>
        <color theme="1"/>
        <rFont val="Calibri"/>
        <family val="2"/>
      </rPr>
      <t>2</t>
    </r>
    <r>
      <rPr>
        <b/>
        <sz val="11"/>
        <color theme="1"/>
        <rFont val="Calibri"/>
        <family val="2"/>
      </rPr>
      <t>average (n</t>
    </r>
    <r>
      <rPr>
        <b/>
        <sz val="11"/>
        <color theme="1"/>
        <rFont val="Calibri"/>
        <family val="2"/>
        <scheme val="minor"/>
      </rPr>
      <t>g cm</t>
    </r>
    <r>
      <rPr>
        <b/>
        <vertAlign val="superscript"/>
        <sz val="11"/>
        <color theme="1"/>
        <rFont val="Calibri"/>
        <family val="2"/>
        <scheme val="minor"/>
      </rPr>
      <t>-2</t>
    </r>
    <r>
      <rPr>
        <b/>
        <sz val="11"/>
        <color theme="1"/>
        <rFont val="Calibri"/>
        <family val="2"/>
        <scheme val="minor"/>
      </rPr>
      <t>)</t>
    </r>
  </si>
  <si>
    <r>
      <t xml:space="preserve">1 </t>
    </r>
    <r>
      <rPr>
        <sz val="11"/>
        <color theme="1"/>
        <rFont val="Calibri"/>
        <family val="2"/>
        <scheme val="minor"/>
      </rPr>
      <t>Potato (</t>
    </r>
    <r>
      <rPr>
        <i/>
        <sz val="11"/>
        <color theme="1"/>
        <rFont val="Calibri"/>
        <family val="2"/>
        <scheme val="minor"/>
      </rPr>
      <t>Solanum tuberosum</t>
    </r>
    <r>
      <rPr>
        <sz val="11"/>
        <color theme="1"/>
        <rFont val="Calibri"/>
        <family val="2"/>
        <scheme val="minor"/>
      </rPr>
      <t>) plants (cv. Aster, Ibis, Maryna, and Perkoz) were field-grown from certified seed tubers. Three-week-old plants were harvested for analysis. The leaf cuticular waxes were extracted by dipping and shaking the leaves (100 g) in CH2Cl2 for 10 s. The source data was published by Szafranek and Synak (Phytochemistry (2006), 67:80-90, doi:10.1016/j.phytochem.2005.10.012)</t>
    </r>
  </si>
  <si>
    <t>chain name</t>
  </si>
  <si>
    <t>C16_0-chain[c]</t>
  </si>
  <si>
    <t>C16_1-chain[c]</t>
  </si>
  <si>
    <t>C16_2-chain[c]</t>
  </si>
  <si>
    <t>C16_3-chain[c]</t>
  </si>
  <si>
    <t>C18_0-chain[c]</t>
  </si>
  <si>
    <t>C18_1-chain[c]</t>
  </si>
  <si>
    <t>C18_2-chain[c]</t>
  </si>
  <si>
    <t>C18_3-chain[c]</t>
  </si>
  <si>
    <t>C20_0-chain[c]</t>
  </si>
  <si>
    <r>
      <rPr>
        <b/>
        <vertAlign val="superscript"/>
        <sz val="11"/>
        <color theme="1"/>
        <rFont val="Calibri"/>
        <family val="2"/>
        <scheme val="minor"/>
      </rPr>
      <t>2</t>
    </r>
    <r>
      <rPr>
        <b/>
        <sz val="11"/>
        <color theme="1"/>
        <rFont val="Calibri"/>
        <family val="2"/>
        <scheme val="minor"/>
      </rPr>
      <t>μmol g</t>
    </r>
    <r>
      <rPr>
        <b/>
        <vertAlign val="superscript"/>
        <sz val="11"/>
        <color theme="1"/>
        <rFont val="Calibri"/>
        <family val="2"/>
        <scheme val="minor"/>
      </rPr>
      <t>-1</t>
    </r>
    <r>
      <rPr>
        <b/>
        <sz val="11"/>
        <color theme="1"/>
        <rFont val="Calibri"/>
        <family val="2"/>
        <scheme val="minor"/>
      </rPr>
      <t xml:space="preserve"> DW</t>
    </r>
  </si>
  <si>
    <r>
      <rPr>
        <vertAlign val="superscript"/>
        <sz val="11"/>
        <color theme="1"/>
        <rFont val="Calibri"/>
        <family val="2"/>
        <scheme val="minor"/>
      </rPr>
      <t xml:space="preserve">2 </t>
    </r>
    <r>
      <rPr>
        <sz val="11"/>
        <color theme="1"/>
        <rFont val="Calibri"/>
        <family val="2"/>
        <scheme val="minor"/>
      </rPr>
      <t>The conversion of FW into DW was conducted by assuming a dry weight content under conditions of optimal growth of 0.088 (g DW g</t>
    </r>
    <r>
      <rPr>
        <vertAlign val="superscript"/>
        <sz val="11"/>
        <color theme="1"/>
        <rFont val="Calibri"/>
        <family val="2"/>
        <scheme val="minor"/>
      </rPr>
      <t xml:space="preserve">-1 </t>
    </r>
    <r>
      <rPr>
        <sz val="11"/>
        <color theme="1"/>
        <rFont val="Calibri"/>
        <family val="2"/>
        <scheme val="minor"/>
      </rPr>
      <t xml:space="preserve">FW), </t>
    </r>
  </si>
  <si>
    <r>
      <rPr>
        <vertAlign val="superscript"/>
        <sz val="11"/>
        <color theme="1"/>
        <rFont val="Calibri"/>
        <family val="2"/>
        <scheme val="minor"/>
      </rPr>
      <t>3</t>
    </r>
    <r>
      <rPr>
        <sz val="11"/>
        <color theme="1"/>
        <rFont val="Calibri"/>
        <family val="2"/>
        <scheme val="minor"/>
      </rPr>
      <t xml:space="preserve"> The value of mass is mg/g FW.</t>
    </r>
  </si>
  <si>
    <r>
      <rPr>
        <vertAlign val="superscript"/>
        <sz val="11"/>
        <color theme="1"/>
        <rFont val="Calibri"/>
        <family val="2"/>
        <scheme val="minor"/>
      </rPr>
      <t>4</t>
    </r>
    <r>
      <rPr>
        <sz val="11"/>
        <color theme="1"/>
        <rFont val="Calibri"/>
        <family val="2"/>
        <scheme val="minor"/>
      </rPr>
      <t>IU</t>
    </r>
  </si>
  <si>
    <r>
      <rPr>
        <vertAlign val="superscript"/>
        <sz val="11"/>
        <rFont val="Calibri"/>
        <family val="2"/>
        <scheme val="minor"/>
      </rPr>
      <t>3</t>
    </r>
    <r>
      <rPr>
        <sz val="11"/>
        <rFont val="Calibri"/>
        <family val="2"/>
        <scheme val="minor"/>
      </rPr>
      <t>Mass</t>
    </r>
  </si>
  <si>
    <r>
      <rPr>
        <vertAlign val="superscript"/>
        <sz val="11"/>
        <color theme="1"/>
        <rFont val="Calibri"/>
        <family val="2"/>
        <scheme val="minor"/>
      </rPr>
      <t>3</t>
    </r>
    <r>
      <rPr>
        <sz val="11"/>
        <color theme="1"/>
        <rFont val="Calibri"/>
        <family val="2"/>
        <scheme val="minor"/>
      </rPr>
      <t xml:space="preserve"> The conversion of FW into DW was conducted by assuming a dry weight content under conditions of optimal growth of 0.088 (g DW g</t>
    </r>
    <r>
      <rPr>
        <vertAlign val="superscript"/>
        <sz val="11"/>
        <color theme="1"/>
        <rFont val="Calibri"/>
        <family val="2"/>
        <scheme val="minor"/>
      </rPr>
      <t>-1</t>
    </r>
    <r>
      <rPr>
        <sz val="11"/>
        <color theme="1"/>
        <rFont val="Calibri"/>
        <family val="2"/>
        <scheme val="minor"/>
      </rPr>
      <t xml:space="preserve"> FW). (Arnold and Nikoloski, Plant Physiol. (2014), 165:1380–1391; Tschoep et al., Plant. Cell Environ. (2009), 32:300–318).</t>
    </r>
  </si>
  <si>
    <r>
      <rPr>
        <b/>
        <vertAlign val="superscript"/>
        <sz val="11"/>
        <color theme="1"/>
        <rFont val="Calibri"/>
        <family val="2"/>
        <scheme val="minor"/>
      </rPr>
      <t>3</t>
    </r>
    <r>
      <rPr>
        <b/>
        <sz val="11"/>
        <color theme="1"/>
        <rFont val="Calibri"/>
        <family val="2"/>
        <scheme val="minor"/>
      </rPr>
      <t>mg g</t>
    </r>
    <r>
      <rPr>
        <b/>
        <vertAlign val="superscript"/>
        <sz val="11"/>
        <color indexed="8"/>
        <rFont val="Calibri"/>
        <family val="2"/>
        <scheme val="minor"/>
      </rPr>
      <t xml:space="preserve">-1 </t>
    </r>
    <r>
      <rPr>
        <b/>
        <sz val="11"/>
        <color indexed="8"/>
        <rFont val="Calibri"/>
        <family val="2"/>
        <scheme val="minor"/>
      </rPr>
      <t>DW</t>
    </r>
  </si>
  <si>
    <r>
      <rPr>
        <b/>
        <vertAlign val="superscript"/>
        <sz val="11"/>
        <color theme="1"/>
        <rFont val="Calibri"/>
        <family val="2"/>
        <scheme val="minor"/>
      </rPr>
      <t>2</t>
    </r>
    <r>
      <rPr>
        <b/>
        <sz val="11"/>
        <color theme="1"/>
        <rFont val="Calibri"/>
        <family val="2"/>
        <scheme val="minor"/>
      </rPr>
      <t>average</t>
    </r>
  </si>
  <si>
    <r>
      <rPr>
        <vertAlign val="superscript"/>
        <sz val="11"/>
        <color theme="1"/>
        <rFont val="Calibri"/>
        <family val="2"/>
        <scheme val="minor"/>
      </rPr>
      <t>2</t>
    </r>
    <r>
      <rPr>
        <sz val="11"/>
        <color theme="1"/>
        <rFont val="Calibri"/>
        <family val="2"/>
        <scheme val="minor"/>
      </rPr>
      <t xml:space="preserve"> Since the data was measured for plants at three developmental stages: TI = Tuber initiation, TE =Tuber enlargement and TM = Tuber maturation (the growth stage was identified and confirmed by uprooting the plants and by examining the stage of tuber development), for the calculation of the averages the chlorophyll values measured in plants in the tuber initiation stage were selected.</t>
    </r>
  </si>
  <si>
    <t>C22_0-chain[c]</t>
  </si>
  <si>
    <t>C24_0-chain[c]</t>
  </si>
  <si>
    <t>C26_0-chain[c]</t>
  </si>
  <si>
    <t>C28_0-chain[c]</t>
  </si>
  <si>
    <t>C30_0-chain[c]</t>
  </si>
  <si>
    <r>
      <rPr>
        <vertAlign val="superscript"/>
        <sz val="11"/>
        <color theme="1"/>
        <rFont val="Calibri"/>
        <family val="2"/>
        <scheme val="minor"/>
      </rPr>
      <t>1</t>
    </r>
    <r>
      <rPr>
        <sz val="11"/>
        <color theme="1"/>
        <rFont val="Calibri"/>
        <family val="2"/>
        <scheme val="minor"/>
      </rPr>
      <t>C16:0</t>
    </r>
  </si>
  <si>
    <r>
      <rPr>
        <vertAlign val="superscript"/>
        <sz val="11"/>
        <color theme="1"/>
        <rFont val="Calibri"/>
        <family val="2"/>
        <scheme val="minor"/>
      </rPr>
      <t>1</t>
    </r>
    <r>
      <rPr>
        <sz val="11"/>
        <color theme="1"/>
        <rFont val="Calibri"/>
        <family val="2"/>
        <scheme val="minor"/>
      </rPr>
      <t>C16:1</t>
    </r>
  </si>
  <si>
    <r>
      <rPr>
        <vertAlign val="superscript"/>
        <sz val="11"/>
        <color theme="1"/>
        <rFont val="Calibri"/>
        <family val="2"/>
        <scheme val="minor"/>
      </rPr>
      <t>2</t>
    </r>
    <r>
      <rPr>
        <sz val="11"/>
        <color theme="1"/>
        <rFont val="Calibri"/>
        <family val="2"/>
        <scheme val="minor"/>
      </rPr>
      <t>C16:2</t>
    </r>
  </si>
  <si>
    <r>
      <rPr>
        <vertAlign val="superscript"/>
        <sz val="11"/>
        <color theme="1"/>
        <rFont val="Calibri"/>
        <family val="2"/>
        <scheme val="minor"/>
      </rPr>
      <t>1</t>
    </r>
    <r>
      <rPr>
        <sz val="11"/>
        <color theme="1"/>
        <rFont val="Calibri"/>
        <family val="2"/>
        <scheme val="minor"/>
      </rPr>
      <t>C16:3</t>
    </r>
  </si>
  <si>
    <r>
      <rPr>
        <vertAlign val="superscript"/>
        <sz val="11"/>
        <color theme="1"/>
        <rFont val="Calibri"/>
        <family val="2"/>
        <scheme val="minor"/>
      </rPr>
      <t>1</t>
    </r>
    <r>
      <rPr>
        <sz val="11"/>
        <color theme="1"/>
        <rFont val="Calibri"/>
        <family val="2"/>
        <scheme val="minor"/>
      </rPr>
      <t>C18:0</t>
    </r>
  </si>
  <si>
    <r>
      <rPr>
        <vertAlign val="superscript"/>
        <sz val="11"/>
        <color theme="1"/>
        <rFont val="Calibri"/>
        <family val="2"/>
        <scheme val="minor"/>
      </rPr>
      <t>1</t>
    </r>
    <r>
      <rPr>
        <sz val="11"/>
        <color theme="1"/>
        <rFont val="Calibri"/>
        <family val="2"/>
        <scheme val="minor"/>
      </rPr>
      <t>C18:1</t>
    </r>
    <r>
      <rPr>
        <sz val="11"/>
        <color theme="1"/>
        <rFont val="Calibri"/>
        <family val="2"/>
        <scheme val="minor"/>
      </rPr>
      <t/>
    </r>
  </si>
  <si>
    <r>
      <rPr>
        <vertAlign val="superscript"/>
        <sz val="11"/>
        <color theme="1"/>
        <rFont val="Calibri"/>
        <family val="2"/>
        <scheme val="minor"/>
      </rPr>
      <t>1</t>
    </r>
    <r>
      <rPr>
        <sz val="11"/>
        <color theme="1"/>
        <rFont val="Calibri"/>
        <family val="2"/>
        <scheme val="minor"/>
      </rPr>
      <t>C18:2</t>
    </r>
    <r>
      <rPr>
        <sz val="11"/>
        <color theme="1"/>
        <rFont val="Calibri"/>
        <family val="2"/>
        <scheme val="minor"/>
      </rPr>
      <t/>
    </r>
  </si>
  <si>
    <r>
      <rPr>
        <vertAlign val="superscript"/>
        <sz val="11"/>
        <color theme="1"/>
        <rFont val="Calibri"/>
        <family val="2"/>
        <scheme val="minor"/>
      </rPr>
      <t>1</t>
    </r>
    <r>
      <rPr>
        <sz val="11"/>
        <color theme="1"/>
        <rFont val="Calibri"/>
        <family val="2"/>
        <scheme val="minor"/>
      </rPr>
      <t>C18:3</t>
    </r>
    <r>
      <rPr>
        <sz val="11"/>
        <color theme="1"/>
        <rFont val="Calibri"/>
        <family val="2"/>
        <scheme val="minor"/>
      </rPr>
      <t/>
    </r>
  </si>
  <si>
    <r>
      <rPr>
        <vertAlign val="superscript"/>
        <sz val="11"/>
        <color theme="1"/>
        <rFont val="Calibri"/>
        <family val="2"/>
        <scheme val="minor"/>
      </rPr>
      <t>2</t>
    </r>
    <r>
      <rPr>
        <sz val="11"/>
        <color theme="1"/>
        <rFont val="Calibri"/>
        <family val="2"/>
        <scheme val="minor"/>
      </rPr>
      <t>C20:0</t>
    </r>
  </si>
  <si>
    <r>
      <rPr>
        <vertAlign val="superscript"/>
        <sz val="11"/>
        <color theme="1"/>
        <rFont val="Calibri"/>
        <family val="2"/>
        <scheme val="minor"/>
      </rPr>
      <t>3</t>
    </r>
    <r>
      <rPr>
        <sz val="11"/>
        <color theme="1"/>
        <rFont val="Calibri"/>
        <family val="2"/>
        <scheme val="minor"/>
      </rPr>
      <t>C22:0</t>
    </r>
  </si>
  <si>
    <r>
      <rPr>
        <vertAlign val="superscript"/>
        <sz val="11"/>
        <color theme="1"/>
        <rFont val="Calibri"/>
        <family val="2"/>
        <scheme val="minor"/>
      </rPr>
      <t>3</t>
    </r>
    <r>
      <rPr>
        <sz val="11"/>
        <color theme="1"/>
        <rFont val="Calibri"/>
        <family val="2"/>
        <scheme val="minor"/>
      </rPr>
      <t>C24:0</t>
    </r>
  </si>
  <si>
    <r>
      <rPr>
        <vertAlign val="superscript"/>
        <sz val="11"/>
        <color theme="1"/>
        <rFont val="Calibri"/>
        <family val="2"/>
        <scheme val="minor"/>
      </rPr>
      <t>3</t>
    </r>
    <r>
      <rPr>
        <sz val="11"/>
        <color theme="1"/>
        <rFont val="Calibri"/>
        <family val="2"/>
        <scheme val="minor"/>
      </rPr>
      <t>C26:0</t>
    </r>
  </si>
  <si>
    <r>
      <rPr>
        <vertAlign val="superscript"/>
        <sz val="11"/>
        <color theme="1"/>
        <rFont val="Calibri"/>
        <family val="2"/>
        <scheme val="minor"/>
      </rPr>
      <t>3</t>
    </r>
    <r>
      <rPr>
        <sz val="11"/>
        <color theme="1"/>
        <rFont val="Calibri"/>
        <family val="2"/>
        <scheme val="minor"/>
      </rPr>
      <t>C28:0</t>
    </r>
  </si>
  <si>
    <r>
      <rPr>
        <vertAlign val="superscript"/>
        <sz val="11"/>
        <color theme="1"/>
        <rFont val="Calibri"/>
        <family val="2"/>
        <scheme val="minor"/>
      </rPr>
      <t>3</t>
    </r>
    <r>
      <rPr>
        <sz val="11"/>
        <color theme="1"/>
        <rFont val="Calibri"/>
        <family val="2"/>
        <scheme val="minor"/>
      </rPr>
      <t>C30:0</t>
    </r>
  </si>
  <si>
    <r>
      <rPr>
        <vertAlign val="superscript"/>
        <sz val="11"/>
        <color theme="1"/>
        <rFont val="Calibri"/>
        <family val="2"/>
        <scheme val="minor"/>
      </rPr>
      <t>3</t>
    </r>
    <r>
      <rPr>
        <sz val="11"/>
        <color theme="1"/>
        <rFont val="Calibri"/>
        <family val="2"/>
        <scheme val="minor"/>
      </rPr>
      <t>C27:0</t>
    </r>
  </si>
  <si>
    <r>
      <rPr>
        <vertAlign val="superscript"/>
        <sz val="11"/>
        <color theme="1"/>
        <rFont val="Calibri"/>
        <family val="2"/>
        <scheme val="minor"/>
      </rPr>
      <t>3</t>
    </r>
    <r>
      <rPr>
        <sz val="11"/>
        <color theme="1"/>
        <rFont val="Calibri"/>
        <family val="2"/>
        <scheme val="minor"/>
      </rPr>
      <t>C29:0</t>
    </r>
  </si>
  <si>
    <r>
      <rPr>
        <vertAlign val="superscript"/>
        <sz val="11"/>
        <color theme="1"/>
        <rFont val="Calibri"/>
        <family val="2"/>
        <scheme val="minor"/>
      </rPr>
      <t>3</t>
    </r>
    <r>
      <rPr>
        <sz val="11"/>
        <color theme="1"/>
        <rFont val="Calibri"/>
        <family val="2"/>
        <scheme val="minor"/>
      </rPr>
      <t>C31:0</t>
    </r>
  </si>
  <si>
    <r>
      <rPr>
        <vertAlign val="superscript"/>
        <sz val="11"/>
        <color theme="1"/>
        <rFont val="Calibri"/>
        <family val="2"/>
        <scheme val="minor"/>
      </rPr>
      <t>3</t>
    </r>
    <r>
      <rPr>
        <sz val="11"/>
        <color theme="1"/>
        <rFont val="Calibri"/>
        <family val="2"/>
        <scheme val="minor"/>
      </rPr>
      <t>C33:0</t>
    </r>
  </si>
  <si>
    <r>
      <rPr>
        <vertAlign val="superscript"/>
        <sz val="11"/>
        <color theme="1"/>
        <rFont val="Calibri"/>
        <family val="2"/>
        <scheme val="minor"/>
      </rPr>
      <t>3</t>
    </r>
    <r>
      <rPr>
        <sz val="11"/>
        <color theme="1"/>
        <rFont val="Calibri"/>
        <family val="2"/>
        <scheme val="minor"/>
      </rPr>
      <t>FOH-18:0</t>
    </r>
  </si>
  <si>
    <r>
      <rPr>
        <vertAlign val="superscript"/>
        <sz val="11"/>
        <color theme="1"/>
        <rFont val="Calibri"/>
        <family val="2"/>
        <scheme val="minor"/>
      </rPr>
      <t>3</t>
    </r>
    <r>
      <rPr>
        <sz val="11"/>
        <color theme="1"/>
        <rFont val="Calibri"/>
        <family val="2"/>
        <scheme val="minor"/>
      </rPr>
      <t>FOH-20:0</t>
    </r>
  </si>
  <si>
    <r>
      <rPr>
        <vertAlign val="superscript"/>
        <sz val="11"/>
        <color theme="1"/>
        <rFont val="Calibri"/>
        <family val="2"/>
        <scheme val="minor"/>
      </rPr>
      <t>3</t>
    </r>
    <r>
      <rPr>
        <sz val="11"/>
        <color theme="1"/>
        <rFont val="Calibri"/>
        <family val="2"/>
        <scheme val="minor"/>
      </rPr>
      <t>FOH-22:0</t>
    </r>
  </si>
  <si>
    <r>
      <rPr>
        <vertAlign val="superscript"/>
        <sz val="11"/>
        <color theme="1"/>
        <rFont val="Calibri"/>
        <family val="2"/>
        <scheme val="minor"/>
      </rPr>
      <t>3</t>
    </r>
    <r>
      <rPr>
        <sz val="11"/>
        <color theme="1"/>
        <rFont val="Calibri"/>
        <family val="2"/>
        <scheme val="minor"/>
      </rPr>
      <t>FOH-24:0</t>
    </r>
  </si>
  <si>
    <r>
      <rPr>
        <vertAlign val="superscript"/>
        <sz val="11"/>
        <color theme="1"/>
        <rFont val="Calibri"/>
        <family val="2"/>
        <scheme val="minor"/>
      </rPr>
      <t>3</t>
    </r>
    <r>
      <rPr>
        <sz val="11"/>
        <color theme="1"/>
        <rFont val="Calibri"/>
        <family val="2"/>
        <scheme val="minor"/>
      </rPr>
      <t>FOH-26:0</t>
    </r>
  </si>
  <si>
    <r>
      <rPr>
        <vertAlign val="superscript"/>
        <sz val="11"/>
        <color theme="1"/>
        <rFont val="Calibri"/>
        <family val="2"/>
        <scheme val="minor"/>
      </rPr>
      <t>3</t>
    </r>
    <r>
      <rPr>
        <sz val="11"/>
        <color theme="1"/>
        <rFont val="Calibri"/>
        <family val="2"/>
        <scheme val="minor"/>
      </rPr>
      <t>FOH-28:0</t>
    </r>
  </si>
  <si>
    <r>
      <rPr>
        <vertAlign val="superscript"/>
        <sz val="11"/>
        <color theme="1"/>
        <rFont val="Calibri"/>
        <family val="2"/>
        <scheme val="minor"/>
      </rPr>
      <t>3</t>
    </r>
    <r>
      <rPr>
        <sz val="11"/>
        <color theme="1"/>
        <rFont val="Calibri"/>
        <family val="2"/>
        <scheme val="minor"/>
      </rPr>
      <t>FOH-30:0</t>
    </r>
  </si>
  <si>
    <r>
      <rPr>
        <vertAlign val="superscript"/>
        <sz val="11"/>
        <color theme="1"/>
        <rFont val="Calibri"/>
        <family val="2"/>
        <scheme val="minor"/>
      </rPr>
      <t>3</t>
    </r>
    <r>
      <rPr>
        <sz val="11"/>
        <color theme="1"/>
        <rFont val="Calibri"/>
        <family val="2"/>
        <scheme val="minor"/>
      </rPr>
      <t>FOH-32:0</t>
    </r>
  </si>
  <si>
    <t>C27_0-chain[c]</t>
  </si>
  <si>
    <t>C31_0-chain[c]</t>
  </si>
  <si>
    <t>C29_0-chain[c]</t>
  </si>
  <si>
    <t>C33_0-chain[c]</t>
  </si>
  <si>
    <t>FOH-18_0-chain[c]</t>
  </si>
  <si>
    <t>FOH-20_0-chain[c]</t>
  </si>
  <si>
    <t>FOH-22_0-chain[c]</t>
  </si>
  <si>
    <t>FOH-24_0-chain[c]</t>
  </si>
  <si>
    <t>FOH-26_0-chain[c]</t>
  </si>
  <si>
    <t>FOH-28_0-chain[c]</t>
  </si>
  <si>
    <t>FOH-30_0-chain[c]</t>
  </si>
  <si>
    <t>FOH-32_0-chain[c]</t>
  </si>
  <si>
    <t>C29-14k-chain[c]</t>
  </si>
  <si>
    <t>C27-12OH-chain[c]</t>
  </si>
  <si>
    <t>C27-13OH-chain[c]</t>
  </si>
  <si>
    <t>C27-14OH-chain[c]</t>
  </si>
  <si>
    <t>C29-13OH-chain[c]</t>
  </si>
  <si>
    <t>C29-14OH-chain[c]</t>
  </si>
  <si>
    <t>C29-15OH-chain[c]</t>
  </si>
  <si>
    <t>FAL-22_0-chain[c]</t>
  </si>
  <si>
    <t>FAL-24_0-chain[c]</t>
  </si>
  <si>
    <t>FAL-26_0-chain[c]</t>
  </si>
  <si>
    <t>FAL-28_0-chain[c]</t>
  </si>
  <si>
    <t>FAL-30_0-chain[c]</t>
  </si>
  <si>
    <t>FAL-32_0-chain[c]</t>
  </si>
  <si>
    <r>
      <rPr>
        <vertAlign val="superscript"/>
        <sz val="11"/>
        <color theme="1"/>
        <rFont val="Calibri"/>
        <family val="2"/>
        <scheme val="minor"/>
      </rPr>
      <t>3</t>
    </r>
    <r>
      <rPr>
        <sz val="11"/>
        <color theme="1"/>
        <rFont val="Calibri"/>
        <family val="2"/>
        <scheme val="minor"/>
      </rPr>
      <t>C29-14k</t>
    </r>
  </si>
  <si>
    <r>
      <rPr>
        <vertAlign val="superscript"/>
        <sz val="11"/>
        <color theme="1"/>
        <rFont val="Calibri"/>
        <family val="2"/>
        <scheme val="minor"/>
      </rPr>
      <t>3</t>
    </r>
    <r>
      <rPr>
        <sz val="11"/>
        <color theme="1"/>
        <rFont val="Calibri"/>
        <family val="2"/>
        <scheme val="minor"/>
      </rPr>
      <t>C27-12OH</t>
    </r>
  </si>
  <si>
    <r>
      <rPr>
        <vertAlign val="superscript"/>
        <sz val="11"/>
        <color theme="1"/>
        <rFont val="Calibri"/>
        <family val="2"/>
        <scheme val="minor"/>
      </rPr>
      <t>3</t>
    </r>
    <r>
      <rPr>
        <sz val="11"/>
        <color theme="1"/>
        <rFont val="Calibri"/>
        <family val="2"/>
        <scheme val="minor"/>
      </rPr>
      <t>C27-13OH</t>
    </r>
  </si>
  <si>
    <r>
      <rPr>
        <vertAlign val="superscript"/>
        <sz val="11"/>
        <color theme="1"/>
        <rFont val="Calibri"/>
        <family val="2"/>
        <scheme val="minor"/>
      </rPr>
      <t>3</t>
    </r>
    <r>
      <rPr>
        <sz val="11"/>
        <color theme="1"/>
        <rFont val="Calibri"/>
        <family val="2"/>
        <scheme val="minor"/>
      </rPr>
      <t>C27-14OH</t>
    </r>
  </si>
  <si>
    <r>
      <rPr>
        <vertAlign val="superscript"/>
        <sz val="11"/>
        <color theme="1"/>
        <rFont val="Calibri"/>
        <family val="2"/>
        <scheme val="minor"/>
      </rPr>
      <t>3</t>
    </r>
    <r>
      <rPr>
        <sz val="11"/>
        <color theme="1"/>
        <rFont val="Calibri"/>
        <family val="2"/>
        <scheme val="minor"/>
      </rPr>
      <t>C29-13OH</t>
    </r>
  </si>
  <si>
    <r>
      <rPr>
        <vertAlign val="superscript"/>
        <sz val="11"/>
        <color theme="1"/>
        <rFont val="Calibri"/>
        <family val="2"/>
        <scheme val="minor"/>
      </rPr>
      <t>3</t>
    </r>
    <r>
      <rPr>
        <sz val="11"/>
        <color theme="1"/>
        <rFont val="Calibri"/>
        <family val="2"/>
        <scheme val="minor"/>
      </rPr>
      <t>C29-14OH</t>
    </r>
  </si>
  <si>
    <r>
      <rPr>
        <vertAlign val="superscript"/>
        <sz val="11"/>
        <color theme="1"/>
        <rFont val="Calibri"/>
        <family val="2"/>
        <scheme val="minor"/>
      </rPr>
      <t>3</t>
    </r>
    <r>
      <rPr>
        <sz val="11"/>
        <color theme="1"/>
        <rFont val="Calibri"/>
        <family val="2"/>
        <scheme val="minor"/>
      </rPr>
      <t>C29-15OH</t>
    </r>
  </si>
  <si>
    <r>
      <rPr>
        <vertAlign val="superscript"/>
        <sz val="11"/>
        <color theme="1"/>
        <rFont val="Calibri"/>
        <family val="2"/>
        <scheme val="minor"/>
      </rPr>
      <t>3</t>
    </r>
    <r>
      <rPr>
        <sz val="11"/>
        <color theme="1"/>
        <rFont val="Calibri"/>
        <family val="2"/>
        <scheme val="minor"/>
      </rPr>
      <t>FAL-22_0</t>
    </r>
  </si>
  <si>
    <r>
      <rPr>
        <vertAlign val="superscript"/>
        <sz val="11"/>
        <color theme="1"/>
        <rFont val="Calibri"/>
        <family val="2"/>
        <scheme val="minor"/>
      </rPr>
      <t>3</t>
    </r>
    <r>
      <rPr>
        <sz val="11"/>
        <color theme="1"/>
        <rFont val="Calibri"/>
        <family val="2"/>
        <scheme val="minor"/>
      </rPr>
      <t>FAL-24_0</t>
    </r>
  </si>
  <si>
    <r>
      <rPr>
        <vertAlign val="superscript"/>
        <sz val="11"/>
        <color theme="1"/>
        <rFont val="Calibri"/>
        <family val="2"/>
        <scheme val="minor"/>
      </rPr>
      <t>3</t>
    </r>
    <r>
      <rPr>
        <sz val="11"/>
        <color theme="1"/>
        <rFont val="Calibri"/>
        <family val="2"/>
        <scheme val="minor"/>
      </rPr>
      <t>FAL-26_0</t>
    </r>
  </si>
  <si>
    <r>
      <rPr>
        <vertAlign val="superscript"/>
        <sz val="11"/>
        <color theme="1"/>
        <rFont val="Calibri"/>
        <family val="2"/>
        <scheme val="minor"/>
      </rPr>
      <t>3</t>
    </r>
    <r>
      <rPr>
        <sz val="11"/>
        <color theme="1"/>
        <rFont val="Calibri"/>
        <family val="2"/>
        <scheme val="minor"/>
      </rPr>
      <t>FAL-28_0</t>
    </r>
  </si>
  <si>
    <r>
      <rPr>
        <vertAlign val="superscript"/>
        <sz val="11"/>
        <color theme="1"/>
        <rFont val="Calibri"/>
        <family val="2"/>
        <scheme val="minor"/>
      </rPr>
      <t>3</t>
    </r>
    <r>
      <rPr>
        <sz val="11"/>
        <color theme="1"/>
        <rFont val="Calibri"/>
        <family val="2"/>
        <scheme val="minor"/>
      </rPr>
      <t>FAL-30_0</t>
    </r>
  </si>
  <si>
    <r>
      <rPr>
        <vertAlign val="superscript"/>
        <sz val="11"/>
        <color theme="1"/>
        <rFont val="Calibri"/>
        <family val="2"/>
        <scheme val="minor"/>
      </rPr>
      <t>3</t>
    </r>
    <r>
      <rPr>
        <sz val="11"/>
        <color theme="1"/>
        <rFont val="Calibri"/>
        <family val="2"/>
        <scheme val="minor"/>
      </rPr>
      <t>FAL-32_0</t>
    </r>
  </si>
  <si>
    <r>
      <rPr>
        <vertAlign val="superscript"/>
        <sz val="11"/>
        <color theme="1"/>
        <rFont val="Calibri"/>
        <family val="2"/>
        <scheme val="minor"/>
      </rPr>
      <t>4</t>
    </r>
    <r>
      <rPr>
        <sz val="11"/>
        <color theme="1"/>
        <rFont val="Calibri"/>
        <family val="2"/>
        <scheme val="minor"/>
      </rPr>
      <t>Cholesterol</t>
    </r>
  </si>
  <si>
    <r>
      <rPr>
        <vertAlign val="superscript"/>
        <sz val="11"/>
        <color theme="1"/>
        <rFont val="Calibri"/>
        <family val="2"/>
        <scheme val="minor"/>
      </rPr>
      <t>4</t>
    </r>
    <r>
      <rPr>
        <sz val="11"/>
        <color theme="1"/>
        <rFont val="Calibri"/>
        <family val="2"/>
        <scheme val="minor"/>
      </rPr>
      <t>Campesterol</t>
    </r>
  </si>
  <si>
    <r>
      <rPr>
        <vertAlign val="superscript"/>
        <sz val="11"/>
        <color theme="1"/>
        <rFont val="Calibri"/>
        <family val="2"/>
        <scheme val="minor"/>
      </rPr>
      <t>4</t>
    </r>
    <r>
      <rPr>
        <sz val="11"/>
        <color theme="1"/>
        <rFont val="Calibri"/>
        <family val="2"/>
        <scheme val="minor"/>
      </rPr>
      <t>Sitosterol</t>
    </r>
  </si>
  <si>
    <r>
      <rPr>
        <vertAlign val="superscript"/>
        <sz val="11"/>
        <color theme="1"/>
        <rFont val="Calibri"/>
        <family val="2"/>
        <scheme val="minor"/>
      </rPr>
      <t>4</t>
    </r>
    <r>
      <rPr>
        <sz val="11"/>
        <color theme="1"/>
        <rFont val="Calibri"/>
        <family val="2"/>
        <scheme val="minor"/>
      </rPr>
      <t>Stigmasterol</t>
    </r>
  </si>
  <si>
    <t>Campesterol-chain[c]</t>
  </si>
  <si>
    <t>Sitosterol-chain[c]</t>
  </si>
  <si>
    <t>Stigmasterol-chain[c]</t>
  </si>
  <si>
    <t>Cholesterol-chain[c]</t>
  </si>
  <si>
    <t>Phytyl-chain[c]</t>
  </si>
  <si>
    <r>
      <rPr>
        <vertAlign val="superscript"/>
        <sz val="11"/>
        <color theme="1"/>
        <rFont val="Calibri"/>
        <family val="2"/>
        <scheme val="minor"/>
      </rPr>
      <t>5</t>
    </r>
    <r>
      <rPr>
        <sz val="11"/>
        <color theme="1"/>
        <rFont val="Calibri"/>
        <family val="2"/>
        <scheme val="minor"/>
      </rPr>
      <t>Total chlorophyll</t>
    </r>
  </si>
  <si>
    <r>
      <rPr>
        <vertAlign val="superscript"/>
        <sz val="11"/>
        <color theme="1"/>
        <rFont val="Calibri"/>
        <family val="2"/>
        <scheme val="minor"/>
      </rPr>
      <t>1</t>
    </r>
    <r>
      <rPr>
        <sz val="11"/>
        <color theme="1"/>
        <rFont val="Calibri"/>
        <family val="2"/>
        <scheme val="minor"/>
      </rPr>
      <t xml:space="preserve"> Details about the source of the data and the calculations are described in the spreadsheet ST1-Total_FAs_I</t>
    </r>
  </si>
  <si>
    <r>
      <rPr>
        <vertAlign val="superscript"/>
        <sz val="11"/>
        <color theme="1"/>
        <rFont val="Calibri"/>
        <family val="2"/>
        <scheme val="minor"/>
      </rPr>
      <t>3</t>
    </r>
    <r>
      <rPr>
        <sz val="11"/>
        <color theme="1"/>
        <rFont val="Calibri"/>
        <family val="2"/>
        <scheme val="minor"/>
      </rPr>
      <t xml:space="preserve"> Details about the source of the data for wax components can be found in the spreadsheet ST3-Wax_monomers and ST4-Correlations_Stu_varieties</t>
    </r>
  </si>
  <si>
    <r>
      <rPr>
        <vertAlign val="superscript"/>
        <sz val="11"/>
        <color theme="1"/>
        <rFont val="Calibri"/>
        <family val="2"/>
        <scheme val="minor"/>
      </rPr>
      <t>4</t>
    </r>
    <r>
      <rPr>
        <sz val="11"/>
        <color theme="1"/>
        <rFont val="Calibri"/>
        <family val="2"/>
        <scheme val="minor"/>
      </rPr>
      <t xml:space="preserve"> Details about the source of the data for sterols can be found in the spreadsheet ST5-Sterols</t>
    </r>
  </si>
  <si>
    <r>
      <rPr>
        <vertAlign val="superscript"/>
        <sz val="11"/>
        <color theme="1"/>
        <rFont val="Calibri"/>
        <family val="2"/>
        <scheme val="minor"/>
      </rPr>
      <t>5</t>
    </r>
    <r>
      <rPr>
        <sz val="11"/>
        <color theme="1"/>
        <rFont val="Calibri"/>
        <family val="2"/>
        <scheme val="minor"/>
      </rPr>
      <t xml:space="preserve"> Details about the source of the data for total chlorophyll content can be found in the spreadsheet ST6-Chlorophyll</t>
    </r>
  </si>
  <si>
    <t>% w/w</t>
  </si>
  <si>
    <r>
      <rPr>
        <vertAlign val="superscript"/>
        <sz val="11"/>
        <color theme="1"/>
        <rFont val="Calibri"/>
        <family val="2"/>
        <scheme val="minor"/>
      </rPr>
      <t xml:space="preserve">1 </t>
    </r>
    <r>
      <rPr>
        <sz val="11"/>
        <color theme="1"/>
        <rFont val="Calibri"/>
        <family val="2"/>
        <scheme val="minor"/>
      </rPr>
      <t>Values are taken from plants not subjected to acclimation, that is, plantlets grown in growth chamber at 18–20 °C under cool white fluorescent lamps (100 mmol m</t>
    </r>
    <r>
      <rPr>
        <vertAlign val="superscript"/>
        <sz val="11"/>
        <color theme="1"/>
        <rFont val="Calibri"/>
        <family val="2"/>
        <scheme val="minor"/>
      </rPr>
      <t>-2</t>
    </r>
    <r>
      <rPr>
        <sz val="11"/>
        <color theme="1"/>
        <rFont val="Calibri"/>
        <family val="2"/>
        <scheme val="minor"/>
      </rPr>
      <t xml:space="preserve"> s</t>
    </r>
    <r>
      <rPr>
        <vertAlign val="superscript"/>
        <sz val="11"/>
        <color theme="1"/>
        <rFont val="Calibri"/>
        <family val="2"/>
        <scheme val="minor"/>
      </rPr>
      <t>-1</t>
    </r>
    <r>
      <rPr>
        <sz val="11"/>
        <color theme="1"/>
        <rFont val="Calibri"/>
        <family val="2"/>
        <scheme val="minor"/>
      </rPr>
      <t>), with 14 h light photoperiod. The source data can be found in the publication of De Palma et al. (Mol Breeding (2008) 21:15–26, DOI 10.1007/s11032-007-9105-y)</t>
    </r>
  </si>
  <si>
    <r>
      <rPr>
        <b/>
        <vertAlign val="superscript"/>
        <sz val="11"/>
        <color theme="1"/>
        <rFont val="Calibri"/>
        <family val="2"/>
        <scheme val="minor"/>
      </rPr>
      <t xml:space="preserve">2 </t>
    </r>
    <r>
      <rPr>
        <b/>
        <sz val="11"/>
        <color theme="1"/>
        <rFont val="Calibri"/>
        <family val="2"/>
        <scheme val="minor"/>
      </rPr>
      <t>total fatty acids (g g</t>
    </r>
    <r>
      <rPr>
        <b/>
        <vertAlign val="superscript"/>
        <sz val="11"/>
        <color theme="1"/>
        <rFont val="Calibri"/>
        <family val="2"/>
        <scheme val="minor"/>
      </rPr>
      <t>-1</t>
    </r>
    <r>
      <rPr>
        <b/>
        <sz val="11"/>
        <color theme="1"/>
        <rFont val="Calibri"/>
        <family val="2"/>
        <scheme val="minor"/>
      </rPr>
      <t xml:space="preserve"> DW)</t>
    </r>
  </si>
  <si>
    <r>
      <rPr>
        <b/>
        <vertAlign val="superscript"/>
        <sz val="11"/>
        <color theme="1"/>
        <rFont val="Calibri"/>
        <family val="2"/>
        <scheme val="minor"/>
      </rPr>
      <t>1</t>
    </r>
    <r>
      <rPr>
        <b/>
        <sz val="11"/>
        <color theme="1"/>
        <rFont val="Calibri"/>
        <family val="2"/>
        <scheme val="minor"/>
      </rPr>
      <t>Control (μmol/10g FW)</t>
    </r>
  </si>
  <si>
    <r>
      <rPr>
        <vertAlign val="superscript"/>
        <sz val="11"/>
        <color theme="1"/>
        <rFont val="Calibri"/>
        <family val="2"/>
        <scheme val="minor"/>
      </rPr>
      <t>1</t>
    </r>
    <r>
      <rPr>
        <sz val="11"/>
        <color theme="1"/>
        <rFont val="Calibri"/>
        <family val="2"/>
        <scheme val="minor"/>
      </rPr>
      <t xml:space="preserve"> The fatty acid composition of total lipids was measured in leaves of control potato plants grown at 22 °C. Standard deviation was no more than 0.1%. The source data was published by Reza Maali et al. (Biologija (2007) 53:4–7, https://lmaleidykla.lt/ojs/index.php/biologija/article/view/725)</t>
    </r>
  </si>
  <si>
    <r>
      <rPr>
        <vertAlign val="superscript"/>
        <sz val="11"/>
        <color theme="1"/>
        <rFont val="Calibri"/>
        <family val="2"/>
        <scheme val="minor"/>
      </rPr>
      <t>2</t>
    </r>
    <r>
      <rPr>
        <sz val="11"/>
        <color theme="1"/>
        <rFont val="Calibri"/>
        <family val="2"/>
        <scheme val="minor"/>
      </rPr>
      <t xml:space="preserve"> Details about the source of the data and the calculations are described in the spreadsheet ST1-Total_FAs_II</t>
    </r>
  </si>
  <si>
    <r>
      <t xml:space="preserve">2 </t>
    </r>
    <r>
      <rPr>
        <sz val="11"/>
        <color theme="1"/>
        <rFont val="Calibri"/>
        <family val="2"/>
        <scheme val="minor"/>
      </rPr>
      <t>For the calculations, the abundances of the cuticular wax components measured in four different potato varieties were averaged. The above was based on the high correlation (&gt;0.96) between the abundances measured in each of the varieties. For more details on the correlation calculations see the spreadsheet 'ST4-Correlation_potato_varieties'.</t>
    </r>
  </si>
  <si>
    <r>
      <rPr>
        <vertAlign val="superscript"/>
        <sz val="11"/>
        <color theme="1"/>
        <rFont val="Calibri"/>
        <family val="2"/>
        <scheme val="minor"/>
      </rPr>
      <t xml:space="preserve">5 </t>
    </r>
    <r>
      <rPr>
        <sz val="11"/>
        <color theme="1"/>
        <rFont val="Calibri"/>
        <family val="2"/>
        <scheme val="minor"/>
      </rPr>
      <t>Secondary alcohols in potato leaves have between 25-30 carbon atoms. In the data published it is not specified in which position the hydroxyl groups are located. The lipid module contains reactions to produce secondary alcohols with 27-31 carbon atoms, and hydroxyl groups in three different positions. Therefore, it will be assumed that secondary alcohols with hydroxyl groups located at different positions have the same abundances. In the calculations, the data for the potato cv. Ibis was excluded because it was under the detection limit.</t>
    </r>
  </si>
  <si>
    <r>
      <rPr>
        <vertAlign val="superscript"/>
        <sz val="11"/>
        <color theme="1"/>
        <rFont val="Calibri"/>
        <family val="2"/>
        <scheme val="minor"/>
      </rPr>
      <t xml:space="preserve">4 </t>
    </r>
    <r>
      <rPr>
        <sz val="11"/>
        <color theme="1"/>
        <rFont val="Calibri"/>
        <family val="2"/>
        <scheme val="minor"/>
      </rPr>
      <t>Ketones abundance in Potato is given for the pool of molecules with the carbonyl group located at position 8, 10, 12, 14 and 16. Since the lipid module includes only ketones with 29 carbon atoms and carbonyl groups located at positions 13, 14 and 15, here it will be assumed that all ketone abundance will correspond to ketone with 29 carbons and carbonyl at position 14.</t>
    </r>
  </si>
  <si>
    <r>
      <rPr>
        <vertAlign val="superscript"/>
        <sz val="11"/>
        <color theme="1"/>
        <rFont val="Calibri"/>
        <family val="2"/>
        <scheme val="minor"/>
      </rPr>
      <t>1</t>
    </r>
    <r>
      <rPr>
        <sz val="11"/>
        <color theme="1"/>
        <rFont val="Calibri"/>
        <family val="2"/>
        <scheme val="minor"/>
      </rPr>
      <t xml:space="preserve"> Leaf sterols were extracted from young leaves of 9 biological replicates of wild-type Désirée plants. Leaf 4-desmethylsterols in the free form were quantified by GC-MS using desmosterol as an internal standard. Different sampling occasions were at least two months apart and performed on different plants. The data was obtained from the Supplementary Table S12 published by Nahar et al. (Scientific Reports (2017), 7:43268, DOI: 10.1038/srep43268)</t>
    </r>
  </si>
  <si>
    <r>
      <rPr>
        <vertAlign val="superscript"/>
        <sz val="11"/>
        <color theme="1"/>
        <rFont val="Calibri"/>
        <family val="2"/>
        <scheme val="minor"/>
      </rPr>
      <t xml:space="preserve">2 </t>
    </r>
    <r>
      <rPr>
        <sz val="11"/>
        <color theme="1"/>
        <rFont val="Calibri"/>
        <family val="2"/>
        <scheme val="minor"/>
      </rPr>
      <t xml:space="preserve">Data for total fatty acids content was obtained from Xu et al. (Front. Plant Sci. (2020), 11:215,  doi: 10.3389/fpls.2020.00215). The values correspond to total content of fatty acids per dry biomass weight (DW), measured in leaves of wild-type (WT) potato plants at flowering stage. The plants were grown in a glasshouse (24/20 °C, 16 h photoperiod). Samples for analysis were harvested at the flowering stage, that is, at the beginning of the opening of the first flower (&gt;70% of flowers in one plant were blossoming). Healthy and fully expanded leaves were collected from three randomly arranged and biologically replicated plants. Samples were immediately freeze-dried for 72 h prior to extraction of lipids. </t>
    </r>
  </si>
  <si>
    <r>
      <rPr>
        <b/>
        <vertAlign val="superscript"/>
        <sz val="11"/>
        <color theme="1"/>
        <rFont val="Calibri"/>
        <family val="2"/>
        <scheme val="minor"/>
      </rPr>
      <t xml:space="preserve">1 </t>
    </r>
    <r>
      <rPr>
        <b/>
        <sz val="11"/>
        <color theme="1"/>
        <rFont val="Calibri"/>
        <family val="2"/>
        <scheme val="minor"/>
      </rPr>
      <t>content (% DW)</t>
    </r>
  </si>
  <si>
    <r>
      <rPr>
        <b/>
        <vertAlign val="superscript"/>
        <sz val="11"/>
        <color theme="1"/>
        <rFont val="Calibri"/>
        <family val="2"/>
        <scheme val="minor"/>
      </rPr>
      <t xml:space="preserve">2 </t>
    </r>
    <r>
      <rPr>
        <b/>
        <sz val="11"/>
        <color theme="1"/>
        <rFont val="Calibri"/>
        <family val="2"/>
        <scheme val="minor"/>
      </rPr>
      <t>content (% DW)</t>
    </r>
  </si>
  <si>
    <r>
      <rPr>
        <vertAlign val="superscript"/>
        <sz val="11"/>
        <color theme="1"/>
        <rFont val="Calibri"/>
        <family val="2"/>
        <scheme val="minor"/>
      </rPr>
      <t>3</t>
    </r>
    <r>
      <rPr>
        <sz val="11"/>
        <color theme="1"/>
        <rFont val="Calibri"/>
        <family val="2"/>
        <scheme val="minor"/>
      </rPr>
      <t>waxes</t>
    </r>
  </si>
  <si>
    <r>
      <rPr>
        <vertAlign val="superscript"/>
        <sz val="11"/>
        <color theme="1"/>
        <rFont val="Calibri"/>
        <family val="2"/>
        <scheme val="minor"/>
      </rPr>
      <t>3</t>
    </r>
    <r>
      <rPr>
        <sz val="11"/>
        <color theme="1"/>
        <rFont val="Calibri"/>
        <family val="2"/>
        <scheme val="minor"/>
      </rPr>
      <t xml:space="preserve"> Details about the calculation of total leaf epicuticular waxes can be found in the spreadsheet 'ST7-Total_waxes'</t>
    </r>
  </si>
  <si>
    <t>backbone name</t>
  </si>
  <si>
    <t>FA-backbone[c]</t>
  </si>
  <si>
    <t>MGDG-backbone[c]</t>
  </si>
  <si>
    <t>DGDG-backbone[c]</t>
  </si>
  <si>
    <t>PE-backbone[c]</t>
  </si>
  <si>
    <t>PG-backbone[c]</t>
  </si>
  <si>
    <t>TG-backbone[c]</t>
  </si>
  <si>
    <t>PC-backbone[c]</t>
  </si>
  <si>
    <t>Wax-backbone[c]</t>
  </si>
  <si>
    <t>FAld-backbone[c]</t>
  </si>
  <si>
    <t>FOH-backbone[c]</t>
  </si>
  <si>
    <t>HC-backbone[c]</t>
  </si>
  <si>
    <t>OHC-backbone[c]</t>
  </si>
  <si>
    <t>Sterol-backbone[c]</t>
  </si>
  <si>
    <t>Chl-backbone[c]</t>
  </si>
  <si>
    <t>% DW</t>
  </si>
  <si>
    <r>
      <rPr>
        <vertAlign val="superscript"/>
        <sz val="11"/>
        <color theme="1"/>
        <rFont val="Calibri"/>
        <family val="2"/>
        <scheme val="minor"/>
      </rPr>
      <t xml:space="preserve">4 </t>
    </r>
    <r>
      <rPr>
        <sz val="11"/>
        <color theme="1"/>
        <rFont val="Calibri"/>
        <family val="2"/>
        <scheme val="minor"/>
      </rPr>
      <t>Fatty aldehydes</t>
    </r>
  </si>
  <si>
    <r>
      <rPr>
        <vertAlign val="superscript"/>
        <sz val="11"/>
        <color theme="1"/>
        <rFont val="Calibri"/>
        <family val="2"/>
        <scheme val="minor"/>
      </rPr>
      <t>4</t>
    </r>
    <r>
      <rPr>
        <sz val="11"/>
        <color theme="1"/>
        <rFont val="Calibri"/>
        <family val="2"/>
        <scheme val="minor"/>
      </rPr>
      <t xml:space="preserve"> Fatty alcohols</t>
    </r>
  </si>
  <si>
    <r>
      <rPr>
        <vertAlign val="superscript"/>
        <sz val="11"/>
        <color theme="1"/>
        <rFont val="Calibri"/>
        <family val="2"/>
        <scheme val="minor"/>
      </rPr>
      <t>4</t>
    </r>
    <r>
      <rPr>
        <sz val="11"/>
        <color theme="1"/>
        <rFont val="Calibri"/>
        <family val="2"/>
        <scheme val="minor"/>
      </rPr>
      <t xml:space="preserve"> Hydrocarbons</t>
    </r>
  </si>
  <si>
    <r>
      <rPr>
        <vertAlign val="superscript"/>
        <sz val="11"/>
        <color theme="1"/>
        <rFont val="Calibri"/>
        <family val="2"/>
        <scheme val="minor"/>
      </rPr>
      <t>4</t>
    </r>
    <r>
      <rPr>
        <sz val="11"/>
        <color theme="1"/>
        <rFont val="Calibri"/>
        <family val="2"/>
        <scheme val="minor"/>
      </rPr>
      <t xml:space="preserve"> Oxygenated hydrocarbons</t>
    </r>
  </si>
  <si>
    <r>
      <rPr>
        <vertAlign val="superscript"/>
        <sz val="11"/>
        <color theme="1"/>
        <rFont val="Calibri"/>
        <family val="2"/>
        <scheme val="minor"/>
      </rPr>
      <t>5</t>
    </r>
    <r>
      <rPr>
        <sz val="11"/>
        <color theme="1"/>
        <rFont val="Calibri"/>
        <family val="2"/>
        <scheme val="minor"/>
      </rPr>
      <t xml:space="preserve"> Sterols</t>
    </r>
  </si>
  <si>
    <r>
      <rPr>
        <vertAlign val="superscript"/>
        <sz val="11"/>
        <color theme="1"/>
        <rFont val="Calibri"/>
        <family val="2"/>
        <scheme val="minor"/>
      </rPr>
      <t>6</t>
    </r>
    <r>
      <rPr>
        <sz val="11"/>
        <color theme="1"/>
        <rFont val="Calibri"/>
        <family val="2"/>
        <scheme val="minor"/>
      </rPr>
      <t xml:space="preserve"> Isoprenoids</t>
    </r>
  </si>
  <si>
    <r>
      <rPr>
        <vertAlign val="superscript"/>
        <sz val="11"/>
        <color theme="1"/>
        <rFont val="Calibri"/>
        <family val="2"/>
        <scheme val="minor"/>
      </rPr>
      <t>4</t>
    </r>
    <r>
      <rPr>
        <sz val="11"/>
        <color theme="1"/>
        <rFont val="Calibri"/>
        <family val="2"/>
        <scheme val="minor"/>
      </rPr>
      <t xml:space="preserve"> The percentage of the backbones for the lipid classes related to leaf epicuticular wax components was made by first calculating the percentages of the species for each class on a dry biomass basis, which were then summed to obtain the corresponding total. Details of the calculations can be found in the spreadsheet 'ST3-Wax_monomers'</t>
    </r>
  </si>
  <si>
    <r>
      <rPr>
        <vertAlign val="superscript"/>
        <sz val="11"/>
        <color theme="1"/>
        <rFont val="Calibri"/>
        <family val="2"/>
        <scheme val="minor"/>
      </rPr>
      <t>5</t>
    </r>
    <r>
      <rPr>
        <sz val="11"/>
        <color theme="1"/>
        <rFont val="Calibri"/>
        <family val="2"/>
        <scheme val="minor"/>
      </rPr>
      <t xml:space="preserve"> Details about the calculation of the %DW for sterol backbones can be found in the spreadsheet 'ST5-Sterols'</t>
    </r>
  </si>
  <si>
    <r>
      <rPr>
        <vertAlign val="superscript"/>
        <sz val="11"/>
        <color theme="1"/>
        <rFont val="Calibri"/>
        <family val="2"/>
        <scheme val="minor"/>
      </rPr>
      <t>6</t>
    </r>
    <r>
      <rPr>
        <sz val="11"/>
        <color theme="1"/>
        <rFont val="Calibri"/>
        <family val="2"/>
        <scheme val="minor"/>
      </rPr>
      <t xml:space="preserve"> Details about the calculation of the %DW for isoprenoid backbones can be found in the spreadsheet 'ST6-Chlorophyll'</t>
    </r>
  </si>
  <si>
    <t>Total</t>
  </si>
  <si>
    <r>
      <rPr>
        <vertAlign val="superscript"/>
        <sz val="11"/>
        <color theme="1"/>
        <rFont val="Calibri"/>
        <family val="2"/>
        <scheme val="minor"/>
      </rPr>
      <t>6</t>
    </r>
    <r>
      <rPr>
        <sz val="11"/>
        <color theme="1"/>
        <rFont val="Calibri"/>
        <family val="2"/>
        <scheme val="minor"/>
      </rPr>
      <t xml:space="preserve"> The abundances of wax esters are given as sum composition. Therefore, it is not possible to know in detail the abundance of the isomers that constitute the pools of each metabolite. For this reason, the proportion of each pools will be calculated and will be used to constrain the corresponding SLIME reaction that pulls the wax ester backbones to form the generic wax compound. The names of the corresponding SLIME pseudo-metabolite pools are provided in the spreadsheet 'ST8_Wax_esters'.</t>
    </r>
  </si>
  <si>
    <t>Wax esters</t>
  </si>
  <si>
    <t>Wax38-backbone[c]</t>
  </si>
  <si>
    <t>Wax40-backbone[c]</t>
  </si>
  <si>
    <t>Wax42-backbone[c]</t>
  </si>
  <si>
    <t>Wax44-backbone[c]</t>
  </si>
  <si>
    <t>Wax46-backbone[c]</t>
  </si>
  <si>
    <t>Wax48-backbone[c]</t>
  </si>
  <si>
    <t>Wax50-backbone[c]</t>
  </si>
  <si>
    <t>Wax52-backbone[c]</t>
  </si>
  <si>
    <t>acyl chain species</t>
  </si>
  <si>
    <t>fatty acyl species</t>
  </si>
  <si>
    <t>sterol species</t>
  </si>
  <si>
    <t>wax ester pools</t>
  </si>
  <si>
    <r>
      <rPr>
        <vertAlign val="superscript"/>
        <sz val="11"/>
        <color theme="1"/>
        <rFont val="Calibri"/>
        <family val="2"/>
        <scheme val="minor"/>
      </rPr>
      <t>4</t>
    </r>
    <r>
      <rPr>
        <sz val="11"/>
        <color theme="1"/>
        <rFont val="Calibri"/>
        <family val="2"/>
        <scheme val="minor"/>
      </rPr>
      <t xml:space="preserve"> Unsaturation Index was calculated as (16:1*1) + (16:2*2) + (16:3*3) + (18:1*1) + (18:2*2) + (18:3*3)/100.</t>
    </r>
  </si>
  <si>
    <r>
      <t xml:space="preserve">3 </t>
    </r>
    <r>
      <rPr>
        <sz val="11"/>
        <color theme="1"/>
        <rFont val="Calibri"/>
        <family val="2"/>
        <scheme val="minor"/>
      </rPr>
      <t>The factor (0.1664 g/dm</t>
    </r>
    <r>
      <rPr>
        <vertAlign val="superscript"/>
        <sz val="11"/>
        <color theme="1"/>
        <rFont val="Calibri"/>
        <family val="2"/>
        <scheme val="minor"/>
      </rPr>
      <t>2</t>
    </r>
    <r>
      <rPr>
        <sz val="11"/>
        <color theme="1"/>
        <rFont val="Calibri"/>
        <family val="2"/>
        <scheme val="minor"/>
      </rPr>
      <t>) used to convert leaf area into mass is obtained from data of total leaf area and dry biomass content published by Weraduwage et al. (Front. Plant Sci. (2015), 6:167, https://doi.org/10.3389/fpls.2015.00167) for 4 - 6 week-old Arabidopsis plants, which are assumed to be on the vegetative phase.</t>
    </r>
  </si>
  <si>
    <r>
      <rPr>
        <vertAlign val="superscript"/>
        <sz val="11"/>
        <color theme="1"/>
        <rFont val="Calibri"/>
        <family val="2"/>
        <scheme val="minor"/>
      </rPr>
      <t>1</t>
    </r>
    <r>
      <rPr>
        <sz val="11"/>
        <color theme="1"/>
        <rFont val="Calibri"/>
        <family val="2"/>
        <scheme val="minor"/>
      </rPr>
      <t xml:space="preserve"> Data was obtained from field trials conducted in three replicates employing the potato variety viz. Desiree having the treatment T1: Control (well watered plants). T1 control (well watered) plots were irrigated at 6 DAP (days after planting), 27 DAP, 42 DAP, 63 DAP and 80 DAP during 1st year and at 8 DAP, 25 DAP, 44 DAP, 67 DAP and 83 DAP during 2nd year. The source data can be found in the publication of Kumar et al. (Plant Archives (2020), 20:3439-3444)</t>
    </r>
  </si>
  <si>
    <r>
      <t xml:space="preserve">2 </t>
    </r>
    <r>
      <rPr>
        <sz val="11"/>
        <color theme="1"/>
        <rFont val="Calibri"/>
        <family val="2"/>
        <scheme val="minor"/>
      </rPr>
      <t>The factor (0.1664 g/dm</t>
    </r>
    <r>
      <rPr>
        <vertAlign val="superscript"/>
        <sz val="11"/>
        <color theme="1"/>
        <rFont val="Calibri"/>
        <family val="2"/>
        <scheme val="minor"/>
      </rPr>
      <t>2</t>
    </r>
    <r>
      <rPr>
        <sz val="11"/>
        <color theme="1"/>
        <rFont val="Calibri"/>
        <family val="2"/>
        <scheme val="minor"/>
      </rPr>
      <t>) used to convert leaf area into mass is obtained from data of total leaf area and dry biomass content published by Weraduwage et al. (2015) (https://doi.org/10.3389/fpls.2015.00167) for 4 - 6 week-old Arabidopsis plants, which are assumed to be on the vegetative phase.</t>
    </r>
  </si>
  <si>
    <r>
      <rPr>
        <vertAlign val="superscript"/>
        <sz val="11"/>
        <color theme="1"/>
        <rFont val="Calibri"/>
        <family val="2"/>
        <scheme val="minor"/>
      </rPr>
      <t>1</t>
    </r>
    <r>
      <rPr>
        <sz val="11"/>
        <color theme="1"/>
        <rFont val="Calibri"/>
        <family val="2"/>
        <scheme val="minor"/>
      </rPr>
      <t>The abundances of wax esters are given as %DW can be found in the spreadsheet 'ST3-Wax_monomers'.</t>
    </r>
  </si>
  <si>
    <r>
      <rPr>
        <b/>
        <vertAlign val="superscript"/>
        <sz val="11"/>
        <color theme="1"/>
        <rFont val="Calibri"/>
        <family val="2"/>
        <scheme val="minor"/>
      </rPr>
      <t>1</t>
    </r>
    <r>
      <rPr>
        <b/>
        <sz val="11"/>
        <color theme="1"/>
        <rFont val="Calibri"/>
        <family val="2"/>
        <scheme val="minor"/>
      </rPr>
      <t>% DW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</si>
</sst>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000"/>
    <numFmt numFmtId="165" formatCode="0.0000"/>
    <numFmt numFmtId="166" formatCode="0.000"/>
    <numFmt numFmtId="167" formatCode="0.0"/>
    <numFmt numFmtId="168" formatCode="0.00000"/>
    <numFmt numFmtId="169" formatCode="0.0000000"/>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4"/>
      <color theme="1"/>
      <name val="Calibri"/>
      <family val="2"/>
      <scheme val="minor"/>
    </font>
    <font>
      <b/>
      <vertAlign val="superscript"/>
      <sz val="11"/>
      <color theme="1"/>
      <name val="Calibri"/>
      <family val="2"/>
      <scheme val="minor"/>
    </font>
    <font>
      <vertAlign val="superscript"/>
      <sz val="11"/>
      <color theme="1"/>
      <name val="Calibri"/>
      <family val="2"/>
      <scheme val="minor"/>
    </font>
    <font>
      <i/>
      <sz val="11"/>
      <color theme="1"/>
      <name val="Calibri"/>
      <family val="2"/>
      <scheme val="minor"/>
    </font>
    <font>
      <b/>
      <sz val="11"/>
      <color theme="1"/>
      <name val="Calibri"/>
      <family val="2"/>
    </font>
    <font>
      <sz val="11"/>
      <name val="Calibri"/>
      <family val="2"/>
      <scheme val="minor"/>
    </font>
    <font>
      <b/>
      <i/>
      <sz val="11"/>
      <color theme="1"/>
      <name val="Calibri"/>
      <family val="2"/>
      <scheme val="minor"/>
    </font>
    <font>
      <sz val="12"/>
      <color indexed="8"/>
      <name val="Times New Roman"/>
      <family val="1"/>
    </font>
    <font>
      <b/>
      <vertAlign val="superscript"/>
      <sz val="11"/>
      <color indexed="8"/>
      <name val="Calibri"/>
      <family val="2"/>
      <scheme val="minor"/>
    </font>
    <font>
      <b/>
      <sz val="11"/>
      <color indexed="8"/>
      <name val="Calibri"/>
      <family val="2"/>
      <scheme val="minor"/>
    </font>
    <font>
      <b/>
      <vertAlign val="superscript"/>
      <sz val="11"/>
      <color theme="1"/>
      <name val="Calibri"/>
      <family val="2"/>
    </font>
    <font>
      <vertAlign val="superscript"/>
      <sz val="11"/>
      <name val="Calibri"/>
      <family val="2"/>
      <scheme val="minor"/>
    </font>
    <font>
      <b/>
      <sz val="1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0"/>
        <bgColor indexed="64"/>
      </patternFill>
    </fill>
    <fill>
      <patternFill patternType="mediumGray">
        <bgColor theme="0"/>
      </patternFill>
    </fill>
    <fill>
      <patternFill patternType="solid">
        <fgColor rgb="FFFFFF99"/>
        <bgColor indexed="64"/>
      </patternFill>
    </fill>
  </fills>
  <borders count="42">
    <border>
      <left/>
      <right/>
      <top/>
      <bottom/>
      <diagonal/>
    </border>
    <border>
      <left style="thin">
        <color auto="1"/>
      </left>
      <right style="thin">
        <color theme="0" tint="-0.499984740745262"/>
      </right>
      <top style="thin">
        <color auto="1"/>
      </top>
      <bottom style="thin">
        <color theme="0" tint="-0.499984740745262"/>
      </bottom>
      <diagonal/>
    </border>
    <border>
      <left style="thin">
        <color theme="0" tint="-0.499984740745262"/>
      </left>
      <right style="thin">
        <color theme="0" tint="-0.499984740745262"/>
      </right>
      <top style="thin">
        <color auto="1"/>
      </top>
      <bottom style="thin">
        <color theme="0" tint="-0.499984740745262"/>
      </bottom>
      <diagonal/>
    </border>
    <border>
      <left style="thin">
        <color theme="0" tint="-0.499984740745262"/>
      </left>
      <right style="thin">
        <color auto="1"/>
      </right>
      <top style="thin">
        <color auto="1"/>
      </top>
      <bottom style="thin">
        <color theme="0" tint="-0.499984740745262"/>
      </bottom>
      <diagonal/>
    </border>
    <border>
      <left style="thin">
        <color auto="1"/>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auto="1"/>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auto="1"/>
      </bottom>
      <diagonal/>
    </border>
    <border>
      <left style="thin">
        <color theme="0" tint="-0.499984740745262"/>
      </left>
      <right style="thin">
        <color auto="1"/>
      </right>
      <top style="thin">
        <color theme="0" tint="-0.499984740745262"/>
      </top>
      <bottom style="thin">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auto="1"/>
      </bottom>
      <diagonal/>
    </border>
    <border>
      <left style="thin">
        <color indexed="64"/>
      </left>
      <right style="thin">
        <color indexed="64"/>
      </right>
      <top style="thin">
        <color indexed="64"/>
      </top>
      <bottom style="thin">
        <color indexed="64"/>
      </bottom>
      <diagonal/>
    </border>
    <border>
      <left/>
      <right style="thin">
        <color theme="0" tint="-0.499984740745262"/>
      </right>
      <top style="thin">
        <color theme="0" tint="-0.499984740745262"/>
      </top>
      <bottom style="thin">
        <color theme="0" tint="-0.499984740745262"/>
      </bottom>
      <diagonal/>
    </border>
    <border>
      <left/>
      <right/>
      <top style="thin">
        <color indexed="64"/>
      </top>
      <bottom/>
      <diagonal/>
    </border>
    <border>
      <left/>
      <right style="thin">
        <color theme="0" tint="-0.499984740745262"/>
      </right>
      <top style="thin">
        <color theme="0" tint="-0.499984740745262"/>
      </top>
      <bottom style="thin">
        <color auto="1"/>
      </bottom>
      <diagonal/>
    </border>
    <border>
      <left style="thin">
        <color auto="1"/>
      </left>
      <right style="thin">
        <color theme="0" tint="-0.499984740745262"/>
      </right>
      <top style="thin">
        <color auto="1"/>
      </top>
      <bottom/>
      <diagonal/>
    </border>
    <border>
      <left/>
      <right style="thin">
        <color theme="0" tint="-0.499984740745262"/>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theme="0" tint="-0.499984740745262"/>
      </right>
      <top style="medium">
        <color indexed="64"/>
      </top>
      <bottom style="thin">
        <color theme="0" tint="-0.499984740745262"/>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thin">
        <color theme="0" tint="-0.499984740745262"/>
      </left>
      <right style="thin">
        <color theme="0" tint="-0.499984740745262"/>
      </right>
      <top style="thin">
        <color auto="1"/>
      </top>
      <bottom/>
      <diagonal/>
    </border>
    <border>
      <left style="thin">
        <color theme="0" tint="-0.499984740745262"/>
      </left>
      <right style="thin">
        <color auto="1"/>
      </right>
      <top style="thin">
        <color auto="1"/>
      </top>
      <bottom/>
      <diagonal/>
    </border>
    <border>
      <left/>
      <right style="thin">
        <color indexed="64"/>
      </right>
      <top/>
      <bottom style="thin">
        <color indexed="64"/>
      </bottom>
      <diagonal/>
    </border>
    <border>
      <left/>
      <right style="thin">
        <color theme="0" tint="-0.499984740745262"/>
      </right>
      <top style="thin">
        <color auto="1"/>
      </top>
      <bottom style="thin">
        <color theme="0" tint="-0.499984740745262"/>
      </bottom>
      <diagonal/>
    </border>
    <border>
      <left style="thin">
        <color auto="1"/>
      </left>
      <right style="thin">
        <color theme="0" tint="-0.499984740745262"/>
      </right>
      <top style="thin">
        <color theme="0" tint="-0.499984740745262"/>
      </top>
      <bottom/>
      <diagonal/>
    </border>
    <border>
      <left style="thin">
        <color indexed="64"/>
      </left>
      <right/>
      <top style="thin">
        <color indexed="64"/>
      </top>
      <bottom style="thin">
        <color indexed="64"/>
      </bottom>
      <diagonal/>
    </border>
  </borders>
  <cellStyleXfs count="2">
    <xf numFmtId="0" fontId="0" fillId="0" borderId="0"/>
    <xf numFmtId="0" fontId="1" fillId="0" borderId="0">
      <alignment vertical="center"/>
    </xf>
  </cellStyleXfs>
  <cellXfs count="132">
    <xf numFmtId="0" fontId="0" fillId="0" borderId="0" xfId="0"/>
    <xf numFmtId="0" fontId="4" fillId="3" borderId="0" xfId="0" applyFont="1" applyFill="1"/>
    <xf numFmtId="0" fontId="0" fillId="3" borderId="0" xfId="0" applyFill="1"/>
    <xf numFmtId="0" fontId="2" fillId="3" borderId="0" xfId="0" applyFont="1" applyFill="1"/>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0" fillId="3" borderId="4" xfId="0" applyFill="1" applyBorder="1"/>
    <xf numFmtId="0" fontId="0" fillId="3" borderId="5" xfId="0" applyFill="1" applyBorder="1"/>
    <xf numFmtId="2" fontId="0" fillId="3" borderId="5" xfId="0" applyNumberFormat="1" applyFill="1" applyBorder="1"/>
    <xf numFmtId="164" fontId="0" fillId="3" borderId="5" xfId="0" applyNumberFormat="1" applyFill="1" applyBorder="1"/>
    <xf numFmtId="0" fontId="0" fillId="3" borderId="7" xfId="0" applyFill="1" applyBorder="1"/>
    <xf numFmtId="2" fontId="0" fillId="3" borderId="7" xfId="0" applyNumberFormat="1" applyFill="1" applyBorder="1"/>
    <xf numFmtId="164" fontId="0" fillId="3" borderId="7" xfId="0" applyNumberFormat="1" applyFill="1" applyBorder="1"/>
    <xf numFmtId="0" fontId="2" fillId="5" borderId="0" xfId="1" applyFont="1" applyFill="1" applyAlignment="1">
      <alignment horizontal="center" vertical="center" wrapText="1"/>
    </xf>
    <xf numFmtId="165" fontId="1" fillId="5" borderId="0" xfId="1" applyNumberFormat="1" applyFill="1" applyAlignment="1">
      <alignment horizontal="center" vertical="center"/>
    </xf>
    <xf numFmtId="0" fontId="7" fillId="3" borderId="4" xfId="0" applyFont="1" applyFill="1" applyBorder="1"/>
    <xf numFmtId="165" fontId="0" fillId="3" borderId="4" xfId="0" applyNumberFormat="1" applyFill="1" applyBorder="1"/>
    <xf numFmtId="2" fontId="0" fillId="3" borderId="4" xfId="0" applyNumberFormat="1" applyFill="1" applyBorder="1"/>
    <xf numFmtId="0" fontId="0" fillId="3" borderId="0" xfId="0" applyFill="1" applyAlignment="1">
      <alignment wrapText="1"/>
    </xf>
    <xf numFmtId="0" fontId="6" fillId="3" borderId="0" xfId="1" applyFont="1" applyFill="1" applyAlignment="1">
      <alignment vertical="center" wrapText="1"/>
    </xf>
    <xf numFmtId="0" fontId="0" fillId="3" borderId="12" xfId="0" applyFill="1" applyBorder="1"/>
    <xf numFmtId="0" fontId="2" fillId="3" borderId="16" xfId="0" applyFont="1" applyFill="1" applyBorder="1" applyAlignment="1">
      <alignment horizontal="center" vertical="center" wrapText="1"/>
    </xf>
    <xf numFmtId="0" fontId="2" fillId="3" borderId="17" xfId="0" applyFont="1" applyFill="1" applyBorder="1" applyAlignment="1">
      <alignment horizontal="center" vertical="center" wrapText="1"/>
    </xf>
    <xf numFmtId="0" fontId="9" fillId="3" borderId="12" xfId="0" applyFont="1" applyFill="1" applyBorder="1"/>
    <xf numFmtId="0" fontId="0" fillId="3" borderId="0" xfId="0" applyFill="1" applyAlignment="1">
      <alignment horizontal="center"/>
    </xf>
    <xf numFmtId="0" fontId="0" fillId="0" borderId="12" xfId="0" applyBorder="1"/>
    <xf numFmtId="0" fontId="2" fillId="3" borderId="0" xfId="0" applyFont="1" applyFill="1" applyAlignment="1">
      <alignment horizontal="center" vertical="center" wrapText="1"/>
    </xf>
    <xf numFmtId="0" fontId="2" fillId="3" borderId="12" xfId="0" applyFont="1" applyFill="1" applyBorder="1" applyAlignment="1">
      <alignment horizontal="center" vertical="center" wrapText="1"/>
    </xf>
    <xf numFmtId="165" fontId="0" fillId="3" borderId="12" xfId="0" applyNumberFormat="1" applyFill="1" applyBorder="1"/>
    <xf numFmtId="0" fontId="2" fillId="3" borderId="21" xfId="0" applyFont="1" applyFill="1" applyBorder="1" applyAlignment="1">
      <alignment horizontal="center" vertical="center" wrapText="1"/>
    </xf>
    <xf numFmtId="0" fontId="0" fillId="2" borderId="12" xfId="0" applyFill="1" applyBorder="1"/>
    <xf numFmtId="2" fontId="0" fillId="0" borderId="12" xfId="0" applyNumberFormat="1" applyBorder="1"/>
    <xf numFmtId="167" fontId="0" fillId="0" borderId="12" xfId="0" applyNumberFormat="1" applyBorder="1"/>
    <xf numFmtId="0" fontId="0" fillId="4" borderId="12" xfId="0" applyFill="1" applyBorder="1"/>
    <xf numFmtId="2" fontId="0" fillId="3" borderId="13" xfId="0" applyNumberFormat="1" applyFill="1" applyBorder="1"/>
    <xf numFmtId="0" fontId="0" fillId="0" borderId="24" xfId="0" applyBorder="1"/>
    <xf numFmtId="2" fontId="0" fillId="0" borderId="24" xfId="0" applyNumberFormat="1" applyBorder="1"/>
    <xf numFmtId="0" fontId="0" fillId="3" borderId="24" xfId="0" applyFill="1" applyBorder="1"/>
    <xf numFmtId="165" fontId="0" fillId="3" borderId="24" xfId="0" applyNumberFormat="1" applyFill="1" applyBorder="1"/>
    <xf numFmtId="0" fontId="0" fillId="2" borderId="24" xfId="0" applyFill="1" applyBorder="1"/>
    <xf numFmtId="0" fontId="0" fillId="4" borderId="25" xfId="0" applyFill="1" applyBorder="1"/>
    <xf numFmtId="0" fontId="0" fillId="0" borderId="29" xfId="0" applyBorder="1"/>
    <xf numFmtId="2" fontId="0" fillId="0" borderId="29" xfId="0" applyNumberFormat="1" applyBorder="1"/>
    <xf numFmtId="0" fontId="0" fillId="3" borderId="29" xfId="0" applyFill="1" applyBorder="1"/>
    <xf numFmtId="165" fontId="0" fillId="3" borderId="29" xfId="0" applyNumberFormat="1" applyFill="1" applyBorder="1"/>
    <xf numFmtId="0" fontId="0" fillId="2" borderId="29" xfId="0" applyFill="1" applyBorder="1"/>
    <xf numFmtId="2" fontId="0" fillId="3" borderId="31" xfId="0" applyNumberFormat="1" applyFill="1" applyBorder="1"/>
    <xf numFmtId="0" fontId="0" fillId="0" borderId="32" xfId="0" applyBorder="1" applyAlignment="1">
      <alignment vertical="center"/>
    </xf>
    <xf numFmtId="0" fontId="0" fillId="3" borderId="33" xfId="0" applyFill="1" applyBorder="1"/>
    <xf numFmtId="2" fontId="0" fillId="0" borderId="33" xfId="0" applyNumberFormat="1" applyBorder="1"/>
    <xf numFmtId="0" fontId="0" fillId="0" borderId="33" xfId="0" applyBorder="1"/>
    <xf numFmtId="165" fontId="0" fillId="3" borderId="33" xfId="0" applyNumberFormat="1" applyFill="1" applyBorder="1"/>
    <xf numFmtId="0" fontId="0" fillId="2" borderId="33" xfId="0" applyFill="1" applyBorder="1"/>
    <xf numFmtId="0" fontId="0" fillId="4" borderId="34" xfId="0" applyFill="1" applyBorder="1"/>
    <xf numFmtId="167" fontId="0" fillId="0" borderId="24" xfId="0" applyNumberFormat="1" applyBorder="1"/>
    <xf numFmtId="167" fontId="0" fillId="0" borderId="29" xfId="0" applyNumberFormat="1" applyBorder="1"/>
    <xf numFmtId="0" fontId="0" fillId="4" borderId="24" xfId="0" applyFill="1" applyBorder="1"/>
    <xf numFmtId="0" fontId="0" fillId="4" borderId="29" xfId="0" applyFill="1" applyBorder="1"/>
    <xf numFmtId="0" fontId="2" fillId="3" borderId="36" xfId="0" applyFont="1" applyFill="1" applyBorder="1" applyAlignment="1">
      <alignment horizontal="center" vertical="center" wrapText="1"/>
    </xf>
    <xf numFmtId="0" fontId="2" fillId="2" borderId="37" xfId="0" applyFont="1" applyFill="1" applyBorder="1" applyAlignment="1">
      <alignment horizontal="center" vertical="center" wrapText="1"/>
    </xf>
    <xf numFmtId="2" fontId="0" fillId="3" borderId="12" xfId="0" applyNumberFormat="1" applyFill="1" applyBorder="1"/>
    <xf numFmtId="0" fontId="11" fillId="3" borderId="0" xfId="0" applyFont="1" applyFill="1" applyAlignment="1">
      <alignment horizontal="right" vertical="center" wrapText="1"/>
    </xf>
    <xf numFmtId="0" fontId="13" fillId="3" borderId="0" xfId="0" applyFont="1" applyFill="1" applyAlignment="1">
      <alignment horizontal="left" vertical="center" wrapText="1"/>
    </xf>
    <xf numFmtId="0" fontId="0" fillId="3" borderId="0" xfId="0" applyFill="1" applyAlignment="1">
      <alignment horizontal="right"/>
    </xf>
    <xf numFmtId="2" fontId="0" fillId="3" borderId="0" xfId="0" applyNumberFormat="1" applyFill="1"/>
    <xf numFmtId="164" fontId="0" fillId="3" borderId="12" xfId="0" applyNumberFormat="1" applyFill="1" applyBorder="1"/>
    <xf numFmtId="0" fontId="2" fillId="3" borderId="12" xfId="0" applyFont="1" applyFill="1" applyBorder="1" applyAlignment="1">
      <alignment horizontal="center"/>
    </xf>
    <xf numFmtId="164" fontId="0" fillId="2" borderId="12" xfId="0" applyNumberFormat="1" applyFill="1" applyBorder="1"/>
    <xf numFmtId="168" fontId="0" fillId="2" borderId="12" xfId="0" applyNumberFormat="1" applyFill="1" applyBorder="1"/>
    <xf numFmtId="2" fontId="0" fillId="3" borderId="15" xfId="0" applyNumberFormat="1" applyFill="1" applyBorder="1"/>
    <xf numFmtId="0" fontId="2" fillId="3" borderId="0" xfId="0" applyFont="1" applyFill="1" applyAlignment="1">
      <alignment horizontal="right"/>
    </xf>
    <xf numFmtId="11" fontId="0" fillId="3" borderId="0" xfId="0" applyNumberFormat="1" applyFill="1"/>
    <xf numFmtId="167" fontId="0" fillId="3" borderId="24" xfId="0" applyNumberFormat="1" applyFill="1" applyBorder="1"/>
    <xf numFmtId="167" fontId="0" fillId="3" borderId="0" xfId="0" applyNumberFormat="1" applyFill="1"/>
    <xf numFmtId="167" fontId="0" fillId="3" borderId="12" xfId="0" applyNumberFormat="1" applyFill="1" applyBorder="1"/>
    <xf numFmtId="167" fontId="0" fillId="3" borderId="29" xfId="0" applyNumberFormat="1" applyFill="1" applyBorder="1"/>
    <xf numFmtId="164" fontId="9" fillId="2" borderId="6" xfId="0" applyNumberFormat="1" applyFont="1" applyFill="1" applyBorder="1"/>
    <xf numFmtId="164" fontId="9" fillId="2" borderId="8" xfId="0" applyNumberFormat="1" applyFont="1" applyFill="1" applyBorder="1"/>
    <xf numFmtId="168" fontId="9" fillId="3" borderId="12" xfId="0" applyNumberFormat="1" applyFont="1" applyFill="1" applyBorder="1"/>
    <xf numFmtId="165" fontId="9" fillId="3" borderId="12" xfId="0" applyNumberFormat="1" applyFont="1" applyFill="1" applyBorder="1"/>
    <xf numFmtId="169" fontId="0" fillId="3" borderId="12" xfId="0" applyNumberFormat="1" applyFill="1" applyBorder="1"/>
    <xf numFmtId="0" fontId="16" fillId="2" borderId="12" xfId="0" applyFont="1" applyFill="1" applyBorder="1"/>
    <xf numFmtId="0" fontId="9" fillId="2" borderId="12" xfId="0" applyFont="1" applyFill="1" applyBorder="1"/>
    <xf numFmtId="165" fontId="9" fillId="2" borderId="12" xfId="0" applyNumberFormat="1" applyFont="1" applyFill="1" applyBorder="1"/>
    <xf numFmtId="168" fontId="9" fillId="2" borderId="12" xfId="0" applyNumberFormat="1" applyFont="1" applyFill="1" applyBorder="1"/>
    <xf numFmtId="0" fontId="2" fillId="2" borderId="12" xfId="0" applyFont="1" applyFill="1" applyBorder="1" applyAlignment="1">
      <alignment horizontal="center"/>
    </xf>
    <xf numFmtId="0" fontId="0" fillId="3" borderId="21" xfId="0" applyFill="1" applyBorder="1" applyAlignment="1">
      <alignment horizontal="center" vertical="center"/>
    </xf>
    <xf numFmtId="168" fontId="2" fillId="2" borderId="12" xfId="0" applyNumberFormat="1" applyFont="1" applyFill="1" applyBorder="1"/>
    <xf numFmtId="0" fontId="2" fillId="3" borderId="39" xfId="0" applyFont="1" applyFill="1" applyBorder="1" applyAlignment="1">
      <alignment horizontal="center" vertical="center" wrapText="1"/>
    </xf>
    <xf numFmtId="2" fontId="0" fillId="2" borderId="12" xfId="0" applyNumberFormat="1" applyFill="1" applyBorder="1"/>
    <xf numFmtId="0" fontId="0" fillId="3" borderId="40" xfId="0" applyFill="1" applyBorder="1"/>
    <xf numFmtId="165" fontId="0" fillId="3" borderId="40" xfId="0" applyNumberFormat="1" applyFill="1" applyBorder="1"/>
    <xf numFmtId="166" fontId="0" fillId="3" borderId="0" xfId="0" applyNumberFormat="1" applyFill="1"/>
    <xf numFmtId="0" fontId="0" fillId="4" borderId="41" xfId="0" applyFill="1" applyBorder="1"/>
    <xf numFmtId="0" fontId="0" fillId="3" borderId="25" xfId="0" applyFill="1" applyBorder="1"/>
    <xf numFmtId="0" fontId="0" fillId="3" borderId="27" xfId="0" applyFill="1" applyBorder="1"/>
    <xf numFmtId="0" fontId="0" fillId="3" borderId="30" xfId="0" applyFill="1" applyBorder="1"/>
    <xf numFmtId="0" fontId="0" fillId="3" borderId="34" xfId="0" applyFill="1" applyBorder="1"/>
    <xf numFmtId="2" fontId="0" fillId="3" borderId="24" xfId="0" applyNumberFormat="1" applyFill="1" applyBorder="1"/>
    <xf numFmtId="2" fontId="0" fillId="3" borderId="29" xfId="0" applyNumberFormat="1" applyFill="1" applyBorder="1"/>
    <xf numFmtId="169" fontId="0" fillId="3" borderId="12" xfId="0" applyNumberFormat="1" applyFill="1" applyBorder="1" applyAlignment="1">
      <alignment vertical="center" wrapText="1"/>
    </xf>
    <xf numFmtId="165" fontId="0" fillId="3" borderId="14" xfId="0" applyNumberFormat="1" applyFill="1" applyBorder="1"/>
    <xf numFmtId="165" fontId="0" fillId="0" borderId="24" xfId="0" applyNumberFormat="1" applyBorder="1"/>
    <xf numFmtId="165" fontId="0" fillId="0" borderId="12" xfId="0" applyNumberFormat="1" applyBorder="1"/>
    <xf numFmtId="165" fontId="0" fillId="0" borderId="29" xfId="0" applyNumberFormat="1" applyBorder="1"/>
    <xf numFmtId="0" fontId="2" fillId="2" borderId="12" xfId="0" applyFont="1" applyFill="1" applyBorder="1" applyAlignment="1">
      <alignment horizontal="center" vertical="center" wrapText="1"/>
    </xf>
    <xf numFmtId="11" fontId="0" fillId="2" borderId="12" xfId="0" applyNumberFormat="1" applyFill="1" applyBorder="1"/>
    <xf numFmtId="168" fontId="0" fillId="3" borderId="12" xfId="0" applyNumberFormat="1" applyFill="1" applyBorder="1"/>
    <xf numFmtId="0" fontId="0" fillId="3" borderId="0" xfId="0" applyFill="1" applyAlignment="1">
      <alignment horizontal="left" wrapText="1"/>
    </xf>
    <xf numFmtId="0" fontId="2" fillId="3" borderId="14" xfId="0" applyFont="1" applyFill="1" applyBorder="1" applyAlignment="1">
      <alignment horizontal="right"/>
    </xf>
    <xf numFmtId="0" fontId="2" fillId="3" borderId="12"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6" fillId="3" borderId="0" xfId="1" applyFont="1" applyFill="1" applyAlignment="1">
      <alignment horizontal="left" vertical="center" wrapText="1"/>
    </xf>
    <xf numFmtId="0" fontId="2" fillId="3" borderId="22"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0" fillId="0" borderId="23" xfId="0" applyBorder="1" applyAlignment="1">
      <alignment horizontal="center" vertical="center"/>
    </xf>
    <xf numFmtId="0" fontId="0" fillId="0" borderId="26" xfId="0" applyBorder="1" applyAlignment="1">
      <alignment horizontal="center" vertical="center"/>
    </xf>
    <xf numFmtId="0" fontId="0" fillId="0" borderId="28" xfId="0" applyBorder="1" applyAlignment="1">
      <alignment horizontal="center" vertical="center"/>
    </xf>
    <xf numFmtId="166" fontId="0" fillId="3" borderId="9" xfId="0" applyNumberFormat="1" applyFill="1" applyBorder="1" applyAlignment="1">
      <alignment horizontal="center" vertical="center"/>
    </xf>
    <xf numFmtId="166" fontId="0" fillId="3" borderId="10" xfId="0" applyNumberFormat="1" applyFill="1" applyBorder="1" applyAlignment="1">
      <alignment horizontal="center" vertical="center"/>
    </xf>
    <xf numFmtId="166" fontId="0" fillId="3" borderId="11" xfId="0" applyNumberFormat="1" applyFill="1" applyBorder="1" applyAlignment="1">
      <alignment horizontal="center" vertical="center"/>
    </xf>
    <xf numFmtId="0" fontId="0" fillId="3" borderId="12" xfId="0" applyFill="1" applyBorder="1" applyAlignment="1">
      <alignment horizontal="center" vertical="center"/>
    </xf>
    <xf numFmtId="0" fontId="9" fillId="3" borderId="18" xfId="0" applyFont="1" applyFill="1" applyBorder="1" applyAlignment="1">
      <alignment horizontal="center"/>
    </xf>
    <xf numFmtId="0" fontId="9" fillId="3" borderId="14" xfId="0" applyFont="1" applyFill="1" applyBorder="1" applyAlignment="1">
      <alignment horizontal="center"/>
    </xf>
    <xf numFmtId="0" fontId="9" fillId="3" borderId="19" xfId="0" applyFont="1" applyFill="1" applyBorder="1" applyAlignment="1">
      <alignment horizontal="center"/>
    </xf>
    <xf numFmtId="0" fontId="9" fillId="3" borderId="20" xfId="0" applyFont="1" applyFill="1" applyBorder="1" applyAlignment="1">
      <alignment horizontal="center"/>
    </xf>
    <xf numFmtId="0" fontId="9" fillId="3" borderId="35" xfId="0" applyFont="1" applyFill="1" applyBorder="1" applyAlignment="1">
      <alignment horizontal="center"/>
    </xf>
    <xf numFmtId="0" fontId="9" fillId="3" borderId="38" xfId="0" applyFont="1" applyFill="1" applyBorder="1" applyAlignment="1">
      <alignment horizontal="center"/>
    </xf>
    <xf numFmtId="0" fontId="0" fillId="3" borderId="0" xfId="0" applyFont="1" applyFill="1" applyAlignment="1">
      <alignment horizontal="left" wrapText="1"/>
    </xf>
    <xf numFmtId="0" fontId="6" fillId="3" borderId="0" xfId="1" applyFont="1" applyFill="1" applyBorder="1" applyAlignment="1">
      <alignment horizontal="left" vertical="center" wrapText="1"/>
    </xf>
  </cellXfs>
  <cellStyles count="2">
    <cellStyle name="Normal" xfId="0" builtinId="0"/>
    <cellStyle name="Normal 3" xfId="1" xr:uid="{FA7C0C46-C29B-4D01-A4D1-3A5822E77DE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Aster vs. Ibis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'ST4-Correlation_Stu_varieties'!$A$3:$A$43</c:f>
              <c:numCache>
                <c:formatCode>General</c:formatCode>
                <c:ptCount val="41"/>
                <c:pt idx="0">
                  <c:v>302.5</c:v>
                </c:pt>
                <c:pt idx="1">
                  <c:v>425.2</c:v>
                </c:pt>
                <c:pt idx="2">
                  <c:v>1325.3</c:v>
                </c:pt>
                <c:pt idx="3">
                  <c:v>256.39999999999998</c:v>
                </c:pt>
                <c:pt idx="4">
                  <c:v>3.3</c:v>
                </c:pt>
                <c:pt idx="5">
                  <c:v>3.9</c:v>
                </c:pt>
                <c:pt idx="6">
                  <c:v>22.7</c:v>
                </c:pt>
                <c:pt idx="7">
                  <c:v>126.8</c:v>
                </c:pt>
                <c:pt idx="8">
                  <c:v>285.3</c:v>
                </c:pt>
                <c:pt idx="9">
                  <c:v>173</c:v>
                </c:pt>
                <c:pt idx="10">
                  <c:v>4.9000000000000004</c:v>
                </c:pt>
                <c:pt idx="11">
                  <c:v>12.6</c:v>
                </c:pt>
                <c:pt idx="12">
                  <c:v>19.899999999999999</c:v>
                </c:pt>
                <c:pt idx="13">
                  <c:v>7.8</c:v>
                </c:pt>
                <c:pt idx="14">
                  <c:v>3.6</c:v>
                </c:pt>
                <c:pt idx="15">
                  <c:v>34.6</c:v>
                </c:pt>
                <c:pt idx="16">
                  <c:v>225.4</c:v>
                </c:pt>
                <c:pt idx="17">
                  <c:v>120.7</c:v>
                </c:pt>
                <c:pt idx="18">
                  <c:v>43.9</c:v>
                </c:pt>
                <c:pt idx="19">
                  <c:v>44.1</c:v>
                </c:pt>
                <c:pt idx="20">
                  <c:v>1.9</c:v>
                </c:pt>
                <c:pt idx="21" formatCode="0.0">
                  <c:v>9.5</c:v>
                </c:pt>
                <c:pt idx="22" formatCode="0.0">
                  <c:v>9.5</c:v>
                </c:pt>
                <c:pt idx="23" formatCode="0.0">
                  <c:v>9.5</c:v>
                </c:pt>
                <c:pt idx="24" formatCode="0.0">
                  <c:v>1.7333333333333334</c:v>
                </c:pt>
                <c:pt idx="25" formatCode="0.0">
                  <c:v>1.7333333333333334</c:v>
                </c:pt>
                <c:pt idx="26" formatCode="0.0">
                  <c:v>1.7333333333333334</c:v>
                </c:pt>
                <c:pt idx="27" formatCode="0.0">
                  <c:v>0.3</c:v>
                </c:pt>
                <c:pt idx="28" formatCode="0.0">
                  <c:v>2</c:v>
                </c:pt>
                <c:pt idx="29" formatCode="0.0">
                  <c:v>4.9000000000000004</c:v>
                </c:pt>
                <c:pt idx="30" formatCode="0.0">
                  <c:v>4.5</c:v>
                </c:pt>
                <c:pt idx="31" formatCode="0.0">
                  <c:v>2.2000000000000002</c:v>
                </c:pt>
                <c:pt idx="32" formatCode="0.0">
                  <c:v>0.3</c:v>
                </c:pt>
                <c:pt idx="33">
                  <c:v>7.5</c:v>
                </c:pt>
                <c:pt idx="34">
                  <c:v>16</c:v>
                </c:pt>
                <c:pt idx="35">
                  <c:v>31.4</c:v>
                </c:pt>
                <c:pt idx="36">
                  <c:v>42.8</c:v>
                </c:pt>
                <c:pt idx="37">
                  <c:v>36.200000000000003</c:v>
                </c:pt>
                <c:pt idx="38">
                  <c:v>20.100000000000001</c:v>
                </c:pt>
                <c:pt idx="39">
                  <c:v>8.9</c:v>
                </c:pt>
                <c:pt idx="40">
                  <c:v>4.5999999999999996</c:v>
                </c:pt>
              </c:numCache>
            </c:numRef>
          </c:xVal>
          <c:yVal>
            <c:numRef>
              <c:f>'ST4-Correlation_Stu_varieties'!$B$3:$B$43</c:f>
              <c:numCache>
                <c:formatCode>General</c:formatCode>
                <c:ptCount val="41"/>
                <c:pt idx="0">
                  <c:v>560</c:v>
                </c:pt>
                <c:pt idx="1">
                  <c:v>463</c:v>
                </c:pt>
                <c:pt idx="2">
                  <c:v>1531.9</c:v>
                </c:pt>
                <c:pt idx="3">
                  <c:v>308.10000000000002</c:v>
                </c:pt>
                <c:pt idx="4">
                  <c:v>3.3</c:v>
                </c:pt>
                <c:pt idx="5">
                  <c:v>2.7</c:v>
                </c:pt>
                <c:pt idx="6">
                  <c:v>14</c:v>
                </c:pt>
                <c:pt idx="7">
                  <c:v>95.3</c:v>
                </c:pt>
                <c:pt idx="8">
                  <c:v>291.7</c:v>
                </c:pt>
                <c:pt idx="9">
                  <c:v>201.6</c:v>
                </c:pt>
                <c:pt idx="10">
                  <c:v>4.4000000000000004</c:v>
                </c:pt>
                <c:pt idx="11">
                  <c:v>6.3</c:v>
                </c:pt>
                <c:pt idx="12">
                  <c:v>15</c:v>
                </c:pt>
                <c:pt idx="13">
                  <c:v>6.1</c:v>
                </c:pt>
                <c:pt idx="14">
                  <c:v>4.0999999999999996</c:v>
                </c:pt>
                <c:pt idx="15">
                  <c:v>39</c:v>
                </c:pt>
                <c:pt idx="16">
                  <c:v>271.5</c:v>
                </c:pt>
                <c:pt idx="17">
                  <c:v>156.9</c:v>
                </c:pt>
                <c:pt idx="18">
                  <c:v>55.8</c:v>
                </c:pt>
                <c:pt idx="19">
                  <c:v>52.5</c:v>
                </c:pt>
                <c:pt idx="20">
                  <c:v>2.2000000000000002</c:v>
                </c:pt>
                <c:pt idx="27">
                  <c:v>0.1</c:v>
                </c:pt>
                <c:pt idx="28">
                  <c:v>1.8</c:v>
                </c:pt>
                <c:pt idx="29">
                  <c:v>5.0999999999999996</c:v>
                </c:pt>
                <c:pt idx="30">
                  <c:v>3.3</c:v>
                </c:pt>
                <c:pt idx="31">
                  <c:v>1.5</c:v>
                </c:pt>
                <c:pt idx="32">
                  <c:v>0.3</c:v>
                </c:pt>
                <c:pt idx="33">
                  <c:v>7.1</c:v>
                </c:pt>
                <c:pt idx="34">
                  <c:v>20.100000000000001</c:v>
                </c:pt>
                <c:pt idx="35">
                  <c:v>46.1</c:v>
                </c:pt>
                <c:pt idx="36">
                  <c:v>75.8</c:v>
                </c:pt>
                <c:pt idx="37">
                  <c:v>83.8</c:v>
                </c:pt>
                <c:pt idx="38">
                  <c:v>56.6</c:v>
                </c:pt>
                <c:pt idx="39">
                  <c:v>20.2</c:v>
                </c:pt>
                <c:pt idx="40">
                  <c:v>5.9</c:v>
                </c:pt>
              </c:numCache>
            </c:numRef>
          </c:yVal>
          <c:smooth val="0"/>
          <c:extLst>
            <c:ext xmlns:c16="http://schemas.microsoft.com/office/drawing/2014/chart" uri="{C3380CC4-5D6E-409C-BE32-E72D297353CC}">
              <c16:uniqueId val="{00000000-5DD4-4148-9714-66CF25F773BC}"/>
            </c:ext>
          </c:extLst>
        </c:ser>
        <c:dLbls>
          <c:showLegendKey val="0"/>
          <c:showVal val="0"/>
          <c:showCatName val="0"/>
          <c:showSerName val="0"/>
          <c:showPercent val="0"/>
          <c:showBubbleSize val="0"/>
        </c:dLbls>
        <c:axId val="1109714880"/>
        <c:axId val="525984304"/>
      </c:scatterChart>
      <c:valAx>
        <c:axId val="110971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84304"/>
        <c:crosses val="autoZero"/>
        <c:crossBetween val="midCat"/>
      </c:valAx>
      <c:valAx>
        <c:axId val="52598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1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Aster vs. Maryna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'ST4-Correlation_Stu_varieties'!$F$3:$F$43</c:f>
              <c:numCache>
                <c:formatCode>General</c:formatCode>
                <c:ptCount val="41"/>
                <c:pt idx="0">
                  <c:v>302.5</c:v>
                </c:pt>
                <c:pt idx="1">
                  <c:v>425.2</c:v>
                </c:pt>
                <c:pt idx="2">
                  <c:v>1325.3</c:v>
                </c:pt>
                <c:pt idx="3">
                  <c:v>256.39999999999998</c:v>
                </c:pt>
                <c:pt idx="4">
                  <c:v>3.3</c:v>
                </c:pt>
                <c:pt idx="5">
                  <c:v>3.9</c:v>
                </c:pt>
                <c:pt idx="6">
                  <c:v>22.7</c:v>
                </c:pt>
                <c:pt idx="7">
                  <c:v>126.8</c:v>
                </c:pt>
                <c:pt idx="8">
                  <c:v>285.3</c:v>
                </c:pt>
                <c:pt idx="9">
                  <c:v>173</c:v>
                </c:pt>
                <c:pt idx="10">
                  <c:v>4.9000000000000004</c:v>
                </c:pt>
                <c:pt idx="11">
                  <c:v>12.6</c:v>
                </c:pt>
                <c:pt idx="12">
                  <c:v>19.899999999999999</c:v>
                </c:pt>
                <c:pt idx="13">
                  <c:v>7.8</c:v>
                </c:pt>
                <c:pt idx="14">
                  <c:v>3.6</c:v>
                </c:pt>
                <c:pt idx="15">
                  <c:v>34.6</c:v>
                </c:pt>
                <c:pt idx="16">
                  <c:v>225.4</c:v>
                </c:pt>
                <c:pt idx="17">
                  <c:v>120.7</c:v>
                </c:pt>
                <c:pt idx="18">
                  <c:v>43.9</c:v>
                </c:pt>
                <c:pt idx="19">
                  <c:v>44.1</c:v>
                </c:pt>
                <c:pt idx="20">
                  <c:v>1.9</c:v>
                </c:pt>
                <c:pt idx="21" formatCode="0.0">
                  <c:v>9.5</c:v>
                </c:pt>
                <c:pt idx="22" formatCode="0.0">
                  <c:v>9.5</c:v>
                </c:pt>
                <c:pt idx="23" formatCode="0.0">
                  <c:v>9.5</c:v>
                </c:pt>
                <c:pt idx="24" formatCode="0.0">
                  <c:v>1.7333333333333334</c:v>
                </c:pt>
                <c:pt idx="25" formatCode="0.0">
                  <c:v>1.7333333333333334</c:v>
                </c:pt>
                <c:pt idx="26" formatCode="0.0">
                  <c:v>1.7333333333333334</c:v>
                </c:pt>
                <c:pt idx="27" formatCode="0.0">
                  <c:v>0.3</c:v>
                </c:pt>
                <c:pt idx="28" formatCode="0.0">
                  <c:v>2</c:v>
                </c:pt>
                <c:pt idx="29" formatCode="0.0">
                  <c:v>4.9000000000000004</c:v>
                </c:pt>
                <c:pt idx="30" formatCode="0.0">
                  <c:v>4.5</c:v>
                </c:pt>
                <c:pt idx="31" formatCode="0.0">
                  <c:v>2.2000000000000002</c:v>
                </c:pt>
                <c:pt idx="32" formatCode="0.0">
                  <c:v>0.3</c:v>
                </c:pt>
                <c:pt idx="33">
                  <c:v>7.5</c:v>
                </c:pt>
                <c:pt idx="34">
                  <c:v>16</c:v>
                </c:pt>
                <c:pt idx="35">
                  <c:v>31.4</c:v>
                </c:pt>
                <c:pt idx="36">
                  <c:v>42.8</c:v>
                </c:pt>
                <c:pt idx="37">
                  <c:v>36.200000000000003</c:v>
                </c:pt>
                <c:pt idx="38">
                  <c:v>20.100000000000001</c:v>
                </c:pt>
                <c:pt idx="39">
                  <c:v>8.9</c:v>
                </c:pt>
                <c:pt idx="40">
                  <c:v>4.5999999999999996</c:v>
                </c:pt>
              </c:numCache>
            </c:numRef>
          </c:xVal>
          <c:yVal>
            <c:numRef>
              <c:f>'ST4-Correlation_Stu_varieties'!$G$3:$G$43</c:f>
              <c:numCache>
                <c:formatCode>General</c:formatCode>
                <c:ptCount val="41"/>
                <c:pt idx="0">
                  <c:v>455.9</c:v>
                </c:pt>
                <c:pt idx="1">
                  <c:v>465</c:v>
                </c:pt>
                <c:pt idx="2">
                  <c:v>1107.7</c:v>
                </c:pt>
                <c:pt idx="3">
                  <c:v>175.5</c:v>
                </c:pt>
                <c:pt idx="4">
                  <c:v>8.9</c:v>
                </c:pt>
                <c:pt idx="5">
                  <c:v>2.8</c:v>
                </c:pt>
                <c:pt idx="6">
                  <c:v>12.8</c:v>
                </c:pt>
                <c:pt idx="7">
                  <c:v>90.6</c:v>
                </c:pt>
                <c:pt idx="8">
                  <c:v>261.2</c:v>
                </c:pt>
                <c:pt idx="9">
                  <c:v>197.3</c:v>
                </c:pt>
                <c:pt idx="10">
                  <c:v>5</c:v>
                </c:pt>
                <c:pt idx="11">
                  <c:v>11.7</c:v>
                </c:pt>
                <c:pt idx="12">
                  <c:v>18.3</c:v>
                </c:pt>
                <c:pt idx="13">
                  <c:v>8.1</c:v>
                </c:pt>
                <c:pt idx="14">
                  <c:v>4.2</c:v>
                </c:pt>
                <c:pt idx="15">
                  <c:v>51.2</c:v>
                </c:pt>
                <c:pt idx="16">
                  <c:v>285.7</c:v>
                </c:pt>
                <c:pt idx="17">
                  <c:v>148.1</c:v>
                </c:pt>
                <c:pt idx="18">
                  <c:v>48.9</c:v>
                </c:pt>
                <c:pt idx="19">
                  <c:v>44.8</c:v>
                </c:pt>
                <c:pt idx="20">
                  <c:v>4</c:v>
                </c:pt>
                <c:pt idx="21" formatCode="0.0">
                  <c:v>14.733333333333334</c:v>
                </c:pt>
                <c:pt idx="22" formatCode="0.0">
                  <c:v>14.733333333333334</c:v>
                </c:pt>
                <c:pt idx="23" formatCode="0.0">
                  <c:v>14.733333333333334</c:v>
                </c:pt>
                <c:pt idx="24">
                  <c:v>1.8</c:v>
                </c:pt>
                <c:pt idx="25">
                  <c:v>1.8</c:v>
                </c:pt>
                <c:pt idx="26">
                  <c:v>1.8</c:v>
                </c:pt>
                <c:pt idx="28">
                  <c:v>1.9</c:v>
                </c:pt>
                <c:pt idx="29">
                  <c:v>4.9000000000000004</c:v>
                </c:pt>
                <c:pt idx="30">
                  <c:v>5.0999999999999996</c:v>
                </c:pt>
                <c:pt idx="31">
                  <c:v>2.4</c:v>
                </c:pt>
                <c:pt idx="32">
                  <c:v>0.2</c:v>
                </c:pt>
                <c:pt idx="33">
                  <c:v>3.4</c:v>
                </c:pt>
                <c:pt idx="34">
                  <c:v>6.7</c:v>
                </c:pt>
                <c:pt idx="35">
                  <c:v>14.4</c:v>
                </c:pt>
                <c:pt idx="36">
                  <c:v>22.2</c:v>
                </c:pt>
                <c:pt idx="37">
                  <c:v>20.7</c:v>
                </c:pt>
                <c:pt idx="38">
                  <c:v>13.3</c:v>
                </c:pt>
                <c:pt idx="39">
                  <c:v>5.2</c:v>
                </c:pt>
                <c:pt idx="40">
                  <c:v>1.9</c:v>
                </c:pt>
              </c:numCache>
            </c:numRef>
          </c:yVal>
          <c:smooth val="0"/>
          <c:extLst>
            <c:ext xmlns:c16="http://schemas.microsoft.com/office/drawing/2014/chart" uri="{C3380CC4-5D6E-409C-BE32-E72D297353CC}">
              <c16:uniqueId val="{00000000-FE80-4238-8BD1-3EB5E68BA12C}"/>
            </c:ext>
          </c:extLst>
        </c:ser>
        <c:dLbls>
          <c:showLegendKey val="0"/>
          <c:showVal val="0"/>
          <c:showCatName val="0"/>
          <c:showSerName val="0"/>
          <c:showPercent val="0"/>
          <c:showBubbleSize val="0"/>
        </c:dLbls>
        <c:axId val="1109714880"/>
        <c:axId val="525984304"/>
      </c:scatterChart>
      <c:valAx>
        <c:axId val="110971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84304"/>
        <c:crosses val="autoZero"/>
        <c:crossBetween val="midCat"/>
      </c:valAx>
      <c:valAx>
        <c:axId val="52598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1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Aster vs. Perkoz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'ST4-Correlation_Stu_varieties'!$K$3:$K$43</c:f>
              <c:numCache>
                <c:formatCode>General</c:formatCode>
                <c:ptCount val="41"/>
                <c:pt idx="0">
                  <c:v>302.5</c:v>
                </c:pt>
                <c:pt idx="1">
                  <c:v>425.2</c:v>
                </c:pt>
                <c:pt idx="2">
                  <c:v>1325.3</c:v>
                </c:pt>
                <c:pt idx="3">
                  <c:v>256.39999999999998</c:v>
                </c:pt>
                <c:pt idx="4">
                  <c:v>3.3</c:v>
                </c:pt>
                <c:pt idx="5">
                  <c:v>3.9</c:v>
                </c:pt>
                <c:pt idx="6">
                  <c:v>22.7</c:v>
                </c:pt>
                <c:pt idx="7">
                  <c:v>126.8</c:v>
                </c:pt>
                <c:pt idx="8">
                  <c:v>285.3</c:v>
                </c:pt>
                <c:pt idx="9">
                  <c:v>173</c:v>
                </c:pt>
                <c:pt idx="10">
                  <c:v>4.9000000000000004</c:v>
                </c:pt>
                <c:pt idx="11">
                  <c:v>12.6</c:v>
                </c:pt>
                <c:pt idx="12">
                  <c:v>19.899999999999999</c:v>
                </c:pt>
                <c:pt idx="13">
                  <c:v>7.8</c:v>
                </c:pt>
                <c:pt idx="14">
                  <c:v>3.6</c:v>
                </c:pt>
                <c:pt idx="15">
                  <c:v>34.6</c:v>
                </c:pt>
                <c:pt idx="16">
                  <c:v>225.4</c:v>
                </c:pt>
                <c:pt idx="17">
                  <c:v>120.7</c:v>
                </c:pt>
                <c:pt idx="18">
                  <c:v>43.9</c:v>
                </c:pt>
                <c:pt idx="19">
                  <c:v>44.1</c:v>
                </c:pt>
                <c:pt idx="20">
                  <c:v>1.9</c:v>
                </c:pt>
                <c:pt idx="21" formatCode="0.0">
                  <c:v>9.5</c:v>
                </c:pt>
                <c:pt idx="22" formatCode="0.0">
                  <c:v>9.5</c:v>
                </c:pt>
                <c:pt idx="23" formatCode="0.0">
                  <c:v>9.5</c:v>
                </c:pt>
                <c:pt idx="24" formatCode="0.0">
                  <c:v>1.7333333333333334</c:v>
                </c:pt>
                <c:pt idx="25" formatCode="0.0">
                  <c:v>1.7333333333333334</c:v>
                </c:pt>
                <c:pt idx="26" formatCode="0.0">
                  <c:v>1.7333333333333334</c:v>
                </c:pt>
                <c:pt idx="27" formatCode="0.0">
                  <c:v>0.3</c:v>
                </c:pt>
                <c:pt idx="28" formatCode="0.0">
                  <c:v>2</c:v>
                </c:pt>
                <c:pt idx="29" formatCode="0.0">
                  <c:v>4.9000000000000004</c:v>
                </c:pt>
                <c:pt idx="30" formatCode="0.0">
                  <c:v>4.5</c:v>
                </c:pt>
                <c:pt idx="31" formatCode="0.0">
                  <c:v>2.2000000000000002</c:v>
                </c:pt>
                <c:pt idx="32" formatCode="0.0">
                  <c:v>0.3</c:v>
                </c:pt>
                <c:pt idx="33">
                  <c:v>7.5</c:v>
                </c:pt>
                <c:pt idx="34">
                  <c:v>16</c:v>
                </c:pt>
                <c:pt idx="35">
                  <c:v>31.4</c:v>
                </c:pt>
                <c:pt idx="36">
                  <c:v>42.8</c:v>
                </c:pt>
                <c:pt idx="37">
                  <c:v>36.200000000000003</c:v>
                </c:pt>
                <c:pt idx="38">
                  <c:v>20.100000000000001</c:v>
                </c:pt>
                <c:pt idx="39">
                  <c:v>8.9</c:v>
                </c:pt>
                <c:pt idx="40">
                  <c:v>4.5999999999999996</c:v>
                </c:pt>
              </c:numCache>
            </c:numRef>
          </c:xVal>
          <c:yVal>
            <c:numRef>
              <c:f>'ST4-Correlation_Stu_varieties'!$L$3:$L$43</c:f>
              <c:numCache>
                <c:formatCode>General</c:formatCode>
                <c:ptCount val="41"/>
                <c:pt idx="0">
                  <c:v>212.4</c:v>
                </c:pt>
                <c:pt idx="1">
                  <c:v>379.2</c:v>
                </c:pt>
                <c:pt idx="2">
                  <c:v>1056.2</c:v>
                </c:pt>
                <c:pt idx="3">
                  <c:v>157.5</c:v>
                </c:pt>
                <c:pt idx="4">
                  <c:v>1.9</c:v>
                </c:pt>
                <c:pt idx="5">
                  <c:v>1.4</c:v>
                </c:pt>
                <c:pt idx="6">
                  <c:v>6.1</c:v>
                </c:pt>
                <c:pt idx="7">
                  <c:v>41.6</c:v>
                </c:pt>
                <c:pt idx="8">
                  <c:v>131</c:v>
                </c:pt>
                <c:pt idx="9">
                  <c:v>78.7</c:v>
                </c:pt>
                <c:pt idx="10">
                  <c:v>14.1</c:v>
                </c:pt>
                <c:pt idx="11">
                  <c:v>12.3</c:v>
                </c:pt>
                <c:pt idx="12">
                  <c:v>17.2</c:v>
                </c:pt>
                <c:pt idx="13">
                  <c:v>7.3</c:v>
                </c:pt>
                <c:pt idx="14">
                  <c:v>3.6</c:v>
                </c:pt>
                <c:pt idx="15">
                  <c:v>17.399999999999999</c:v>
                </c:pt>
                <c:pt idx="16">
                  <c:v>108.4</c:v>
                </c:pt>
                <c:pt idx="17">
                  <c:v>64.2</c:v>
                </c:pt>
                <c:pt idx="18">
                  <c:v>38.799999999999997</c:v>
                </c:pt>
                <c:pt idx="19">
                  <c:v>69.2</c:v>
                </c:pt>
                <c:pt idx="20">
                  <c:v>4.5</c:v>
                </c:pt>
                <c:pt idx="21" formatCode="0.0">
                  <c:v>9.6666666666666661</c:v>
                </c:pt>
                <c:pt idx="22" formatCode="0.0">
                  <c:v>9.6666666666666661</c:v>
                </c:pt>
                <c:pt idx="23" formatCode="0.0">
                  <c:v>9.6666666666666661</c:v>
                </c:pt>
                <c:pt idx="24" formatCode="0.0">
                  <c:v>2.0333333333333332</c:v>
                </c:pt>
                <c:pt idx="25" formatCode="0.0">
                  <c:v>2.0333333333333332</c:v>
                </c:pt>
                <c:pt idx="26" formatCode="0.0">
                  <c:v>2.0333333333333332</c:v>
                </c:pt>
                <c:pt idx="28" formatCode="0.0">
                  <c:v>1.5</c:v>
                </c:pt>
                <c:pt idx="29" formatCode="0.0">
                  <c:v>2.6</c:v>
                </c:pt>
                <c:pt idx="30" formatCode="0.0">
                  <c:v>2.9</c:v>
                </c:pt>
                <c:pt idx="31" formatCode="0.0">
                  <c:v>3</c:v>
                </c:pt>
                <c:pt idx="32" formatCode="0.0">
                  <c:v>0.5</c:v>
                </c:pt>
                <c:pt idx="33">
                  <c:v>3.3</c:v>
                </c:pt>
                <c:pt idx="34">
                  <c:v>5.2</c:v>
                </c:pt>
                <c:pt idx="35">
                  <c:v>8.6999999999999993</c:v>
                </c:pt>
                <c:pt idx="36">
                  <c:v>13.2</c:v>
                </c:pt>
                <c:pt idx="37">
                  <c:v>14.7</c:v>
                </c:pt>
                <c:pt idx="38">
                  <c:v>11.4</c:v>
                </c:pt>
                <c:pt idx="39">
                  <c:v>6</c:v>
                </c:pt>
                <c:pt idx="40">
                  <c:v>3.2</c:v>
                </c:pt>
              </c:numCache>
            </c:numRef>
          </c:yVal>
          <c:smooth val="0"/>
          <c:extLst>
            <c:ext xmlns:c16="http://schemas.microsoft.com/office/drawing/2014/chart" uri="{C3380CC4-5D6E-409C-BE32-E72D297353CC}">
              <c16:uniqueId val="{00000000-2F9B-403D-8BAA-01894F48F61A}"/>
            </c:ext>
          </c:extLst>
        </c:ser>
        <c:dLbls>
          <c:showLegendKey val="0"/>
          <c:showVal val="0"/>
          <c:showCatName val="0"/>
          <c:showSerName val="0"/>
          <c:showPercent val="0"/>
          <c:showBubbleSize val="0"/>
        </c:dLbls>
        <c:axId val="1109714880"/>
        <c:axId val="525984304"/>
      </c:scatterChart>
      <c:valAx>
        <c:axId val="110971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84304"/>
        <c:crosses val="autoZero"/>
        <c:crossBetween val="midCat"/>
      </c:valAx>
      <c:valAx>
        <c:axId val="52598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1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Ibis vs. Maryna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'ST4-Correlation_Stu_varieties'!$P$3:$P$43</c:f>
              <c:numCache>
                <c:formatCode>General</c:formatCode>
                <c:ptCount val="41"/>
                <c:pt idx="0">
                  <c:v>560</c:v>
                </c:pt>
                <c:pt idx="1">
                  <c:v>463</c:v>
                </c:pt>
                <c:pt idx="2">
                  <c:v>1531.9</c:v>
                </c:pt>
                <c:pt idx="3">
                  <c:v>308.10000000000002</c:v>
                </c:pt>
                <c:pt idx="4">
                  <c:v>3.3</c:v>
                </c:pt>
                <c:pt idx="5">
                  <c:v>2.7</c:v>
                </c:pt>
                <c:pt idx="6">
                  <c:v>14</c:v>
                </c:pt>
                <c:pt idx="7">
                  <c:v>95.3</c:v>
                </c:pt>
                <c:pt idx="8">
                  <c:v>291.7</c:v>
                </c:pt>
                <c:pt idx="9">
                  <c:v>201.6</c:v>
                </c:pt>
                <c:pt idx="10">
                  <c:v>4.4000000000000004</c:v>
                </c:pt>
                <c:pt idx="11">
                  <c:v>6.3</c:v>
                </c:pt>
                <c:pt idx="12">
                  <c:v>15</c:v>
                </c:pt>
                <c:pt idx="13">
                  <c:v>6.1</c:v>
                </c:pt>
                <c:pt idx="14">
                  <c:v>4.0999999999999996</c:v>
                </c:pt>
                <c:pt idx="15">
                  <c:v>39</c:v>
                </c:pt>
                <c:pt idx="16">
                  <c:v>271.5</c:v>
                </c:pt>
                <c:pt idx="17">
                  <c:v>156.9</c:v>
                </c:pt>
                <c:pt idx="18">
                  <c:v>55.8</c:v>
                </c:pt>
                <c:pt idx="19">
                  <c:v>52.5</c:v>
                </c:pt>
                <c:pt idx="20">
                  <c:v>2.2000000000000002</c:v>
                </c:pt>
                <c:pt idx="27">
                  <c:v>0.1</c:v>
                </c:pt>
                <c:pt idx="28">
                  <c:v>1.8</c:v>
                </c:pt>
                <c:pt idx="29">
                  <c:v>5.0999999999999996</c:v>
                </c:pt>
                <c:pt idx="30">
                  <c:v>3.3</c:v>
                </c:pt>
                <c:pt idx="31">
                  <c:v>1.5</c:v>
                </c:pt>
                <c:pt idx="32">
                  <c:v>0.3</c:v>
                </c:pt>
                <c:pt idx="33">
                  <c:v>7.1</c:v>
                </c:pt>
                <c:pt idx="34">
                  <c:v>20.100000000000001</c:v>
                </c:pt>
                <c:pt idx="35">
                  <c:v>46.1</c:v>
                </c:pt>
                <c:pt idx="36">
                  <c:v>75.8</c:v>
                </c:pt>
                <c:pt idx="37">
                  <c:v>83.8</c:v>
                </c:pt>
                <c:pt idx="38">
                  <c:v>56.6</c:v>
                </c:pt>
                <c:pt idx="39">
                  <c:v>20.2</c:v>
                </c:pt>
                <c:pt idx="40">
                  <c:v>5.9</c:v>
                </c:pt>
              </c:numCache>
            </c:numRef>
          </c:xVal>
          <c:yVal>
            <c:numRef>
              <c:f>'ST4-Correlation_Stu_varieties'!$Q$3:$Q$43</c:f>
              <c:numCache>
                <c:formatCode>General</c:formatCode>
                <c:ptCount val="41"/>
                <c:pt idx="0">
                  <c:v>455.9</c:v>
                </c:pt>
                <c:pt idx="1">
                  <c:v>465</c:v>
                </c:pt>
                <c:pt idx="2">
                  <c:v>1107.7</c:v>
                </c:pt>
                <c:pt idx="3">
                  <c:v>175.5</c:v>
                </c:pt>
                <c:pt idx="4">
                  <c:v>8.9</c:v>
                </c:pt>
                <c:pt idx="5">
                  <c:v>2.8</c:v>
                </c:pt>
                <c:pt idx="6">
                  <c:v>12.8</c:v>
                </c:pt>
                <c:pt idx="7">
                  <c:v>90.6</c:v>
                </c:pt>
                <c:pt idx="8">
                  <c:v>261.2</c:v>
                </c:pt>
                <c:pt idx="9">
                  <c:v>197.3</c:v>
                </c:pt>
                <c:pt idx="10">
                  <c:v>5</c:v>
                </c:pt>
                <c:pt idx="11">
                  <c:v>11.7</c:v>
                </c:pt>
                <c:pt idx="12">
                  <c:v>18.3</c:v>
                </c:pt>
                <c:pt idx="13">
                  <c:v>8.1</c:v>
                </c:pt>
                <c:pt idx="14">
                  <c:v>4.2</c:v>
                </c:pt>
                <c:pt idx="15">
                  <c:v>51.2</c:v>
                </c:pt>
                <c:pt idx="16">
                  <c:v>285.7</c:v>
                </c:pt>
                <c:pt idx="17">
                  <c:v>148.1</c:v>
                </c:pt>
                <c:pt idx="18">
                  <c:v>48.9</c:v>
                </c:pt>
                <c:pt idx="19">
                  <c:v>44.8</c:v>
                </c:pt>
                <c:pt idx="20">
                  <c:v>4</c:v>
                </c:pt>
                <c:pt idx="21" formatCode="0.0">
                  <c:v>14.733333333333334</c:v>
                </c:pt>
                <c:pt idx="22" formatCode="0.0">
                  <c:v>14.733333333333334</c:v>
                </c:pt>
                <c:pt idx="23" formatCode="0.0">
                  <c:v>14.733333333333334</c:v>
                </c:pt>
                <c:pt idx="24">
                  <c:v>1.8</c:v>
                </c:pt>
                <c:pt idx="25">
                  <c:v>1.8</c:v>
                </c:pt>
                <c:pt idx="26">
                  <c:v>1.8</c:v>
                </c:pt>
                <c:pt idx="28">
                  <c:v>1.9</c:v>
                </c:pt>
                <c:pt idx="29">
                  <c:v>4.9000000000000004</c:v>
                </c:pt>
                <c:pt idx="30">
                  <c:v>5.0999999999999996</c:v>
                </c:pt>
                <c:pt idx="31">
                  <c:v>2.4</c:v>
                </c:pt>
                <c:pt idx="32">
                  <c:v>0.2</c:v>
                </c:pt>
                <c:pt idx="33">
                  <c:v>3.4</c:v>
                </c:pt>
                <c:pt idx="34">
                  <c:v>6.7</c:v>
                </c:pt>
                <c:pt idx="35">
                  <c:v>14.4</c:v>
                </c:pt>
                <c:pt idx="36">
                  <c:v>22.2</c:v>
                </c:pt>
                <c:pt idx="37">
                  <c:v>20.7</c:v>
                </c:pt>
                <c:pt idx="38">
                  <c:v>13.3</c:v>
                </c:pt>
                <c:pt idx="39">
                  <c:v>5.2</c:v>
                </c:pt>
                <c:pt idx="40">
                  <c:v>1.9</c:v>
                </c:pt>
              </c:numCache>
            </c:numRef>
          </c:yVal>
          <c:smooth val="0"/>
          <c:extLst>
            <c:ext xmlns:c16="http://schemas.microsoft.com/office/drawing/2014/chart" uri="{C3380CC4-5D6E-409C-BE32-E72D297353CC}">
              <c16:uniqueId val="{00000000-E1CD-4D80-8D2D-917E87689B97}"/>
            </c:ext>
          </c:extLst>
        </c:ser>
        <c:dLbls>
          <c:showLegendKey val="0"/>
          <c:showVal val="0"/>
          <c:showCatName val="0"/>
          <c:showSerName val="0"/>
          <c:showPercent val="0"/>
          <c:showBubbleSize val="0"/>
        </c:dLbls>
        <c:axId val="1109714880"/>
        <c:axId val="525984304"/>
      </c:scatterChart>
      <c:valAx>
        <c:axId val="110971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84304"/>
        <c:crosses val="autoZero"/>
        <c:crossBetween val="midCat"/>
      </c:valAx>
      <c:valAx>
        <c:axId val="52598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1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Ibis vs. Perkoz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'ST4-Correlation_Stu_varieties'!$U$3:$U$43</c:f>
              <c:numCache>
                <c:formatCode>General</c:formatCode>
                <c:ptCount val="41"/>
                <c:pt idx="0">
                  <c:v>560</c:v>
                </c:pt>
                <c:pt idx="1">
                  <c:v>463</c:v>
                </c:pt>
                <c:pt idx="2">
                  <c:v>1531.9</c:v>
                </c:pt>
                <c:pt idx="3">
                  <c:v>308.10000000000002</c:v>
                </c:pt>
                <c:pt idx="4">
                  <c:v>3.3</c:v>
                </c:pt>
                <c:pt idx="5">
                  <c:v>2.7</c:v>
                </c:pt>
                <c:pt idx="6">
                  <c:v>14</c:v>
                </c:pt>
                <c:pt idx="7">
                  <c:v>95.3</c:v>
                </c:pt>
                <c:pt idx="8">
                  <c:v>291.7</c:v>
                </c:pt>
                <c:pt idx="9">
                  <c:v>201.6</c:v>
                </c:pt>
                <c:pt idx="10">
                  <c:v>4.4000000000000004</c:v>
                </c:pt>
                <c:pt idx="11">
                  <c:v>6.3</c:v>
                </c:pt>
                <c:pt idx="12">
                  <c:v>15</c:v>
                </c:pt>
                <c:pt idx="13">
                  <c:v>6.1</c:v>
                </c:pt>
                <c:pt idx="14">
                  <c:v>4.0999999999999996</c:v>
                </c:pt>
                <c:pt idx="15">
                  <c:v>39</c:v>
                </c:pt>
                <c:pt idx="16">
                  <c:v>271.5</c:v>
                </c:pt>
                <c:pt idx="17">
                  <c:v>156.9</c:v>
                </c:pt>
                <c:pt idx="18">
                  <c:v>55.8</c:v>
                </c:pt>
                <c:pt idx="19">
                  <c:v>52.5</c:v>
                </c:pt>
                <c:pt idx="20">
                  <c:v>2.2000000000000002</c:v>
                </c:pt>
                <c:pt idx="27">
                  <c:v>0.1</c:v>
                </c:pt>
                <c:pt idx="28">
                  <c:v>1.8</c:v>
                </c:pt>
                <c:pt idx="29">
                  <c:v>5.0999999999999996</c:v>
                </c:pt>
                <c:pt idx="30">
                  <c:v>3.3</c:v>
                </c:pt>
                <c:pt idx="31">
                  <c:v>1.5</c:v>
                </c:pt>
                <c:pt idx="32">
                  <c:v>0.3</c:v>
                </c:pt>
                <c:pt idx="33">
                  <c:v>7.1</c:v>
                </c:pt>
                <c:pt idx="34">
                  <c:v>20.100000000000001</c:v>
                </c:pt>
                <c:pt idx="35">
                  <c:v>46.1</c:v>
                </c:pt>
                <c:pt idx="36">
                  <c:v>75.8</c:v>
                </c:pt>
                <c:pt idx="37">
                  <c:v>83.8</c:v>
                </c:pt>
                <c:pt idx="38">
                  <c:v>56.6</c:v>
                </c:pt>
                <c:pt idx="39">
                  <c:v>20.2</c:v>
                </c:pt>
                <c:pt idx="40">
                  <c:v>5.9</c:v>
                </c:pt>
              </c:numCache>
            </c:numRef>
          </c:xVal>
          <c:yVal>
            <c:numRef>
              <c:f>'ST4-Correlation_Stu_varieties'!$V$3:$V$43</c:f>
              <c:numCache>
                <c:formatCode>General</c:formatCode>
                <c:ptCount val="41"/>
                <c:pt idx="0">
                  <c:v>212.4</c:v>
                </c:pt>
                <c:pt idx="1">
                  <c:v>379.2</c:v>
                </c:pt>
                <c:pt idx="2">
                  <c:v>1056.2</c:v>
                </c:pt>
                <c:pt idx="3">
                  <c:v>157.5</c:v>
                </c:pt>
                <c:pt idx="4">
                  <c:v>1.9</c:v>
                </c:pt>
                <c:pt idx="5">
                  <c:v>1.4</c:v>
                </c:pt>
                <c:pt idx="6">
                  <c:v>6.1</c:v>
                </c:pt>
                <c:pt idx="7">
                  <c:v>41.6</c:v>
                </c:pt>
                <c:pt idx="8">
                  <c:v>131</c:v>
                </c:pt>
                <c:pt idx="9">
                  <c:v>78.7</c:v>
                </c:pt>
                <c:pt idx="10">
                  <c:v>14.1</c:v>
                </c:pt>
                <c:pt idx="11">
                  <c:v>12.3</c:v>
                </c:pt>
                <c:pt idx="12">
                  <c:v>17.2</c:v>
                </c:pt>
                <c:pt idx="13">
                  <c:v>7.3</c:v>
                </c:pt>
                <c:pt idx="14">
                  <c:v>3.6</c:v>
                </c:pt>
                <c:pt idx="15">
                  <c:v>17.399999999999999</c:v>
                </c:pt>
                <c:pt idx="16">
                  <c:v>108.4</c:v>
                </c:pt>
                <c:pt idx="17">
                  <c:v>64.2</c:v>
                </c:pt>
                <c:pt idx="18">
                  <c:v>38.799999999999997</c:v>
                </c:pt>
                <c:pt idx="19">
                  <c:v>69.2</c:v>
                </c:pt>
                <c:pt idx="20">
                  <c:v>4.5</c:v>
                </c:pt>
                <c:pt idx="21" formatCode="0.0">
                  <c:v>9.6666666666666661</c:v>
                </c:pt>
                <c:pt idx="22" formatCode="0.0">
                  <c:v>9.6666666666666661</c:v>
                </c:pt>
                <c:pt idx="23" formatCode="0.0">
                  <c:v>9.6666666666666661</c:v>
                </c:pt>
                <c:pt idx="24" formatCode="0.0">
                  <c:v>2.0333333333333332</c:v>
                </c:pt>
                <c:pt idx="25" formatCode="0.0">
                  <c:v>2.0333333333333332</c:v>
                </c:pt>
                <c:pt idx="26" formatCode="0.0">
                  <c:v>2.0333333333333332</c:v>
                </c:pt>
                <c:pt idx="28" formatCode="0.0">
                  <c:v>1.5</c:v>
                </c:pt>
                <c:pt idx="29" formatCode="0.0">
                  <c:v>2.6</c:v>
                </c:pt>
                <c:pt idx="30" formatCode="0.0">
                  <c:v>2.9</c:v>
                </c:pt>
                <c:pt idx="31" formatCode="0.0">
                  <c:v>3</c:v>
                </c:pt>
                <c:pt idx="32" formatCode="0.0">
                  <c:v>0.5</c:v>
                </c:pt>
                <c:pt idx="33">
                  <c:v>3.3</c:v>
                </c:pt>
                <c:pt idx="34">
                  <c:v>5.2</c:v>
                </c:pt>
                <c:pt idx="35">
                  <c:v>8.6999999999999993</c:v>
                </c:pt>
                <c:pt idx="36">
                  <c:v>13.2</c:v>
                </c:pt>
                <c:pt idx="37">
                  <c:v>14.7</c:v>
                </c:pt>
                <c:pt idx="38">
                  <c:v>11.4</c:v>
                </c:pt>
                <c:pt idx="39">
                  <c:v>6</c:v>
                </c:pt>
                <c:pt idx="40">
                  <c:v>3.2</c:v>
                </c:pt>
              </c:numCache>
            </c:numRef>
          </c:yVal>
          <c:smooth val="0"/>
          <c:extLst>
            <c:ext xmlns:c16="http://schemas.microsoft.com/office/drawing/2014/chart" uri="{C3380CC4-5D6E-409C-BE32-E72D297353CC}">
              <c16:uniqueId val="{00000000-6DB7-4A81-AAF3-F9DF6C916CE4}"/>
            </c:ext>
          </c:extLst>
        </c:ser>
        <c:dLbls>
          <c:showLegendKey val="0"/>
          <c:showVal val="0"/>
          <c:showCatName val="0"/>
          <c:showSerName val="0"/>
          <c:showPercent val="0"/>
          <c:showBubbleSize val="0"/>
        </c:dLbls>
        <c:axId val="1109714880"/>
        <c:axId val="525984304"/>
      </c:scatterChart>
      <c:valAx>
        <c:axId val="110971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84304"/>
        <c:crosses val="autoZero"/>
        <c:crossBetween val="midCat"/>
      </c:valAx>
      <c:valAx>
        <c:axId val="52598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1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Maryna vs. Perkoz</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'ST4-Correlation_Stu_varieties'!$Z$3:$Z$43</c:f>
              <c:numCache>
                <c:formatCode>General</c:formatCode>
                <c:ptCount val="41"/>
                <c:pt idx="0">
                  <c:v>455.9</c:v>
                </c:pt>
                <c:pt idx="1">
                  <c:v>465</c:v>
                </c:pt>
                <c:pt idx="2">
                  <c:v>1107.7</c:v>
                </c:pt>
                <c:pt idx="3">
                  <c:v>175.5</c:v>
                </c:pt>
                <c:pt idx="4">
                  <c:v>8.9</c:v>
                </c:pt>
                <c:pt idx="5">
                  <c:v>2.8</c:v>
                </c:pt>
                <c:pt idx="6">
                  <c:v>12.8</c:v>
                </c:pt>
                <c:pt idx="7">
                  <c:v>90.6</c:v>
                </c:pt>
                <c:pt idx="8">
                  <c:v>261.2</c:v>
                </c:pt>
                <c:pt idx="9">
                  <c:v>197.3</c:v>
                </c:pt>
                <c:pt idx="10">
                  <c:v>5</c:v>
                </c:pt>
                <c:pt idx="11">
                  <c:v>11.7</c:v>
                </c:pt>
                <c:pt idx="12">
                  <c:v>18.3</c:v>
                </c:pt>
                <c:pt idx="13">
                  <c:v>8.1</c:v>
                </c:pt>
                <c:pt idx="14">
                  <c:v>4.2</c:v>
                </c:pt>
                <c:pt idx="15">
                  <c:v>51.2</c:v>
                </c:pt>
                <c:pt idx="16">
                  <c:v>285.7</c:v>
                </c:pt>
                <c:pt idx="17">
                  <c:v>148.1</c:v>
                </c:pt>
                <c:pt idx="18">
                  <c:v>48.9</c:v>
                </c:pt>
                <c:pt idx="19">
                  <c:v>44.8</c:v>
                </c:pt>
                <c:pt idx="20">
                  <c:v>4</c:v>
                </c:pt>
                <c:pt idx="21" formatCode="0.0">
                  <c:v>14.733333333333334</c:v>
                </c:pt>
                <c:pt idx="22" formatCode="0.0">
                  <c:v>14.733333333333334</c:v>
                </c:pt>
                <c:pt idx="23" formatCode="0.0">
                  <c:v>14.733333333333334</c:v>
                </c:pt>
                <c:pt idx="24">
                  <c:v>1.8</c:v>
                </c:pt>
                <c:pt idx="25">
                  <c:v>1.8</c:v>
                </c:pt>
                <c:pt idx="26">
                  <c:v>1.8</c:v>
                </c:pt>
                <c:pt idx="28">
                  <c:v>1.9</c:v>
                </c:pt>
                <c:pt idx="29">
                  <c:v>4.9000000000000004</c:v>
                </c:pt>
                <c:pt idx="30">
                  <c:v>5.0999999999999996</c:v>
                </c:pt>
                <c:pt idx="31">
                  <c:v>2.4</c:v>
                </c:pt>
                <c:pt idx="32">
                  <c:v>0.2</c:v>
                </c:pt>
                <c:pt idx="33">
                  <c:v>3.4</c:v>
                </c:pt>
                <c:pt idx="34">
                  <c:v>6.7</c:v>
                </c:pt>
                <c:pt idx="35">
                  <c:v>14.4</c:v>
                </c:pt>
                <c:pt idx="36">
                  <c:v>22.2</c:v>
                </c:pt>
                <c:pt idx="37">
                  <c:v>20.7</c:v>
                </c:pt>
                <c:pt idx="38">
                  <c:v>13.3</c:v>
                </c:pt>
                <c:pt idx="39">
                  <c:v>5.2</c:v>
                </c:pt>
                <c:pt idx="40">
                  <c:v>1.9</c:v>
                </c:pt>
              </c:numCache>
            </c:numRef>
          </c:xVal>
          <c:yVal>
            <c:numRef>
              <c:f>'ST4-Correlation_Stu_varieties'!$AA$3:$AA$43</c:f>
              <c:numCache>
                <c:formatCode>General</c:formatCode>
                <c:ptCount val="41"/>
                <c:pt idx="0">
                  <c:v>212.4</c:v>
                </c:pt>
                <c:pt idx="1">
                  <c:v>379.2</c:v>
                </c:pt>
                <c:pt idx="2">
                  <c:v>1056.2</c:v>
                </c:pt>
                <c:pt idx="3">
                  <c:v>157.5</c:v>
                </c:pt>
                <c:pt idx="4">
                  <c:v>1.9</c:v>
                </c:pt>
                <c:pt idx="5">
                  <c:v>1.4</c:v>
                </c:pt>
                <c:pt idx="6">
                  <c:v>6.1</c:v>
                </c:pt>
                <c:pt idx="7">
                  <c:v>41.6</c:v>
                </c:pt>
                <c:pt idx="8">
                  <c:v>131</c:v>
                </c:pt>
                <c:pt idx="9">
                  <c:v>78.7</c:v>
                </c:pt>
                <c:pt idx="10">
                  <c:v>14.1</c:v>
                </c:pt>
                <c:pt idx="11">
                  <c:v>12.3</c:v>
                </c:pt>
                <c:pt idx="12">
                  <c:v>17.2</c:v>
                </c:pt>
                <c:pt idx="13">
                  <c:v>7.3</c:v>
                </c:pt>
                <c:pt idx="14">
                  <c:v>3.6</c:v>
                </c:pt>
                <c:pt idx="15">
                  <c:v>17.399999999999999</c:v>
                </c:pt>
                <c:pt idx="16">
                  <c:v>108.4</c:v>
                </c:pt>
                <c:pt idx="17">
                  <c:v>64.2</c:v>
                </c:pt>
                <c:pt idx="18">
                  <c:v>38.799999999999997</c:v>
                </c:pt>
                <c:pt idx="19">
                  <c:v>69.2</c:v>
                </c:pt>
                <c:pt idx="20">
                  <c:v>4.5</c:v>
                </c:pt>
                <c:pt idx="21" formatCode="0.0">
                  <c:v>9.6666666666666661</c:v>
                </c:pt>
                <c:pt idx="22" formatCode="0.0">
                  <c:v>9.6666666666666661</c:v>
                </c:pt>
                <c:pt idx="23" formatCode="0.0">
                  <c:v>9.6666666666666661</c:v>
                </c:pt>
                <c:pt idx="24" formatCode="0.0">
                  <c:v>2.0333333333333332</c:v>
                </c:pt>
                <c:pt idx="25" formatCode="0.0">
                  <c:v>2.0333333333333332</c:v>
                </c:pt>
                <c:pt idx="26" formatCode="0.0">
                  <c:v>2.0333333333333332</c:v>
                </c:pt>
                <c:pt idx="28" formatCode="0.0">
                  <c:v>1.5</c:v>
                </c:pt>
                <c:pt idx="29" formatCode="0.0">
                  <c:v>2.6</c:v>
                </c:pt>
                <c:pt idx="30" formatCode="0.0">
                  <c:v>2.9</c:v>
                </c:pt>
                <c:pt idx="31" formatCode="0.0">
                  <c:v>3</c:v>
                </c:pt>
                <c:pt idx="32" formatCode="0.0">
                  <c:v>0.5</c:v>
                </c:pt>
                <c:pt idx="33">
                  <c:v>3.3</c:v>
                </c:pt>
                <c:pt idx="34">
                  <c:v>5.2</c:v>
                </c:pt>
                <c:pt idx="35">
                  <c:v>8.6999999999999993</c:v>
                </c:pt>
                <c:pt idx="36">
                  <c:v>13.2</c:v>
                </c:pt>
                <c:pt idx="37">
                  <c:v>14.7</c:v>
                </c:pt>
                <c:pt idx="38">
                  <c:v>11.4</c:v>
                </c:pt>
                <c:pt idx="39">
                  <c:v>6</c:v>
                </c:pt>
                <c:pt idx="40">
                  <c:v>3.2</c:v>
                </c:pt>
              </c:numCache>
            </c:numRef>
          </c:yVal>
          <c:smooth val="0"/>
          <c:extLst>
            <c:ext xmlns:c16="http://schemas.microsoft.com/office/drawing/2014/chart" uri="{C3380CC4-5D6E-409C-BE32-E72D297353CC}">
              <c16:uniqueId val="{00000000-8CDC-456D-9F5C-F193FD2F52DC}"/>
            </c:ext>
          </c:extLst>
        </c:ser>
        <c:dLbls>
          <c:showLegendKey val="0"/>
          <c:showVal val="0"/>
          <c:showCatName val="0"/>
          <c:showSerName val="0"/>
          <c:showPercent val="0"/>
          <c:showBubbleSize val="0"/>
        </c:dLbls>
        <c:axId val="1109714880"/>
        <c:axId val="525984304"/>
      </c:scatterChart>
      <c:valAx>
        <c:axId val="11097148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5984304"/>
        <c:crosses val="autoZero"/>
        <c:crossBetween val="midCat"/>
      </c:valAx>
      <c:valAx>
        <c:axId val="52598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714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45</xdr:row>
      <xdr:rowOff>9525</xdr:rowOff>
    </xdr:from>
    <xdr:to>
      <xdr:col>4</xdr:col>
      <xdr:colOff>161925</xdr:colOff>
      <xdr:row>54</xdr:row>
      <xdr:rowOff>104776</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561975</xdr:colOff>
      <xdr:row>45</xdr:row>
      <xdr:rowOff>0</xdr:rowOff>
    </xdr:from>
    <xdr:to>
      <xdr:col>9</xdr:col>
      <xdr:colOff>133350</xdr:colOff>
      <xdr:row>54</xdr:row>
      <xdr:rowOff>95251</xdr:rowOff>
    </xdr:to>
    <xdr:graphicFrame macro="">
      <xdr:nvGraphicFramePr>
        <xdr:cNvPr id="3" name="Gráfico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533400</xdr:colOff>
      <xdr:row>45</xdr:row>
      <xdr:rowOff>0</xdr:rowOff>
    </xdr:from>
    <xdr:to>
      <xdr:col>14</xdr:col>
      <xdr:colOff>95250</xdr:colOff>
      <xdr:row>54</xdr:row>
      <xdr:rowOff>95251</xdr:rowOff>
    </xdr:to>
    <xdr:graphicFrame macro="">
      <xdr:nvGraphicFramePr>
        <xdr:cNvPr id="4" name="Gráfico 3">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419100</xdr:colOff>
      <xdr:row>44</xdr:row>
      <xdr:rowOff>171450</xdr:rowOff>
    </xdr:from>
    <xdr:to>
      <xdr:col>17</xdr:col>
      <xdr:colOff>752475</xdr:colOff>
      <xdr:row>54</xdr:row>
      <xdr:rowOff>85726</xdr:rowOff>
    </xdr:to>
    <xdr:graphicFrame macro="">
      <xdr:nvGraphicFramePr>
        <xdr:cNvPr id="5" name="Gráfico 4">
          <a:extLst>
            <a:ext uri="{FF2B5EF4-FFF2-40B4-BE49-F238E27FC236}">
              <a16:creationId xmlns:a16="http://schemas.microsoft.com/office/drawing/2014/main" id="{00000000-0008-0000-05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342900</xdr:colOff>
      <xdr:row>45</xdr:row>
      <xdr:rowOff>0</xdr:rowOff>
    </xdr:from>
    <xdr:to>
      <xdr:col>22</xdr:col>
      <xdr:colOff>676275</xdr:colOff>
      <xdr:row>54</xdr:row>
      <xdr:rowOff>95251</xdr:rowOff>
    </xdr:to>
    <xdr:graphicFrame macro="">
      <xdr:nvGraphicFramePr>
        <xdr:cNvPr id="6" name="Gráfico 5">
          <a:extLst>
            <a:ext uri="{FF2B5EF4-FFF2-40B4-BE49-F238E27FC236}">
              <a16:creationId xmlns:a16="http://schemas.microsoft.com/office/drawing/2014/main" id="{00000000-0008-0000-05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304800</xdr:colOff>
      <xdr:row>44</xdr:row>
      <xdr:rowOff>171450</xdr:rowOff>
    </xdr:from>
    <xdr:to>
      <xdr:col>27</xdr:col>
      <xdr:colOff>638175</xdr:colOff>
      <xdr:row>54</xdr:row>
      <xdr:rowOff>85726</xdr:rowOff>
    </xdr:to>
    <xdr:graphicFrame macro="">
      <xdr:nvGraphicFramePr>
        <xdr:cNvPr id="7" name="Gráfico 6">
          <a:extLst>
            <a:ext uri="{FF2B5EF4-FFF2-40B4-BE49-F238E27FC236}">
              <a16:creationId xmlns:a16="http://schemas.microsoft.com/office/drawing/2014/main" id="{00000000-0008-0000-05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143B6-10AD-4004-88E6-28C86A37052A}">
  <dimension ref="A2:D52"/>
  <sheetViews>
    <sheetView tabSelected="1" workbookViewId="0">
      <selection activeCell="A3" sqref="A3"/>
    </sheetView>
  </sheetViews>
  <sheetFormatPr baseColWidth="10" defaultRowHeight="14.25" x14ac:dyDescent="0.45"/>
  <cols>
    <col min="1" max="3" width="20.33203125" style="2" customWidth="1"/>
    <col min="4" max="4" width="12.9296875" style="2" customWidth="1"/>
    <col min="5" max="16384" width="10.6640625" style="2"/>
  </cols>
  <sheetData>
    <row r="2" spans="1:4" ht="15.75" x14ac:dyDescent="0.45">
      <c r="A2" s="28" t="s">
        <v>298</v>
      </c>
      <c r="B2" s="28" t="s">
        <v>145</v>
      </c>
      <c r="C2" s="28" t="s">
        <v>9</v>
      </c>
      <c r="D2" s="59" t="s">
        <v>39</v>
      </c>
    </row>
    <row r="3" spans="1:4" ht="15.75" x14ac:dyDescent="0.45">
      <c r="A3" s="21" t="s">
        <v>169</v>
      </c>
      <c r="B3" s="21" t="s">
        <v>146</v>
      </c>
      <c r="C3" s="81">
        <v>1.9687471232561073E-2</v>
      </c>
      <c r="D3" s="21">
        <f>C3/SUM(C3:C46)</f>
        <v>0.12197449854437184</v>
      </c>
    </row>
    <row r="4" spans="1:4" ht="15.75" x14ac:dyDescent="0.45">
      <c r="A4" s="21" t="s">
        <v>170</v>
      </c>
      <c r="B4" s="21" t="s">
        <v>147</v>
      </c>
      <c r="C4" s="81">
        <v>4.0732699101850497E-3</v>
      </c>
      <c r="D4" s="21">
        <f>C4/SUM(C3:C46)</f>
        <v>2.5236103147111416E-2</v>
      </c>
    </row>
    <row r="5" spans="1:4" ht="15.75" x14ac:dyDescent="0.45">
      <c r="A5" s="21" t="s">
        <v>171</v>
      </c>
      <c r="B5" s="21" t="s">
        <v>148</v>
      </c>
      <c r="C5" s="81">
        <v>6.8181818181818187E-4</v>
      </c>
      <c r="D5" s="21">
        <f>C5/SUM(C3:C46)</f>
        <v>4.2242312302741341E-3</v>
      </c>
    </row>
    <row r="6" spans="1:4" ht="15.75" x14ac:dyDescent="0.45">
      <c r="A6" s="21" t="s">
        <v>172</v>
      </c>
      <c r="B6" s="21" t="s">
        <v>149</v>
      </c>
      <c r="C6" s="81">
        <v>1.3849117694629168E-2</v>
      </c>
      <c r="D6" s="21">
        <f>C6/SUM(C3:C46)</f>
        <v>8.5802750700178801E-2</v>
      </c>
    </row>
    <row r="7" spans="1:4" ht="15.75" x14ac:dyDescent="0.45">
      <c r="A7" s="21" t="s">
        <v>173</v>
      </c>
      <c r="B7" s="21" t="s">
        <v>150</v>
      </c>
      <c r="C7" s="81">
        <v>1.9008592914196898E-3</v>
      </c>
      <c r="D7" s="21">
        <f>C7/SUM(C3:C46)</f>
        <v>1.177684813531866E-2</v>
      </c>
    </row>
    <row r="8" spans="1:4" ht="15.75" x14ac:dyDescent="0.45">
      <c r="A8" s="21" t="s">
        <v>174</v>
      </c>
      <c r="B8" s="21" t="s">
        <v>151</v>
      </c>
      <c r="C8" s="81">
        <v>3.5301672554937102E-3</v>
      </c>
      <c r="D8" s="21">
        <f>C8/SUM(C3:C46)</f>
        <v>2.1871289394163228E-2</v>
      </c>
    </row>
    <row r="9" spans="1:4" ht="15.75" x14ac:dyDescent="0.45">
      <c r="A9" s="21" t="s">
        <v>175</v>
      </c>
      <c r="B9" s="21" t="s">
        <v>152</v>
      </c>
      <c r="C9" s="81">
        <v>2.5797376097838651E-2</v>
      </c>
      <c r="D9" s="21">
        <f>C9/SUM(C3:C46)</f>
        <v>0.15982865326503898</v>
      </c>
    </row>
    <row r="10" spans="1:4" ht="15.75" x14ac:dyDescent="0.45">
      <c r="A10" s="21" t="s">
        <v>176</v>
      </c>
      <c r="B10" s="21" t="s">
        <v>153</v>
      </c>
      <c r="C10" s="81">
        <v>6.7073177854380481E-2</v>
      </c>
      <c r="D10" s="21">
        <f>C10/SUM(C3:C46)</f>
        <v>0.41555449848910125</v>
      </c>
    </row>
    <row r="11" spans="1:4" ht="15.75" x14ac:dyDescent="0.45">
      <c r="A11" s="21" t="s">
        <v>177</v>
      </c>
      <c r="B11" s="21" t="s">
        <v>154</v>
      </c>
      <c r="C11" s="81">
        <v>4.545454545454546E-4</v>
      </c>
      <c r="D11" s="21">
        <f>C11/SUM(C3:C46)</f>
        <v>2.8161541535160891E-3</v>
      </c>
    </row>
    <row r="12" spans="1:4" ht="15.75" x14ac:dyDescent="0.45">
      <c r="A12" s="21" t="s">
        <v>178</v>
      </c>
      <c r="B12" s="21" t="s">
        <v>164</v>
      </c>
      <c r="C12" s="21">
        <v>6.2723427575601413E-6</v>
      </c>
      <c r="D12" s="21">
        <f>C12/SUM(C3:C46)</f>
        <v>3.8860545039755012E-5</v>
      </c>
    </row>
    <row r="13" spans="1:4" ht="15.75" x14ac:dyDescent="0.45">
      <c r="A13" s="21" t="s">
        <v>179</v>
      </c>
      <c r="B13" s="21" t="s">
        <v>165</v>
      </c>
      <c r="C13" s="21">
        <v>3.6310561959371354E-5</v>
      </c>
      <c r="D13" s="21">
        <f>C13/SUM(C3:C46)</f>
        <v>2.2496350773245125E-4</v>
      </c>
    </row>
    <row r="14" spans="1:4" ht="15.75" x14ac:dyDescent="0.45">
      <c r="A14" s="21" t="s">
        <v>180</v>
      </c>
      <c r="B14" s="21" t="s">
        <v>166</v>
      </c>
      <c r="C14" s="21">
        <v>1.8552830306046992E-5</v>
      </c>
      <c r="D14" s="21">
        <f>C14/SUM(C3:C46)</f>
        <v>1.149447862768775E-4</v>
      </c>
    </row>
    <row r="15" spans="1:4" ht="15.75" x14ac:dyDescent="0.45">
      <c r="A15" s="21" t="s">
        <v>181</v>
      </c>
      <c r="B15" s="21" t="s">
        <v>167</v>
      </c>
      <c r="C15" s="21">
        <v>6.6282238015312537E-6</v>
      </c>
      <c r="D15" s="21">
        <f>C15/SUM(C3:C46)</f>
        <v>4.106541997605617E-5</v>
      </c>
    </row>
    <row r="16" spans="1:4" ht="15.75" x14ac:dyDescent="0.45">
      <c r="A16" s="21" t="s">
        <v>182</v>
      </c>
      <c r="B16" s="21" t="s">
        <v>168</v>
      </c>
      <c r="C16" s="21">
        <v>6.9873007522148382E-6</v>
      </c>
      <c r="D16" s="21">
        <f>C16/SUM(C3:C46)</f>
        <v>4.3290095277475004E-5</v>
      </c>
    </row>
    <row r="17" spans="1:4" ht="15.75" x14ac:dyDescent="0.45">
      <c r="A17" s="21" t="s">
        <v>183</v>
      </c>
      <c r="B17" s="21" t="s">
        <v>195</v>
      </c>
      <c r="C17" s="21">
        <v>6.0401968526712091E-5</v>
      </c>
      <c r="D17" s="21">
        <f>C17/SUM(C3:C46)</f>
        <v>3.7422276000350632E-4</v>
      </c>
    </row>
    <row r="18" spans="1:4" ht="15.75" x14ac:dyDescent="0.45">
      <c r="A18" s="21" t="s">
        <v>184</v>
      </c>
      <c r="B18" s="21" t="s">
        <v>197</v>
      </c>
      <c r="C18" s="21">
        <v>6.3665652295464477E-5</v>
      </c>
      <c r="D18" s="21">
        <f>C18/SUM(C3:C46)</f>
        <v>3.9444304052600352E-4</v>
      </c>
    </row>
    <row r="19" spans="1:4" ht="15.75" x14ac:dyDescent="0.45">
      <c r="A19" s="21" t="s">
        <v>185</v>
      </c>
      <c r="B19" s="21" t="s">
        <v>196</v>
      </c>
      <c r="C19" s="21">
        <v>1.7267536655093992E-4</v>
      </c>
      <c r="D19" s="21">
        <f>C19/SUM(C3:C46)</f>
        <v>1.0698169915891538E-3</v>
      </c>
    </row>
    <row r="20" spans="1:4" ht="15.75" x14ac:dyDescent="0.45">
      <c r="A20" s="21" t="s">
        <v>186</v>
      </c>
      <c r="B20" s="21" t="s">
        <v>198</v>
      </c>
      <c r="C20" s="21">
        <v>2.9002484688178584E-5</v>
      </c>
      <c r="D20" s="21">
        <f>C20/SUM(C3:C46)</f>
        <v>1.7968602897718196E-4</v>
      </c>
    </row>
    <row r="21" spans="1:4" ht="15.75" x14ac:dyDescent="0.45">
      <c r="A21" s="21" t="s">
        <v>187</v>
      </c>
      <c r="B21" s="21" t="s">
        <v>199</v>
      </c>
      <c r="C21" s="21">
        <v>9.6637547354725088E-7</v>
      </c>
      <c r="D21" s="21">
        <f>C21/SUM(C3:C46)</f>
        <v>5.9872170681095693E-6</v>
      </c>
    </row>
    <row r="22" spans="1:4" ht="15.75" x14ac:dyDescent="0.45">
      <c r="A22" s="21" t="s">
        <v>188</v>
      </c>
      <c r="B22" s="21" t="s">
        <v>200</v>
      </c>
      <c r="C22" s="21">
        <v>5.4345682789117189E-7</v>
      </c>
      <c r="D22" s="21">
        <f>C22/SUM(C3:C46)</f>
        <v>3.3670080468692844E-6</v>
      </c>
    </row>
    <row r="23" spans="1:4" ht="15.75" x14ac:dyDescent="0.45">
      <c r="A23" s="21" t="s">
        <v>189</v>
      </c>
      <c r="B23" s="21" t="s">
        <v>201</v>
      </c>
      <c r="C23" s="21">
        <v>2.5574808169408359E-6</v>
      </c>
      <c r="D23" s="21">
        <f>C23/SUM(C3:C46)</f>
        <v>1.5844972495364442E-5</v>
      </c>
    </row>
    <row r="24" spans="1:4" ht="15.75" x14ac:dyDescent="0.45">
      <c r="A24" s="21" t="s">
        <v>190</v>
      </c>
      <c r="B24" s="21" t="s">
        <v>202</v>
      </c>
      <c r="C24" s="21">
        <v>1.5007940241047671E-5</v>
      </c>
      <c r="D24" s="21">
        <f>C24/SUM(C3:C46)</f>
        <v>9.2982281140204838E-5</v>
      </c>
    </row>
    <row r="25" spans="1:4" ht="15.75" x14ac:dyDescent="0.45">
      <c r="A25" s="21" t="s">
        <v>191</v>
      </c>
      <c r="B25" s="21" t="s">
        <v>203</v>
      </c>
      <c r="C25" s="21">
        <v>3.8045346526723561E-5</v>
      </c>
      <c r="D25" s="21">
        <f>C25/SUM(C3:C46)</f>
        <v>2.3571143341502123E-4</v>
      </c>
    </row>
    <row r="26" spans="1:4" ht="15.75" x14ac:dyDescent="0.45">
      <c r="A26" s="21" t="s">
        <v>192</v>
      </c>
      <c r="B26" s="21" t="s">
        <v>204</v>
      </c>
      <c r="C26" s="21">
        <v>2.3794700133941484E-5</v>
      </c>
      <c r="D26" s="21">
        <f>C26/SUM(C3:C46)</f>
        <v>1.4742099595051213E-4</v>
      </c>
    </row>
    <row r="27" spans="1:4" ht="15.75" x14ac:dyDescent="0.45">
      <c r="A27" s="21" t="s">
        <v>193</v>
      </c>
      <c r="B27" s="21" t="s">
        <v>205</v>
      </c>
      <c r="C27" s="21">
        <v>9.7228365153649847E-7</v>
      </c>
      <c r="D27" s="21">
        <f>C27/SUM(C3:C46)</f>
        <v>6.0238214160746596E-6</v>
      </c>
    </row>
    <row r="28" spans="1:4" ht="15.75" x14ac:dyDescent="0.45">
      <c r="A28" s="21" t="s">
        <v>194</v>
      </c>
      <c r="B28" s="21" t="s">
        <v>206</v>
      </c>
      <c r="C28" s="21">
        <v>1.3804446693453846E-6</v>
      </c>
      <c r="D28" s="21">
        <f>C28/SUM(C3:C46)</f>
        <v>8.5525989764075276E-6</v>
      </c>
    </row>
    <row r="29" spans="1:4" ht="15.75" x14ac:dyDescent="0.45">
      <c r="A29" s="21" t="s">
        <v>220</v>
      </c>
      <c r="B29" s="21" t="s">
        <v>207</v>
      </c>
      <c r="C29" s="21">
        <v>4.4773388826557307E-7</v>
      </c>
      <c r="D29" s="21">
        <f>C29/SUM(C3:C46)</f>
        <v>2.7739528280398046E-6</v>
      </c>
    </row>
    <row r="30" spans="1:4" ht="15.75" x14ac:dyDescent="0.45">
      <c r="A30" s="21" t="s">
        <v>221</v>
      </c>
      <c r="B30" s="21" t="s">
        <v>208</v>
      </c>
      <c r="C30" s="21">
        <v>1.7115673419285866E-6</v>
      </c>
      <c r="D30" s="21">
        <f>C30/SUM(C3:C46)</f>
        <v>1.0604082453788299E-5</v>
      </c>
    </row>
    <row r="31" spans="1:4" ht="15.75" x14ac:dyDescent="0.45">
      <c r="A31" s="21" t="s">
        <v>222</v>
      </c>
      <c r="B31" s="21" t="s">
        <v>209</v>
      </c>
      <c r="C31" s="21">
        <v>1.7115673419285866E-6</v>
      </c>
      <c r="D31" s="21">
        <f>C31/SUM(C3:C46)</f>
        <v>1.0604082453788299E-5</v>
      </c>
    </row>
    <row r="32" spans="1:4" ht="15.75" x14ac:dyDescent="0.45">
      <c r="A32" s="21" t="s">
        <v>223</v>
      </c>
      <c r="B32" s="21" t="s">
        <v>210</v>
      </c>
      <c r="C32" s="21">
        <v>1.7115673419285866E-6</v>
      </c>
      <c r="D32" s="21">
        <f>C32/SUM(C3:C46)</f>
        <v>1.0604082453788299E-5</v>
      </c>
    </row>
    <row r="33" spans="1:4" ht="15.75" x14ac:dyDescent="0.45">
      <c r="A33" s="21" t="s">
        <v>224</v>
      </c>
      <c r="B33" s="21" t="s">
        <v>211</v>
      </c>
      <c r="C33" s="21">
        <v>2.6249284482747444E-7</v>
      </c>
      <c r="D33" s="21">
        <f>C33/SUM(C3:C46)</f>
        <v>1.6262846935041221E-6</v>
      </c>
    </row>
    <row r="34" spans="1:4" ht="15.75" x14ac:dyDescent="0.45">
      <c r="A34" s="21" t="s">
        <v>225</v>
      </c>
      <c r="B34" s="21" t="s">
        <v>212</v>
      </c>
      <c r="C34" s="21">
        <v>2.6249284482747444E-7</v>
      </c>
      <c r="D34" s="21">
        <f>C34/SUM(C3:C46)</f>
        <v>1.6262846935041221E-6</v>
      </c>
    </row>
    <row r="35" spans="1:4" ht="15.75" x14ac:dyDescent="0.45">
      <c r="A35" s="21" t="s">
        <v>226</v>
      </c>
      <c r="B35" s="21" t="s">
        <v>213</v>
      </c>
      <c r="C35" s="21">
        <v>2.6249284482747444E-7</v>
      </c>
      <c r="D35" s="21">
        <f>C35/SUM(C3:C46)</f>
        <v>1.6262846935041221E-6</v>
      </c>
    </row>
    <row r="36" spans="1:4" ht="15.75" x14ac:dyDescent="0.45">
      <c r="A36" s="21" t="s">
        <v>227</v>
      </c>
      <c r="B36" s="21" t="s">
        <v>214</v>
      </c>
      <c r="C36" s="21">
        <v>3.7026826093001321E-8</v>
      </c>
      <c r="D36" s="21">
        <f>C36/SUM(C3:C46)</f>
        <v>2.2940115020531186E-7</v>
      </c>
    </row>
    <row r="37" spans="1:4" ht="15.75" x14ac:dyDescent="0.45">
      <c r="A37" s="21" t="s">
        <v>228</v>
      </c>
      <c r="B37" s="21" t="s">
        <v>215</v>
      </c>
      <c r="C37" s="21">
        <v>3.0673126187932911E-7</v>
      </c>
      <c r="D37" s="21">
        <f>C37/SUM(C3:C46)</f>
        <v>1.9003655377403486E-6</v>
      </c>
    </row>
    <row r="38" spans="1:4" ht="15.75" x14ac:dyDescent="0.45">
      <c r="A38" s="21" t="s">
        <v>229</v>
      </c>
      <c r="B38" s="21" t="s">
        <v>216</v>
      </c>
      <c r="C38" s="21">
        <v>6.9058930282158623E-7</v>
      </c>
      <c r="D38" s="21">
        <f>C38/SUM(C3:C46)</f>
        <v>4.2785730537325382E-6</v>
      </c>
    </row>
    <row r="39" spans="1:4" ht="15.75" x14ac:dyDescent="0.45">
      <c r="A39" s="21" t="s">
        <v>230</v>
      </c>
      <c r="B39" s="21" t="s">
        <v>217</v>
      </c>
      <c r="C39" s="21">
        <v>5.8071078287110726E-7</v>
      </c>
      <c r="D39" s="21">
        <f>C39/SUM(C3:C46)</f>
        <v>3.5978163829829064E-6</v>
      </c>
    </row>
    <row r="40" spans="1:4" ht="15.75" x14ac:dyDescent="0.45">
      <c r="A40" s="21" t="s">
        <v>231</v>
      </c>
      <c r="B40" s="21" t="s">
        <v>218</v>
      </c>
      <c r="C40" s="21">
        <v>3.1297939950497333E-7</v>
      </c>
      <c r="D40" s="21">
        <f>C40/SUM(C3:C46)</f>
        <v>1.9390761189379846E-6</v>
      </c>
    </row>
    <row r="41" spans="1:4" ht="15.75" x14ac:dyDescent="0.45">
      <c r="A41" s="21" t="s">
        <v>232</v>
      </c>
      <c r="B41" s="21" t="s">
        <v>219</v>
      </c>
      <c r="C41" s="21">
        <v>4.2013064479543548E-8</v>
      </c>
      <c r="D41" s="21">
        <f>C41/SUM(C3:C46)</f>
        <v>2.6029358527921281E-7</v>
      </c>
    </row>
    <row r="42" spans="1:4" ht="15.75" x14ac:dyDescent="0.45">
      <c r="A42" s="21" t="s">
        <v>233</v>
      </c>
      <c r="B42" s="21" t="s">
        <v>240</v>
      </c>
      <c r="C42" s="21">
        <v>1.6458196030783964E-4</v>
      </c>
      <c r="D42" s="21">
        <f>C42/SUM(C3:C46)</f>
        <v>1.0196739764524339E-3</v>
      </c>
    </row>
    <row r="43" spans="1:4" ht="15.75" x14ac:dyDescent="0.45">
      <c r="A43" s="21" t="s">
        <v>234</v>
      </c>
      <c r="B43" s="21" t="s">
        <v>237</v>
      </c>
      <c r="C43" s="21">
        <v>2.83607948860675E-5</v>
      </c>
      <c r="D43" s="21">
        <f>C43/SUM(C3:C46)</f>
        <v>1.7571041469391705E-4</v>
      </c>
    </row>
    <row r="44" spans="1:4" ht="15.75" x14ac:dyDescent="0.45">
      <c r="A44" s="21" t="s">
        <v>235</v>
      </c>
      <c r="B44" s="21" t="s">
        <v>238</v>
      </c>
      <c r="C44" s="21">
        <v>1.8907069974141336E-4</v>
      </c>
      <c r="D44" s="21">
        <f>C44/SUM(C3:C46)</f>
        <v>1.1713949200469441E-3</v>
      </c>
    </row>
    <row r="45" spans="1:4" ht="15.75" x14ac:dyDescent="0.45">
      <c r="A45" s="21" t="s">
        <v>236</v>
      </c>
      <c r="B45" s="21" t="s">
        <v>239</v>
      </c>
      <c r="C45" s="21">
        <v>2.2303673539359766E-4</v>
      </c>
      <c r="D45" s="21">
        <f>C45/SUM(C3:C46)</f>
        <v>1.3818328232837677E-3</v>
      </c>
    </row>
    <row r="46" spans="1:4" ht="15.75" x14ac:dyDescent="0.45">
      <c r="A46" s="21" t="s">
        <v>242</v>
      </c>
      <c r="B46" s="21" t="s">
        <v>241</v>
      </c>
      <c r="C46" s="21">
        <v>2.3261495653325845E-2</v>
      </c>
      <c r="D46" s="21">
        <f>C46/SUM(C3:C46)</f>
        <v>0.14411750672244206</v>
      </c>
    </row>
    <row r="47" spans="1:4" ht="23.65" customHeight="1" x14ac:dyDescent="0.45">
      <c r="A47" s="3" t="s">
        <v>7</v>
      </c>
    </row>
    <row r="48" spans="1:4" ht="15.75" x14ac:dyDescent="0.45">
      <c r="A48" s="2" t="s">
        <v>243</v>
      </c>
    </row>
    <row r="49" spans="1:1" ht="15.75" x14ac:dyDescent="0.45">
      <c r="A49" s="2" t="s">
        <v>252</v>
      </c>
    </row>
    <row r="50" spans="1:1" ht="15.75" x14ac:dyDescent="0.45">
      <c r="A50" s="2" t="s">
        <v>244</v>
      </c>
    </row>
    <row r="51" spans="1:1" ht="15.75" x14ac:dyDescent="0.45">
      <c r="A51" s="2" t="s">
        <v>245</v>
      </c>
    </row>
    <row r="52" spans="1:1" ht="15.75" x14ac:dyDescent="0.45">
      <c r="A52" s="2" t="s">
        <v>246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83771-87F7-4D4B-98D8-1F6114C0F876}">
  <dimension ref="A2:E12"/>
  <sheetViews>
    <sheetView workbookViewId="0">
      <selection activeCell="A2" sqref="A2"/>
    </sheetView>
  </sheetViews>
  <sheetFormatPr baseColWidth="10" defaultRowHeight="14.25" x14ac:dyDescent="0.45"/>
  <cols>
    <col min="1" max="1" width="14.265625" style="2" customWidth="1"/>
    <col min="2" max="2" width="17.86328125" style="2" customWidth="1"/>
    <col min="3" max="3" width="23.06640625" style="2" customWidth="1"/>
    <col min="4" max="4" width="16.6640625" style="2" customWidth="1"/>
    <col min="5" max="5" width="14.265625" style="2" customWidth="1"/>
    <col min="6" max="16384" width="10.6640625" style="2"/>
  </cols>
  <sheetData>
    <row r="2" spans="1:5" ht="24.75" customHeight="1" x14ac:dyDescent="0.45">
      <c r="A2" s="28" t="s">
        <v>40</v>
      </c>
      <c r="B2" s="28" t="s">
        <v>301</v>
      </c>
      <c r="C2" s="28" t="s">
        <v>262</v>
      </c>
      <c r="D2" s="106" t="s">
        <v>307</v>
      </c>
      <c r="E2" s="59" t="s">
        <v>39</v>
      </c>
    </row>
    <row r="3" spans="1:5" x14ac:dyDescent="0.45">
      <c r="A3" s="123" t="s">
        <v>289</v>
      </c>
      <c r="B3" s="21" t="s">
        <v>105</v>
      </c>
      <c r="C3" s="21" t="s">
        <v>290</v>
      </c>
      <c r="D3" s="107">
        <v>3.1998861941936975E-5</v>
      </c>
      <c r="E3" s="108">
        <f>D3/SUM(D3:D10)</f>
        <v>3.3459000942507075E-2</v>
      </c>
    </row>
    <row r="4" spans="1:5" x14ac:dyDescent="0.45">
      <c r="A4" s="123"/>
      <c r="B4" s="21" t="s">
        <v>106</v>
      </c>
      <c r="C4" s="21" t="s">
        <v>291</v>
      </c>
      <c r="D4" s="107">
        <v>7.2110111418449525E-5</v>
      </c>
      <c r="E4" s="108">
        <f>D4/SUM(D3:D10)</f>
        <v>7.5400565504241304E-2</v>
      </c>
    </row>
    <row r="5" spans="1:5" x14ac:dyDescent="0.45">
      <c r="A5" s="123"/>
      <c r="B5" s="21" t="s">
        <v>107</v>
      </c>
      <c r="C5" s="21" t="s">
        <v>292</v>
      </c>
      <c r="D5" s="107">
        <v>1.5113077518116711E-4</v>
      </c>
      <c r="E5" s="108">
        <f>D5/SUM(D3:D10)</f>
        <v>0.15802701853597237</v>
      </c>
    </row>
    <row r="6" spans="1:5" x14ac:dyDescent="0.45">
      <c r="A6" s="123"/>
      <c r="B6" s="21" t="s">
        <v>108</v>
      </c>
      <c r="C6" s="21" t="s">
        <v>293</v>
      </c>
      <c r="D6" s="107">
        <v>2.3135327413419216E-4</v>
      </c>
      <c r="E6" s="108">
        <f>D6/SUM(D3:D10)</f>
        <v>0.24191014765944077</v>
      </c>
    </row>
    <row r="7" spans="1:5" x14ac:dyDescent="0.45">
      <c r="A7" s="123"/>
      <c r="B7" s="21" t="s">
        <v>109</v>
      </c>
      <c r="C7" s="21" t="s">
        <v>294</v>
      </c>
      <c r="D7" s="107">
        <v>2.3345648571723027E-4</v>
      </c>
      <c r="E7" s="108">
        <f>D7/SUM(D3:D10)</f>
        <v>0.24410933081998112</v>
      </c>
    </row>
    <row r="8" spans="1:5" x14ac:dyDescent="0.45">
      <c r="A8" s="123"/>
      <c r="B8" s="21" t="s">
        <v>110</v>
      </c>
      <c r="C8" s="21" t="s">
        <v>295</v>
      </c>
      <c r="D8" s="107">
        <v>1.5233261037147461E-4</v>
      </c>
      <c r="E8" s="108">
        <f>D8/SUM(D3:D10)</f>
        <v>0.15928369462770975</v>
      </c>
    </row>
    <row r="9" spans="1:5" x14ac:dyDescent="0.45">
      <c r="A9" s="123"/>
      <c r="B9" s="21" t="s">
        <v>111</v>
      </c>
      <c r="C9" s="21" t="s">
        <v>296</v>
      </c>
      <c r="D9" s="107">
        <v>6.0542447711739912E-5</v>
      </c>
      <c r="E9" s="108">
        <f>D9/SUM(D3:D10)</f>
        <v>6.3305058121269256E-2</v>
      </c>
    </row>
    <row r="10" spans="1:5" x14ac:dyDescent="0.45">
      <c r="A10" s="123"/>
      <c r="B10" s="21" t="s">
        <v>112</v>
      </c>
      <c r="C10" s="21" t="s">
        <v>297</v>
      </c>
      <c r="D10" s="107">
        <v>2.3435786210996092E-5</v>
      </c>
      <c r="E10" s="108">
        <f>D10/SUM(D3:D10)</f>
        <v>2.4505183788878417E-2</v>
      </c>
    </row>
    <row r="11" spans="1:5" ht="21" customHeight="1" x14ac:dyDescent="0.45">
      <c r="A11" s="3" t="s">
        <v>7</v>
      </c>
    </row>
    <row r="12" spans="1:5" ht="21" customHeight="1" x14ac:dyDescent="0.45">
      <c r="A12" s="2" t="s">
        <v>306</v>
      </c>
    </row>
  </sheetData>
  <mergeCells count="1">
    <mergeCell ref="A3:A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0A77B-D5A5-42F3-932C-D98DAE75C3FA}">
  <dimension ref="A2:K24"/>
  <sheetViews>
    <sheetView workbookViewId="0">
      <selection activeCell="E17" sqref="E17"/>
    </sheetView>
  </sheetViews>
  <sheetFormatPr baseColWidth="10" defaultRowHeight="14.25" x14ac:dyDescent="0.45"/>
  <cols>
    <col min="1" max="2" width="18.6640625" style="2" customWidth="1"/>
    <col min="3" max="3" width="16.19921875" style="2" customWidth="1"/>
    <col min="4" max="4" width="16.1328125" style="2" customWidth="1"/>
    <col min="5" max="5" width="18.265625" style="2" customWidth="1"/>
    <col min="6" max="8" width="16.1328125" style="2" customWidth="1"/>
    <col min="9" max="10" width="15.73046875" style="2" customWidth="1"/>
    <col min="11" max="11" width="13" style="2" customWidth="1"/>
    <col min="12" max="16384" width="10.6640625" style="2"/>
  </cols>
  <sheetData>
    <row r="2" spans="1:6" ht="15.75" x14ac:dyDescent="0.45">
      <c r="A2" s="4" t="s">
        <v>40</v>
      </c>
      <c r="B2" s="89" t="s">
        <v>262</v>
      </c>
      <c r="C2" s="5" t="s">
        <v>258</v>
      </c>
      <c r="D2" s="5" t="s">
        <v>259</v>
      </c>
      <c r="E2" s="5" t="s">
        <v>38</v>
      </c>
      <c r="F2" s="59" t="s">
        <v>39</v>
      </c>
    </row>
    <row r="3" spans="1:6" x14ac:dyDescent="0.45">
      <c r="A3" s="7" t="s">
        <v>36</v>
      </c>
      <c r="B3" s="7" t="s">
        <v>268</v>
      </c>
      <c r="C3" s="7">
        <v>3.6999999999999998E-2</v>
      </c>
      <c r="D3" s="7">
        <v>0.03</v>
      </c>
      <c r="E3" s="17">
        <f>AVERAGE(C3:D3)</f>
        <v>3.3500000000000002E-2</v>
      </c>
      <c r="F3" s="21">
        <f>E3/SUM(E3:E16)</f>
        <v>8.2073036474689127E-3</v>
      </c>
    </row>
    <row r="4" spans="1:6" x14ac:dyDescent="0.45">
      <c r="A4" s="7" t="s">
        <v>29</v>
      </c>
      <c r="B4" s="7" t="s">
        <v>269</v>
      </c>
      <c r="C4" s="7">
        <v>0.26</v>
      </c>
      <c r="D4" s="7">
        <v>0.42</v>
      </c>
      <c r="E4" s="17">
        <f t="shared" ref="E4:E8" si="0">AVERAGE(C4:D4)</f>
        <v>0.33999999999999997</v>
      </c>
      <c r="F4" s="21">
        <f>E4/SUM(E3:E16)</f>
        <v>8.3298007168341195E-2</v>
      </c>
    </row>
    <row r="5" spans="1:6" x14ac:dyDescent="0.45">
      <c r="A5" s="7" t="s">
        <v>30</v>
      </c>
      <c r="B5" s="7" t="s">
        <v>264</v>
      </c>
      <c r="C5" s="7">
        <v>0.88</v>
      </c>
      <c r="D5" s="7">
        <v>0.73</v>
      </c>
      <c r="E5" s="17">
        <f t="shared" si="0"/>
        <v>0.80499999999999994</v>
      </c>
      <c r="F5" s="21">
        <f>E5/SUM(E3:E16)</f>
        <v>0.1972202816779843</v>
      </c>
    </row>
    <row r="6" spans="1:6" x14ac:dyDescent="0.45">
      <c r="A6" s="7" t="s">
        <v>31</v>
      </c>
      <c r="B6" s="7" t="s">
        <v>265</v>
      </c>
      <c r="C6" s="7">
        <v>0.45</v>
      </c>
      <c r="D6" s="7">
        <v>0.47</v>
      </c>
      <c r="E6" s="17">
        <f t="shared" si="0"/>
        <v>0.45999999999999996</v>
      </c>
      <c r="F6" s="21">
        <f>E6/SUM(E3:E16)</f>
        <v>0.11269730381599104</v>
      </c>
    </row>
    <row r="7" spans="1:6" x14ac:dyDescent="0.45">
      <c r="A7" s="7" t="s">
        <v>32</v>
      </c>
      <c r="B7" s="7" t="s">
        <v>266</v>
      </c>
      <c r="C7" s="7">
        <v>0.1</v>
      </c>
      <c r="D7" s="7">
        <v>0.17</v>
      </c>
      <c r="E7" s="17">
        <f t="shared" si="0"/>
        <v>0.13500000000000001</v>
      </c>
      <c r="F7" s="21">
        <f>E7/SUM(E3:E16)</f>
        <v>3.3074208728606072E-2</v>
      </c>
    </row>
    <row r="8" spans="1:6" x14ac:dyDescent="0.45">
      <c r="A8" s="7" t="s">
        <v>33</v>
      </c>
      <c r="B8" s="7" t="s">
        <v>267</v>
      </c>
      <c r="C8" s="7">
        <v>0.08</v>
      </c>
      <c r="D8" s="7">
        <v>0.08</v>
      </c>
      <c r="E8" s="17">
        <f t="shared" si="0"/>
        <v>0.08</v>
      </c>
      <c r="F8" s="21">
        <f>E8/SUM(E3:E16)</f>
        <v>1.9599531098433227E-2</v>
      </c>
    </row>
    <row r="9" spans="1:6" x14ac:dyDescent="0.45">
      <c r="A9" s="7" t="s">
        <v>37</v>
      </c>
      <c r="B9" s="7" t="s">
        <v>263</v>
      </c>
      <c r="C9" s="7">
        <v>6.3E-2</v>
      </c>
      <c r="D9" s="94"/>
      <c r="E9" s="17">
        <f>C9</f>
        <v>6.3E-2</v>
      </c>
      <c r="F9" s="21">
        <f>E9/SUM(E3:E16)</f>
        <v>1.5434630740016164E-2</v>
      </c>
    </row>
    <row r="10" spans="1:6" ht="15.75" x14ac:dyDescent="0.45">
      <c r="A10" s="91" t="s">
        <v>260</v>
      </c>
      <c r="B10" s="91" t="s">
        <v>270</v>
      </c>
      <c r="C10" s="94"/>
      <c r="D10" s="94"/>
      <c r="E10" s="92">
        <v>3.244955013830228E-2</v>
      </c>
      <c r="F10" s="21">
        <f>E10/SUM(E3:E16)</f>
        <v>7.9499495883227963E-3</v>
      </c>
    </row>
    <row r="11" spans="1:6" ht="15.75" x14ac:dyDescent="0.45">
      <c r="A11" s="21" t="s">
        <v>278</v>
      </c>
      <c r="B11" s="21" t="s">
        <v>271</v>
      </c>
      <c r="C11" s="94"/>
      <c r="D11" s="94"/>
      <c r="E11" s="29">
        <f>SUM('ST3-Wax_monomers'!L31:L36)</f>
        <v>7.766859917362165E-5</v>
      </c>
      <c r="F11" s="21">
        <f>E11/SUM(E3:E16)</f>
        <v>1.9028351560939284E-5</v>
      </c>
    </row>
    <row r="12" spans="1:6" ht="15.75" x14ac:dyDescent="0.45">
      <c r="A12" s="21" t="s">
        <v>279</v>
      </c>
      <c r="B12" s="21" t="s">
        <v>272</v>
      </c>
      <c r="C12" s="94"/>
      <c r="D12" s="94"/>
      <c r="E12" s="29">
        <f>SUM('ST3-Wax_monomers'!L8:L15,'ST3-Wax_monomers'!L25:L30)</f>
        <v>3.4358465032240681E-3</v>
      </c>
      <c r="F12" s="21">
        <f>E12/SUM(E3:E16)</f>
        <v>8.4176225486728973E-4</v>
      </c>
    </row>
    <row r="13" spans="1:6" ht="15.75" x14ac:dyDescent="0.45">
      <c r="A13" s="21" t="s">
        <v>280</v>
      </c>
      <c r="B13" s="21" t="s">
        <v>273</v>
      </c>
      <c r="C13" s="94"/>
      <c r="D13" s="94"/>
      <c r="E13" s="29">
        <f>SUM('ST3-Wax_monomers'!L4:L7)</f>
        <v>1.3793762937956661E-2</v>
      </c>
      <c r="F13" s="21">
        <f>E13/SUM(E3:E16)</f>
        <v>3.3793910708362156E-3</v>
      </c>
    </row>
    <row r="14" spans="1:6" ht="15.75" x14ac:dyDescent="0.45">
      <c r="A14" s="21" t="s">
        <v>281</v>
      </c>
      <c r="B14" s="21" t="s">
        <v>274</v>
      </c>
      <c r="C14" s="94"/>
      <c r="D14" s="94"/>
      <c r="E14" s="66">
        <f>'ST3-Wax_monomers'!L24</f>
        <v>1.8928904247342998E-5</v>
      </c>
      <c r="F14" s="21">
        <f>E14/SUM(E3:E16)</f>
        <v>4.6374705931882984E-6</v>
      </c>
    </row>
    <row r="15" spans="1:6" ht="15.75" x14ac:dyDescent="0.45">
      <c r="A15" s="21" t="s">
        <v>282</v>
      </c>
      <c r="B15" s="21" t="s">
        <v>275</v>
      </c>
      <c r="C15" s="94"/>
      <c r="D15" s="94"/>
      <c r="E15" s="29">
        <f>SUM('ST5-Sterols'!F3:F4,'ST5-Sterols'!F6:F7)</f>
        <v>2.4545454545454544E-2</v>
      </c>
      <c r="F15" s="21">
        <f>E15/SUM(E3:E16)</f>
        <v>6.0134924961101933E-3</v>
      </c>
    </row>
    <row r="16" spans="1:6" ht="15.75" x14ac:dyDescent="0.45">
      <c r="A16" s="21" t="s">
        <v>283</v>
      </c>
      <c r="B16" s="21" t="s">
        <v>276</v>
      </c>
      <c r="C16" s="94"/>
      <c r="D16" s="94"/>
      <c r="E16" s="29">
        <f>'ST6-Chlorophyll'!L6</f>
        <v>2.0909090909090908</v>
      </c>
      <c r="F16" s="21">
        <f>E16/SUM(E3:E16)</f>
        <v>0.51226047189086832</v>
      </c>
    </row>
    <row r="17" spans="1:11" x14ac:dyDescent="0.45">
      <c r="A17" s="110" t="s">
        <v>287</v>
      </c>
      <c r="B17" s="110"/>
      <c r="C17" s="110"/>
      <c r="D17" s="110"/>
      <c r="E17" s="102">
        <f>SUM(E3:E16)</f>
        <v>4.0817303025374496</v>
      </c>
    </row>
    <row r="18" spans="1:11" ht="22.15" customHeight="1" x14ac:dyDescent="0.45">
      <c r="A18" s="3" t="s">
        <v>7</v>
      </c>
      <c r="B18" s="3"/>
      <c r="E18" s="93"/>
    </row>
    <row r="19" spans="1:11" ht="92.65" customHeight="1" x14ac:dyDescent="0.45">
      <c r="A19" s="109" t="s">
        <v>34</v>
      </c>
      <c r="B19" s="109"/>
      <c r="C19" s="109"/>
      <c r="D19" s="109"/>
      <c r="E19" s="109"/>
      <c r="F19" s="109"/>
      <c r="G19" s="19"/>
    </row>
    <row r="20" spans="1:11" ht="90.4" customHeight="1" x14ac:dyDescent="0.45">
      <c r="A20" s="109" t="s">
        <v>35</v>
      </c>
      <c r="B20" s="109"/>
      <c r="C20" s="109"/>
      <c r="D20" s="109"/>
      <c r="E20" s="109"/>
      <c r="F20" s="109"/>
      <c r="G20" s="19"/>
      <c r="H20" s="19"/>
      <c r="I20" s="19"/>
      <c r="J20" s="19"/>
      <c r="K20" s="19"/>
    </row>
    <row r="21" spans="1:11" ht="23.65" customHeight="1" x14ac:dyDescent="0.45">
      <c r="A21" s="109" t="s">
        <v>261</v>
      </c>
      <c r="B21" s="109"/>
      <c r="C21" s="109"/>
      <c r="D21" s="109"/>
      <c r="E21" s="109"/>
      <c r="F21" s="109"/>
    </row>
    <row r="22" spans="1:11" ht="52.9" customHeight="1" x14ac:dyDescent="0.45">
      <c r="A22" s="109" t="s">
        <v>284</v>
      </c>
      <c r="B22" s="109"/>
      <c r="C22" s="109"/>
      <c r="D22" s="109"/>
      <c r="E22" s="109"/>
      <c r="F22" s="109"/>
    </row>
    <row r="23" spans="1:11" ht="27" customHeight="1" x14ac:dyDescent="0.45">
      <c r="A23" s="109" t="s">
        <v>285</v>
      </c>
      <c r="B23" s="109"/>
      <c r="C23" s="109"/>
      <c r="D23" s="109"/>
      <c r="E23" s="109"/>
      <c r="F23" s="109"/>
    </row>
    <row r="24" spans="1:11" ht="27" customHeight="1" x14ac:dyDescent="0.45">
      <c r="A24" s="109" t="s">
        <v>286</v>
      </c>
      <c r="B24" s="109"/>
      <c r="C24" s="109"/>
      <c r="D24" s="109"/>
      <c r="E24" s="109"/>
      <c r="F24" s="109"/>
    </row>
  </sheetData>
  <mergeCells count="7">
    <mergeCell ref="A23:F23"/>
    <mergeCell ref="A24:F24"/>
    <mergeCell ref="A17:D17"/>
    <mergeCell ref="A19:F19"/>
    <mergeCell ref="A20:F20"/>
    <mergeCell ref="A21:F21"/>
    <mergeCell ref="A22:F2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A20AE-04AD-4D89-B4AE-D3D67AFF2D80}">
  <dimension ref="A2:J12"/>
  <sheetViews>
    <sheetView zoomScaleNormal="100" workbookViewId="0">
      <selection activeCell="A12" sqref="A12:J12"/>
    </sheetView>
  </sheetViews>
  <sheetFormatPr baseColWidth="10" defaultRowHeight="14.25" x14ac:dyDescent="0.45"/>
  <cols>
    <col min="1" max="7" width="16.1328125" style="2" customWidth="1"/>
    <col min="8" max="9" width="15.73046875" style="2" customWidth="1"/>
    <col min="10" max="10" width="13" style="2" customWidth="1"/>
    <col min="11" max="16384" width="10.6640625" style="2"/>
  </cols>
  <sheetData>
    <row r="2" spans="1:10" ht="31.5" x14ac:dyDescent="0.45">
      <c r="A2" s="22" t="s">
        <v>299</v>
      </c>
      <c r="B2" s="23" t="s">
        <v>40</v>
      </c>
      <c r="C2" s="5" t="s">
        <v>6</v>
      </c>
      <c r="D2" s="5" t="s">
        <v>1</v>
      </c>
      <c r="E2" s="5" t="s">
        <v>4</v>
      </c>
      <c r="F2" s="5" t="s">
        <v>5</v>
      </c>
      <c r="G2" s="5" t="s">
        <v>247</v>
      </c>
      <c r="H2" s="5" t="s">
        <v>249</v>
      </c>
      <c r="I2" s="5" t="s">
        <v>8</v>
      </c>
      <c r="J2" s="6" t="s">
        <v>9</v>
      </c>
    </row>
    <row r="3" spans="1:10" ht="15.75" x14ac:dyDescent="0.45">
      <c r="A3" s="21" t="s">
        <v>43</v>
      </c>
      <c r="B3" s="123" t="s">
        <v>64</v>
      </c>
      <c r="C3" s="35">
        <v>256.424688</v>
      </c>
      <c r="D3" s="8">
        <v>14.5</v>
      </c>
      <c r="E3" s="8">
        <f>D3/100</f>
        <v>0.14499999999999999</v>
      </c>
      <c r="F3" s="9">
        <f>E3*C3</f>
        <v>37.181579759999998</v>
      </c>
      <c r="G3" s="9">
        <f>(F3/SUM(F3:F9))*100</f>
        <v>13.644199103563375</v>
      </c>
      <c r="H3" s="120">
        <v>3.6999999999999998E-2</v>
      </c>
      <c r="I3" s="10">
        <f>(H3*G3)/100</f>
        <v>5.0483536683184485E-3</v>
      </c>
      <c r="J3" s="77">
        <f t="shared" ref="J3:J9" si="0">(I3/C3)*1000</f>
        <v>1.9687471232561073E-2</v>
      </c>
    </row>
    <row r="4" spans="1:10" ht="15.75" x14ac:dyDescent="0.45">
      <c r="A4" s="21" t="s">
        <v>44</v>
      </c>
      <c r="B4" s="123"/>
      <c r="C4" s="35">
        <v>254.408807</v>
      </c>
      <c r="D4" s="8">
        <v>3</v>
      </c>
      <c r="E4" s="8">
        <f t="shared" ref="E4:E9" si="1">D4/100</f>
        <v>0.03</v>
      </c>
      <c r="F4" s="9">
        <f t="shared" ref="F4:F9" si="2">E4*C4</f>
        <v>7.6322642099999998</v>
      </c>
      <c r="G4" s="9">
        <f>(F4/SUM(F3:F9))*100</f>
        <v>2.8007452390247991</v>
      </c>
      <c r="H4" s="121"/>
      <c r="I4" s="10">
        <f>(H3*G4)/100</f>
        <v>1.0362757384391756E-3</v>
      </c>
      <c r="J4" s="77">
        <f t="shared" si="0"/>
        <v>4.0732699101850497E-3</v>
      </c>
    </row>
    <row r="5" spans="1:10" ht="15.75" x14ac:dyDescent="0.45">
      <c r="A5" s="21" t="s">
        <v>45</v>
      </c>
      <c r="B5" s="123"/>
      <c r="C5" s="35">
        <v>250.37704400000001</v>
      </c>
      <c r="D5" s="8">
        <v>10.199999999999999</v>
      </c>
      <c r="E5" s="8">
        <f t="shared" si="1"/>
        <v>0.10199999999999999</v>
      </c>
      <c r="F5" s="9">
        <f t="shared" si="2"/>
        <v>25.538458488</v>
      </c>
      <c r="G5" s="9">
        <f>(F5/SUM(F3:F9))*100</f>
        <v>9.3716247307820169</v>
      </c>
      <c r="H5" s="121"/>
      <c r="I5" s="10">
        <f>(H3*G5)/100</f>
        <v>3.4675011503893459E-3</v>
      </c>
      <c r="J5" s="77">
        <f t="shared" si="0"/>
        <v>1.3849117694629168E-2</v>
      </c>
    </row>
    <row r="6" spans="1:10" ht="15.75" x14ac:dyDescent="0.45">
      <c r="A6" s="21" t="s">
        <v>46</v>
      </c>
      <c r="B6" s="123"/>
      <c r="C6" s="35">
        <v>284.47792299999998</v>
      </c>
      <c r="D6" s="8">
        <v>1.4</v>
      </c>
      <c r="E6" s="8">
        <f t="shared" si="1"/>
        <v>1.3999999999999999E-2</v>
      </c>
      <c r="F6" s="9">
        <f t="shared" si="2"/>
        <v>3.9826909219999993</v>
      </c>
      <c r="G6" s="9">
        <f>(F6/SUM(F3:F9))*100</f>
        <v>1.4614932517252028</v>
      </c>
      <c r="H6" s="121"/>
      <c r="I6" s="10">
        <f>(H3*G6)/100</f>
        <v>5.4075250313832498E-4</v>
      </c>
      <c r="J6" s="77">
        <f t="shared" si="0"/>
        <v>1.9008592914196898E-3</v>
      </c>
    </row>
    <row r="7" spans="1:10" ht="15.75" x14ac:dyDescent="0.45">
      <c r="A7" s="21" t="s">
        <v>47</v>
      </c>
      <c r="B7" s="123"/>
      <c r="C7" s="35">
        <v>282.462042</v>
      </c>
      <c r="D7" s="8">
        <v>2.6</v>
      </c>
      <c r="E7" s="8">
        <f t="shared" si="1"/>
        <v>2.6000000000000002E-2</v>
      </c>
      <c r="F7" s="9">
        <f t="shared" si="2"/>
        <v>7.3440130920000009</v>
      </c>
      <c r="G7" s="9">
        <f>(F7/SUM(F3:F9))*100</f>
        <v>2.6949682475359169</v>
      </c>
      <c r="H7" s="121"/>
      <c r="I7" s="10">
        <f>(H3*G7)/100</f>
        <v>9.9713825158828911E-4</v>
      </c>
      <c r="J7" s="77">
        <f t="shared" si="0"/>
        <v>3.5301672554937102E-3</v>
      </c>
    </row>
    <row r="8" spans="1:10" ht="15.75" x14ac:dyDescent="0.45">
      <c r="A8" s="21" t="s">
        <v>48</v>
      </c>
      <c r="B8" s="123"/>
      <c r="C8" s="35">
        <v>280.44616000000002</v>
      </c>
      <c r="D8" s="8">
        <v>19</v>
      </c>
      <c r="E8" s="8">
        <f t="shared" si="1"/>
        <v>0.19</v>
      </c>
      <c r="F8" s="9">
        <f t="shared" si="2"/>
        <v>53.284770400000006</v>
      </c>
      <c r="G8" s="9">
        <f>(F8/SUM(F3:F9))*100</f>
        <v>19.553446120850364</v>
      </c>
      <c r="H8" s="121"/>
      <c r="I8" s="10">
        <f>(H3*G8)/100</f>
        <v>7.2347750647146344E-3</v>
      </c>
      <c r="J8" s="77">
        <f t="shared" si="0"/>
        <v>2.5797376097838651E-2</v>
      </c>
    </row>
    <row r="9" spans="1:10" ht="15.75" x14ac:dyDescent="0.45">
      <c r="A9" s="21" t="s">
        <v>49</v>
      </c>
      <c r="B9" s="123"/>
      <c r="C9" s="70">
        <v>278.43027899999998</v>
      </c>
      <c r="D9" s="11">
        <v>49.4</v>
      </c>
      <c r="E9" s="11">
        <f t="shared" si="1"/>
        <v>0.49399999999999999</v>
      </c>
      <c r="F9" s="12">
        <f t="shared" si="2"/>
        <v>137.54455782599999</v>
      </c>
      <c r="G9" s="12">
        <f>(F9/SUM(F3:F9))*100</f>
        <v>50.473523306518317</v>
      </c>
      <c r="H9" s="122"/>
      <c r="I9" s="13">
        <f>(H3*G9)/100</f>
        <v>1.8675203623411775E-2</v>
      </c>
      <c r="J9" s="78">
        <f t="shared" si="0"/>
        <v>6.7073177854380481E-2</v>
      </c>
    </row>
    <row r="10" spans="1:10" ht="23.25" customHeight="1" x14ac:dyDescent="0.45">
      <c r="A10" s="3" t="s">
        <v>7</v>
      </c>
      <c r="B10" s="3"/>
    </row>
    <row r="11" spans="1:10" ht="33.75" customHeight="1" x14ac:dyDescent="0.45">
      <c r="A11" s="109" t="s">
        <v>248</v>
      </c>
      <c r="B11" s="109"/>
      <c r="C11" s="109"/>
      <c r="D11" s="109"/>
      <c r="E11" s="109"/>
      <c r="F11" s="109"/>
      <c r="G11" s="109"/>
      <c r="H11" s="109"/>
      <c r="I11" s="109"/>
      <c r="J11" s="109"/>
    </row>
    <row r="12" spans="1:10" ht="62.25" customHeight="1" x14ac:dyDescent="0.45">
      <c r="A12" s="109" t="s">
        <v>257</v>
      </c>
      <c r="B12" s="109"/>
      <c r="C12" s="109"/>
      <c r="D12" s="109"/>
      <c r="E12" s="109"/>
      <c r="F12" s="109"/>
      <c r="G12" s="109"/>
      <c r="H12" s="109"/>
      <c r="I12" s="109"/>
      <c r="J12" s="109"/>
    </row>
  </sheetData>
  <mergeCells count="4">
    <mergeCell ref="A11:J11"/>
    <mergeCell ref="A12:J12"/>
    <mergeCell ref="H3:H9"/>
    <mergeCell ref="B3:B9"/>
  </mergeCells>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3ACD0-5E7C-426F-AD20-46522BBF3C63}">
  <dimension ref="A2:G29"/>
  <sheetViews>
    <sheetView workbookViewId="0">
      <selection activeCell="A24" sqref="A24:XFD24"/>
    </sheetView>
  </sheetViews>
  <sheetFormatPr baseColWidth="10" defaultRowHeight="14.25" x14ac:dyDescent="0.45"/>
  <cols>
    <col min="1" max="1" width="17.86328125" style="2" customWidth="1"/>
    <col min="2" max="2" width="20.1328125" style="2" bestFit="1" customWidth="1"/>
    <col min="3" max="5" width="15.9296875" style="2" customWidth="1"/>
    <col min="6" max="6" width="12.796875" style="2" customWidth="1"/>
    <col min="7" max="16384" width="10.6640625" style="2"/>
  </cols>
  <sheetData>
    <row r="2" spans="1:7" s="25" customFormat="1" ht="15.75" x14ac:dyDescent="0.45">
      <c r="A2" s="67" t="s">
        <v>299</v>
      </c>
      <c r="B2" s="67" t="s">
        <v>250</v>
      </c>
      <c r="C2" s="67" t="s">
        <v>41</v>
      </c>
      <c r="D2" s="67" t="s">
        <v>155</v>
      </c>
      <c r="E2" s="86" t="s">
        <v>42</v>
      </c>
      <c r="F2" s="28" t="s">
        <v>6</v>
      </c>
      <c r="G2" s="28" t="s">
        <v>8</v>
      </c>
    </row>
    <row r="3" spans="1:7" x14ac:dyDescent="0.45">
      <c r="A3" s="24" t="s">
        <v>11</v>
      </c>
      <c r="B3" s="24">
        <v>0.5</v>
      </c>
      <c r="C3" s="24">
        <f t="shared" ref="C3:C21" si="0">B3/10</f>
        <v>0.05</v>
      </c>
      <c r="D3" s="80">
        <f>C3/0.088</f>
        <v>0.56818181818181823</v>
      </c>
      <c r="E3" s="79">
        <f>D3/1000</f>
        <v>5.6818181818181826E-4</v>
      </c>
      <c r="F3" s="21"/>
      <c r="G3" s="21"/>
    </row>
    <row r="4" spans="1:7" x14ac:dyDescent="0.45">
      <c r="A4" s="24" t="s">
        <v>13</v>
      </c>
      <c r="B4" s="24">
        <v>0.5</v>
      </c>
      <c r="C4" s="24">
        <f t="shared" si="0"/>
        <v>0.05</v>
      </c>
      <c r="D4" s="80">
        <f t="shared" ref="D4:D21" si="1">C4/0.088</f>
        <v>0.56818181818181823</v>
      </c>
      <c r="E4" s="79">
        <f t="shared" ref="E4:E21" si="2">D4/1000</f>
        <v>5.6818181818181826E-4</v>
      </c>
      <c r="F4" s="21"/>
      <c r="G4" s="21"/>
    </row>
    <row r="5" spans="1:7" x14ac:dyDescent="0.45">
      <c r="A5" s="24" t="s">
        <v>12</v>
      </c>
      <c r="B5" s="24">
        <v>0.2</v>
      </c>
      <c r="C5" s="24">
        <f t="shared" si="0"/>
        <v>0.02</v>
      </c>
      <c r="D5" s="80">
        <f t="shared" si="1"/>
        <v>0.22727272727272729</v>
      </c>
      <c r="E5" s="79">
        <f t="shared" si="2"/>
        <v>2.272727272727273E-4</v>
      </c>
      <c r="F5" s="21"/>
      <c r="G5" s="21"/>
    </row>
    <row r="6" spans="1:7" x14ac:dyDescent="0.45">
      <c r="A6" s="24" t="s">
        <v>14</v>
      </c>
      <c r="B6" s="24">
        <v>1.2</v>
      </c>
      <c r="C6" s="24">
        <f t="shared" si="0"/>
        <v>0.12</v>
      </c>
      <c r="D6" s="80">
        <f t="shared" si="1"/>
        <v>1.3636363636363638</v>
      </c>
      <c r="E6" s="79">
        <f t="shared" si="2"/>
        <v>1.3636363636363637E-3</v>
      </c>
      <c r="F6" s="21"/>
      <c r="G6" s="21"/>
    </row>
    <row r="7" spans="1:7" x14ac:dyDescent="0.45">
      <c r="A7" s="24" t="s">
        <v>15</v>
      </c>
      <c r="B7" s="24">
        <v>14.8</v>
      </c>
      <c r="C7" s="24">
        <f t="shared" si="0"/>
        <v>1.48</v>
      </c>
      <c r="D7" s="80">
        <f t="shared" si="1"/>
        <v>16.81818181818182</v>
      </c>
      <c r="E7" s="79">
        <f t="shared" si="2"/>
        <v>1.6818181818181819E-2</v>
      </c>
      <c r="F7" s="21"/>
      <c r="G7" s="21"/>
    </row>
    <row r="8" spans="1:7" x14ac:dyDescent="0.45">
      <c r="A8" s="24" t="s">
        <v>16</v>
      </c>
      <c r="B8" s="24">
        <v>3.9</v>
      </c>
      <c r="C8" s="24">
        <f t="shared" si="0"/>
        <v>0.39</v>
      </c>
      <c r="D8" s="80">
        <f t="shared" si="1"/>
        <v>4.4318181818181825</v>
      </c>
      <c r="E8" s="79">
        <f t="shared" si="2"/>
        <v>4.4318181818181826E-3</v>
      </c>
      <c r="F8" s="21"/>
      <c r="G8" s="21"/>
    </row>
    <row r="9" spans="1:7" x14ac:dyDescent="0.45">
      <c r="A9" s="82" t="s">
        <v>17</v>
      </c>
      <c r="B9" s="83">
        <v>0.4</v>
      </c>
      <c r="C9" s="83">
        <f t="shared" si="0"/>
        <v>0.04</v>
      </c>
      <c r="D9" s="84">
        <f t="shared" si="1"/>
        <v>0.45454545454545459</v>
      </c>
      <c r="E9" s="85">
        <f t="shared" si="2"/>
        <v>4.545454545454546E-4</v>
      </c>
      <c r="F9" s="90">
        <v>252.39292499999999</v>
      </c>
      <c r="G9" s="68">
        <f>(E9*F9)/1000</f>
        <v>1.1472405681818183E-4</v>
      </c>
    </row>
    <row r="10" spans="1:7" x14ac:dyDescent="0.45">
      <c r="A10" s="82" t="s">
        <v>18</v>
      </c>
      <c r="B10" s="83">
        <v>0.2</v>
      </c>
      <c r="C10" s="83">
        <f t="shared" si="0"/>
        <v>0.02</v>
      </c>
      <c r="D10" s="84">
        <f t="shared" si="1"/>
        <v>0.22727272727272729</v>
      </c>
      <c r="E10" s="85">
        <f t="shared" si="2"/>
        <v>2.272727272727273E-4</v>
      </c>
      <c r="F10" s="90">
        <v>252.39292499999999</v>
      </c>
      <c r="G10" s="68">
        <f>(E10*F10)/1000</f>
        <v>5.7362028409090914E-5</v>
      </c>
    </row>
    <row r="11" spans="1:7" x14ac:dyDescent="0.45">
      <c r="A11" s="24" t="s">
        <v>19</v>
      </c>
      <c r="B11" s="24">
        <v>4</v>
      </c>
      <c r="C11" s="24">
        <f t="shared" si="0"/>
        <v>0.4</v>
      </c>
      <c r="D11" s="80">
        <f t="shared" si="1"/>
        <v>4.5454545454545459</v>
      </c>
      <c r="E11" s="79">
        <f t="shared" si="2"/>
        <v>4.5454545454545461E-3</v>
      </c>
      <c r="F11" s="21"/>
      <c r="G11" s="21"/>
    </row>
    <row r="12" spans="1:7" x14ac:dyDescent="0.45">
      <c r="A12" s="24" t="s">
        <v>10</v>
      </c>
      <c r="B12" s="24">
        <v>0.1</v>
      </c>
      <c r="C12" s="24">
        <f t="shared" si="0"/>
        <v>0.01</v>
      </c>
      <c r="D12" s="80">
        <f t="shared" si="1"/>
        <v>0.11363636363636365</v>
      </c>
      <c r="E12" s="79">
        <f t="shared" si="2"/>
        <v>1.1363636363636365E-4</v>
      </c>
      <c r="F12" s="21"/>
      <c r="G12" s="21"/>
    </row>
    <row r="13" spans="1:7" x14ac:dyDescent="0.45">
      <c r="A13" s="24" t="s">
        <v>20</v>
      </c>
      <c r="B13" s="24">
        <v>1.3</v>
      </c>
      <c r="C13" s="24">
        <f t="shared" si="0"/>
        <v>0.13</v>
      </c>
      <c r="D13" s="80">
        <f t="shared" si="1"/>
        <v>1.4772727272727275</v>
      </c>
      <c r="E13" s="79">
        <f t="shared" si="2"/>
        <v>1.4772727272727275E-3</v>
      </c>
      <c r="F13" s="21"/>
      <c r="G13" s="21"/>
    </row>
    <row r="14" spans="1:7" x14ac:dyDescent="0.45">
      <c r="A14" s="24" t="s">
        <v>21</v>
      </c>
      <c r="B14" s="24">
        <v>0.5</v>
      </c>
      <c r="C14" s="24">
        <f t="shared" si="0"/>
        <v>0.05</v>
      </c>
      <c r="D14" s="80">
        <f t="shared" si="1"/>
        <v>0.56818181818181823</v>
      </c>
      <c r="E14" s="79">
        <f t="shared" si="2"/>
        <v>5.6818181818181826E-4</v>
      </c>
      <c r="F14" s="21"/>
      <c r="G14" s="21"/>
    </row>
    <row r="15" spans="1:7" x14ac:dyDescent="0.45">
      <c r="A15" s="24" t="s">
        <v>22</v>
      </c>
      <c r="B15" s="24">
        <v>0.3</v>
      </c>
      <c r="C15" s="24">
        <f t="shared" si="0"/>
        <v>0.03</v>
      </c>
      <c r="D15" s="80">
        <f t="shared" si="1"/>
        <v>0.34090909090909094</v>
      </c>
      <c r="E15" s="79">
        <f t="shared" si="2"/>
        <v>3.4090909090909094E-4</v>
      </c>
      <c r="F15" s="21"/>
      <c r="G15" s="21"/>
    </row>
    <row r="16" spans="1:7" x14ac:dyDescent="0.45">
      <c r="A16" s="24" t="s">
        <v>23</v>
      </c>
      <c r="B16" s="24">
        <v>15.8</v>
      </c>
      <c r="C16" s="24">
        <f t="shared" si="0"/>
        <v>1.58</v>
      </c>
      <c r="D16" s="80">
        <f t="shared" si="1"/>
        <v>17.954545454545457</v>
      </c>
      <c r="E16" s="79">
        <f t="shared" si="2"/>
        <v>1.7954545454545456E-2</v>
      </c>
      <c r="F16" s="21"/>
      <c r="G16" s="21"/>
    </row>
    <row r="17" spans="1:7" x14ac:dyDescent="0.45">
      <c r="A17" s="24" t="s">
        <v>24</v>
      </c>
      <c r="B17" s="24">
        <v>0.1</v>
      </c>
      <c r="C17" s="24">
        <f t="shared" si="0"/>
        <v>0.01</v>
      </c>
      <c r="D17" s="80">
        <f t="shared" si="1"/>
        <v>0.11363636363636365</v>
      </c>
      <c r="E17" s="79">
        <f t="shared" si="2"/>
        <v>1.1363636363636365E-4</v>
      </c>
      <c r="F17" s="21"/>
      <c r="G17" s="21"/>
    </row>
    <row r="18" spans="1:7" x14ac:dyDescent="0.45">
      <c r="A18" s="24" t="s">
        <v>25</v>
      </c>
      <c r="B18" s="24">
        <v>30.3</v>
      </c>
      <c r="C18" s="24">
        <f t="shared" si="0"/>
        <v>3.0300000000000002</v>
      </c>
      <c r="D18" s="80">
        <f t="shared" si="1"/>
        <v>34.431818181818187</v>
      </c>
      <c r="E18" s="79">
        <f t="shared" si="2"/>
        <v>3.4431818181818188E-2</v>
      </c>
      <c r="F18" s="21"/>
      <c r="G18" s="21"/>
    </row>
    <row r="19" spans="1:7" x14ac:dyDescent="0.45">
      <c r="A19" s="24" t="s">
        <v>26</v>
      </c>
      <c r="B19" s="24">
        <v>0</v>
      </c>
      <c r="C19" s="24">
        <f t="shared" si="0"/>
        <v>0</v>
      </c>
      <c r="D19" s="24">
        <f t="shared" si="1"/>
        <v>0</v>
      </c>
      <c r="E19" s="24">
        <f t="shared" si="2"/>
        <v>0</v>
      </c>
      <c r="F19" s="21"/>
      <c r="G19" s="21"/>
    </row>
    <row r="20" spans="1:7" x14ac:dyDescent="0.45">
      <c r="A20" s="24" t="s">
        <v>27</v>
      </c>
      <c r="B20" s="24">
        <v>0</v>
      </c>
      <c r="C20" s="24">
        <f t="shared" si="0"/>
        <v>0</v>
      </c>
      <c r="D20" s="24">
        <f t="shared" si="1"/>
        <v>0</v>
      </c>
      <c r="E20" s="24">
        <f t="shared" si="2"/>
        <v>0</v>
      </c>
      <c r="F20" s="21"/>
      <c r="G20" s="21"/>
    </row>
    <row r="21" spans="1:7" x14ac:dyDescent="0.45">
      <c r="A21" s="82" t="s">
        <v>28</v>
      </c>
      <c r="B21" s="83">
        <v>0.4</v>
      </c>
      <c r="C21" s="83">
        <f t="shared" si="0"/>
        <v>0.04</v>
      </c>
      <c r="D21" s="84">
        <f t="shared" si="1"/>
        <v>0.45454545454545459</v>
      </c>
      <c r="E21" s="85">
        <f t="shared" si="2"/>
        <v>4.545454545454546E-4</v>
      </c>
      <c r="F21" s="90">
        <v>312.531158</v>
      </c>
      <c r="G21" s="68">
        <f>(E21*F21)/1000</f>
        <v>1.4205961727272728E-4</v>
      </c>
    </row>
    <row r="22" spans="1:7" ht="15.75" x14ac:dyDescent="0.45">
      <c r="A22" s="24" t="s">
        <v>159</v>
      </c>
      <c r="B22" s="24">
        <v>2.12</v>
      </c>
      <c r="C22" s="124"/>
      <c r="D22" s="125"/>
      <c r="E22" s="125"/>
      <c r="F22" s="125"/>
      <c r="G22" s="126"/>
    </row>
    <row r="23" spans="1:7" ht="15.75" x14ac:dyDescent="0.45">
      <c r="A23" s="21" t="s">
        <v>158</v>
      </c>
      <c r="B23" s="21">
        <v>1.4019999999999999</v>
      </c>
      <c r="C23" s="127"/>
      <c r="D23" s="128"/>
      <c r="E23" s="128"/>
      <c r="F23" s="128"/>
      <c r="G23" s="129"/>
    </row>
    <row r="24" spans="1:7" ht="21.4" customHeight="1" x14ac:dyDescent="0.45">
      <c r="A24" s="3" t="s">
        <v>7</v>
      </c>
    </row>
    <row r="25" spans="1:7" ht="49.15" customHeight="1" x14ac:dyDescent="0.45">
      <c r="A25" s="109" t="s">
        <v>251</v>
      </c>
      <c r="B25" s="109"/>
      <c r="C25" s="109"/>
      <c r="D25" s="109"/>
      <c r="E25" s="109"/>
      <c r="F25" s="109"/>
      <c r="G25" s="109"/>
    </row>
    <row r="26" spans="1:7" ht="35.25" customHeight="1" x14ac:dyDescent="0.45">
      <c r="A26" s="109" t="s">
        <v>156</v>
      </c>
      <c r="B26" s="109"/>
      <c r="C26" s="109"/>
      <c r="D26" s="109"/>
      <c r="E26" s="109"/>
      <c r="F26" s="109"/>
      <c r="G26" s="109"/>
    </row>
    <row r="27" spans="1:7" ht="23.65" customHeight="1" x14ac:dyDescent="0.45">
      <c r="A27" s="109" t="s">
        <v>157</v>
      </c>
      <c r="B27" s="109"/>
      <c r="C27" s="109"/>
      <c r="D27" s="109"/>
      <c r="E27" s="109"/>
      <c r="F27" s="109"/>
      <c r="G27" s="109"/>
    </row>
    <row r="28" spans="1:7" ht="22.5" customHeight="1" x14ac:dyDescent="0.45">
      <c r="A28" s="109" t="s">
        <v>302</v>
      </c>
      <c r="B28" s="109"/>
      <c r="C28" s="109"/>
      <c r="D28" s="109"/>
      <c r="E28" s="109"/>
      <c r="F28" s="109"/>
      <c r="G28" s="109"/>
    </row>
    <row r="29" spans="1:7" x14ac:dyDescent="0.45">
      <c r="A29" s="109"/>
      <c r="B29" s="109"/>
      <c r="C29" s="109"/>
      <c r="D29" s="109"/>
      <c r="E29" s="109"/>
    </row>
  </sheetData>
  <mergeCells count="6">
    <mergeCell ref="A29:E29"/>
    <mergeCell ref="C22:G23"/>
    <mergeCell ref="A25:G25"/>
    <mergeCell ref="A26:G26"/>
    <mergeCell ref="A27:G27"/>
    <mergeCell ref="A28:G28"/>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6E819-FAB5-40BE-957E-66E25C61623F}">
  <dimension ref="A1:O53"/>
  <sheetViews>
    <sheetView topLeftCell="A38" workbookViewId="0">
      <selection activeCell="A53" sqref="A53:L53"/>
    </sheetView>
  </sheetViews>
  <sheetFormatPr baseColWidth="10" defaultRowHeight="14.25" x14ac:dyDescent="0.45"/>
  <cols>
    <col min="1" max="1" width="10.6640625" style="2"/>
    <col min="2" max="2" width="13.06640625" style="2" customWidth="1"/>
    <col min="3" max="7" width="10.6640625" style="2"/>
    <col min="8" max="8" width="9.9296875" style="2" customWidth="1"/>
    <col min="9" max="9" width="10.6640625" style="2"/>
    <col min="10" max="10" width="11.59765625" style="2" bestFit="1" customWidth="1"/>
    <col min="11" max="11" width="14.06640625" style="2" customWidth="1"/>
    <col min="12" max="12" width="15.6640625" style="2" customWidth="1"/>
    <col min="13" max="13" width="5" style="2" customWidth="1"/>
    <col min="14" max="14" width="23.19921875" style="2" customWidth="1"/>
    <col min="15" max="16384" width="10.6640625" style="2"/>
  </cols>
  <sheetData>
    <row r="1" spans="1:14" ht="18" x14ac:dyDescent="0.55000000000000004">
      <c r="A1" s="1"/>
    </row>
    <row r="2" spans="1:14" ht="14.25" customHeight="1" x14ac:dyDescent="0.45">
      <c r="A2" s="111" t="s">
        <v>40</v>
      </c>
      <c r="B2" s="111" t="s">
        <v>3</v>
      </c>
      <c r="C2" s="112" t="s">
        <v>6</v>
      </c>
      <c r="D2" s="111" t="s">
        <v>90</v>
      </c>
      <c r="E2" s="111"/>
      <c r="F2" s="111"/>
      <c r="G2" s="111"/>
      <c r="H2" s="111" t="s">
        <v>143</v>
      </c>
      <c r="I2" s="111" t="s">
        <v>95</v>
      </c>
      <c r="J2" s="111" t="s">
        <v>142</v>
      </c>
      <c r="K2" s="115" t="s">
        <v>9</v>
      </c>
      <c r="L2" s="111" t="s">
        <v>277</v>
      </c>
      <c r="M2" s="27"/>
      <c r="N2"/>
    </row>
    <row r="3" spans="1:14" ht="16.149999999999999" thickBot="1" x14ac:dyDescent="0.5">
      <c r="A3" s="112"/>
      <c r="B3" s="112"/>
      <c r="C3" s="114"/>
      <c r="D3" s="30" t="s">
        <v>91</v>
      </c>
      <c r="E3" s="30" t="s">
        <v>92</v>
      </c>
      <c r="F3" s="30" t="s">
        <v>93</v>
      </c>
      <c r="G3" s="30" t="s">
        <v>94</v>
      </c>
      <c r="H3" s="112"/>
      <c r="I3" s="112"/>
      <c r="J3" s="112"/>
      <c r="K3" s="116"/>
      <c r="L3" s="112"/>
      <c r="N3" s="14" t="s">
        <v>96</v>
      </c>
    </row>
    <row r="4" spans="1:14" x14ac:dyDescent="0.45">
      <c r="A4" s="117" t="s">
        <v>69</v>
      </c>
      <c r="B4" s="36" t="s">
        <v>65</v>
      </c>
      <c r="C4" s="37">
        <v>380.73455100000001</v>
      </c>
      <c r="D4" s="36">
        <v>302.5</v>
      </c>
      <c r="E4" s="36">
        <v>560</v>
      </c>
      <c r="F4" s="36">
        <v>455.9</v>
      </c>
      <c r="G4" s="36">
        <v>212.4</v>
      </c>
      <c r="H4" s="36">
        <f>AVERAGE(D4:G4)</f>
        <v>382.70000000000005</v>
      </c>
      <c r="I4" s="38">
        <f>H4/0.1</f>
        <v>3827.0000000000005</v>
      </c>
      <c r="J4" s="39">
        <f>I4/(N4*1000)</f>
        <v>22.997116366533863</v>
      </c>
      <c r="K4" s="40">
        <f>J4/(C4*1000)</f>
        <v>6.0401968526712091E-5</v>
      </c>
      <c r="L4" s="95">
        <f>J4/10000</f>
        <v>2.2997116366533861E-3</v>
      </c>
      <c r="N4" s="15">
        <v>0.16641216833468622</v>
      </c>
    </row>
    <row r="5" spans="1:14" x14ac:dyDescent="0.45">
      <c r="A5" s="118"/>
      <c r="B5" s="26" t="s">
        <v>66</v>
      </c>
      <c r="C5" s="32">
        <v>408.78778599999998</v>
      </c>
      <c r="D5" s="26">
        <v>425.2</v>
      </c>
      <c r="E5" s="26">
        <v>463</v>
      </c>
      <c r="F5" s="26">
        <v>465</v>
      </c>
      <c r="G5" s="26">
        <v>379.2</v>
      </c>
      <c r="H5" s="26">
        <f t="shared" ref="H5:H30" si="0">AVERAGE(D5:G5)</f>
        <v>433.1</v>
      </c>
      <c r="I5" s="21">
        <f t="shared" ref="I5:I46" si="1">H5/0.1</f>
        <v>4331</v>
      </c>
      <c r="J5" s="29">
        <f>I5/(N4*1000)</f>
        <v>26.025741046108738</v>
      </c>
      <c r="K5" s="31">
        <f t="shared" ref="K5:K14" si="2">J5/(C5*1000)</f>
        <v>6.3665652295464477E-5</v>
      </c>
      <c r="L5" s="96">
        <f t="shared" ref="L5:L7" si="3">J5/10000</f>
        <v>2.6025741046108736E-3</v>
      </c>
    </row>
    <row r="6" spans="1:14" x14ac:dyDescent="0.45">
      <c r="A6" s="118"/>
      <c r="B6" s="26" t="s">
        <v>67</v>
      </c>
      <c r="C6" s="32">
        <v>436.84102100000001</v>
      </c>
      <c r="D6" s="26">
        <v>1325.3</v>
      </c>
      <c r="E6" s="26">
        <v>1531.9</v>
      </c>
      <c r="F6" s="26">
        <v>1107.7</v>
      </c>
      <c r="G6" s="26">
        <v>1056.2</v>
      </c>
      <c r="H6" s="26">
        <f t="shared" si="0"/>
        <v>1255.2749999999999</v>
      </c>
      <c r="I6" s="21">
        <f t="shared" si="1"/>
        <v>12552.749999999998</v>
      </c>
      <c r="J6" s="29">
        <f>I6/(N4*1000)</f>
        <v>75.431683425661845</v>
      </c>
      <c r="K6" s="31">
        <f t="shared" si="2"/>
        <v>1.7267536655093992E-4</v>
      </c>
      <c r="L6" s="96">
        <f t="shared" si="3"/>
        <v>7.5431683425661849E-3</v>
      </c>
    </row>
    <row r="7" spans="1:14" ht="14.65" thickBot="1" x14ac:dyDescent="0.5">
      <c r="A7" s="119"/>
      <c r="B7" s="42" t="s">
        <v>68</v>
      </c>
      <c r="C7" s="43">
        <v>464.89425599999998</v>
      </c>
      <c r="D7" s="42">
        <v>256.39999999999998</v>
      </c>
      <c r="E7" s="42">
        <v>308.10000000000002</v>
      </c>
      <c r="F7" s="42">
        <v>175.5</v>
      </c>
      <c r="G7" s="42">
        <v>157.5</v>
      </c>
      <c r="H7" s="42">
        <f t="shared" si="0"/>
        <v>224.375</v>
      </c>
      <c r="I7" s="44">
        <f t="shared" si="1"/>
        <v>2243.75</v>
      </c>
      <c r="J7" s="45">
        <f>I7/(N4*1000)</f>
        <v>13.483088541262175</v>
      </c>
      <c r="K7" s="46">
        <f t="shared" si="2"/>
        <v>2.9002484688178584E-5</v>
      </c>
      <c r="L7" s="97">
        <f t="shared" si="3"/>
        <v>1.3483088541262176E-3</v>
      </c>
    </row>
    <row r="8" spans="1:14" x14ac:dyDescent="0.45">
      <c r="A8" s="117" t="s">
        <v>56</v>
      </c>
      <c r="B8" s="36" t="s">
        <v>74</v>
      </c>
      <c r="C8" s="37">
        <v>270.49439999999998</v>
      </c>
      <c r="D8" s="36">
        <v>3.3</v>
      </c>
      <c r="E8" s="36">
        <v>3.3</v>
      </c>
      <c r="F8" s="36">
        <v>8.9</v>
      </c>
      <c r="G8" s="36">
        <v>1.9</v>
      </c>
      <c r="H8" s="36">
        <f t="shared" si="0"/>
        <v>4.3499999999999996</v>
      </c>
      <c r="I8" s="36">
        <f t="shared" si="1"/>
        <v>43.499999999999993</v>
      </c>
      <c r="J8" s="39">
        <f>I8/(N4*1000)</f>
        <v>0.26139915389187945</v>
      </c>
      <c r="K8" s="40">
        <f t="shared" si="2"/>
        <v>9.6637547354725088E-7</v>
      </c>
      <c r="L8" s="95">
        <f>J8/10000</f>
        <v>2.6139915389187944E-5</v>
      </c>
    </row>
    <row r="9" spans="1:14" ht="14.25" customHeight="1" x14ac:dyDescent="0.45">
      <c r="A9" s="118"/>
      <c r="B9" s="26" t="s">
        <v>97</v>
      </c>
      <c r="C9" s="32">
        <v>298.54763500000001</v>
      </c>
      <c r="D9" s="26">
        <v>3.9</v>
      </c>
      <c r="E9" s="26">
        <v>2.7</v>
      </c>
      <c r="F9" s="26">
        <v>2.8</v>
      </c>
      <c r="G9" s="26">
        <v>1.4</v>
      </c>
      <c r="H9" s="26">
        <f t="shared" si="0"/>
        <v>2.6999999999999997</v>
      </c>
      <c r="I9" s="26">
        <f t="shared" si="1"/>
        <v>26.999999999999996</v>
      </c>
      <c r="J9" s="29">
        <f>I9/(N4*1000)</f>
        <v>0.1622477506915114</v>
      </c>
      <c r="K9" s="31">
        <f t="shared" si="2"/>
        <v>5.4345682789117189E-7</v>
      </c>
      <c r="L9" s="96">
        <f t="shared" ref="L9:L15" si="4">J9/10000</f>
        <v>1.6224775069151139E-5</v>
      </c>
    </row>
    <row r="10" spans="1:14" x14ac:dyDescent="0.45">
      <c r="A10" s="118"/>
      <c r="B10" s="26" t="s">
        <v>98</v>
      </c>
      <c r="C10" s="32">
        <v>326.60086899999999</v>
      </c>
      <c r="D10" s="26">
        <v>22.7</v>
      </c>
      <c r="E10" s="26">
        <v>14</v>
      </c>
      <c r="F10" s="26">
        <v>12.8</v>
      </c>
      <c r="G10" s="26">
        <v>6.1</v>
      </c>
      <c r="H10" s="26">
        <f t="shared" si="0"/>
        <v>13.9</v>
      </c>
      <c r="I10" s="26">
        <f t="shared" si="1"/>
        <v>139</v>
      </c>
      <c r="J10" s="29">
        <f>I10/(N4*1000)</f>
        <v>0.83527545726370689</v>
      </c>
      <c r="K10" s="31">
        <f t="shared" si="2"/>
        <v>2.5574808169408359E-6</v>
      </c>
      <c r="L10" s="96">
        <f t="shared" si="4"/>
        <v>8.3527545726370684E-5</v>
      </c>
    </row>
    <row r="11" spans="1:14" x14ac:dyDescent="0.45">
      <c r="A11" s="118"/>
      <c r="B11" s="26" t="s">
        <v>99</v>
      </c>
      <c r="C11" s="32">
        <v>354.65410400000002</v>
      </c>
      <c r="D11" s="26">
        <v>126.8</v>
      </c>
      <c r="E11" s="26">
        <v>95.3</v>
      </c>
      <c r="F11" s="26">
        <v>90.6</v>
      </c>
      <c r="G11" s="26">
        <v>41.6</v>
      </c>
      <c r="H11" s="26">
        <f t="shared" si="0"/>
        <v>88.575000000000003</v>
      </c>
      <c r="I11" s="26">
        <f t="shared" si="1"/>
        <v>885.75</v>
      </c>
      <c r="J11" s="29">
        <f>I11/(N4*1000)</f>
        <v>5.3226275990743055</v>
      </c>
      <c r="K11" s="31">
        <f t="shared" si="2"/>
        <v>1.5007940241047671E-5</v>
      </c>
      <c r="L11" s="96">
        <f t="shared" si="4"/>
        <v>5.3226275990743053E-4</v>
      </c>
    </row>
    <row r="12" spans="1:14" x14ac:dyDescent="0.45">
      <c r="A12" s="118"/>
      <c r="B12" s="26" t="s">
        <v>100</v>
      </c>
      <c r="C12" s="32">
        <v>382.70733899999999</v>
      </c>
      <c r="D12" s="26">
        <v>285.3</v>
      </c>
      <c r="E12" s="26">
        <v>291.7</v>
      </c>
      <c r="F12" s="26">
        <v>261.2</v>
      </c>
      <c r="G12" s="26">
        <v>131</v>
      </c>
      <c r="H12" s="26">
        <f t="shared" si="0"/>
        <v>242.3</v>
      </c>
      <c r="I12" s="26">
        <f t="shared" si="1"/>
        <v>2423</v>
      </c>
      <c r="J12" s="29">
        <f>I12/(N4*1000)</f>
        <v>14.560233330575265</v>
      </c>
      <c r="K12" s="31">
        <f t="shared" si="2"/>
        <v>3.8045346526723561E-5</v>
      </c>
      <c r="L12" s="96">
        <f t="shared" si="4"/>
        <v>1.4560233330575265E-3</v>
      </c>
    </row>
    <row r="13" spans="1:14" x14ac:dyDescent="0.45">
      <c r="A13" s="118"/>
      <c r="B13" s="26" t="s">
        <v>101</v>
      </c>
      <c r="C13" s="32">
        <v>410.76057400000002</v>
      </c>
      <c r="D13" s="26">
        <v>173</v>
      </c>
      <c r="E13" s="26">
        <v>201.6</v>
      </c>
      <c r="F13" s="26">
        <v>197.3</v>
      </c>
      <c r="G13" s="26">
        <v>78.7</v>
      </c>
      <c r="H13" s="26">
        <f t="shared" si="0"/>
        <v>162.65000000000003</v>
      </c>
      <c r="I13" s="26">
        <f t="shared" si="1"/>
        <v>1626.5000000000002</v>
      </c>
      <c r="J13" s="29">
        <f>I13/(N4*1000)</f>
        <v>9.7739246851756807</v>
      </c>
      <c r="K13" s="31">
        <f t="shared" si="2"/>
        <v>2.3794700133941484E-5</v>
      </c>
      <c r="L13" s="96">
        <f t="shared" si="4"/>
        <v>9.7739246851756816E-4</v>
      </c>
    </row>
    <row r="14" spans="1:14" x14ac:dyDescent="0.45">
      <c r="A14" s="118"/>
      <c r="B14" s="26" t="s">
        <v>102</v>
      </c>
      <c r="C14" s="32">
        <v>438.81380899999999</v>
      </c>
      <c r="D14" s="26">
        <v>4.9000000000000004</v>
      </c>
      <c r="E14" s="26">
        <v>4.4000000000000004</v>
      </c>
      <c r="F14" s="26">
        <v>5</v>
      </c>
      <c r="G14" s="26">
        <v>14.1</v>
      </c>
      <c r="H14" s="26">
        <f t="shared" si="0"/>
        <v>7.1</v>
      </c>
      <c r="I14" s="26">
        <f t="shared" si="1"/>
        <v>70.999999999999986</v>
      </c>
      <c r="J14" s="29">
        <f>I14/(N4*1000)</f>
        <v>0.42665149255915957</v>
      </c>
      <c r="K14" s="31">
        <f t="shared" si="2"/>
        <v>9.7228365153649847E-7</v>
      </c>
      <c r="L14" s="96">
        <f t="shared" si="4"/>
        <v>4.2665149255915955E-5</v>
      </c>
    </row>
    <row r="15" spans="1:14" ht="14.65" thickBot="1" x14ac:dyDescent="0.5">
      <c r="A15" s="119"/>
      <c r="B15" s="42" t="s">
        <v>103</v>
      </c>
      <c r="C15" s="43">
        <v>466.86704300000002</v>
      </c>
      <c r="D15" s="42">
        <v>12.6</v>
      </c>
      <c r="E15" s="42">
        <v>6.3</v>
      </c>
      <c r="F15" s="42">
        <v>11.7</v>
      </c>
      <c r="G15" s="42">
        <v>12.3</v>
      </c>
      <c r="H15" s="42">
        <f t="shared" si="0"/>
        <v>10.725</v>
      </c>
      <c r="I15" s="42">
        <f t="shared" si="1"/>
        <v>107.24999999999999</v>
      </c>
      <c r="J15" s="45">
        <f>I15/(N4*1000)</f>
        <v>0.64448412080239248</v>
      </c>
      <c r="K15" s="46">
        <f>J15/(C15*1000)</f>
        <v>1.3804446693453846E-6</v>
      </c>
      <c r="L15" s="97">
        <f t="shared" si="4"/>
        <v>6.4448412080239252E-5</v>
      </c>
    </row>
    <row r="16" spans="1:14" ht="14.65" thickBot="1" x14ac:dyDescent="0.5">
      <c r="A16" s="117" t="s">
        <v>64</v>
      </c>
      <c r="B16" s="38" t="s">
        <v>0</v>
      </c>
      <c r="C16" s="47">
        <v>256.424688</v>
      </c>
      <c r="D16" s="36">
        <v>19.899999999999999</v>
      </c>
      <c r="E16" s="36">
        <v>15</v>
      </c>
      <c r="F16" s="36">
        <v>18.3</v>
      </c>
      <c r="G16" s="36">
        <v>17.2</v>
      </c>
      <c r="H16" s="36">
        <f t="shared" si="0"/>
        <v>17.600000000000001</v>
      </c>
      <c r="I16" s="36">
        <f t="shared" si="1"/>
        <v>176</v>
      </c>
      <c r="J16" s="39">
        <f>I16/(N4*1000)</f>
        <v>1.057614967470593</v>
      </c>
      <c r="K16" s="40">
        <f t="shared" ref="K16:K36" si="5">J16/(C16*1000)</f>
        <v>4.1244662349773161E-6</v>
      </c>
      <c r="L16" s="41"/>
    </row>
    <row r="17" spans="1:12" ht="14.65" thickBot="1" x14ac:dyDescent="0.5">
      <c r="A17" s="118"/>
      <c r="B17" s="21" t="s">
        <v>2</v>
      </c>
      <c r="C17" s="35">
        <v>284.47792299999998</v>
      </c>
      <c r="D17" s="26">
        <v>7.8</v>
      </c>
      <c r="E17" s="26">
        <v>6.1</v>
      </c>
      <c r="F17" s="26">
        <v>8.1</v>
      </c>
      <c r="G17" s="26">
        <v>7.3</v>
      </c>
      <c r="H17" s="26">
        <f t="shared" si="0"/>
        <v>7.3250000000000002</v>
      </c>
      <c r="I17" s="26">
        <f t="shared" si="1"/>
        <v>73.25</v>
      </c>
      <c r="J17" s="29">
        <f>I17/(N4*1000)</f>
        <v>0.44017213845011893</v>
      </c>
      <c r="K17" s="31">
        <f t="shared" si="5"/>
        <v>1.5472980602790713E-6</v>
      </c>
      <c r="L17" s="41"/>
    </row>
    <row r="18" spans="1:12" ht="14.65" thickBot="1" x14ac:dyDescent="0.5">
      <c r="A18" s="118"/>
      <c r="B18" s="21" t="s">
        <v>87</v>
      </c>
      <c r="C18" s="32">
        <v>312.531158</v>
      </c>
      <c r="D18" s="26">
        <v>3.6</v>
      </c>
      <c r="E18" s="26">
        <v>4.0999999999999996</v>
      </c>
      <c r="F18" s="26">
        <v>4.2</v>
      </c>
      <c r="G18" s="26">
        <v>3.6</v>
      </c>
      <c r="H18" s="26">
        <f t="shared" si="0"/>
        <v>3.8749999999999996</v>
      </c>
      <c r="I18" s="26">
        <f t="shared" si="1"/>
        <v>38.749999999999993</v>
      </c>
      <c r="J18" s="29">
        <f>I18/(N4*1000)</f>
        <v>0.23285556812207653</v>
      </c>
      <c r="K18" s="31">
        <f t="shared" si="5"/>
        <v>7.4506353098424998E-7</v>
      </c>
      <c r="L18" s="41"/>
    </row>
    <row r="19" spans="1:12" ht="14.65" thickBot="1" x14ac:dyDescent="0.5">
      <c r="A19" s="118"/>
      <c r="B19" s="21" t="s">
        <v>104</v>
      </c>
      <c r="C19" s="32">
        <v>340.58439299999998</v>
      </c>
      <c r="D19" s="26">
        <v>34.6</v>
      </c>
      <c r="E19" s="26">
        <v>39</v>
      </c>
      <c r="F19" s="26">
        <v>51.2</v>
      </c>
      <c r="G19" s="26">
        <v>17.399999999999999</v>
      </c>
      <c r="H19" s="26">
        <f t="shared" si="0"/>
        <v>35.549999999999997</v>
      </c>
      <c r="I19" s="26">
        <f t="shared" si="1"/>
        <v>355.49999999999994</v>
      </c>
      <c r="J19" s="29">
        <f>I19/(N4*1000)</f>
        <v>2.1362620507715668</v>
      </c>
      <c r="K19" s="31">
        <f t="shared" si="5"/>
        <v>6.2723427575601413E-6</v>
      </c>
      <c r="L19" s="41"/>
    </row>
    <row r="20" spans="1:12" ht="14.65" thickBot="1" x14ac:dyDescent="0.5">
      <c r="A20" s="118"/>
      <c r="B20" s="21" t="s">
        <v>89</v>
      </c>
      <c r="C20" s="32">
        <v>368.63762800000001</v>
      </c>
      <c r="D20" s="26">
        <v>225.4</v>
      </c>
      <c r="E20" s="26">
        <v>271.5</v>
      </c>
      <c r="F20" s="26">
        <v>285.7</v>
      </c>
      <c r="G20" s="26">
        <v>108.4</v>
      </c>
      <c r="H20" s="26">
        <f t="shared" si="0"/>
        <v>222.74999999999997</v>
      </c>
      <c r="I20" s="26">
        <f t="shared" si="1"/>
        <v>2227.4999999999995</v>
      </c>
      <c r="J20" s="29">
        <f>I20/(N4*1000)</f>
        <v>13.38543943204969</v>
      </c>
      <c r="K20" s="31">
        <f t="shared" si="5"/>
        <v>3.6310561959371354E-5</v>
      </c>
      <c r="L20" s="41"/>
    </row>
    <row r="21" spans="1:12" ht="14.65" thickBot="1" x14ac:dyDescent="0.5">
      <c r="A21" s="118"/>
      <c r="B21" s="21" t="s">
        <v>71</v>
      </c>
      <c r="C21" s="32">
        <v>396.69086199999998</v>
      </c>
      <c r="D21" s="26">
        <v>120.7</v>
      </c>
      <c r="E21" s="26">
        <v>156.9</v>
      </c>
      <c r="F21" s="26">
        <v>148.1</v>
      </c>
      <c r="G21" s="26">
        <v>64.2</v>
      </c>
      <c r="H21" s="26">
        <f t="shared" si="0"/>
        <v>122.47500000000001</v>
      </c>
      <c r="I21" s="26">
        <f t="shared" si="1"/>
        <v>1224.75</v>
      </c>
      <c r="J21" s="29">
        <f>I21/(N4*1000)</f>
        <v>7.3597382466455041</v>
      </c>
      <c r="K21" s="31">
        <f t="shared" si="5"/>
        <v>1.8552830306046992E-5</v>
      </c>
      <c r="L21" s="41"/>
    </row>
    <row r="22" spans="1:12" ht="14.65" thickBot="1" x14ac:dyDescent="0.5">
      <c r="A22" s="118"/>
      <c r="B22" s="21" t="s">
        <v>72</v>
      </c>
      <c r="C22" s="32">
        <v>424.74409700000001</v>
      </c>
      <c r="D22" s="26">
        <v>43.9</v>
      </c>
      <c r="E22" s="26">
        <v>55.8</v>
      </c>
      <c r="F22" s="26">
        <v>48.9</v>
      </c>
      <c r="G22" s="26">
        <v>38.799999999999997</v>
      </c>
      <c r="H22" s="26">
        <f t="shared" si="0"/>
        <v>46.849999999999994</v>
      </c>
      <c r="I22" s="26">
        <f t="shared" si="1"/>
        <v>468.49999999999994</v>
      </c>
      <c r="J22" s="29">
        <f>I22/(N4*1000)</f>
        <v>2.8152989332952996</v>
      </c>
      <c r="K22" s="31">
        <f t="shared" si="5"/>
        <v>6.6282238015312537E-6</v>
      </c>
      <c r="L22" s="41"/>
    </row>
    <row r="23" spans="1:12" ht="14.65" thickBot="1" x14ac:dyDescent="0.5">
      <c r="A23" s="119"/>
      <c r="B23" s="44" t="s">
        <v>73</v>
      </c>
      <c r="C23" s="43">
        <v>452.79733199999998</v>
      </c>
      <c r="D23" s="42">
        <v>44.1</v>
      </c>
      <c r="E23" s="42">
        <v>52.5</v>
      </c>
      <c r="F23" s="42">
        <v>44.8</v>
      </c>
      <c r="G23" s="42">
        <v>69.2</v>
      </c>
      <c r="H23" s="42">
        <f t="shared" si="0"/>
        <v>52.649999999999991</v>
      </c>
      <c r="I23" s="42">
        <f t="shared" si="1"/>
        <v>526.49999999999989</v>
      </c>
      <c r="J23" s="45">
        <f>I23/(N4*1000)</f>
        <v>3.1638311384844719</v>
      </c>
      <c r="K23" s="46">
        <f t="shared" si="5"/>
        <v>6.9873007522148382E-6</v>
      </c>
      <c r="L23" s="54"/>
    </row>
    <row r="24" spans="1:12" ht="16.149999999999999" thickBot="1" x14ac:dyDescent="0.5">
      <c r="A24" s="48" t="s">
        <v>141</v>
      </c>
      <c r="B24" s="49" t="s">
        <v>70</v>
      </c>
      <c r="C24" s="50">
        <v>422.77131000000003</v>
      </c>
      <c r="D24" s="51">
        <v>1.9</v>
      </c>
      <c r="E24" s="51">
        <v>2.2000000000000002</v>
      </c>
      <c r="F24" s="51">
        <v>4</v>
      </c>
      <c r="G24" s="51">
        <v>4.5</v>
      </c>
      <c r="H24" s="51">
        <f t="shared" si="0"/>
        <v>3.15</v>
      </c>
      <c r="I24" s="51">
        <f t="shared" si="1"/>
        <v>31.499999999999996</v>
      </c>
      <c r="J24" s="52">
        <f>I24/(N4*1000)</f>
        <v>0.18928904247342998</v>
      </c>
      <c r="K24" s="53">
        <f t="shared" si="5"/>
        <v>4.4773388826557307E-7</v>
      </c>
      <c r="L24" s="98">
        <f>J24/10000</f>
        <v>1.8928904247342998E-5</v>
      </c>
    </row>
    <row r="25" spans="1:12" ht="14.65" thickBot="1" x14ac:dyDescent="0.5">
      <c r="A25" s="117" t="s">
        <v>140</v>
      </c>
      <c r="B25" s="36" t="s">
        <v>81</v>
      </c>
      <c r="C25" s="37">
        <v>396.73395599999998</v>
      </c>
      <c r="D25" s="55">
        <f>28.5/3</f>
        <v>9.5</v>
      </c>
      <c r="E25" s="55"/>
      <c r="F25" s="55">
        <f>44.2/3</f>
        <v>14.733333333333334</v>
      </c>
      <c r="G25" s="55">
        <f>29/3</f>
        <v>9.6666666666666661</v>
      </c>
      <c r="H25" s="36">
        <f t="shared" si="0"/>
        <v>11.299999999999999</v>
      </c>
      <c r="I25" s="36">
        <f t="shared" si="1"/>
        <v>112.99999999999999</v>
      </c>
      <c r="J25" s="39">
        <f>I25/(N4*1000)</f>
        <v>0.67903688252373284</v>
      </c>
      <c r="K25" s="40">
        <f t="shared" si="5"/>
        <v>1.7115673419285866E-6</v>
      </c>
      <c r="L25" s="95">
        <f>J25/10000</f>
        <v>6.7903688252373283E-5</v>
      </c>
    </row>
    <row r="26" spans="1:12" ht="14.65" thickBot="1" x14ac:dyDescent="0.5">
      <c r="A26" s="118"/>
      <c r="B26" s="21" t="s">
        <v>82</v>
      </c>
      <c r="C26" s="37">
        <v>396.73395599999998</v>
      </c>
      <c r="D26" s="33">
        <f t="shared" ref="D26:D27" si="6">28.5/3</f>
        <v>9.5</v>
      </c>
      <c r="E26" s="33"/>
      <c r="F26" s="33">
        <f t="shared" ref="F26:F27" si="7">44.2/3</f>
        <v>14.733333333333334</v>
      </c>
      <c r="G26" s="33">
        <f t="shared" ref="G26:G27" si="8">29/3</f>
        <v>9.6666666666666661</v>
      </c>
      <c r="H26" s="26">
        <f t="shared" si="0"/>
        <v>11.299999999999999</v>
      </c>
      <c r="I26" s="26">
        <f t="shared" si="1"/>
        <v>112.99999999999999</v>
      </c>
      <c r="J26" s="29">
        <f>I26/(N4*1000)</f>
        <v>0.67903688252373284</v>
      </c>
      <c r="K26" s="31">
        <f t="shared" si="5"/>
        <v>1.7115673419285866E-6</v>
      </c>
      <c r="L26" s="96">
        <f t="shared" ref="L26:L30" si="9">J26/10000</f>
        <v>6.7903688252373283E-5</v>
      </c>
    </row>
    <row r="27" spans="1:12" x14ac:dyDescent="0.45">
      <c r="A27" s="118"/>
      <c r="B27" s="21" t="s">
        <v>83</v>
      </c>
      <c r="C27" s="37">
        <v>396.73395599999998</v>
      </c>
      <c r="D27" s="33">
        <f t="shared" si="6"/>
        <v>9.5</v>
      </c>
      <c r="E27" s="33"/>
      <c r="F27" s="33">
        <f t="shared" si="7"/>
        <v>14.733333333333334</v>
      </c>
      <c r="G27" s="33">
        <f t="shared" si="8"/>
        <v>9.6666666666666661</v>
      </c>
      <c r="H27" s="26">
        <f t="shared" si="0"/>
        <v>11.299999999999999</v>
      </c>
      <c r="I27" s="26">
        <f t="shared" si="1"/>
        <v>112.99999999999999</v>
      </c>
      <c r="J27" s="29">
        <f>I27/(N4*1000)</f>
        <v>0.67903688252373284</v>
      </c>
      <c r="K27" s="31">
        <f t="shared" si="5"/>
        <v>1.7115673419285866E-6</v>
      </c>
      <c r="L27" s="96">
        <f t="shared" si="9"/>
        <v>6.7903688252373283E-5</v>
      </c>
    </row>
    <row r="28" spans="1:12" x14ac:dyDescent="0.45">
      <c r="A28" s="118"/>
      <c r="B28" s="21" t="s">
        <v>84</v>
      </c>
      <c r="C28" s="32">
        <v>424.78719100000001</v>
      </c>
      <c r="D28" s="33">
        <f>5.2/3</f>
        <v>1.7333333333333334</v>
      </c>
      <c r="E28" s="26"/>
      <c r="F28" s="26">
        <f>5.4/3</f>
        <v>1.8</v>
      </c>
      <c r="G28" s="33">
        <f>6.1/3</f>
        <v>2.0333333333333332</v>
      </c>
      <c r="H28" s="32">
        <f t="shared" si="0"/>
        <v>1.8555555555555554</v>
      </c>
      <c r="I28" s="33">
        <f t="shared" si="1"/>
        <v>18.555555555555554</v>
      </c>
      <c r="J28" s="29">
        <f>I28/(N4*1000)</f>
        <v>0.11150359821186175</v>
      </c>
      <c r="K28" s="31">
        <f t="shared" si="5"/>
        <v>2.6249284482747444E-7</v>
      </c>
      <c r="L28" s="96">
        <f t="shared" si="9"/>
        <v>1.1150359821186174E-5</v>
      </c>
    </row>
    <row r="29" spans="1:12" x14ac:dyDescent="0.45">
      <c r="A29" s="118"/>
      <c r="B29" s="21" t="s">
        <v>85</v>
      </c>
      <c r="C29" s="32">
        <v>424.78719100000001</v>
      </c>
      <c r="D29" s="33">
        <f t="shared" ref="D29:D30" si="10">5.2/3</f>
        <v>1.7333333333333334</v>
      </c>
      <c r="E29" s="26"/>
      <c r="F29" s="26">
        <f t="shared" ref="F29:F30" si="11">5.4/3</f>
        <v>1.8</v>
      </c>
      <c r="G29" s="33">
        <f t="shared" ref="G29:G30" si="12">6.1/3</f>
        <v>2.0333333333333332</v>
      </c>
      <c r="H29" s="32">
        <f t="shared" si="0"/>
        <v>1.8555555555555554</v>
      </c>
      <c r="I29" s="33">
        <f t="shared" si="1"/>
        <v>18.555555555555554</v>
      </c>
      <c r="J29" s="29">
        <f>I29/(N4*1000)</f>
        <v>0.11150359821186175</v>
      </c>
      <c r="K29" s="31">
        <f t="shared" si="5"/>
        <v>2.6249284482747444E-7</v>
      </c>
      <c r="L29" s="96">
        <f t="shared" si="9"/>
        <v>1.1150359821186174E-5</v>
      </c>
    </row>
    <row r="30" spans="1:12" ht="14.65" thickBot="1" x14ac:dyDescent="0.5">
      <c r="A30" s="119"/>
      <c r="B30" s="44" t="s">
        <v>86</v>
      </c>
      <c r="C30" s="43">
        <v>424.78719100000001</v>
      </c>
      <c r="D30" s="56">
        <f t="shared" si="10"/>
        <v>1.7333333333333334</v>
      </c>
      <c r="E30" s="42"/>
      <c r="F30" s="42">
        <f t="shared" si="11"/>
        <v>1.8</v>
      </c>
      <c r="G30" s="56">
        <f t="shared" si="12"/>
        <v>2.0333333333333332</v>
      </c>
      <c r="H30" s="43">
        <f t="shared" si="0"/>
        <v>1.8555555555555554</v>
      </c>
      <c r="I30" s="56">
        <f t="shared" si="1"/>
        <v>18.555555555555554</v>
      </c>
      <c r="J30" s="45">
        <f>I30/(N4*1000)</f>
        <v>0.11150359821186175</v>
      </c>
      <c r="K30" s="46">
        <f t="shared" si="5"/>
        <v>2.6249284482747444E-7</v>
      </c>
      <c r="L30" s="97">
        <f t="shared" si="9"/>
        <v>1.1150359821186174E-5</v>
      </c>
    </row>
    <row r="31" spans="1:12" x14ac:dyDescent="0.45">
      <c r="A31" s="117" t="s">
        <v>55</v>
      </c>
      <c r="B31" s="38" t="s">
        <v>75</v>
      </c>
      <c r="C31" s="37">
        <v>324.58498800000001</v>
      </c>
      <c r="D31" s="55">
        <v>0.3</v>
      </c>
      <c r="E31" s="36">
        <v>0.1</v>
      </c>
      <c r="F31" s="36"/>
      <c r="G31" s="55"/>
      <c r="H31" s="37">
        <f t="shared" ref="H31:H46" si="13">AVERAGE(D31:G31)</f>
        <v>0.2</v>
      </c>
      <c r="I31" s="55">
        <f t="shared" si="1"/>
        <v>2</v>
      </c>
      <c r="J31" s="39">
        <f>I31/(N4*1000)</f>
        <v>1.201835190307492E-2</v>
      </c>
      <c r="K31" s="40">
        <f t="shared" si="5"/>
        <v>3.7026826093001321E-8</v>
      </c>
      <c r="L31" s="95">
        <f>J31/10000</f>
        <v>1.2018351903074921E-6</v>
      </c>
    </row>
    <row r="32" spans="1:12" x14ac:dyDescent="0.45">
      <c r="A32" s="118"/>
      <c r="B32" s="21" t="s">
        <v>76</v>
      </c>
      <c r="C32" s="32">
        <v>352.63822299999998</v>
      </c>
      <c r="D32" s="33">
        <v>2</v>
      </c>
      <c r="E32" s="26">
        <v>1.8</v>
      </c>
      <c r="F32" s="26">
        <v>1.9</v>
      </c>
      <c r="G32" s="33">
        <v>1.5</v>
      </c>
      <c r="H32" s="32">
        <f t="shared" si="13"/>
        <v>1.7999999999999998</v>
      </c>
      <c r="I32" s="33">
        <f t="shared" si="1"/>
        <v>17.999999999999996</v>
      </c>
      <c r="J32" s="29">
        <f>I32/(N4*1000)</f>
        <v>0.10816516712767425</v>
      </c>
      <c r="K32" s="31">
        <f t="shared" si="5"/>
        <v>3.0673126187932911E-7</v>
      </c>
      <c r="L32" s="96">
        <f t="shared" ref="L32:L36" si="14">J32/10000</f>
        <v>1.0816516712767425E-5</v>
      </c>
    </row>
    <row r="33" spans="1:15" x14ac:dyDescent="0.45">
      <c r="A33" s="118"/>
      <c r="B33" s="21" t="s">
        <v>77</v>
      </c>
      <c r="C33" s="32">
        <v>380.69145700000001</v>
      </c>
      <c r="D33" s="33">
        <v>4.9000000000000004</v>
      </c>
      <c r="E33" s="26">
        <v>5.0999999999999996</v>
      </c>
      <c r="F33" s="26">
        <v>4.9000000000000004</v>
      </c>
      <c r="G33" s="33">
        <v>2.6</v>
      </c>
      <c r="H33" s="32">
        <f t="shared" si="13"/>
        <v>4.375</v>
      </c>
      <c r="I33" s="33">
        <f t="shared" si="1"/>
        <v>43.75</v>
      </c>
      <c r="J33" s="29">
        <f>I33/(N4*1000)</f>
        <v>0.26290144787976388</v>
      </c>
      <c r="K33" s="31">
        <f t="shared" si="5"/>
        <v>6.9058930282158623E-7</v>
      </c>
      <c r="L33" s="96">
        <f t="shared" si="14"/>
        <v>2.6290144787976388E-5</v>
      </c>
    </row>
    <row r="34" spans="1:15" x14ac:dyDescent="0.45">
      <c r="A34" s="118"/>
      <c r="B34" s="21" t="s">
        <v>78</v>
      </c>
      <c r="C34" s="32">
        <v>408.74469199999999</v>
      </c>
      <c r="D34" s="33">
        <v>4.5</v>
      </c>
      <c r="E34" s="26">
        <v>3.3</v>
      </c>
      <c r="F34" s="26">
        <v>5.0999999999999996</v>
      </c>
      <c r="G34" s="33">
        <v>2.9</v>
      </c>
      <c r="H34" s="32">
        <f t="shared" si="13"/>
        <v>3.9499999999999997</v>
      </c>
      <c r="I34" s="33">
        <f t="shared" si="1"/>
        <v>39.499999999999993</v>
      </c>
      <c r="J34" s="29">
        <f>I34/(N4*1000)</f>
        <v>0.23736245008572962</v>
      </c>
      <c r="K34" s="31">
        <f t="shared" si="5"/>
        <v>5.8071078287110726E-7</v>
      </c>
      <c r="L34" s="96">
        <f t="shared" si="14"/>
        <v>2.3736245008572961E-5</v>
      </c>
    </row>
    <row r="35" spans="1:15" x14ac:dyDescent="0.45">
      <c r="A35" s="118"/>
      <c r="B35" s="21" t="s">
        <v>79</v>
      </c>
      <c r="C35" s="32">
        <v>436.79792700000002</v>
      </c>
      <c r="D35" s="33">
        <v>2.2000000000000002</v>
      </c>
      <c r="E35" s="26">
        <v>1.5</v>
      </c>
      <c r="F35" s="26">
        <v>2.4</v>
      </c>
      <c r="G35" s="33">
        <v>3</v>
      </c>
      <c r="H35" s="32">
        <f t="shared" si="13"/>
        <v>2.2749999999999999</v>
      </c>
      <c r="I35" s="33">
        <f t="shared" si="1"/>
        <v>22.749999999999996</v>
      </c>
      <c r="J35" s="29">
        <f>I35/(N4*1000)</f>
        <v>0.13670875289747719</v>
      </c>
      <c r="K35" s="31">
        <f t="shared" si="5"/>
        <v>3.1297939950497333E-7</v>
      </c>
      <c r="L35" s="96">
        <f t="shared" si="14"/>
        <v>1.3670875289747719E-5</v>
      </c>
    </row>
    <row r="36" spans="1:15" ht="14.65" thickBot="1" x14ac:dyDescent="0.5">
      <c r="A36" s="119"/>
      <c r="B36" s="44" t="s">
        <v>80</v>
      </c>
      <c r="C36" s="43">
        <v>464.85116199999999</v>
      </c>
      <c r="D36" s="56">
        <v>0.3</v>
      </c>
      <c r="E36" s="42">
        <v>0.3</v>
      </c>
      <c r="F36" s="42">
        <v>0.2</v>
      </c>
      <c r="G36" s="56">
        <v>0.5</v>
      </c>
      <c r="H36" s="43">
        <f t="shared" si="13"/>
        <v>0.32500000000000001</v>
      </c>
      <c r="I36" s="56">
        <f t="shared" si="1"/>
        <v>3.25</v>
      </c>
      <c r="J36" s="45">
        <f>I36/(N4*1000)</f>
        <v>1.9529821842496745E-2</v>
      </c>
      <c r="K36" s="46">
        <f t="shared" si="5"/>
        <v>4.2013064479543548E-8</v>
      </c>
      <c r="L36" s="97">
        <f t="shared" si="14"/>
        <v>1.9529821842496743E-6</v>
      </c>
    </row>
    <row r="37" spans="1:15" ht="15.75" customHeight="1" thickBot="1" x14ac:dyDescent="0.5">
      <c r="A37" s="117" t="s">
        <v>139</v>
      </c>
      <c r="B37" s="36" t="s">
        <v>105</v>
      </c>
      <c r="C37" s="57"/>
      <c r="D37" s="36">
        <v>7.5</v>
      </c>
      <c r="E37" s="36">
        <v>7.1</v>
      </c>
      <c r="F37" s="36">
        <v>3.4</v>
      </c>
      <c r="G37" s="36">
        <v>3.3</v>
      </c>
      <c r="H37" s="36">
        <f t="shared" si="13"/>
        <v>5.3250000000000002</v>
      </c>
      <c r="I37" s="36">
        <f t="shared" si="1"/>
        <v>53.25</v>
      </c>
      <c r="J37" s="103">
        <f>I37/(N4*1000)</f>
        <v>0.31998861941936974</v>
      </c>
      <c r="K37" s="57"/>
      <c r="L37" s="95">
        <f>J37/10000</f>
        <v>3.1998861941936975E-5</v>
      </c>
      <c r="N37" s="93"/>
      <c r="O37" s="93"/>
    </row>
    <row r="38" spans="1:15" ht="14.65" thickBot="1" x14ac:dyDescent="0.5">
      <c r="A38" s="118"/>
      <c r="B38" s="26" t="s">
        <v>106</v>
      </c>
      <c r="C38" s="34"/>
      <c r="D38" s="26">
        <v>16</v>
      </c>
      <c r="E38" s="26">
        <v>20.100000000000001</v>
      </c>
      <c r="F38" s="26">
        <v>6.7</v>
      </c>
      <c r="G38" s="26">
        <v>5.2</v>
      </c>
      <c r="H38" s="26">
        <f t="shared" si="13"/>
        <v>12.000000000000002</v>
      </c>
      <c r="I38" s="26">
        <f t="shared" si="1"/>
        <v>120.00000000000001</v>
      </c>
      <c r="J38" s="104">
        <f>I38/(N4*1000)</f>
        <v>0.7211011141844953</v>
      </c>
      <c r="K38" s="34"/>
      <c r="L38" s="95">
        <f t="shared" ref="L38:L44" si="15">J38/10000</f>
        <v>7.2110111418449525E-5</v>
      </c>
      <c r="N38" s="93"/>
      <c r="O38" s="93"/>
    </row>
    <row r="39" spans="1:15" ht="14.65" thickBot="1" x14ac:dyDescent="0.5">
      <c r="A39" s="118"/>
      <c r="B39" s="26" t="s">
        <v>107</v>
      </c>
      <c r="C39" s="34"/>
      <c r="D39" s="26">
        <v>31.4</v>
      </c>
      <c r="E39" s="26">
        <v>46.1</v>
      </c>
      <c r="F39" s="26">
        <v>14.4</v>
      </c>
      <c r="G39" s="26">
        <v>8.6999999999999993</v>
      </c>
      <c r="H39" s="26">
        <f t="shared" si="13"/>
        <v>25.150000000000002</v>
      </c>
      <c r="I39" s="26">
        <f t="shared" si="1"/>
        <v>251.5</v>
      </c>
      <c r="J39" s="104">
        <f>I39/(N4*1000)</f>
        <v>1.5113077518116711</v>
      </c>
      <c r="K39" s="34"/>
      <c r="L39" s="95">
        <f t="shared" si="15"/>
        <v>1.5113077518116711E-4</v>
      </c>
      <c r="N39" s="93"/>
      <c r="O39" s="93"/>
    </row>
    <row r="40" spans="1:15" ht="14.65" thickBot="1" x14ac:dyDescent="0.5">
      <c r="A40" s="118"/>
      <c r="B40" s="26" t="s">
        <v>108</v>
      </c>
      <c r="C40" s="34"/>
      <c r="D40" s="26">
        <v>42.8</v>
      </c>
      <c r="E40" s="26">
        <v>75.8</v>
      </c>
      <c r="F40" s="26">
        <v>22.2</v>
      </c>
      <c r="G40" s="26">
        <v>13.2</v>
      </c>
      <c r="H40" s="26">
        <f t="shared" si="13"/>
        <v>38.499999999999993</v>
      </c>
      <c r="I40" s="26">
        <f t="shared" si="1"/>
        <v>384.99999999999989</v>
      </c>
      <c r="J40" s="104">
        <f>I40/(N4*1000)</f>
        <v>2.3135327413419216</v>
      </c>
      <c r="K40" s="34"/>
      <c r="L40" s="95">
        <f t="shared" si="15"/>
        <v>2.3135327413419216E-4</v>
      </c>
      <c r="N40" s="93"/>
      <c r="O40" s="93"/>
    </row>
    <row r="41" spans="1:15" ht="14.65" thickBot="1" x14ac:dyDescent="0.5">
      <c r="A41" s="118"/>
      <c r="B41" s="26" t="s">
        <v>109</v>
      </c>
      <c r="C41" s="34"/>
      <c r="D41" s="26">
        <v>36.200000000000003</v>
      </c>
      <c r="E41" s="26">
        <v>83.8</v>
      </c>
      <c r="F41" s="26">
        <v>20.7</v>
      </c>
      <c r="G41" s="26">
        <v>14.7</v>
      </c>
      <c r="H41" s="26">
        <f t="shared" si="13"/>
        <v>38.849999999999994</v>
      </c>
      <c r="I41" s="26">
        <f t="shared" si="1"/>
        <v>388.49999999999994</v>
      </c>
      <c r="J41" s="104">
        <f>I41/(N4*1000)</f>
        <v>2.3345648571723028</v>
      </c>
      <c r="K41" s="34"/>
      <c r="L41" s="95">
        <f t="shared" si="15"/>
        <v>2.3345648571723027E-4</v>
      </c>
      <c r="N41" s="93"/>
      <c r="O41" s="93"/>
    </row>
    <row r="42" spans="1:15" ht="14.65" thickBot="1" x14ac:dyDescent="0.5">
      <c r="A42" s="118"/>
      <c r="B42" s="26" t="s">
        <v>110</v>
      </c>
      <c r="C42" s="34"/>
      <c r="D42" s="26">
        <v>20.100000000000001</v>
      </c>
      <c r="E42" s="26">
        <v>56.6</v>
      </c>
      <c r="F42" s="26">
        <v>13.3</v>
      </c>
      <c r="G42" s="26">
        <v>11.4</v>
      </c>
      <c r="H42" s="26">
        <f t="shared" si="13"/>
        <v>25.35</v>
      </c>
      <c r="I42" s="26">
        <f t="shared" si="1"/>
        <v>253.5</v>
      </c>
      <c r="J42" s="104">
        <f>I42/(N4*1000)</f>
        <v>1.5233261037147461</v>
      </c>
      <c r="K42" s="34"/>
      <c r="L42" s="95">
        <f t="shared" si="15"/>
        <v>1.5233261037147461E-4</v>
      </c>
      <c r="N42" s="93"/>
      <c r="O42" s="93"/>
    </row>
    <row r="43" spans="1:15" ht="14.65" thickBot="1" x14ac:dyDescent="0.5">
      <c r="A43" s="118"/>
      <c r="B43" s="26" t="s">
        <v>111</v>
      </c>
      <c r="C43" s="34"/>
      <c r="D43" s="26">
        <v>8.9</v>
      </c>
      <c r="E43" s="26">
        <v>20.2</v>
      </c>
      <c r="F43" s="26">
        <v>5.2</v>
      </c>
      <c r="G43" s="26">
        <v>6</v>
      </c>
      <c r="H43" s="26">
        <f t="shared" si="13"/>
        <v>10.075000000000001</v>
      </c>
      <c r="I43" s="26">
        <f t="shared" si="1"/>
        <v>100.75</v>
      </c>
      <c r="J43" s="104">
        <f>I43/(N4*1000)</f>
        <v>0.60542447711739911</v>
      </c>
      <c r="K43" s="34"/>
      <c r="L43" s="95">
        <f t="shared" si="15"/>
        <v>6.0542447711739912E-5</v>
      </c>
      <c r="N43" s="93"/>
      <c r="O43" s="93"/>
    </row>
    <row r="44" spans="1:15" ht="14.65" thickBot="1" x14ac:dyDescent="0.5">
      <c r="A44" s="119"/>
      <c r="B44" s="42" t="s">
        <v>112</v>
      </c>
      <c r="C44" s="58"/>
      <c r="D44" s="42">
        <v>4.5999999999999996</v>
      </c>
      <c r="E44" s="42">
        <v>5.9</v>
      </c>
      <c r="F44" s="42">
        <v>1.9</v>
      </c>
      <c r="G44" s="42">
        <v>3.2</v>
      </c>
      <c r="H44" s="42">
        <f t="shared" si="13"/>
        <v>3.9000000000000004</v>
      </c>
      <c r="I44" s="42">
        <f t="shared" si="1"/>
        <v>39</v>
      </c>
      <c r="J44" s="105">
        <f>I44/(N4*1000)</f>
        <v>0.23435786210996093</v>
      </c>
      <c r="K44" s="58"/>
      <c r="L44" s="95">
        <f t="shared" si="15"/>
        <v>2.3435786210996092E-5</v>
      </c>
      <c r="N44" s="93"/>
      <c r="O44" s="93"/>
    </row>
    <row r="45" spans="1:15" ht="14.65" thickBot="1" x14ac:dyDescent="0.5">
      <c r="A45" s="117" t="s">
        <v>118</v>
      </c>
      <c r="B45" s="36" t="s">
        <v>119</v>
      </c>
      <c r="C45" s="99">
        <v>386.65454899999997</v>
      </c>
      <c r="D45" s="36">
        <v>60</v>
      </c>
      <c r="E45" s="36">
        <v>44</v>
      </c>
      <c r="F45" s="36">
        <v>15</v>
      </c>
      <c r="G45" s="36">
        <v>1</v>
      </c>
      <c r="H45" s="36">
        <f t="shared" si="13"/>
        <v>30</v>
      </c>
      <c r="I45" s="36">
        <f t="shared" si="1"/>
        <v>300</v>
      </c>
      <c r="J45" s="39">
        <f>I45/(N4*1000)</f>
        <v>1.802752785461238</v>
      </c>
      <c r="K45" s="40">
        <f t="shared" ref="K45:K46" si="16">J45/(C45*1000)</f>
        <v>4.6624378017113101E-6</v>
      </c>
      <c r="L45" s="41"/>
    </row>
    <row r="46" spans="1:15" ht="14.65" thickBot="1" x14ac:dyDescent="0.5">
      <c r="A46" s="119"/>
      <c r="B46" s="42" t="s">
        <v>120</v>
      </c>
      <c r="C46" s="100">
        <v>414.707784</v>
      </c>
      <c r="D46" s="42">
        <v>16</v>
      </c>
      <c r="E46" s="42">
        <v>14</v>
      </c>
      <c r="F46" s="42">
        <v>15</v>
      </c>
      <c r="G46" s="42">
        <v>2</v>
      </c>
      <c r="H46" s="42">
        <f t="shared" si="13"/>
        <v>11.75</v>
      </c>
      <c r="I46" s="42">
        <f t="shared" si="1"/>
        <v>117.5</v>
      </c>
      <c r="J46" s="45">
        <f>I46/(N4*1000)</f>
        <v>0.70607817430565156</v>
      </c>
      <c r="K46" s="46">
        <f t="shared" si="16"/>
        <v>1.7025920456454504E-6</v>
      </c>
      <c r="L46" s="54"/>
    </row>
    <row r="47" spans="1:15" ht="21.4" customHeight="1" x14ac:dyDescent="0.45">
      <c r="A47" s="3" t="s">
        <v>7</v>
      </c>
    </row>
    <row r="48" spans="1:15" ht="55.9" customHeight="1" x14ac:dyDescent="0.45">
      <c r="A48" s="131" t="s">
        <v>144</v>
      </c>
      <c r="B48" s="131"/>
      <c r="C48" s="131"/>
      <c r="D48" s="131"/>
      <c r="E48" s="131"/>
      <c r="F48" s="131"/>
      <c r="G48" s="131"/>
      <c r="H48" s="131"/>
      <c r="I48" s="131"/>
      <c r="J48" s="131"/>
      <c r="K48" s="131"/>
      <c r="L48" s="131"/>
    </row>
    <row r="49" spans="1:12" ht="57" customHeight="1" x14ac:dyDescent="0.45">
      <c r="A49" s="113" t="s">
        <v>253</v>
      </c>
      <c r="B49" s="113"/>
      <c r="C49" s="113"/>
      <c r="D49" s="113"/>
      <c r="E49" s="113"/>
      <c r="F49" s="113"/>
      <c r="G49" s="113"/>
      <c r="H49" s="113"/>
      <c r="I49" s="113"/>
      <c r="J49" s="113"/>
      <c r="K49" s="113"/>
      <c r="L49" s="113"/>
    </row>
    <row r="50" spans="1:12" ht="43.5" customHeight="1" x14ac:dyDescent="0.45">
      <c r="A50" s="113" t="s">
        <v>303</v>
      </c>
      <c r="B50" s="113"/>
      <c r="C50" s="113"/>
      <c r="D50" s="113"/>
      <c r="E50" s="113"/>
      <c r="F50" s="113"/>
      <c r="G50" s="113"/>
      <c r="H50" s="113"/>
      <c r="I50" s="113"/>
      <c r="J50" s="113"/>
      <c r="K50" s="113"/>
      <c r="L50" s="113"/>
    </row>
    <row r="51" spans="1:12" ht="46.9" customHeight="1" x14ac:dyDescent="0.45">
      <c r="A51" s="109" t="s">
        <v>255</v>
      </c>
      <c r="B51" s="109"/>
      <c r="C51" s="109"/>
      <c r="D51" s="109"/>
      <c r="E51" s="109"/>
      <c r="F51" s="109"/>
      <c r="G51" s="109"/>
      <c r="H51" s="109"/>
      <c r="I51" s="109"/>
      <c r="J51" s="109"/>
      <c r="K51" s="109"/>
      <c r="L51" s="109"/>
    </row>
    <row r="52" spans="1:12" ht="68.25" customHeight="1" x14ac:dyDescent="0.45">
      <c r="A52" s="109" t="s">
        <v>254</v>
      </c>
      <c r="B52" s="109"/>
      <c r="C52" s="109"/>
      <c r="D52" s="109"/>
      <c r="E52" s="109"/>
      <c r="F52" s="109"/>
      <c r="G52" s="109"/>
      <c r="H52" s="109"/>
      <c r="I52" s="109"/>
      <c r="J52" s="109"/>
      <c r="K52" s="109"/>
      <c r="L52" s="109"/>
    </row>
    <row r="53" spans="1:12" ht="55.5" customHeight="1" x14ac:dyDescent="0.45">
      <c r="A53" s="109" t="s">
        <v>288</v>
      </c>
      <c r="B53" s="109"/>
      <c r="C53" s="109"/>
      <c r="D53" s="109"/>
      <c r="E53" s="109"/>
      <c r="F53" s="109"/>
      <c r="G53" s="109"/>
      <c r="H53" s="109"/>
      <c r="I53" s="109"/>
      <c r="J53" s="109"/>
      <c r="K53" s="109"/>
      <c r="L53" s="109"/>
    </row>
  </sheetData>
  <mergeCells count="22">
    <mergeCell ref="A45:A46"/>
    <mergeCell ref="A25:A30"/>
    <mergeCell ref="A31:A36"/>
    <mergeCell ref="A37:A44"/>
    <mergeCell ref="A48:L48"/>
    <mergeCell ref="A49:L49"/>
    <mergeCell ref="A50:L50"/>
    <mergeCell ref="A51:L51"/>
    <mergeCell ref="A52:L52"/>
    <mergeCell ref="A53:L53"/>
    <mergeCell ref="L2:L3"/>
    <mergeCell ref="C2:C3"/>
    <mergeCell ref="K2:K3"/>
    <mergeCell ref="A8:A15"/>
    <mergeCell ref="A16:A23"/>
    <mergeCell ref="A4:A7"/>
    <mergeCell ref="D2:G2"/>
    <mergeCell ref="A2:A3"/>
    <mergeCell ref="B2:B3"/>
    <mergeCell ref="H2:H3"/>
    <mergeCell ref="I2:I3"/>
    <mergeCell ref="J2:J3"/>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17478-B8E7-4AEC-9A42-4EFC3F5E3B62}">
  <dimension ref="A2:AC43"/>
  <sheetViews>
    <sheetView workbookViewId="0">
      <selection activeCell="C11" sqref="C11"/>
    </sheetView>
  </sheetViews>
  <sheetFormatPr baseColWidth="10" defaultRowHeight="14.25" x14ac:dyDescent="0.45"/>
  <cols>
    <col min="1" max="2" width="10.6640625" style="2"/>
    <col min="3" max="3" width="11.6640625" style="2" bestFit="1" customWidth="1"/>
    <col min="4" max="4" width="11.59765625" style="2" bestFit="1" customWidth="1"/>
    <col min="5" max="7" width="10.6640625" style="2"/>
    <col min="8" max="8" width="11.6640625" style="2" bestFit="1" customWidth="1"/>
    <col min="9" max="9" width="10.6640625" style="2"/>
    <col min="10" max="10" width="10.796875" style="2" customWidth="1"/>
    <col min="11" max="12" width="10.6640625" style="2"/>
    <col min="13" max="13" width="11.6640625" style="2" bestFit="1" customWidth="1"/>
    <col min="14" max="17" width="10.6640625" style="2"/>
    <col min="18" max="18" width="11.6640625" style="2" bestFit="1" customWidth="1"/>
    <col min="19" max="19" width="10.796875" style="2" customWidth="1"/>
    <col min="20" max="22" width="10.6640625" style="2"/>
    <col min="23" max="23" width="11.6640625" style="2" bestFit="1" customWidth="1"/>
    <col min="24" max="27" width="10.6640625" style="2"/>
    <col min="28" max="28" width="11.6640625" style="2" bestFit="1" customWidth="1"/>
    <col min="29" max="16384" width="10.6640625" style="2"/>
  </cols>
  <sheetData>
    <row r="2" spans="1:29" ht="14.65" thickBot="1" x14ac:dyDescent="0.5">
      <c r="A2" s="30" t="s">
        <v>91</v>
      </c>
      <c r="B2" s="30" t="s">
        <v>92</v>
      </c>
      <c r="F2" s="30" t="s">
        <v>91</v>
      </c>
      <c r="G2" s="30" t="s">
        <v>93</v>
      </c>
      <c r="H2" s="27"/>
      <c r="K2" s="30" t="s">
        <v>91</v>
      </c>
      <c r="L2" s="30" t="s">
        <v>94</v>
      </c>
      <c r="P2" s="30" t="s">
        <v>92</v>
      </c>
      <c r="Q2" s="30" t="s">
        <v>93</v>
      </c>
      <c r="U2" s="30" t="s">
        <v>92</v>
      </c>
      <c r="V2" s="30" t="s">
        <v>94</v>
      </c>
      <c r="Z2" s="30" t="s">
        <v>93</v>
      </c>
      <c r="AA2" s="30" t="s">
        <v>94</v>
      </c>
    </row>
    <row r="3" spans="1:29" x14ac:dyDescent="0.45">
      <c r="A3" s="38">
        <v>302.5</v>
      </c>
      <c r="B3" s="38">
        <v>560</v>
      </c>
      <c r="C3" s="71" t="s">
        <v>113</v>
      </c>
      <c r="D3" s="2">
        <f>PEARSON(A3:A43,B3:B43)</f>
        <v>0.99020386718322018</v>
      </c>
      <c r="F3" s="38">
        <v>302.5</v>
      </c>
      <c r="G3" s="38">
        <v>455.9</v>
      </c>
      <c r="H3" s="71" t="s">
        <v>113</v>
      </c>
      <c r="I3" s="2">
        <f>PEARSON(F3:F43,G3:G43)</f>
        <v>0.98079043174896408</v>
      </c>
      <c r="K3" s="38">
        <v>302.5</v>
      </c>
      <c r="L3" s="38">
        <v>212.4</v>
      </c>
      <c r="M3" s="71" t="s">
        <v>113</v>
      </c>
      <c r="N3" s="2">
        <f>PEARSON(K3:K43,L3:L43)</f>
        <v>0.98953382578485272</v>
      </c>
      <c r="P3" s="38">
        <v>560</v>
      </c>
      <c r="Q3" s="38">
        <v>455.9</v>
      </c>
      <c r="R3" s="71" t="s">
        <v>113</v>
      </c>
      <c r="S3" s="2">
        <f>PEARSON(P3:P43,Q3:Q43)</f>
        <v>0.98836167619481219</v>
      </c>
      <c r="U3" s="38">
        <v>560</v>
      </c>
      <c r="V3" s="38">
        <v>212.4</v>
      </c>
      <c r="W3" s="71" t="s">
        <v>113</v>
      </c>
      <c r="X3" s="2">
        <f>PEARSON(U3:U43,V3:V43)</f>
        <v>0.97936589343231761</v>
      </c>
      <c r="Z3" s="38">
        <v>455.9</v>
      </c>
      <c r="AA3" s="38">
        <v>212.4</v>
      </c>
      <c r="AB3" s="71" t="s">
        <v>113</v>
      </c>
      <c r="AC3" s="2">
        <f>PEARSON(Z3:Z43,AA3:AA43)</f>
        <v>0.9668926727008379</v>
      </c>
    </row>
    <row r="4" spans="1:29" x14ac:dyDescent="0.45">
      <c r="A4" s="21">
        <v>425.2</v>
      </c>
      <c r="B4" s="21">
        <v>463</v>
      </c>
      <c r="C4" s="71" t="s">
        <v>114</v>
      </c>
      <c r="D4" s="2">
        <v>41</v>
      </c>
      <c r="F4" s="21">
        <v>425.2</v>
      </c>
      <c r="G4" s="21">
        <v>465</v>
      </c>
      <c r="H4" s="71" t="s">
        <v>114</v>
      </c>
      <c r="I4" s="2">
        <v>41</v>
      </c>
      <c r="K4" s="21">
        <v>425.2</v>
      </c>
      <c r="L4" s="21">
        <v>379.2</v>
      </c>
      <c r="M4" s="71" t="s">
        <v>114</v>
      </c>
      <c r="N4" s="2">
        <v>41</v>
      </c>
      <c r="P4" s="21">
        <v>463</v>
      </c>
      <c r="Q4" s="21">
        <v>465</v>
      </c>
      <c r="R4" s="71" t="s">
        <v>114</v>
      </c>
      <c r="S4" s="2">
        <v>41</v>
      </c>
      <c r="U4" s="21">
        <v>463</v>
      </c>
      <c r="V4" s="21">
        <v>379.2</v>
      </c>
      <c r="W4" s="71" t="s">
        <v>114</v>
      </c>
      <c r="X4" s="2">
        <v>41</v>
      </c>
      <c r="Z4" s="21">
        <v>465</v>
      </c>
      <c r="AA4" s="21">
        <v>379.2</v>
      </c>
      <c r="AB4" s="71" t="s">
        <v>114</v>
      </c>
      <c r="AC4" s="2">
        <v>41</v>
      </c>
    </row>
    <row r="5" spans="1:29" x14ac:dyDescent="0.45">
      <c r="A5" s="21">
        <v>1325.3</v>
      </c>
      <c r="B5" s="21">
        <v>1531.9</v>
      </c>
      <c r="C5" s="71" t="s">
        <v>115</v>
      </c>
      <c r="D5" s="65">
        <f>(D3*SQRT(D4-2))/(SQRT(1-D3^2))</f>
        <v>44.287463395124881</v>
      </c>
      <c r="F5" s="21">
        <v>1325.3</v>
      </c>
      <c r="G5" s="21">
        <v>1107.7</v>
      </c>
      <c r="H5" s="71" t="s">
        <v>115</v>
      </c>
      <c r="I5" s="65">
        <f>(I3*SQRT(I4-2))/(SQRT(1-I3^2))</f>
        <v>31.400058500854904</v>
      </c>
      <c r="K5" s="21">
        <v>1325.3</v>
      </c>
      <c r="L5" s="21">
        <v>1056.2</v>
      </c>
      <c r="M5" s="71" t="s">
        <v>115</v>
      </c>
      <c r="N5" s="65">
        <f>(N3*SQRT(N4-2))/(SQRT(1-N3^2))</f>
        <v>42.824598957908215</v>
      </c>
      <c r="P5" s="21">
        <v>1531.9</v>
      </c>
      <c r="Q5" s="21">
        <v>1107.7</v>
      </c>
      <c r="R5" s="71" t="s">
        <v>115</v>
      </c>
      <c r="S5" s="65">
        <f>(S3*SQRT(S4-2))/(SQRT(1-S3^2))</f>
        <v>40.574697506560156</v>
      </c>
      <c r="U5" s="21">
        <v>1531.9</v>
      </c>
      <c r="V5" s="21">
        <v>1056.2</v>
      </c>
      <c r="W5" s="71" t="s">
        <v>115</v>
      </c>
      <c r="X5" s="65">
        <f>(X3*SQRT(X4-2))/(SQRT(1-X3^2))</f>
        <v>30.26365679347154</v>
      </c>
      <c r="Z5" s="21">
        <v>1107.7</v>
      </c>
      <c r="AA5" s="21">
        <v>1056.2</v>
      </c>
      <c r="AB5" s="71" t="s">
        <v>115</v>
      </c>
      <c r="AC5" s="65">
        <f>(AC3*SQRT(AC4-2))/(SQRT(1-AC3^2))</f>
        <v>23.662366689690135</v>
      </c>
    </row>
    <row r="6" spans="1:29" ht="14.65" thickBot="1" x14ac:dyDescent="0.5">
      <c r="A6" s="44">
        <v>256.39999999999998</v>
      </c>
      <c r="B6" s="44">
        <v>308.10000000000002</v>
      </c>
      <c r="C6" s="71" t="s">
        <v>116</v>
      </c>
      <c r="D6" s="2">
        <f>D4-2</f>
        <v>39</v>
      </c>
      <c r="F6" s="44">
        <v>256.39999999999998</v>
      </c>
      <c r="G6" s="44">
        <v>175.5</v>
      </c>
      <c r="H6" s="71" t="s">
        <v>116</v>
      </c>
      <c r="I6" s="2">
        <f>I4-2</f>
        <v>39</v>
      </c>
      <c r="K6" s="44">
        <v>256.39999999999998</v>
      </c>
      <c r="L6" s="44">
        <v>157.5</v>
      </c>
      <c r="M6" s="71" t="s">
        <v>116</v>
      </c>
      <c r="N6" s="2">
        <f>N4-2</f>
        <v>39</v>
      </c>
      <c r="P6" s="44">
        <v>308.10000000000002</v>
      </c>
      <c r="Q6" s="44">
        <v>175.5</v>
      </c>
      <c r="R6" s="71" t="s">
        <v>116</v>
      </c>
      <c r="S6" s="2">
        <f>S4-2</f>
        <v>39</v>
      </c>
      <c r="U6" s="44">
        <v>308.10000000000002</v>
      </c>
      <c r="V6" s="44">
        <v>157.5</v>
      </c>
      <c r="W6" s="71" t="s">
        <v>116</v>
      </c>
      <c r="X6" s="2">
        <f>X4-2</f>
        <v>39</v>
      </c>
      <c r="Z6" s="44">
        <v>175.5</v>
      </c>
      <c r="AA6" s="44">
        <v>157.5</v>
      </c>
      <c r="AB6" s="71" t="s">
        <v>116</v>
      </c>
      <c r="AC6" s="2">
        <f>AC4-2</f>
        <v>39</v>
      </c>
    </row>
    <row r="7" spans="1:29" x14ac:dyDescent="0.45">
      <c r="A7" s="38">
        <v>3.3</v>
      </c>
      <c r="B7" s="38">
        <v>3.3</v>
      </c>
      <c r="C7" s="71" t="s">
        <v>117</v>
      </c>
      <c r="D7" s="72">
        <f>TDIST(D5,D6,2)</f>
        <v>5.7777350002810891E-35</v>
      </c>
      <c r="F7" s="38">
        <v>3.3</v>
      </c>
      <c r="G7" s="38">
        <v>8.9</v>
      </c>
      <c r="H7" s="71" t="s">
        <v>117</v>
      </c>
      <c r="I7" s="72">
        <f>TDIST(I5,I6,2)</f>
        <v>2.6827145434694451E-29</v>
      </c>
      <c r="K7" s="38">
        <v>3.3</v>
      </c>
      <c r="L7" s="38">
        <v>1.9</v>
      </c>
      <c r="M7" s="71" t="s">
        <v>117</v>
      </c>
      <c r="N7" s="72">
        <f>TDIST(N5,N6,2)</f>
        <v>2.0868180847487341E-34</v>
      </c>
      <c r="P7" s="38">
        <v>3.3</v>
      </c>
      <c r="Q7" s="38">
        <v>8.9</v>
      </c>
      <c r="R7" s="71" t="s">
        <v>117</v>
      </c>
      <c r="S7" s="72">
        <f>TDIST(S5,S6,2)</f>
        <v>1.6367453942300642E-33</v>
      </c>
      <c r="U7" s="38">
        <v>3.3</v>
      </c>
      <c r="V7" s="38">
        <v>1.9</v>
      </c>
      <c r="W7" s="71" t="s">
        <v>117</v>
      </c>
      <c r="X7" s="72">
        <f>TDIST(X5,X6,2)</f>
        <v>1.0688293279013722E-28</v>
      </c>
      <c r="Z7" s="38">
        <v>8.9</v>
      </c>
      <c r="AA7" s="38">
        <v>1.9</v>
      </c>
      <c r="AB7" s="71" t="s">
        <v>117</v>
      </c>
      <c r="AC7" s="72">
        <f>TDIST(AC5,AC6,2)</f>
        <v>9.6550444258476377E-25</v>
      </c>
    </row>
    <row r="8" spans="1:29" x14ac:dyDescent="0.45">
      <c r="A8" s="21">
        <v>3.9</v>
      </c>
      <c r="B8" s="21">
        <v>2.7</v>
      </c>
      <c r="F8" s="21">
        <v>3.9</v>
      </c>
      <c r="G8" s="21">
        <v>2.8</v>
      </c>
      <c r="K8" s="21">
        <v>3.9</v>
      </c>
      <c r="L8" s="21">
        <v>1.4</v>
      </c>
      <c r="P8" s="21">
        <v>2.7</v>
      </c>
      <c r="Q8" s="21">
        <v>2.8</v>
      </c>
      <c r="U8" s="21">
        <v>2.7</v>
      </c>
      <c r="V8" s="21">
        <v>1.4</v>
      </c>
      <c r="Z8" s="21">
        <v>2.8</v>
      </c>
      <c r="AA8" s="21">
        <v>1.4</v>
      </c>
    </row>
    <row r="9" spans="1:29" x14ac:dyDescent="0.45">
      <c r="A9" s="21">
        <v>22.7</v>
      </c>
      <c r="B9" s="21">
        <v>14</v>
      </c>
      <c r="F9" s="21">
        <v>22.7</v>
      </c>
      <c r="G9" s="21">
        <v>12.8</v>
      </c>
      <c r="K9" s="21">
        <v>22.7</v>
      </c>
      <c r="L9" s="21">
        <v>6.1</v>
      </c>
      <c r="P9" s="21">
        <v>14</v>
      </c>
      <c r="Q9" s="21">
        <v>12.8</v>
      </c>
      <c r="U9" s="21">
        <v>14</v>
      </c>
      <c r="V9" s="21">
        <v>6.1</v>
      </c>
      <c r="Z9" s="21">
        <v>12.8</v>
      </c>
      <c r="AA9" s="21">
        <v>6.1</v>
      </c>
    </row>
    <row r="10" spans="1:29" x14ac:dyDescent="0.45">
      <c r="A10" s="21">
        <v>126.8</v>
      </c>
      <c r="B10" s="21">
        <v>95.3</v>
      </c>
      <c r="F10" s="21">
        <v>126.8</v>
      </c>
      <c r="G10" s="21">
        <v>90.6</v>
      </c>
      <c r="K10" s="21">
        <v>126.8</v>
      </c>
      <c r="L10" s="21">
        <v>41.6</v>
      </c>
      <c r="P10" s="21">
        <v>95.3</v>
      </c>
      <c r="Q10" s="21">
        <v>90.6</v>
      </c>
      <c r="U10" s="21">
        <v>95.3</v>
      </c>
      <c r="V10" s="21">
        <v>41.6</v>
      </c>
      <c r="Z10" s="21">
        <v>90.6</v>
      </c>
      <c r="AA10" s="21">
        <v>41.6</v>
      </c>
    </row>
    <row r="11" spans="1:29" x14ac:dyDescent="0.45">
      <c r="A11" s="21">
        <v>285.3</v>
      </c>
      <c r="B11" s="21">
        <v>291.7</v>
      </c>
      <c r="F11" s="21">
        <v>285.3</v>
      </c>
      <c r="G11" s="21">
        <v>261.2</v>
      </c>
      <c r="K11" s="21">
        <v>285.3</v>
      </c>
      <c r="L11" s="21">
        <v>131</v>
      </c>
      <c r="P11" s="21">
        <v>291.7</v>
      </c>
      <c r="Q11" s="21">
        <v>261.2</v>
      </c>
      <c r="U11" s="21">
        <v>291.7</v>
      </c>
      <c r="V11" s="21">
        <v>131</v>
      </c>
      <c r="Z11" s="21">
        <v>261.2</v>
      </c>
      <c r="AA11" s="21">
        <v>131</v>
      </c>
    </row>
    <row r="12" spans="1:29" x14ac:dyDescent="0.45">
      <c r="A12" s="21">
        <v>173</v>
      </c>
      <c r="B12" s="21">
        <v>201.6</v>
      </c>
      <c r="F12" s="21">
        <v>173</v>
      </c>
      <c r="G12" s="21">
        <v>197.3</v>
      </c>
      <c r="K12" s="21">
        <v>173</v>
      </c>
      <c r="L12" s="21">
        <v>78.7</v>
      </c>
      <c r="P12" s="21">
        <v>201.6</v>
      </c>
      <c r="Q12" s="21">
        <v>197.3</v>
      </c>
      <c r="U12" s="21">
        <v>201.6</v>
      </c>
      <c r="V12" s="21">
        <v>78.7</v>
      </c>
      <c r="Z12" s="21">
        <v>197.3</v>
      </c>
      <c r="AA12" s="21">
        <v>78.7</v>
      </c>
    </row>
    <row r="13" spans="1:29" x14ac:dyDescent="0.45">
      <c r="A13" s="21">
        <v>4.9000000000000004</v>
      </c>
      <c r="B13" s="21">
        <v>4.4000000000000004</v>
      </c>
      <c r="F13" s="21">
        <v>4.9000000000000004</v>
      </c>
      <c r="G13" s="21">
        <v>5</v>
      </c>
      <c r="K13" s="21">
        <v>4.9000000000000004</v>
      </c>
      <c r="L13" s="21">
        <v>14.1</v>
      </c>
      <c r="P13" s="21">
        <v>4.4000000000000004</v>
      </c>
      <c r="Q13" s="21">
        <v>5</v>
      </c>
      <c r="U13" s="21">
        <v>4.4000000000000004</v>
      </c>
      <c r="V13" s="21">
        <v>14.1</v>
      </c>
      <c r="Z13" s="21">
        <v>5</v>
      </c>
      <c r="AA13" s="21">
        <v>14.1</v>
      </c>
    </row>
    <row r="14" spans="1:29" ht="14.65" thickBot="1" x14ac:dyDescent="0.5">
      <c r="A14" s="44">
        <v>12.6</v>
      </c>
      <c r="B14" s="44">
        <v>6.3</v>
      </c>
      <c r="F14" s="44">
        <v>12.6</v>
      </c>
      <c r="G14" s="44">
        <v>11.7</v>
      </c>
      <c r="K14" s="44">
        <v>12.6</v>
      </c>
      <c r="L14" s="44">
        <v>12.3</v>
      </c>
      <c r="P14" s="44">
        <v>6.3</v>
      </c>
      <c r="Q14" s="44">
        <v>11.7</v>
      </c>
      <c r="U14" s="44">
        <v>6.3</v>
      </c>
      <c r="V14" s="44">
        <v>12.3</v>
      </c>
      <c r="Z14" s="44">
        <v>11.7</v>
      </c>
      <c r="AA14" s="44">
        <v>12.3</v>
      </c>
    </row>
    <row r="15" spans="1:29" x14ac:dyDescent="0.45">
      <c r="A15" s="38">
        <v>19.899999999999999</v>
      </c>
      <c r="B15" s="38">
        <v>15</v>
      </c>
      <c r="F15" s="38">
        <v>19.899999999999999</v>
      </c>
      <c r="G15" s="38">
        <v>18.3</v>
      </c>
      <c r="K15" s="38">
        <v>19.899999999999999</v>
      </c>
      <c r="L15" s="38">
        <v>17.2</v>
      </c>
      <c r="P15" s="38">
        <v>15</v>
      </c>
      <c r="Q15" s="38">
        <v>18.3</v>
      </c>
      <c r="U15" s="38">
        <v>15</v>
      </c>
      <c r="V15" s="38">
        <v>17.2</v>
      </c>
      <c r="Z15" s="38">
        <v>18.3</v>
      </c>
      <c r="AA15" s="38">
        <v>17.2</v>
      </c>
    </row>
    <row r="16" spans="1:29" x14ac:dyDescent="0.45">
      <c r="A16" s="21">
        <v>7.8</v>
      </c>
      <c r="B16" s="21">
        <v>6.1</v>
      </c>
      <c r="F16" s="21">
        <v>7.8</v>
      </c>
      <c r="G16" s="21">
        <v>8.1</v>
      </c>
      <c r="K16" s="21">
        <v>7.8</v>
      </c>
      <c r="L16" s="21">
        <v>7.3</v>
      </c>
      <c r="P16" s="21">
        <v>6.1</v>
      </c>
      <c r="Q16" s="21">
        <v>8.1</v>
      </c>
      <c r="U16" s="21">
        <v>6.1</v>
      </c>
      <c r="V16" s="21">
        <v>7.3</v>
      </c>
      <c r="Z16" s="21">
        <v>8.1</v>
      </c>
      <c r="AA16" s="21">
        <v>7.3</v>
      </c>
    </row>
    <row r="17" spans="1:27" x14ac:dyDescent="0.45">
      <c r="A17" s="21">
        <v>3.6</v>
      </c>
      <c r="B17" s="21">
        <v>4.0999999999999996</v>
      </c>
      <c r="F17" s="21">
        <v>3.6</v>
      </c>
      <c r="G17" s="21">
        <v>4.2</v>
      </c>
      <c r="K17" s="21">
        <v>3.6</v>
      </c>
      <c r="L17" s="21">
        <v>3.6</v>
      </c>
      <c r="P17" s="21">
        <v>4.0999999999999996</v>
      </c>
      <c r="Q17" s="21">
        <v>4.2</v>
      </c>
      <c r="U17" s="21">
        <v>4.0999999999999996</v>
      </c>
      <c r="V17" s="21">
        <v>3.6</v>
      </c>
      <c r="Z17" s="21">
        <v>4.2</v>
      </c>
      <c r="AA17" s="21">
        <v>3.6</v>
      </c>
    </row>
    <row r="18" spans="1:27" x14ac:dyDescent="0.45">
      <c r="A18" s="21">
        <v>34.6</v>
      </c>
      <c r="B18" s="21">
        <v>39</v>
      </c>
      <c r="F18" s="21">
        <v>34.6</v>
      </c>
      <c r="G18" s="21">
        <v>51.2</v>
      </c>
      <c r="K18" s="21">
        <v>34.6</v>
      </c>
      <c r="L18" s="21">
        <v>17.399999999999999</v>
      </c>
      <c r="P18" s="21">
        <v>39</v>
      </c>
      <c r="Q18" s="21">
        <v>51.2</v>
      </c>
      <c r="U18" s="21">
        <v>39</v>
      </c>
      <c r="V18" s="21">
        <v>17.399999999999999</v>
      </c>
      <c r="Z18" s="21">
        <v>51.2</v>
      </c>
      <c r="AA18" s="21">
        <v>17.399999999999999</v>
      </c>
    </row>
    <row r="19" spans="1:27" x14ac:dyDescent="0.45">
      <c r="A19" s="21">
        <v>225.4</v>
      </c>
      <c r="B19" s="21">
        <v>271.5</v>
      </c>
      <c r="F19" s="21">
        <v>225.4</v>
      </c>
      <c r="G19" s="21">
        <v>285.7</v>
      </c>
      <c r="K19" s="21">
        <v>225.4</v>
      </c>
      <c r="L19" s="21">
        <v>108.4</v>
      </c>
      <c r="P19" s="21">
        <v>271.5</v>
      </c>
      <c r="Q19" s="21">
        <v>285.7</v>
      </c>
      <c r="U19" s="21">
        <v>271.5</v>
      </c>
      <c r="V19" s="21">
        <v>108.4</v>
      </c>
      <c r="Z19" s="21">
        <v>285.7</v>
      </c>
      <c r="AA19" s="21">
        <v>108.4</v>
      </c>
    </row>
    <row r="20" spans="1:27" x14ac:dyDescent="0.45">
      <c r="A20" s="21">
        <v>120.7</v>
      </c>
      <c r="B20" s="21">
        <v>156.9</v>
      </c>
      <c r="F20" s="21">
        <v>120.7</v>
      </c>
      <c r="G20" s="21">
        <v>148.1</v>
      </c>
      <c r="K20" s="21">
        <v>120.7</v>
      </c>
      <c r="L20" s="21">
        <v>64.2</v>
      </c>
      <c r="P20" s="21">
        <v>156.9</v>
      </c>
      <c r="Q20" s="21">
        <v>148.1</v>
      </c>
      <c r="U20" s="21">
        <v>156.9</v>
      </c>
      <c r="V20" s="21">
        <v>64.2</v>
      </c>
      <c r="Z20" s="21">
        <v>148.1</v>
      </c>
      <c r="AA20" s="21">
        <v>64.2</v>
      </c>
    </row>
    <row r="21" spans="1:27" x14ac:dyDescent="0.45">
      <c r="A21" s="21">
        <v>43.9</v>
      </c>
      <c r="B21" s="21">
        <v>55.8</v>
      </c>
      <c r="F21" s="21">
        <v>43.9</v>
      </c>
      <c r="G21" s="21">
        <v>48.9</v>
      </c>
      <c r="K21" s="21">
        <v>43.9</v>
      </c>
      <c r="L21" s="21">
        <v>38.799999999999997</v>
      </c>
      <c r="P21" s="21">
        <v>55.8</v>
      </c>
      <c r="Q21" s="21">
        <v>48.9</v>
      </c>
      <c r="U21" s="21">
        <v>55.8</v>
      </c>
      <c r="V21" s="21">
        <v>38.799999999999997</v>
      </c>
      <c r="Z21" s="21">
        <v>48.9</v>
      </c>
      <c r="AA21" s="21">
        <v>38.799999999999997</v>
      </c>
    </row>
    <row r="22" spans="1:27" ht="14.65" thickBot="1" x14ac:dyDescent="0.5">
      <c r="A22" s="44">
        <v>44.1</v>
      </c>
      <c r="B22" s="44">
        <v>52.5</v>
      </c>
      <c r="F22" s="44">
        <v>44.1</v>
      </c>
      <c r="G22" s="44">
        <v>44.8</v>
      </c>
      <c r="K22" s="44">
        <v>44.1</v>
      </c>
      <c r="L22" s="44">
        <v>69.2</v>
      </c>
      <c r="P22" s="44">
        <v>52.5</v>
      </c>
      <c r="Q22" s="44">
        <v>44.8</v>
      </c>
      <c r="U22" s="44">
        <v>52.5</v>
      </c>
      <c r="V22" s="44">
        <v>69.2</v>
      </c>
      <c r="Z22" s="44">
        <v>44.8</v>
      </c>
      <c r="AA22" s="44">
        <v>69.2</v>
      </c>
    </row>
    <row r="23" spans="1:27" ht="14.65" thickBot="1" x14ac:dyDescent="0.5">
      <c r="A23" s="49">
        <v>1.9</v>
      </c>
      <c r="B23" s="49">
        <v>2.2000000000000002</v>
      </c>
      <c r="F23" s="49">
        <v>1.9</v>
      </c>
      <c r="G23" s="49">
        <v>4</v>
      </c>
      <c r="K23" s="49">
        <v>1.9</v>
      </c>
      <c r="L23" s="49">
        <v>4.5</v>
      </c>
      <c r="P23" s="49">
        <v>2.2000000000000002</v>
      </c>
      <c r="Q23" s="49">
        <v>4</v>
      </c>
      <c r="U23" s="49">
        <v>2.2000000000000002</v>
      </c>
      <c r="V23" s="49">
        <v>4.5</v>
      </c>
      <c r="Z23" s="49">
        <v>4</v>
      </c>
      <c r="AA23" s="49">
        <v>4.5</v>
      </c>
    </row>
    <row r="24" spans="1:27" x14ac:dyDescent="0.45">
      <c r="A24" s="73">
        <f>28.5/3</f>
        <v>9.5</v>
      </c>
      <c r="B24" s="73"/>
      <c r="F24" s="73">
        <v>9.5</v>
      </c>
      <c r="G24" s="73">
        <v>14.733333333333334</v>
      </c>
      <c r="H24" s="74"/>
      <c r="K24" s="73">
        <v>9.5</v>
      </c>
      <c r="L24" s="73">
        <v>9.6666666666666661</v>
      </c>
      <c r="P24" s="73"/>
      <c r="Q24" s="73">
        <v>14.733333333333334</v>
      </c>
      <c r="U24" s="73"/>
      <c r="V24" s="73">
        <v>9.6666666666666661</v>
      </c>
      <c r="Z24" s="73">
        <v>14.733333333333334</v>
      </c>
      <c r="AA24" s="73">
        <v>9.6666666666666661</v>
      </c>
    </row>
    <row r="25" spans="1:27" x14ac:dyDescent="0.45">
      <c r="A25" s="75">
        <f t="shared" ref="A25:A26" si="0">28.5/3</f>
        <v>9.5</v>
      </c>
      <c r="B25" s="75"/>
      <c r="F25" s="75">
        <v>9.5</v>
      </c>
      <c r="G25" s="75">
        <v>14.733333333333334</v>
      </c>
      <c r="H25" s="74"/>
      <c r="K25" s="75">
        <v>9.5</v>
      </c>
      <c r="L25" s="75">
        <v>9.6666666666666661</v>
      </c>
      <c r="P25" s="75"/>
      <c r="Q25" s="75">
        <v>14.733333333333334</v>
      </c>
      <c r="U25" s="75"/>
      <c r="V25" s="75">
        <v>9.6666666666666661</v>
      </c>
      <c r="Z25" s="75">
        <v>14.733333333333334</v>
      </c>
      <c r="AA25" s="75">
        <v>9.6666666666666661</v>
      </c>
    </row>
    <row r="26" spans="1:27" x14ac:dyDescent="0.45">
      <c r="A26" s="75">
        <f t="shared" si="0"/>
        <v>9.5</v>
      </c>
      <c r="B26" s="75"/>
      <c r="F26" s="75">
        <v>9.5</v>
      </c>
      <c r="G26" s="75">
        <v>14.733333333333334</v>
      </c>
      <c r="H26" s="74"/>
      <c r="K26" s="75">
        <v>9.5</v>
      </c>
      <c r="L26" s="75">
        <v>9.6666666666666661</v>
      </c>
      <c r="P26" s="75"/>
      <c r="Q26" s="75">
        <v>14.733333333333334</v>
      </c>
      <c r="U26" s="75"/>
      <c r="V26" s="75">
        <v>9.6666666666666661</v>
      </c>
      <c r="Z26" s="75">
        <v>14.733333333333334</v>
      </c>
      <c r="AA26" s="75">
        <v>9.6666666666666661</v>
      </c>
    </row>
    <row r="27" spans="1:27" x14ac:dyDescent="0.45">
      <c r="A27" s="75">
        <f>5.2/3</f>
        <v>1.7333333333333334</v>
      </c>
      <c r="B27" s="21"/>
      <c r="F27" s="75">
        <v>1.7333333333333334</v>
      </c>
      <c r="G27" s="21">
        <v>1.8</v>
      </c>
      <c r="K27" s="75">
        <v>1.7333333333333334</v>
      </c>
      <c r="L27" s="75">
        <v>2.0333333333333332</v>
      </c>
      <c r="P27" s="21"/>
      <c r="Q27" s="21">
        <v>1.8</v>
      </c>
      <c r="U27" s="21"/>
      <c r="V27" s="75">
        <v>2.0333333333333332</v>
      </c>
      <c r="Z27" s="21">
        <v>1.8</v>
      </c>
      <c r="AA27" s="75">
        <v>2.0333333333333332</v>
      </c>
    </row>
    <row r="28" spans="1:27" x14ac:dyDescent="0.45">
      <c r="A28" s="75">
        <f t="shared" ref="A28:A29" si="1">5.2/3</f>
        <v>1.7333333333333334</v>
      </c>
      <c r="B28" s="21"/>
      <c r="F28" s="75">
        <v>1.7333333333333334</v>
      </c>
      <c r="G28" s="21">
        <v>1.8</v>
      </c>
      <c r="K28" s="75">
        <v>1.7333333333333334</v>
      </c>
      <c r="L28" s="75">
        <v>2.0333333333333332</v>
      </c>
      <c r="P28" s="21"/>
      <c r="Q28" s="21">
        <v>1.8</v>
      </c>
      <c r="U28" s="21"/>
      <c r="V28" s="75">
        <v>2.0333333333333332</v>
      </c>
      <c r="Z28" s="21">
        <v>1.8</v>
      </c>
      <c r="AA28" s="75">
        <v>2.0333333333333332</v>
      </c>
    </row>
    <row r="29" spans="1:27" ht="14.65" thickBot="1" x14ac:dyDescent="0.5">
      <c r="A29" s="76">
        <f t="shared" si="1"/>
        <v>1.7333333333333334</v>
      </c>
      <c r="B29" s="44"/>
      <c r="F29" s="76">
        <v>1.7333333333333334</v>
      </c>
      <c r="G29" s="44">
        <v>1.8</v>
      </c>
      <c r="K29" s="76">
        <v>1.7333333333333334</v>
      </c>
      <c r="L29" s="76">
        <v>2.0333333333333332</v>
      </c>
      <c r="P29" s="44"/>
      <c r="Q29" s="44">
        <v>1.8</v>
      </c>
      <c r="U29" s="44"/>
      <c r="V29" s="76">
        <v>2.0333333333333332</v>
      </c>
      <c r="Z29" s="44">
        <v>1.8</v>
      </c>
      <c r="AA29" s="76">
        <v>2.0333333333333332</v>
      </c>
    </row>
    <row r="30" spans="1:27" x14ac:dyDescent="0.45">
      <c r="A30" s="73">
        <v>0.3</v>
      </c>
      <c r="B30" s="38">
        <v>0.1</v>
      </c>
      <c r="F30" s="73">
        <v>0.3</v>
      </c>
      <c r="G30" s="38"/>
      <c r="K30" s="73">
        <v>0.3</v>
      </c>
      <c r="L30" s="73"/>
      <c r="P30" s="38">
        <v>0.1</v>
      </c>
      <c r="Q30" s="38"/>
      <c r="U30" s="38">
        <v>0.1</v>
      </c>
      <c r="V30" s="73"/>
      <c r="Z30" s="38"/>
      <c r="AA30" s="73"/>
    </row>
    <row r="31" spans="1:27" x14ac:dyDescent="0.45">
      <c r="A31" s="75">
        <v>2</v>
      </c>
      <c r="B31" s="21">
        <v>1.8</v>
      </c>
      <c r="F31" s="75">
        <v>2</v>
      </c>
      <c r="G31" s="21">
        <v>1.9</v>
      </c>
      <c r="K31" s="75">
        <v>2</v>
      </c>
      <c r="L31" s="75">
        <v>1.5</v>
      </c>
      <c r="P31" s="21">
        <v>1.8</v>
      </c>
      <c r="Q31" s="21">
        <v>1.9</v>
      </c>
      <c r="U31" s="21">
        <v>1.8</v>
      </c>
      <c r="V31" s="75">
        <v>1.5</v>
      </c>
      <c r="Z31" s="21">
        <v>1.9</v>
      </c>
      <c r="AA31" s="75">
        <v>1.5</v>
      </c>
    </row>
    <row r="32" spans="1:27" x14ac:dyDescent="0.45">
      <c r="A32" s="75">
        <v>4.9000000000000004</v>
      </c>
      <c r="B32" s="21">
        <v>5.0999999999999996</v>
      </c>
      <c r="F32" s="75">
        <v>4.9000000000000004</v>
      </c>
      <c r="G32" s="21">
        <v>4.9000000000000004</v>
      </c>
      <c r="K32" s="75">
        <v>4.9000000000000004</v>
      </c>
      <c r="L32" s="75">
        <v>2.6</v>
      </c>
      <c r="P32" s="21">
        <v>5.0999999999999996</v>
      </c>
      <c r="Q32" s="21">
        <v>4.9000000000000004</v>
      </c>
      <c r="U32" s="21">
        <v>5.0999999999999996</v>
      </c>
      <c r="V32" s="75">
        <v>2.6</v>
      </c>
      <c r="Z32" s="21">
        <v>4.9000000000000004</v>
      </c>
      <c r="AA32" s="75">
        <v>2.6</v>
      </c>
    </row>
    <row r="33" spans="1:27" x14ac:dyDescent="0.45">
      <c r="A33" s="75">
        <v>4.5</v>
      </c>
      <c r="B33" s="21">
        <v>3.3</v>
      </c>
      <c r="F33" s="75">
        <v>4.5</v>
      </c>
      <c r="G33" s="21">
        <v>5.0999999999999996</v>
      </c>
      <c r="K33" s="75">
        <v>4.5</v>
      </c>
      <c r="L33" s="75">
        <v>2.9</v>
      </c>
      <c r="P33" s="21">
        <v>3.3</v>
      </c>
      <c r="Q33" s="21">
        <v>5.0999999999999996</v>
      </c>
      <c r="U33" s="21">
        <v>3.3</v>
      </c>
      <c r="V33" s="75">
        <v>2.9</v>
      </c>
      <c r="Z33" s="21">
        <v>5.0999999999999996</v>
      </c>
      <c r="AA33" s="75">
        <v>2.9</v>
      </c>
    </row>
    <row r="34" spans="1:27" x14ac:dyDescent="0.45">
      <c r="A34" s="75">
        <v>2.2000000000000002</v>
      </c>
      <c r="B34" s="21">
        <v>1.5</v>
      </c>
      <c r="F34" s="75">
        <v>2.2000000000000002</v>
      </c>
      <c r="G34" s="21">
        <v>2.4</v>
      </c>
      <c r="K34" s="75">
        <v>2.2000000000000002</v>
      </c>
      <c r="L34" s="75">
        <v>3</v>
      </c>
      <c r="P34" s="21">
        <v>1.5</v>
      </c>
      <c r="Q34" s="21">
        <v>2.4</v>
      </c>
      <c r="U34" s="21">
        <v>1.5</v>
      </c>
      <c r="V34" s="75">
        <v>3</v>
      </c>
      <c r="Z34" s="21">
        <v>2.4</v>
      </c>
      <c r="AA34" s="75">
        <v>3</v>
      </c>
    </row>
    <row r="35" spans="1:27" ht="14.65" thickBot="1" x14ac:dyDescent="0.5">
      <c r="A35" s="76">
        <v>0.3</v>
      </c>
      <c r="B35" s="44">
        <v>0.3</v>
      </c>
      <c r="F35" s="76">
        <v>0.3</v>
      </c>
      <c r="G35" s="44">
        <v>0.2</v>
      </c>
      <c r="K35" s="76">
        <v>0.3</v>
      </c>
      <c r="L35" s="76">
        <v>0.5</v>
      </c>
      <c r="P35" s="44">
        <v>0.3</v>
      </c>
      <c r="Q35" s="44">
        <v>0.2</v>
      </c>
      <c r="U35" s="44">
        <v>0.3</v>
      </c>
      <c r="V35" s="76">
        <v>0.5</v>
      </c>
      <c r="Z35" s="44">
        <v>0.2</v>
      </c>
      <c r="AA35" s="76">
        <v>0.5</v>
      </c>
    </row>
    <row r="36" spans="1:27" x14ac:dyDescent="0.45">
      <c r="A36" s="38">
        <v>7.5</v>
      </c>
      <c r="B36" s="38">
        <v>7.1</v>
      </c>
      <c r="F36" s="38">
        <v>7.5</v>
      </c>
      <c r="G36" s="38">
        <v>3.4</v>
      </c>
      <c r="K36" s="38">
        <v>7.5</v>
      </c>
      <c r="L36" s="38">
        <v>3.3</v>
      </c>
      <c r="P36" s="38">
        <v>7.1</v>
      </c>
      <c r="Q36" s="38">
        <v>3.4</v>
      </c>
      <c r="U36" s="38">
        <v>7.1</v>
      </c>
      <c r="V36" s="38">
        <v>3.3</v>
      </c>
      <c r="Z36" s="38">
        <v>3.4</v>
      </c>
      <c r="AA36" s="38">
        <v>3.3</v>
      </c>
    </row>
    <row r="37" spans="1:27" x14ac:dyDescent="0.45">
      <c r="A37" s="21">
        <v>16</v>
      </c>
      <c r="B37" s="21">
        <v>20.100000000000001</v>
      </c>
      <c r="F37" s="21">
        <v>16</v>
      </c>
      <c r="G37" s="21">
        <v>6.7</v>
      </c>
      <c r="K37" s="21">
        <v>16</v>
      </c>
      <c r="L37" s="21">
        <v>5.2</v>
      </c>
      <c r="P37" s="21">
        <v>20.100000000000001</v>
      </c>
      <c r="Q37" s="21">
        <v>6.7</v>
      </c>
      <c r="U37" s="21">
        <v>20.100000000000001</v>
      </c>
      <c r="V37" s="21">
        <v>5.2</v>
      </c>
      <c r="Z37" s="21">
        <v>6.7</v>
      </c>
      <c r="AA37" s="21">
        <v>5.2</v>
      </c>
    </row>
    <row r="38" spans="1:27" x14ac:dyDescent="0.45">
      <c r="A38" s="21">
        <v>31.4</v>
      </c>
      <c r="B38" s="21">
        <v>46.1</v>
      </c>
      <c r="F38" s="21">
        <v>31.4</v>
      </c>
      <c r="G38" s="21">
        <v>14.4</v>
      </c>
      <c r="K38" s="21">
        <v>31.4</v>
      </c>
      <c r="L38" s="21">
        <v>8.6999999999999993</v>
      </c>
      <c r="P38" s="21">
        <v>46.1</v>
      </c>
      <c r="Q38" s="21">
        <v>14.4</v>
      </c>
      <c r="U38" s="21">
        <v>46.1</v>
      </c>
      <c r="V38" s="21">
        <v>8.6999999999999993</v>
      </c>
      <c r="Z38" s="21">
        <v>14.4</v>
      </c>
      <c r="AA38" s="21">
        <v>8.6999999999999993</v>
      </c>
    </row>
    <row r="39" spans="1:27" x14ac:dyDescent="0.45">
      <c r="A39" s="21">
        <v>42.8</v>
      </c>
      <c r="B39" s="21">
        <v>75.8</v>
      </c>
      <c r="F39" s="21">
        <v>42.8</v>
      </c>
      <c r="G39" s="21">
        <v>22.2</v>
      </c>
      <c r="K39" s="21">
        <v>42.8</v>
      </c>
      <c r="L39" s="21">
        <v>13.2</v>
      </c>
      <c r="P39" s="21">
        <v>75.8</v>
      </c>
      <c r="Q39" s="21">
        <v>22.2</v>
      </c>
      <c r="U39" s="21">
        <v>75.8</v>
      </c>
      <c r="V39" s="21">
        <v>13.2</v>
      </c>
      <c r="Z39" s="21">
        <v>22.2</v>
      </c>
      <c r="AA39" s="21">
        <v>13.2</v>
      </c>
    </row>
    <row r="40" spans="1:27" x14ac:dyDescent="0.45">
      <c r="A40" s="21">
        <v>36.200000000000003</v>
      </c>
      <c r="B40" s="21">
        <v>83.8</v>
      </c>
      <c r="F40" s="21">
        <v>36.200000000000003</v>
      </c>
      <c r="G40" s="21">
        <v>20.7</v>
      </c>
      <c r="K40" s="21">
        <v>36.200000000000003</v>
      </c>
      <c r="L40" s="21">
        <v>14.7</v>
      </c>
      <c r="P40" s="21">
        <v>83.8</v>
      </c>
      <c r="Q40" s="21">
        <v>20.7</v>
      </c>
      <c r="U40" s="21">
        <v>83.8</v>
      </c>
      <c r="V40" s="21">
        <v>14.7</v>
      </c>
      <c r="Z40" s="21">
        <v>20.7</v>
      </c>
      <c r="AA40" s="21">
        <v>14.7</v>
      </c>
    </row>
    <row r="41" spans="1:27" x14ac:dyDescent="0.45">
      <c r="A41" s="21">
        <v>20.100000000000001</v>
      </c>
      <c r="B41" s="21">
        <v>56.6</v>
      </c>
      <c r="F41" s="21">
        <v>20.100000000000001</v>
      </c>
      <c r="G41" s="21">
        <v>13.3</v>
      </c>
      <c r="K41" s="21">
        <v>20.100000000000001</v>
      </c>
      <c r="L41" s="21">
        <v>11.4</v>
      </c>
      <c r="P41" s="21">
        <v>56.6</v>
      </c>
      <c r="Q41" s="21">
        <v>13.3</v>
      </c>
      <c r="U41" s="21">
        <v>56.6</v>
      </c>
      <c r="V41" s="21">
        <v>11.4</v>
      </c>
      <c r="Z41" s="21">
        <v>13.3</v>
      </c>
      <c r="AA41" s="21">
        <v>11.4</v>
      </c>
    </row>
    <row r="42" spans="1:27" x14ac:dyDescent="0.45">
      <c r="A42" s="21">
        <v>8.9</v>
      </c>
      <c r="B42" s="21">
        <v>20.2</v>
      </c>
      <c r="F42" s="21">
        <v>8.9</v>
      </c>
      <c r="G42" s="21">
        <v>5.2</v>
      </c>
      <c r="K42" s="21">
        <v>8.9</v>
      </c>
      <c r="L42" s="21">
        <v>6</v>
      </c>
      <c r="P42" s="21">
        <v>20.2</v>
      </c>
      <c r="Q42" s="21">
        <v>5.2</v>
      </c>
      <c r="U42" s="21">
        <v>20.2</v>
      </c>
      <c r="V42" s="21">
        <v>6</v>
      </c>
      <c r="Z42" s="21">
        <v>5.2</v>
      </c>
      <c r="AA42" s="21">
        <v>6</v>
      </c>
    </row>
    <row r="43" spans="1:27" ht="14.65" thickBot="1" x14ac:dyDescent="0.5">
      <c r="A43" s="44">
        <v>4.5999999999999996</v>
      </c>
      <c r="B43" s="44">
        <v>5.9</v>
      </c>
      <c r="F43" s="44">
        <v>4.5999999999999996</v>
      </c>
      <c r="G43" s="44">
        <v>1.9</v>
      </c>
      <c r="K43" s="44">
        <v>4.5999999999999996</v>
      </c>
      <c r="L43" s="44">
        <v>3.2</v>
      </c>
      <c r="P43" s="44">
        <v>5.9</v>
      </c>
      <c r="Q43" s="44">
        <v>1.9</v>
      </c>
      <c r="U43" s="44">
        <v>5.9</v>
      </c>
      <c r="V43" s="44">
        <v>3.2</v>
      </c>
      <c r="Z43" s="44">
        <v>1.9</v>
      </c>
      <c r="AA43" s="44">
        <v>3.2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4193E-8186-403D-B04F-3F6C6A7827FA}">
  <dimension ref="A2:F10"/>
  <sheetViews>
    <sheetView workbookViewId="0">
      <selection activeCell="A10" sqref="A10:F10"/>
    </sheetView>
  </sheetViews>
  <sheetFormatPr baseColWidth="10" defaultRowHeight="14.25" x14ac:dyDescent="0.45"/>
  <cols>
    <col min="1" max="1" width="20.3984375" style="2" customWidth="1"/>
    <col min="2" max="2" width="15.33203125" style="2" customWidth="1"/>
    <col min="3" max="3" width="18.86328125" style="2" customWidth="1"/>
    <col min="4" max="4" width="16.265625" style="2" customWidth="1"/>
    <col min="5" max="5" width="20.6640625" style="2" customWidth="1"/>
    <col min="6" max="6" width="13.6640625" style="2" customWidth="1"/>
    <col min="7" max="16384" width="10.6640625" style="2"/>
  </cols>
  <sheetData>
    <row r="2" spans="1:6" ht="15.4" customHeight="1" x14ac:dyDescent="0.45">
      <c r="A2" s="22" t="s">
        <v>300</v>
      </c>
      <c r="B2" s="59" t="s">
        <v>6</v>
      </c>
      <c r="C2" s="59" t="s">
        <v>134</v>
      </c>
      <c r="D2" s="59" t="s">
        <v>135</v>
      </c>
      <c r="E2" s="60" t="s">
        <v>9</v>
      </c>
      <c r="F2" s="28" t="s">
        <v>277</v>
      </c>
    </row>
    <row r="3" spans="1:6" x14ac:dyDescent="0.45">
      <c r="A3" s="21" t="s">
        <v>121</v>
      </c>
      <c r="B3" s="61">
        <v>386.65454899999997</v>
      </c>
      <c r="C3" s="61">
        <v>5.6</v>
      </c>
      <c r="D3" s="21">
        <f>C3/(0.088*1000)</f>
        <v>6.363636363636363E-2</v>
      </c>
      <c r="E3" s="31">
        <f>D3/B3</f>
        <v>1.6458196030783964E-4</v>
      </c>
      <c r="F3" s="101">
        <f>D3/10</f>
        <v>6.363636363636363E-3</v>
      </c>
    </row>
    <row r="4" spans="1:6" ht="14.25" customHeight="1" x14ac:dyDescent="0.45">
      <c r="A4" s="21" t="s">
        <v>122</v>
      </c>
      <c r="B4" s="61">
        <v>400.68116600000002</v>
      </c>
      <c r="C4" s="61">
        <v>1</v>
      </c>
      <c r="D4" s="21">
        <f t="shared" ref="D4:D7" si="0">C4/(0.088*1000)</f>
        <v>1.1363636363636364E-2</v>
      </c>
      <c r="E4" s="31">
        <f t="shared" ref="E4:E7" si="1">D4/B4</f>
        <v>2.83607948860675E-5</v>
      </c>
      <c r="F4" s="101">
        <f t="shared" ref="F4:F7" si="2">D4/10</f>
        <v>1.1363636363636363E-3</v>
      </c>
    </row>
    <row r="5" spans="1:6" ht="14.25" customHeight="1" x14ac:dyDescent="0.45">
      <c r="A5" s="21" t="s">
        <v>123</v>
      </c>
      <c r="B5" s="61">
        <v>412.69190200000003</v>
      </c>
      <c r="C5" s="61">
        <v>1</v>
      </c>
      <c r="D5" s="21">
        <f t="shared" si="0"/>
        <v>1.1363636363636364E-2</v>
      </c>
      <c r="E5" s="31">
        <f t="shared" si="1"/>
        <v>2.7535399431308355E-5</v>
      </c>
      <c r="F5" s="101">
        <f t="shared" si="2"/>
        <v>1.1363636363636363E-3</v>
      </c>
    </row>
    <row r="6" spans="1:6" ht="14.25" customHeight="1" x14ac:dyDescent="0.45">
      <c r="A6" s="21" t="s">
        <v>124</v>
      </c>
      <c r="B6" s="61">
        <v>414.707784</v>
      </c>
      <c r="C6" s="61">
        <v>6.9</v>
      </c>
      <c r="D6" s="21">
        <f t="shared" si="0"/>
        <v>7.8409090909090914E-2</v>
      </c>
      <c r="E6" s="31">
        <f t="shared" si="1"/>
        <v>1.8907069974141336E-4</v>
      </c>
      <c r="F6" s="101">
        <f t="shared" si="2"/>
        <v>7.8409090909090911E-3</v>
      </c>
    </row>
    <row r="7" spans="1:6" ht="14.25" customHeight="1" x14ac:dyDescent="0.45">
      <c r="A7" s="21" t="s">
        <v>125</v>
      </c>
      <c r="B7" s="61">
        <v>412.69190200000003</v>
      </c>
      <c r="C7" s="61">
        <v>8.1</v>
      </c>
      <c r="D7" s="21">
        <f t="shared" si="0"/>
        <v>9.2045454545454541E-2</v>
      </c>
      <c r="E7" s="31">
        <f t="shared" si="1"/>
        <v>2.2303673539359766E-4</v>
      </c>
      <c r="F7" s="101">
        <f t="shared" si="2"/>
        <v>9.2045454545454548E-3</v>
      </c>
    </row>
    <row r="8" spans="1:6" ht="21.4" customHeight="1" x14ac:dyDescent="0.45">
      <c r="A8" s="63" t="s">
        <v>7</v>
      </c>
      <c r="C8" s="62"/>
    </row>
    <row r="9" spans="1:6" ht="60.4" customHeight="1" x14ac:dyDescent="0.45">
      <c r="A9" s="109" t="s">
        <v>256</v>
      </c>
      <c r="B9" s="109"/>
      <c r="C9" s="109"/>
      <c r="D9" s="109"/>
      <c r="E9" s="109"/>
      <c r="F9" s="109"/>
    </row>
    <row r="10" spans="1:6" ht="53.25" customHeight="1" x14ac:dyDescent="0.45">
      <c r="A10" s="109" t="s">
        <v>126</v>
      </c>
      <c r="B10" s="109"/>
      <c r="C10" s="109"/>
      <c r="D10" s="109"/>
      <c r="E10" s="109"/>
      <c r="F10" s="109"/>
    </row>
  </sheetData>
  <mergeCells count="2">
    <mergeCell ref="A9:F9"/>
    <mergeCell ref="A10:F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C66A8-19A2-4CAC-896A-8F093F7E5EFB}">
  <dimension ref="A2:L10"/>
  <sheetViews>
    <sheetView workbookViewId="0">
      <selection activeCell="A4" sqref="A4"/>
    </sheetView>
  </sheetViews>
  <sheetFormatPr baseColWidth="10" defaultRowHeight="14.25" x14ac:dyDescent="0.45"/>
  <cols>
    <col min="1" max="1" width="14.53125" style="2" customWidth="1"/>
    <col min="2" max="9" width="10.6640625" style="2"/>
    <col min="10" max="10" width="12.86328125" style="2" customWidth="1"/>
    <col min="11" max="11" width="14.19921875" style="2" customWidth="1"/>
    <col min="12" max="16384" width="10.6640625" style="2"/>
  </cols>
  <sheetData>
    <row r="2" spans="1:12" ht="19.899999999999999" customHeight="1" x14ac:dyDescent="0.45">
      <c r="A2" s="64" t="s">
        <v>136</v>
      </c>
      <c r="B2" s="111" t="s">
        <v>132</v>
      </c>
      <c r="C2" s="111"/>
      <c r="D2" s="111"/>
      <c r="E2" s="111" t="s">
        <v>133</v>
      </c>
      <c r="F2" s="111"/>
      <c r="G2" s="111"/>
    </row>
    <row r="3" spans="1:12" ht="14.25" customHeight="1" x14ac:dyDescent="0.45">
      <c r="A3" s="64" t="s">
        <v>137</v>
      </c>
      <c r="B3" s="30" t="s">
        <v>129</v>
      </c>
      <c r="C3" s="87" t="s">
        <v>130</v>
      </c>
      <c r="D3" s="87" t="s">
        <v>131</v>
      </c>
      <c r="E3" s="30" t="s">
        <v>129</v>
      </c>
      <c r="F3" s="87" t="s">
        <v>130</v>
      </c>
      <c r="G3" s="87" t="s">
        <v>131</v>
      </c>
      <c r="H3" s="67" t="s">
        <v>162</v>
      </c>
      <c r="I3" s="23" t="s">
        <v>161</v>
      </c>
      <c r="J3" s="59" t="s">
        <v>6</v>
      </c>
      <c r="K3" s="60" t="s">
        <v>9</v>
      </c>
      <c r="L3" s="28" t="s">
        <v>277</v>
      </c>
    </row>
    <row r="4" spans="1:12" x14ac:dyDescent="0.45">
      <c r="A4" s="21" t="s">
        <v>127</v>
      </c>
      <c r="B4" s="21">
        <v>1.1100000000000001</v>
      </c>
      <c r="C4" s="21">
        <v>1.71</v>
      </c>
      <c r="D4" s="21">
        <v>0.62</v>
      </c>
      <c r="E4" s="21">
        <v>1.1399999999999999</v>
      </c>
      <c r="F4" s="21">
        <v>1.74</v>
      </c>
      <c r="G4" s="21">
        <v>0.73</v>
      </c>
      <c r="H4" s="61">
        <f>AVERAGE(B4,E4)</f>
        <v>1.125</v>
      </c>
      <c r="I4" s="61">
        <f>H4/0.088</f>
        <v>12.78409090909091</v>
      </c>
      <c r="J4" s="61">
        <v>893.48900000000003</v>
      </c>
      <c r="K4" s="69">
        <f>I4/J4</f>
        <v>1.4308056292904455E-2</v>
      </c>
      <c r="L4" s="29">
        <f>I4/10</f>
        <v>1.2784090909090911</v>
      </c>
    </row>
    <row r="5" spans="1:12" x14ac:dyDescent="0.45">
      <c r="A5" s="21" t="s">
        <v>128</v>
      </c>
      <c r="B5" s="21">
        <v>0.71</v>
      </c>
      <c r="C5" s="21">
        <v>0.83</v>
      </c>
      <c r="D5" s="21">
        <v>0.28999999999999998</v>
      </c>
      <c r="E5" s="21">
        <v>0.72</v>
      </c>
      <c r="F5" s="21">
        <v>0.85</v>
      </c>
      <c r="G5" s="21">
        <v>0.28000000000000003</v>
      </c>
      <c r="H5" s="61">
        <f>AVERAGE(B5,E5)</f>
        <v>0.71499999999999997</v>
      </c>
      <c r="I5" s="61">
        <f>H5/0.088</f>
        <v>8.125</v>
      </c>
      <c r="J5" s="61">
        <v>907.47249999999997</v>
      </c>
      <c r="K5" s="69">
        <f>I5/J5</f>
        <v>8.9534393604213912E-3</v>
      </c>
      <c r="L5" s="21">
        <f>I5/10</f>
        <v>0.8125</v>
      </c>
    </row>
    <row r="6" spans="1:12" x14ac:dyDescent="0.45">
      <c r="A6" s="21" t="s">
        <v>138</v>
      </c>
      <c r="B6" s="21">
        <v>1.97</v>
      </c>
      <c r="C6" s="21">
        <v>2.66</v>
      </c>
      <c r="D6" s="21">
        <v>1.02</v>
      </c>
      <c r="E6" s="21">
        <v>1.86</v>
      </c>
      <c r="F6" s="21">
        <v>2.59</v>
      </c>
      <c r="G6" s="21">
        <v>1.01</v>
      </c>
      <c r="H6" s="21"/>
      <c r="I6" s="21"/>
      <c r="J6" s="21"/>
      <c r="K6" s="88">
        <f>SUM(K4:K5)</f>
        <v>2.3261495653325845E-2</v>
      </c>
      <c r="L6" s="29">
        <f>SUM(L4:L5)</f>
        <v>2.0909090909090908</v>
      </c>
    </row>
    <row r="7" spans="1:12" ht="19.149999999999999" customHeight="1" x14ac:dyDescent="0.45">
      <c r="A7" s="3" t="s">
        <v>7</v>
      </c>
    </row>
    <row r="8" spans="1:12" ht="50.65" customHeight="1" x14ac:dyDescent="0.45">
      <c r="A8" s="130" t="s">
        <v>304</v>
      </c>
      <c r="B8" s="130"/>
      <c r="C8" s="130"/>
      <c r="D8" s="130"/>
      <c r="E8" s="130"/>
      <c r="F8" s="130"/>
      <c r="G8" s="130"/>
      <c r="H8" s="130"/>
      <c r="I8" s="130"/>
      <c r="J8" s="130"/>
      <c r="K8" s="130"/>
      <c r="L8" s="130"/>
    </row>
    <row r="9" spans="1:12" ht="51.75" customHeight="1" x14ac:dyDescent="0.45">
      <c r="A9" s="109" t="s">
        <v>163</v>
      </c>
      <c r="B9" s="109"/>
      <c r="C9" s="109"/>
      <c r="D9" s="109"/>
      <c r="E9" s="109"/>
      <c r="F9" s="109"/>
      <c r="G9" s="109"/>
      <c r="H9" s="109"/>
      <c r="I9" s="109"/>
      <c r="J9" s="109"/>
      <c r="K9" s="109"/>
      <c r="L9" s="109"/>
    </row>
    <row r="10" spans="1:12" ht="38.65" customHeight="1" x14ac:dyDescent="0.45">
      <c r="A10" s="109" t="s">
        <v>160</v>
      </c>
      <c r="B10" s="109"/>
      <c r="C10" s="109"/>
      <c r="D10" s="109"/>
      <c r="E10" s="109"/>
      <c r="F10" s="109"/>
      <c r="G10" s="109"/>
      <c r="H10" s="109"/>
      <c r="I10" s="109"/>
      <c r="J10" s="109"/>
      <c r="K10" s="109"/>
      <c r="L10" s="109"/>
    </row>
  </sheetData>
  <mergeCells count="5">
    <mergeCell ref="B2:D2"/>
    <mergeCell ref="E2:G2"/>
    <mergeCell ref="A8:L8"/>
    <mergeCell ref="A9:L9"/>
    <mergeCell ref="A10:L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A8198-B3E3-4463-B34C-54E8DB0F0CA2}">
  <dimension ref="A2:I15"/>
  <sheetViews>
    <sheetView workbookViewId="0">
      <selection activeCell="A13" sqref="A13"/>
    </sheetView>
  </sheetViews>
  <sheetFormatPr baseColWidth="10" defaultRowHeight="14.25" x14ac:dyDescent="0.45"/>
  <cols>
    <col min="1" max="1" width="14.6640625" style="2" customWidth="1"/>
    <col min="2" max="3" width="11.796875" style="2" customWidth="1"/>
    <col min="4" max="7" width="10.6640625" style="2"/>
    <col min="8" max="8" width="24.73046875" style="2" customWidth="1"/>
    <col min="9" max="16384" width="10.6640625" style="2"/>
  </cols>
  <sheetData>
    <row r="2" spans="1:9" ht="15.75" x14ac:dyDescent="0.45">
      <c r="A2" s="4" t="s">
        <v>3</v>
      </c>
      <c r="B2" s="4" t="s">
        <v>61</v>
      </c>
      <c r="C2" s="4" t="s">
        <v>62</v>
      </c>
      <c r="D2" s="4" t="s">
        <v>59</v>
      </c>
      <c r="E2" s="4" t="s">
        <v>63</v>
      </c>
      <c r="H2" s="14" t="s">
        <v>60</v>
      </c>
    </row>
    <row r="3" spans="1:9" x14ac:dyDescent="0.45">
      <c r="A3" s="16" t="s">
        <v>50</v>
      </c>
      <c r="B3" s="7">
        <v>5.4</v>
      </c>
      <c r="C3" s="7">
        <f>B3/0.1</f>
        <v>54</v>
      </c>
      <c r="D3" s="18">
        <f>C3/H3</f>
        <v>324.49550138302283</v>
      </c>
      <c r="E3" s="17">
        <f>D3/10000</f>
        <v>3.244955013830228E-2</v>
      </c>
      <c r="H3" s="15">
        <v>0.16641216833468622</v>
      </c>
    </row>
    <row r="5" spans="1:9" x14ac:dyDescent="0.45">
      <c r="A5" s="2" t="s">
        <v>88</v>
      </c>
    </row>
    <row r="6" spans="1:9" x14ac:dyDescent="0.45">
      <c r="A6" s="21" t="s">
        <v>51</v>
      </c>
      <c r="B6" s="21">
        <v>38.96</v>
      </c>
    </row>
    <row r="7" spans="1:9" x14ac:dyDescent="0.45">
      <c r="A7" s="21" t="s">
        <v>52</v>
      </c>
      <c r="B7" s="21">
        <v>5.91</v>
      </c>
    </row>
    <row r="8" spans="1:9" x14ac:dyDescent="0.45">
      <c r="A8" s="21" t="s">
        <v>53</v>
      </c>
      <c r="B8" s="21">
        <v>19.63</v>
      </c>
    </row>
    <row r="9" spans="1:9" x14ac:dyDescent="0.45">
      <c r="A9" s="21" t="s">
        <v>54</v>
      </c>
      <c r="B9" s="21">
        <v>14.24</v>
      </c>
    </row>
    <row r="10" spans="1:9" x14ac:dyDescent="0.45">
      <c r="A10" s="21" t="s">
        <v>55</v>
      </c>
      <c r="B10" s="21">
        <v>8.5500000000000007</v>
      </c>
    </row>
    <row r="11" spans="1:9" x14ac:dyDescent="0.45">
      <c r="A11" s="21" t="s">
        <v>56</v>
      </c>
      <c r="B11" s="21">
        <v>10.23</v>
      </c>
    </row>
    <row r="12" spans="1:9" x14ac:dyDescent="0.45">
      <c r="A12" s="21" t="s">
        <v>57</v>
      </c>
      <c r="B12" s="21">
        <v>2.15</v>
      </c>
    </row>
    <row r="13" spans="1:9" ht="22.5" customHeight="1" x14ac:dyDescent="0.45">
      <c r="A13" s="3" t="s">
        <v>7</v>
      </c>
    </row>
    <row r="14" spans="1:9" ht="67.150000000000006" customHeight="1" x14ac:dyDescent="0.45">
      <c r="A14" s="109" t="s">
        <v>58</v>
      </c>
      <c r="B14" s="109"/>
      <c r="C14" s="109"/>
      <c r="D14" s="109"/>
      <c r="E14" s="109"/>
      <c r="F14" s="109"/>
      <c r="G14" s="109"/>
      <c r="H14" s="109"/>
      <c r="I14" s="19"/>
    </row>
    <row r="15" spans="1:9" ht="61.5" customHeight="1" x14ac:dyDescent="0.45">
      <c r="A15" s="113" t="s">
        <v>305</v>
      </c>
      <c r="B15" s="113"/>
      <c r="C15" s="113"/>
      <c r="D15" s="113"/>
      <c r="E15" s="113"/>
      <c r="F15" s="113"/>
      <c r="G15" s="113"/>
      <c r="H15" s="113"/>
      <c r="I15" s="20"/>
    </row>
  </sheetData>
  <mergeCells count="2">
    <mergeCell ref="A14:H14"/>
    <mergeCell ref="A15:H1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Acyl_chains</vt:lpstr>
      <vt:lpstr>Lipid_classes</vt:lpstr>
      <vt:lpstr>ST1-Total_FAs_I</vt:lpstr>
      <vt:lpstr>ST2-Total_FAs_II</vt:lpstr>
      <vt:lpstr>ST3-Wax_monomers</vt:lpstr>
      <vt:lpstr>ST4-Correlation_Stu_varieties</vt:lpstr>
      <vt:lpstr>ST5-Sterols</vt:lpstr>
      <vt:lpstr>ST6-Chlorophyll</vt:lpstr>
      <vt:lpstr>ST7_Total_waxes</vt:lpstr>
      <vt:lpstr>ST8_Wax_esters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marcela correa córdoba</dc:creator>
  <cp:lastModifiedBy>sandra marcela correa córdoba</cp:lastModifiedBy>
  <dcterms:created xsi:type="dcterms:W3CDTF">2023-07-27T12:38:54Z</dcterms:created>
  <dcterms:modified xsi:type="dcterms:W3CDTF">2023-09-10T10:57:52Z</dcterms:modified>
</cp:coreProperties>
</file>