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book\游戏数学建模：统一在微分方程之下\"/>
    </mc:Choice>
  </mc:AlternateContent>
  <xr:revisionPtr revIDLastSave="0" documentId="13_ncr:1_{5756CF29-E744-46EB-932F-EAA3984E9888}" xr6:coauthVersionLast="47" xr6:coauthVersionMax="47" xr10:uidLastSave="{00000000-0000-0000-0000-000000000000}"/>
  <bookViews>
    <workbookView xWindow="-120" yWindow="-120" windowWidth="29040" windowHeight="16440" activeTab="1" xr2:uid="{7228852E-767A-4E00-BFBA-168C25E3D3B6}"/>
  </bookViews>
  <sheets>
    <sheet name="公式说明" sheetId="2" r:id="rId1"/>
    <sheet name="基本设定" sheetId="3" r:id="rId2"/>
    <sheet name="军队" sheetId="4" r:id="rId3"/>
    <sheet name="法术" sheetId="5" r:id="rId4"/>
    <sheet name="建筑" sheetId="6" r:id="rId5"/>
    <sheet name="国王与公主" sheetId="7" r:id="rId6"/>
    <sheet name="Sheet2 (4)" sheetId="8" r:id="rId7"/>
    <sheet name="Sheet3 (4)" sheetId="9" r:id="rId8"/>
  </sheets>
  <calcPr calcId="191029" calcMode="manual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7" i="3"/>
  <c r="C18" i="3"/>
  <c r="C19" i="3"/>
  <c r="C20" i="3"/>
  <c r="C21" i="3"/>
  <c r="C22" i="3"/>
  <c r="C23" i="3"/>
  <c r="C15" i="3"/>
  <c r="Q7" i="5"/>
  <c r="B1" i="3"/>
  <c r="Q5" i="7" l="1"/>
  <c r="Q4" i="7"/>
  <c r="X7" i="6"/>
  <c r="S7" i="6"/>
  <c r="S6" i="6"/>
  <c r="S5" i="6"/>
  <c r="S4" i="6"/>
  <c r="P7" i="5"/>
  <c r="P6" i="5"/>
  <c r="P5" i="5"/>
  <c r="P4" i="5"/>
  <c r="R7" i="4"/>
  <c r="R8" i="4"/>
  <c r="R9" i="4"/>
  <c r="R10" i="4"/>
  <c r="D15" i="3" l="1"/>
  <c r="D16" i="3"/>
  <c r="D17" i="3"/>
  <c r="D18" i="3"/>
  <c r="D19" i="3"/>
  <c r="D20" i="3"/>
  <c r="D21" i="3"/>
  <c r="D22" i="3"/>
  <c r="D23" i="3"/>
  <c r="D14" i="3"/>
  <c r="K9" i="3"/>
  <c r="M5" i="5" l="1"/>
  <c r="P5" i="4"/>
  <c r="P22" i="3"/>
  <c r="C14" i="3"/>
  <c r="B15" i="3"/>
  <c r="H23" i="3"/>
  <c r="J23" i="3" s="1"/>
  <c r="K23" i="3" s="1"/>
  <c r="B17" i="3" l="1"/>
  <c r="B22" i="3"/>
  <c r="J24" i="3"/>
  <c r="K24" i="3" s="1"/>
  <c r="B16" i="3"/>
  <c r="B23" i="3"/>
  <c r="B21" i="3"/>
  <c r="B20" i="3"/>
  <c r="B19" i="3"/>
  <c r="B18" i="3"/>
  <c r="J22" i="3"/>
  <c r="K22" i="3" s="1"/>
  <c r="M22" i="3" s="1"/>
  <c r="R5" i="4" l="1"/>
  <c r="R6" i="4"/>
  <c r="R4" i="4"/>
  <c r="L22" i="3"/>
  <c r="K13" i="3" l="1"/>
  <c r="K8" i="3" l="1"/>
  <c r="P4" i="4" s="1"/>
  <c r="K17" i="3"/>
  <c r="K16" i="3"/>
  <c r="K15" i="3"/>
  <c r="K14" i="3"/>
  <c r="K12" i="3"/>
  <c r="K11" i="3"/>
  <c r="K10" i="3"/>
  <c r="P6" i="6" l="1"/>
  <c r="P5" i="6"/>
  <c r="M6" i="5"/>
  <c r="P8" i="4"/>
  <c r="P9" i="4"/>
  <c r="O5" i="7"/>
  <c r="O4" i="7"/>
  <c r="N4" i="7"/>
  <c r="P4" i="7" s="1"/>
  <c r="N5" i="7"/>
  <c r="P5" i="7" s="1"/>
  <c r="P4" i="6"/>
  <c r="M7" i="5"/>
  <c r="P7" i="4"/>
  <c r="M4" i="5"/>
  <c r="O4" i="5" s="1"/>
  <c r="R4" i="5" s="1"/>
  <c r="P6" i="4"/>
  <c r="P10" i="4"/>
  <c r="P7" i="6"/>
  <c r="H10" i="3"/>
  <c r="I10" i="3" s="1"/>
  <c r="H16" i="3"/>
  <c r="I16" i="3" s="1"/>
  <c r="H12" i="3"/>
  <c r="I12" i="3" s="1"/>
  <c r="H14" i="3"/>
  <c r="I14" i="3" s="1"/>
  <c r="H9" i="3"/>
  <c r="I9" i="3" s="1"/>
  <c r="H11" i="3"/>
  <c r="I11" i="3" s="1"/>
  <c r="H15" i="3"/>
  <c r="I15" i="3" s="1"/>
  <c r="H17" i="3"/>
  <c r="I17" i="3" s="1"/>
  <c r="H13" i="3"/>
  <c r="I13" i="3" s="1"/>
  <c r="O6" i="4"/>
  <c r="O7" i="4"/>
  <c r="O4" i="6"/>
  <c r="R4" i="6" s="1"/>
  <c r="O5" i="4"/>
  <c r="O5" i="5"/>
  <c r="R5" i="5" s="1"/>
  <c r="O5" i="6"/>
  <c r="R5" i="6" s="1"/>
  <c r="O4" i="4"/>
  <c r="L8" i="3"/>
  <c r="L9" i="3"/>
  <c r="L10" i="3"/>
  <c r="L14" i="3"/>
  <c r="L15" i="3"/>
  <c r="L11" i="3"/>
  <c r="L13" i="3"/>
  <c r="L16" i="3"/>
  <c r="L12" i="3"/>
  <c r="L17" i="3"/>
  <c r="Q7" i="4" l="1"/>
  <c r="Q6" i="4"/>
  <c r="Q5" i="4"/>
  <c r="Q4" i="4"/>
  <c r="O7" i="6"/>
  <c r="R7" i="6" s="1"/>
  <c r="O6" i="5"/>
  <c r="R6" i="5" s="1"/>
  <c r="O6" i="6"/>
  <c r="R6" i="6" s="1"/>
  <c r="O10" i="4"/>
  <c r="O8" i="4"/>
  <c r="O9" i="4"/>
  <c r="J10" i="3"/>
  <c r="J11" i="3"/>
  <c r="J12" i="3"/>
  <c r="J9" i="3"/>
  <c r="J13" i="3"/>
  <c r="J17" i="3"/>
  <c r="J14" i="3"/>
  <c r="J16" i="3"/>
  <c r="J15" i="3"/>
  <c r="Q9" i="4" l="1"/>
  <c r="Q8" i="4"/>
  <c r="Q10" i="4"/>
  <c r="O7" i="5"/>
  <c r="R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abrax</author>
  </authors>
  <commentList>
    <comment ref="B12" authorId="0" shapeId="0" xr:uid="{D24855DE-DC3D-48A5-9111-CD7D52CE246D}">
      <text>
        <r>
          <rPr>
            <sz val="9"/>
            <color indexed="81"/>
            <rFont val="宋体"/>
            <family val="3"/>
            <charset val="134"/>
          </rPr>
          <t>X张多单位卡才能对抗1个建筑</t>
        </r>
      </text>
    </comment>
    <comment ref="P20" authorId="0" shapeId="0" xr:uid="{91C1C5A6-36A2-4F1A-8678-8FEFCDA7F338}">
      <text>
        <r>
          <rPr>
            <sz val="9"/>
            <color indexed="81"/>
            <rFont val="宋体"/>
            <family val="3"/>
            <charset val="134"/>
          </rPr>
          <t>平衡破坏意味着积分区域比被压制单位多X秒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abrax</author>
  </authors>
  <commentList>
    <comment ref="N3" authorId="0" shapeId="0" xr:uid="{BD88AA4C-C62D-4FA3-A3D9-349D7A96A75C}">
      <text>
        <r>
          <rPr>
            <sz val="9"/>
            <color indexed="81"/>
            <rFont val="宋体"/>
            <family val="3"/>
            <charset val="134"/>
          </rPr>
          <t xml:space="preserve">1】不改变实际的圣水花费，而是从圣水花费±微调，从而令完全相同品质、集群、内部职业、圣水花费等的卡牌，被制造人为的差异，差异比例 = 额外花费 / 圣水花费
2】取值范围小于Abs(±1)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abrax</author>
  </authors>
  <commentList>
    <comment ref="L3" authorId="0" shapeId="0" xr:uid="{F78A0C47-731C-4994-AF31-39EB7AA43378}">
      <text>
        <r>
          <rPr>
            <sz val="9"/>
            <color indexed="81"/>
            <rFont val="宋体"/>
            <family val="3"/>
            <charset val="134"/>
          </rPr>
          <t xml:space="preserve">1】不改变实际的圣水花费，而是从圣水花费±微调，从而令完全相同品质、集群、内部职业、圣水花费等的卡牌，被制造人为的差异，差异比例 = 额外花费 / 圣水花费
2】取值范围小于Abs(±1)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abrax</author>
  </authors>
  <commentList>
    <comment ref="N3" authorId="0" shapeId="0" xr:uid="{53975C2E-77B2-40B3-B0FF-0AA508B4A732}">
      <text>
        <r>
          <rPr>
            <sz val="9"/>
            <color indexed="81"/>
            <rFont val="宋体"/>
            <family val="3"/>
            <charset val="134"/>
          </rPr>
          <t xml:space="preserve">1】不改变实际的圣水花费，而是从圣水花费±微调，从而令完全相同品质、集群、内部职业、圣水花费等的卡牌，被制造人为的差异，差异比例 = 额外花费 / 圣水花费
2】取值范围小于Abs(±1)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abrax</author>
  </authors>
  <commentList>
    <comment ref="M3" authorId="0" shapeId="0" xr:uid="{DDD77647-8D31-4381-BEE2-7211A2BAC1FE}">
      <text>
        <r>
          <rPr>
            <sz val="9"/>
            <color indexed="81"/>
            <rFont val="宋体"/>
            <family val="3"/>
            <charset val="134"/>
          </rPr>
          <t xml:space="preserve">1】不改变实际的圣水花费，而是从圣水花费±微调，从而令完全相同品质、集群、内部职业、圣水花费等的卡牌，被制造人为的差异，差异比例 = 额外花费 / 圣水花费
2】取值范围小于Abs(±1)
</t>
        </r>
      </text>
    </comment>
  </commentList>
</comments>
</file>

<file path=xl/sharedStrings.xml><?xml version="1.0" encoding="utf-8"?>
<sst xmlns="http://schemas.openxmlformats.org/spreadsheetml/2006/main" count="243" uniqueCount="105">
  <si>
    <t>C</t>
    <phoneticPr fontId="1" type="noConversion"/>
  </si>
  <si>
    <t>公式</t>
  </si>
  <si>
    <t>解释</t>
  </si>
  <si>
    <t>属性</t>
    <phoneticPr fontId="1" type="noConversion"/>
  </si>
  <si>
    <t>对建筑杀伤</t>
    <phoneticPr fontId="1" type="noConversion"/>
  </si>
  <si>
    <t>1】一般的，最终伤害 = 每秒伤害 * 攻速
2】对建筑的，最终伤害 = 每秒伤害 * 攻速 * 对建筑杀伤
2】法术牌的，最终伤害 = 法术强度</t>
    <phoneticPr fontId="1" type="noConversion"/>
  </si>
  <si>
    <t>dD</t>
    <phoneticPr fontId="1" type="noConversion"/>
  </si>
  <si>
    <t>dH</t>
  </si>
  <si>
    <t>生命的一阶导，dH dt = -dD dt，两者互为相反数</t>
    <phoneticPr fontId="1" type="noConversion"/>
  </si>
  <si>
    <t>伤害量</t>
    <phoneticPr fontId="1" type="noConversion"/>
  </si>
  <si>
    <t>伤害</t>
    <phoneticPr fontId="1" type="noConversion"/>
  </si>
  <si>
    <t>生命</t>
  </si>
  <si>
    <t>1】累积伤害量的一阶导，俗称dps，单位取秒
2】作为属性时叫“每秒伤害”
3】建模时称“伤害微元”</t>
    <phoneticPr fontId="1" type="noConversion"/>
  </si>
  <si>
    <t>普通</t>
  </si>
  <si>
    <t>普通</t>
    <phoneticPr fontId="1" type="noConversion"/>
  </si>
  <si>
    <t>稀有</t>
  </si>
  <si>
    <t>稀有</t>
    <phoneticPr fontId="1" type="noConversion"/>
  </si>
  <si>
    <t>亡灵</t>
    <phoneticPr fontId="1" type="noConversion"/>
  </si>
  <si>
    <t>建筑</t>
  </si>
  <si>
    <t>建筑</t>
    <phoneticPr fontId="1" type="noConversion"/>
  </si>
  <si>
    <t>地面与空中</t>
  </si>
  <si>
    <t>地面与空中</t>
    <phoneticPr fontId="1" type="noConversion"/>
  </si>
  <si>
    <t>地面</t>
  </si>
  <si>
    <t>地面</t>
    <phoneticPr fontId="1" type="noConversion"/>
  </si>
  <si>
    <t>单位类型</t>
    <phoneticPr fontId="1" type="noConversion"/>
  </si>
  <si>
    <t>飞行</t>
  </si>
  <si>
    <t>飞行</t>
    <phoneticPr fontId="1" type="noConversion"/>
  </si>
  <si>
    <t>范围攻击？</t>
    <phoneticPr fontId="1" type="noConversion"/>
  </si>
  <si>
    <t>&lt;&lt;命中目标数</t>
    <phoneticPr fontId="1" type="noConversion"/>
  </si>
  <si>
    <t>范围攻击</t>
    <phoneticPr fontId="1" type="noConversion"/>
  </si>
  <si>
    <t>期望克制关系</t>
    <phoneticPr fontId="1" type="noConversion"/>
  </si>
  <si>
    <t>多单位</t>
    <phoneticPr fontId="1" type="noConversion"/>
  </si>
  <si>
    <t>&gt;</t>
    <phoneticPr fontId="1" type="noConversion"/>
  </si>
  <si>
    <t>单个单位</t>
  </si>
  <si>
    <t>单个单位</t>
    <phoneticPr fontId="1" type="noConversion"/>
  </si>
  <si>
    <t>法术</t>
    <phoneticPr fontId="1" type="noConversion"/>
  </si>
  <si>
    <t>卡牌类型</t>
    <phoneticPr fontId="1" type="noConversion"/>
  </si>
  <si>
    <t>军队</t>
  </si>
  <si>
    <t>军队</t>
    <phoneticPr fontId="1" type="noConversion"/>
  </si>
  <si>
    <t>单位集群</t>
    <phoneticPr fontId="1" type="noConversion"/>
  </si>
  <si>
    <t>哥布林投矛手</t>
    <phoneticPr fontId="1" type="noConversion"/>
  </si>
  <si>
    <t>圣水花费</t>
    <phoneticPr fontId="1" type="noConversion"/>
  </si>
  <si>
    <t>卡牌品质</t>
    <phoneticPr fontId="1" type="noConversion"/>
  </si>
  <si>
    <t>卡牌名称</t>
    <phoneticPr fontId="1" type="noConversion"/>
  </si>
  <si>
    <t>攻速</t>
    <phoneticPr fontId="1" type="noConversion"/>
  </si>
  <si>
    <t>骑士</t>
    <phoneticPr fontId="1" type="noConversion"/>
  </si>
  <si>
    <t>攻击目标</t>
    <phoneticPr fontId="1" type="noConversion"/>
  </si>
  <si>
    <t>骷髅兵</t>
    <phoneticPr fontId="1" type="noConversion"/>
  </si>
  <si>
    <t>瓦基丽武神</t>
    <phoneticPr fontId="1" type="noConversion"/>
  </si>
  <si>
    <t>内部职业</t>
    <phoneticPr fontId="1" type="noConversion"/>
  </si>
  <si>
    <t>近战输出</t>
    <phoneticPr fontId="1" type="noConversion"/>
  </si>
  <si>
    <t>远程输出</t>
    <phoneticPr fontId="1" type="noConversion"/>
  </si>
  <si>
    <t>&lt;&lt;内部职业</t>
    <phoneticPr fontId="1" type="noConversion"/>
  </si>
  <si>
    <t>近战输出</t>
  </si>
  <si>
    <t>远程输出</t>
  </si>
  <si>
    <t>α</t>
    <phoneticPr fontId="1" type="noConversion"/>
  </si>
  <si>
    <t>每秒伤害限制</t>
    <phoneticPr fontId="1" type="noConversion"/>
  </si>
  <si>
    <t>最大圣水花费</t>
    <phoneticPr fontId="1" type="noConversion"/>
  </si>
  <si>
    <t>赚费</t>
    <phoneticPr fontId="1" type="noConversion"/>
  </si>
  <si>
    <t>标准伤害微元</t>
    <phoneticPr fontId="1" type="noConversion"/>
  </si>
  <si>
    <t>&lt;&lt;赚费</t>
    <phoneticPr fontId="1" type="noConversion"/>
  </si>
  <si>
    <t>伤害偏移</t>
    <phoneticPr fontId="1" type="noConversion"/>
  </si>
  <si>
    <t>生存偏移</t>
    <phoneticPr fontId="1" type="noConversion"/>
  </si>
  <si>
    <t>肉盾</t>
  </si>
  <si>
    <t>肉盾</t>
    <phoneticPr fontId="1" type="noConversion"/>
  </si>
  <si>
    <t>巨人</t>
    <phoneticPr fontId="1" type="noConversion"/>
  </si>
  <si>
    <t>指建筑卡牌、国王塔与公主塔</t>
    <phoneticPr fontId="1" type="noConversion"/>
  </si>
  <si>
    <t>标准战斗时长</t>
  </si>
  <si>
    <t>数量级</t>
    <phoneticPr fontId="1" type="noConversion"/>
  </si>
  <si>
    <t>最小容忍秒</t>
    <phoneticPr fontId="1" type="noConversion"/>
  </si>
  <si>
    <t>最大容忍</t>
    <phoneticPr fontId="1" type="noConversion"/>
  </si>
  <si>
    <t>战斗平衡</t>
    <phoneticPr fontId="1" type="noConversion"/>
  </si>
  <si>
    <t>平衡破坏</t>
    <phoneticPr fontId="1" type="noConversion"/>
  </si>
  <si>
    <t>容忍时长</t>
    <phoneticPr fontId="1" type="noConversion"/>
  </si>
  <si>
    <t>容忍目标？</t>
    <phoneticPr fontId="1" type="noConversion"/>
  </si>
  <si>
    <t>最小秒</t>
    <phoneticPr fontId="1" type="noConversion"/>
  </si>
  <si>
    <t>最大</t>
    <phoneticPr fontId="1" type="noConversion"/>
  </si>
  <si>
    <t>近似解</t>
    <phoneticPr fontId="1" type="noConversion"/>
  </si>
  <si>
    <t>&lt;&lt;累赚</t>
    <phoneticPr fontId="1" type="noConversion"/>
  </si>
  <si>
    <t>1】为dH在时间t上的积分
2】t = 标准战斗时长</t>
    <phoneticPr fontId="1" type="noConversion"/>
  </si>
  <si>
    <t>法师</t>
    <phoneticPr fontId="1" type="noConversion"/>
  </si>
  <si>
    <t>&lt;&lt;额外花费</t>
    <phoneticPr fontId="1" type="noConversion"/>
  </si>
  <si>
    <t>每秒伤害</t>
    <phoneticPr fontId="1" type="noConversion"/>
  </si>
  <si>
    <t>生命</t>
    <phoneticPr fontId="1" type="noConversion"/>
  </si>
  <si>
    <t>伤害</t>
  </si>
  <si>
    <t>万箭齐发</t>
    <phoneticPr fontId="1" type="noConversion"/>
  </si>
  <si>
    <t>法术</t>
  </si>
  <si>
    <t>连发次数</t>
    <phoneticPr fontId="1" type="noConversion"/>
  </si>
  <si>
    <t>1】为dD在时间t、圣水W上的积分
2】t = 攻速（法术牌则等于标准战斗时长）
3】W = 该卡牌圣水花费</t>
    <phoneticPr fontId="1" type="noConversion"/>
  </si>
  <si>
    <t>针对目标</t>
    <phoneticPr fontId="1" type="noConversion"/>
  </si>
  <si>
    <t>电击法术</t>
    <phoneticPr fontId="1" type="noConversion"/>
  </si>
  <si>
    <t>火球术</t>
    <phoneticPr fontId="1" type="noConversion"/>
  </si>
  <si>
    <t>地震法术</t>
    <phoneticPr fontId="1" type="noConversion"/>
  </si>
  <si>
    <t>&lt;&lt;特殊</t>
  </si>
  <si>
    <t>加农炮</t>
    <phoneticPr fontId="1" type="noConversion"/>
  </si>
  <si>
    <t>持续时间</t>
    <phoneticPr fontId="1" type="noConversion"/>
  </si>
  <si>
    <t>特斯拉电磁塔</t>
    <phoneticPr fontId="1" type="noConversion"/>
  </si>
  <si>
    <t>炸弹塔</t>
    <phoneticPr fontId="1" type="noConversion"/>
  </si>
  <si>
    <t>地狱之塔</t>
    <phoneticPr fontId="1" type="noConversion"/>
  </si>
  <si>
    <t>特殊</t>
    <phoneticPr fontId="1" type="noConversion"/>
  </si>
  <si>
    <t>阶段增伤比例</t>
    <phoneticPr fontId="1" type="noConversion"/>
  </si>
  <si>
    <t>公主塔</t>
    <phoneticPr fontId="1" type="noConversion"/>
  </si>
  <si>
    <t>国王塔</t>
    <phoneticPr fontId="1" type="noConversion"/>
  </si>
  <si>
    <t>被目标针对</t>
    <phoneticPr fontId="1" type="noConversion"/>
  </si>
  <si>
    <t>∂D ∂W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</si>
</sst>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sz val="16"/>
      <name val="微软雅黑"/>
      <family val="2"/>
      <charset val="134"/>
    </font>
    <font>
      <b/>
      <sz val="12"/>
      <name val="微软雅黑"/>
      <family val="2"/>
      <charset val="134"/>
    </font>
    <font>
      <sz val="16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color auto="1"/>
      </font>
      <fill>
        <patternFill>
          <bgColor rgb="FFC00000"/>
        </patternFill>
      </fill>
    </dxf>
    <dxf>
      <font>
        <b/>
        <i/>
        <color rgb="FFC00000"/>
      </font>
    </dxf>
    <dxf>
      <font>
        <b val="0"/>
        <i val="0"/>
        <color auto="1"/>
      </font>
      <fill>
        <patternFill>
          <bgColor rgb="FFC00000"/>
        </patternFill>
      </fill>
    </dxf>
    <dxf>
      <font>
        <b/>
        <i/>
        <color rgb="FFC00000"/>
      </font>
    </dxf>
    <dxf>
      <font>
        <b val="0"/>
        <i val="0"/>
        <color auto="1"/>
      </font>
      <fill>
        <patternFill>
          <bgColor rgb="FFC00000"/>
        </patternFill>
      </fill>
    </dxf>
    <dxf>
      <font>
        <b/>
        <i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61624"/>
      <color rgb="FF000000"/>
      <color rgb="FF2626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912B6-7910-413F-934F-577411CF1527}" name="表1" displayName="表1" ref="A1:C7" totalsRowShown="0" headerRowDxfId="10" dataDxfId="9">
  <tableColumns count="3">
    <tableColumn id="1" xr3:uid="{233B7660-73B4-4053-8843-2F3532BB52F5}" name="属性" dataDxfId="8"/>
    <tableColumn id="2" xr3:uid="{B2A1FAEF-36D8-422B-9D34-2DC4CEEBD140}" name="公式" dataDxfId="7"/>
    <tableColumn id="3" xr3:uid="{9F4AE6C1-1E7B-4D24-A5FC-FE2E4B2E92D6}" name="解释" dataDxfId="6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带状">
  <a:themeElements>
    <a:clrScheme name="带状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带状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带状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4D48-1330-4F17-9841-4C1F9EC2ECF1}">
  <sheetPr>
    <tabColor theme="2" tint="-9.9978637043366805E-2"/>
  </sheetPr>
  <dimension ref="A1:C7"/>
  <sheetViews>
    <sheetView workbookViewId="0">
      <selection activeCell="E9" sqref="E9"/>
    </sheetView>
  </sheetViews>
  <sheetFormatPr defaultRowHeight="16.5" x14ac:dyDescent="0.35"/>
  <cols>
    <col min="1" max="1" width="16.75" style="2" bestFit="1" customWidth="1"/>
    <col min="2" max="2" width="49.625" style="2" customWidth="1"/>
    <col min="3" max="3" width="42" style="2" bestFit="1" customWidth="1"/>
    <col min="4" max="16384" width="9" style="2"/>
  </cols>
  <sheetData>
    <row r="1" spans="1:3" ht="30.75" customHeight="1" x14ac:dyDescent="0.35">
      <c r="A1" s="17" t="s">
        <v>3</v>
      </c>
      <c r="B1" s="18" t="s">
        <v>1</v>
      </c>
      <c r="C1" s="18" t="s">
        <v>2</v>
      </c>
    </row>
    <row r="2" spans="1:3" ht="49.5" x14ac:dyDescent="0.35">
      <c r="A2" s="16" t="s">
        <v>9</v>
      </c>
      <c r="B2" s="3" t="s">
        <v>5</v>
      </c>
    </row>
    <row r="3" spans="1:3" ht="18" x14ac:dyDescent="0.35">
      <c r="A3" s="16" t="s">
        <v>4</v>
      </c>
      <c r="C3" s="2" t="s">
        <v>66</v>
      </c>
    </row>
    <row r="4" spans="1:3" ht="49.5" x14ac:dyDescent="0.35">
      <c r="A4" s="16" t="s">
        <v>6</v>
      </c>
      <c r="C4" s="3" t="s">
        <v>12</v>
      </c>
    </row>
    <row r="5" spans="1:3" ht="18" x14ac:dyDescent="0.35">
      <c r="A5" s="16" t="s">
        <v>7</v>
      </c>
      <c r="C5" s="2" t="s">
        <v>8</v>
      </c>
    </row>
    <row r="6" spans="1:3" ht="49.5" x14ac:dyDescent="0.35">
      <c r="A6" s="16" t="s">
        <v>10</v>
      </c>
      <c r="B6" s="3" t="s">
        <v>88</v>
      </c>
    </row>
    <row r="7" spans="1:3" ht="33" x14ac:dyDescent="0.35">
      <c r="A7" s="16" t="s">
        <v>11</v>
      </c>
      <c r="B7" s="3" t="s">
        <v>79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2432-578B-459A-AA39-C3E69CE5770C}">
  <sheetPr>
    <tabColor theme="3" tint="0.39997558519241921"/>
  </sheetPr>
  <dimension ref="A1:Q51"/>
  <sheetViews>
    <sheetView tabSelected="1" zoomScale="115" zoomScaleNormal="115" workbookViewId="0">
      <selection activeCell="E5" sqref="E5"/>
    </sheetView>
  </sheetViews>
  <sheetFormatPr defaultRowHeight="16.5" x14ac:dyDescent="0.35"/>
  <cols>
    <col min="1" max="1" width="11.375" style="2" bestFit="1" customWidth="1"/>
    <col min="2" max="2" width="9.625" style="2" customWidth="1"/>
    <col min="3" max="3" width="11.375" style="2" bestFit="1" customWidth="1"/>
    <col min="4" max="4" width="9" style="2"/>
    <col min="5" max="5" width="11.375" style="2" bestFit="1" customWidth="1"/>
    <col min="6" max="6" width="9" style="2"/>
    <col min="7" max="7" width="11.375" style="2" bestFit="1" customWidth="1"/>
    <col min="8" max="8" width="9.5" style="2" bestFit="1" customWidth="1"/>
    <col min="9" max="9" width="9.625" style="2" bestFit="1" customWidth="1"/>
    <col min="10" max="22" width="9" style="2"/>
    <col min="23" max="24" width="12.125" style="2" bestFit="1" customWidth="1"/>
    <col min="25" max="25" width="9" style="2" customWidth="1"/>
    <col min="26" max="16384" width="9" style="2"/>
  </cols>
  <sheetData>
    <row r="1" spans="1:12" x14ac:dyDescent="0.35">
      <c r="A1" s="5" t="s">
        <v>55</v>
      </c>
      <c r="B1" s="4">
        <f>(D1-B2)/(D2*(LN(D2)-1))</f>
        <v>0.69093374769959381</v>
      </c>
      <c r="C1" s="5" t="s">
        <v>56</v>
      </c>
      <c r="D1" s="4">
        <v>10</v>
      </c>
      <c r="E1" s="5" t="s">
        <v>68</v>
      </c>
      <c r="F1" s="4">
        <v>10</v>
      </c>
      <c r="G1" s="5" t="s">
        <v>69</v>
      </c>
      <c r="H1" s="4">
        <v>2.5</v>
      </c>
    </row>
    <row r="2" spans="1:12" x14ac:dyDescent="0.35">
      <c r="A2" s="5" t="s">
        <v>0</v>
      </c>
      <c r="B2" s="4">
        <v>1</v>
      </c>
      <c r="C2" s="5" t="s">
        <v>57</v>
      </c>
      <c r="D2" s="4">
        <v>10</v>
      </c>
      <c r="E2" s="5" t="s">
        <v>67</v>
      </c>
      <c r="F2" s="4">
        <v>5</v>
      </c>
      <c r="G2" s="5" t="s">
        <v>70</v>
      </c>
      <c r="H2" s="4">
        <v>12</v>
      </c>
    </row>
    <row r="6" spans="1:12" x14ac:dyDescent="0.35">
      <c r="A6" s="6" t="s">
        <v>30</v>
      </c>
      <c r="G6" s="6" t="s">
        <v>59</v>
      </c>
    </row>
    <row r="7" spans="1:12" x14ac:dyDescent="0.35">
      <c r="A7" s="2" t="s">
        <v>31</v>
      </c>
      <c r="B7" s="2" t="s">
        <v>32</v>
      </c>
      <c r="C7" s="2" t="s">
        <v>34</v>
      </c>
      <c r="G7" s="8" t="s">
        <v>41</v>
      </c>
      <c r="H7" s="7" t="s">
        <v>104</v>
      </c>
      <c r="I7" s="7" t="s">
        <v>60</v>
      </c>
      <c r="J7" s="7" t="s">
        <v>78</v>
      </c>
      <c r="K7" s="9" t="s">
        <v>14</v>
      </c>
      <c r="L7" s="10" t="s">
        <v>16</v>
      </c>
    </row>
    <row r="8" spans="1:12" x14ac:dyDescent="0.35">
      <c r="A8" s="2" t="s">
        <v>35</v>
      </c>
      <c r="B8" s="2" t="s">
        <v>32</v>
      </c>
      <c r="C8" s="2" t="s">
        <v>31</v>
      </c>
      <c r="G8" s="2">
        <v>1</v>
      </c>
      <c r="K8" s="2">
        <f t="shared" ref="K8:K17" si="0">(G8*(LN(G8)-1))*$B$1+$B$2</f>
        <v>0.30906625230040619</v>
      </c>
      <c r="L8" s="2">
        <f t="shared" ref="L8:L17" ca="1" si="1">1/(1-OFFSET($B$26,MATCH(L$7,$A$27:$A$28,0),))
*$K8</f>
        <v>0.41208833640054154</v>
      </c>
    </row>
    <row r="9" spans="1:12" x14ac:dyDescent="0.35">
      <c r="A9" s="2" t="s">
        <v>33</v>
      </c>
      <c r="B9" s="2" t="s">
        <v>32</v>
      </c>
      <c r="C9" s="2" t="s">
        <v>19</v>
      </c>
      <c r="D9" s="2" t="s">
        <v>35</v>
      </c>
      <c r="G9" s="2">
        <v>2</v>
      </c>
      <c r="H9" s="2">
        <f>ROUND(K9/K8*K9/(K8*G9/G8),2)</f>
        <v>1.74</v>
      </c>
      <c r="I9" s="2">
        <f>ROUND((1-1/H9)*G9,2)</f>
        <v>0.85</v>
      </c>
      <c r="J9" s="2">
        <f>SUM($I$8:I9)</f>
        <v>0.85</v>
      </c>
      <c r="K9" s="2">
        <f t="shared" si="0"/>
        <v>0.5759700629441924</v>
      </c>
      <c r="L9" s="2">
        <f t="shared" ca="1" si="1"/>
        <v>0.76796008392558979</v>
      </c>
    </row>
    <row r="10" spans="1:12" x14ac:dyDescent="0.35">
      <c r="A10" s="2" t="s">
        <v>19</v>
      </c>
      <c r="B10" s="2" t="s">
        <v>32</v>
      </c>
      <c r="C10" s="2" t="s">
        <v>31</v>
      </c>
      <c r="D10" s="2" t="s">
        <v>35</v>
      </c>
      <c r="G10" s="2">
        <v>3</v>
      </c>
      <c r="H10" s="2">
        <f>ROUND(K10/K9*K10/(K9*G10/G9),2)</f>
        <v>2.92</v>
      </c>
      <c r="I10" s="2">
        <f t="shared" ref="I10:I17" si="2">ROUND((1-1/H10)*G10,2)</f>
        <v>1.97</v>
      </c>
      <c r="J10" s="2">
        <f>SUM($I$8:I10)</f>
        <v>2.82</v>
      </c>
      <c r="K10" s="2">
        <f t="shared" si="0"/>
        <v>1.2044036745360738</v>
      </c>
      <c r="L10" s="2">
        <f t="shared" ca="1" si="1"/>
        <v>1.6058715660480982</v>
      </c>
    </row>
    <row r="11" spans="1:12" x14ac:dyDescent="0.35">
      <c r="G11" s="2">
        <v>4</v>
      </c>
      <c r="H11" s="2">
        <f t="shared" ref="H11:H17" si="3">ROUND(K11/K10*K11/(K10*G11/G10),2)</f>
        <v>2.21</v>
      </c>
      <c r="I11" s="2">
        <f t="shared" si="2"/>
        <v>2.19</v>
      </c>
      <c r="J11" s="2">
        <f>SUM($I$8:I11)</f>
        <v>5.01</v>
      </c>
      <c r="K11" s="2">
        <f t="shared" si="0"/>
        <v>2.0676152425751448</v>
      </c>
      <c r="L11" s="2">
        <f t="shared" ca="1" si="1"/>
        <v>2.7568203234335265</v>
      </c>
    </row>
    <row r="12" spans="1:12" x14ac:dyDescent="0.35">
      <c r="B12" s="2">
        <v>1.25</v>
      </c>
      <c r="G12" s="2">
        <v>5</v>
      </c>
      <c r="H12" s="2">
        <f t="shared" si="3"/>
        <v>1.8</v>
      </c>
      <c r="I12" s="2">
        <f t="shared" si="2"/>
        <v>2.2200000000000002</v>
      </c>
      <c r="J12" s="2">
        <f>SUM($I$8:I12)</f>
        <v>7.23</v>
      </c>
      <c r="K12" s="2">
        <f t="shared" si="0"/>
        <v>3.1054061041415491</v>
      </c>
      <c r="L12" s="2">
        <f t="shared" ca="1" si="1"/>
        <v>4.1405414721887315</v>
      </c>
    </row>
    <row r="13" spans="1:12" x14ac:dyDescent="0.35">
      <c r="A13" s="7" t="s">
        <v>39</v>
      </c>
      <c r="B13" s="7" t="s">
        <v>4</v>
      </c>
      <c r="C13" s="7" t="s">
        <v>77</v>
      </c>
      <c r="D13" s="7"/>
      <c r="G13" s="2">
        <v>6</v>
      </c>
      <c r="H13" s="2">
        <f t="shared" si="3"/>
        <v>1.58</v>
      </c>
      <c r="I13" s="2">
        <f t="shared" si="2"/>
        <v>2.2000000000000002</v>
      </c>
      <c r="J13" s="2">
        <f>SUM($I$8:I13)</f>
        <v>9.43</v>
      </c>
      <c r="K13" s="2">
        <f t="shared" si="0"/>
        <v>4.2823200241022876</v>
      </c>
      <c r="L13" s="2">
        <f t="shared" ca="1" si="1"/>
        <v>5.7097600321363835</v>
      </c>
    </row>
    <row r="14" spans="1:12" x14ac:dyDescent="0.35">
      <c r="A14" s="2">
        <v>1</v>
      </c>
      <c r="B14" s="2">
        <v>1</v>
      </c>
      <c r="C14" s="2">
        <f>(2-B14)/A14</f>
        <v>1</v>
      </c>
      <c r="D14" s="2">
        <f>1/A14</f>
        <v>1</v>
      </c>
      <c r="G14" s="2">
        <v>7</v>
      </c>
      <c r="H14" s="2">
        <f t="shared" si="3"/>
        <v>1.45</v>
      </c>
      <c r="I14" s="2">
        <f t="shared" si="2"/>
        <v>2.17</v>
      </c>
      <c r="J14" s="2">
        <f>SUM($I$8:I14)</f>
        <v>11.6</v>
      </c>
      <c r="K14" s="2">
        <f t="shared" si="0"/>
        <v>5.5749287099170823</v>
      </c>
      <c r="L14" s="2">
        <f t="shared" ca="1" si="1"/>
        <v>7.4332382798894425</v>
      </c>
    </row>
    <row r="15" spans="1:12" x14ac:dyDescent="0.35">
      <c r="A15" s="2">
        <v>2</v>
      </c>
      <c r="B15" s="2">
        <f>ROUND(1/$B$12/P22,3)</f>
        <v>0.57099999999999995</v>
      </c>
      <c r="C15" s="2">
        <f>ROUND(_xlfn.IFS($A15&gt;2,(2-1/A15)/A15,TRUE,1/((A15+1)/2)),3)</f>
        <v>0.66700000000000004</v>
      </c>
      <c r="D15" s="2">
        <f t="shared" ref="D15:D23" si="4">1/A15</f>
        <v>0.5</v>
      </c>
      <c r="G15" s="2">
        <v>8</v>
      </c>
      <c r="H15" s="2">
        <f t="shared" si="3"/>
        <v>1.37</v>
      </c>
      <c r="I15" s="2">
        <f t="shared" si="2"/>
        <v>2.16</v>
      </c>
      <c r="J15" s="2">
        <f>SUM($I$8:I15)</f>
        <v>13.76</v>
      </c>
      <c r="K15" s="2">
        <f t="shared" si="0"/>
        <v>6.9665807185238098</v>
      </c>
      <c r="L15" s="2">
        <f t="shared" ca="1" si="1"/>
        <v>9.2887742913650797</v>
      </c>
    </row>
    <row r="16" spans="1:12" x14ac:dyDescent="0.35">
      <c r="A16" s="2">
        <v>3</v>
      </c>
      <c r="B16" s="2">
        <f>$B$15</f>
        <v>0.57099999999999995</v>
      </c>
      <c r="C16" s="2">
        <f t="shared" ref="C16:C23" si="5">ROUND(_xlfn.IFS($A16&gt;2,(2-1/A16)/A16,TRUE,1/((A16+1)/2)),3)</f>
        <v>0.55600000000000005</v>
      </c>
      <c r="D16" s="2">
        <f t="shared" si="4"/>
        <v>0.33333333333333331</v>
      </c>
      <c r="G16" s="2">
        <v>9</v>
      </c>
      <c r="H16" s="2">
        <f t="shared" si="3"/>
        <v>1.31</v>
      </c>
      <c r="I16" s="2">
        <f t="shared" si="2"/>
        <v>2.13</v>
      </c>
      <c r="J16" s="2">
        <f>SUM($I$8:I16)</f>
        <v>15.89</v>
      </c>
      <c r="K16" s="2">
        <f t="shared" si="0"/>
        <v>8.4448257765127863</v>
      </c>
      <c r="L16" s="2">
        <f t="shared" ca="1" si="1"/>
        <v>11.259767702017047</v>
      </c>
    </row>
    <row r="17" spans="1:17" x14ac:dyDescent="0.35">
      <c r="A17" s="2">
        <v>4</v>
      </c>
      <c r="B17" s="2">
        <f t="shared" ref="B17:B23" si="6">$B$15</f>
        <v>0.57099999999999995</v>
      </c>
      <c r="C17" s="2">
        <f t="shared" si="5"/>
        <v>0.438</v>
      </c>
      <c r="D17" s="2">
        <f t="shared" si="4"/>
        <v>0.25</v>
      </c>
      <c r="G17" s="2">
        <v>10</v>
      </c>
      <c r="H17" s="2">
        <f t="shared" si="3"/>
        <v>1.26</v>
      </c>
      <c r="I17" s="2">
        <f t="shared" si="2"/>
        <v>2.06</v>
      </c>
      <c r="J17" s="2">
        <f>SUM($I$8:I17)</f>
        <v>17.95</v>
      </c>
      <c r="K17" s="2">
        <f t="shared" si="0"/>
        <v>10</v>
      </c>
      <c r="L17" s="2">
        <f t="shared" ca="1" si="1"/>
        <v>13.333333333333332</v>
      </c>
    </row>
    <row r="18" spans="1:17" x14ac:dyDescent="0.35">
      <c r="A18" s="2">
        <v>5</v>
      </c>
      <c r="B18" s="2">
        <f t="shared" si="6"/>
        <v>0.57099999999999995</v>
      </c>
      <c r="C18" s="2">
        <f t="shared" si="5"/>
        <v>0.36</v>
      </c>
      <c r="D18" s="2">
        <f t="shared" si="4"/>
        <v>0.2</v>
      </c>
    </row>
    <row r="19" spans="1:17" x14ac:dyDescent="0.35">
      <c r="A19" s="2">
        <v>6</v>
      </c>
      <c r="B19" s="2">
        <f t="shared" si="6"/>
        <v>0.57099999999999995</v>
      </c>
      <c r="C19" s="2">
        <f t="shared" si="5"/>
        <v>0.30599999999999999</v>
      </c>
      <c r="D19" s="2">
        <f t="shared" si="4"/>
        <v>0.16666666666666666</v>
      </c>
    </row>
    <row r="20" spans="1:17" x14ac:dyDescent="0.35">
      <c r="A20" s="2">
        <v>7</v>
      </c>
      <c r="B20" s="2">
        <f t="shared" si="6"/>
        <v>0.57099999999999995</v>
      </c>
      <c r="C20" s="2">
        <f t="shared" si="5"/>
        <v>0.26500000000000001</v>
      </c>
      <c r="D20" s="2">
        <f t="shared" si="4"/>
        <v>0.14285714285714285</v>
      </c>
      <c r="G20" s="6" t="s">
        <v>71</v>
      </c>
      <c r="O20" s="6" t="s">
        <v>72</v>
      </c>
      <c r="P20" s="2">
        <v>2</v>
      </c>
    </row>
    <row r="21" spans="1:17" x14ac:dyDescent="0.35">
      <c r="A21" s="2">
        <v>8</v>
      </c>
      <c r="B21" s="2">
        <f t="shared" si="6"/>
        <v>0.57099999999999995</v>
      </c>
      <c r="C21" s="2">
        <f t="shared" si="5"/>
        <v>0.23400000000000001</v>
      </c>
      <c r="D21" s="2">
        <f t="shared" si="4"/>
        <v>0.125</v>
      </c>
      <c r="G21" s="7" t="s">
        <v>49</v>
      </c>
      <c r="H21" s="7" t="s">
        <v>73</v>
      </c>
      <c r="I21" s="7" t="s">
        <v>74</v>
      </c>
      <c r="J21" s="12" t="s">
        <v>61</v>
      </c>
      <c r="K21" s="11" t="s">
        <v>62</v>
      </c>
      <c r="L21" s="7" t="s">
        <v>75</v>
      </c>
      <c r="M21" s="7" t="s">
        <v>76</v>
      </c>
      <c r="N21" s="13"/>
      <c r="O21" s="7" t="s">
        <v>39</v>
      </c>
      <c r="P21" s="12" t="s">
        <v>61</v>
      </c>
      <c r="Q21" s="11" t="s">
        <v>62</v>
      </c>
    </row>
    <row r="22" spans="1:17" x14ac:dyDescent="0.35">
      <c r="A22" s="2">
        <v>9</v>
      </c>
      <c r="B22" s="2">
        <f t="shared" si="6"/>
        <v>0.57099999999999995</v>
      </c>
      <c r="C22" s="2">
        <f t="shared" si="5"/>
        <v>0.21</v>
      </c>
      <c r="D22" s="2">
        <f t="shared" si="4"/>
        <v>0.1111111111111111</v>
      </c>
      <c r="G22" s="2" t="s">
        <v>64</v>
      </c>
      <c r="H22" s="2">
        <v>8</v>
      </c>
      <c r="J22" s="2">
        <f>SUMIF($I$22:$I$24,1,$H$22:$H$24)/H22</f>
        <v>0.625</v>
      </c>
      <c r="K22" s="2">
        <f>1/J22</f>
        <v>1.6</v>
      </c>
      <c r="L22" s="2">
        <f>$H$23*MIN($K$22:$K$24)/MAX($J$22:$J$24)</f>
        <v>2.7724799999999994</v>
      </c>
      <c r="M22" s="2">
        <f>$H$23*MAX($K$22:$K$24)/MIN($J$22:$J$24)</f>
        <v>12.8</v>
      </c>
      <c r="O22" s="2">
        <v>2</v>
      </c>
      <c r="P22" s="2">
        <f>(P20+$F$2)/$F$2</f>
        <v>1.4</v>
      </c>
      <c r="Q22" s="2">
        <v>1</v>
      </c>
    </row>
    <row r="23" spans="1:17" x14ac:dyDescent="0.35">
      <c r="A23" s="2">
        <v>10</v>
      </c>
      <c r="B23" s="2">
        <f t="shared" si="6"/>
        <v>0.57099999999999995</v>
      </c>
      <c r="C23" s="2">
        <f t="shared" si="5"/>
        <v>0.19</v>
      </c>
      <c r="D23" s="2">
        <f t="shared" si="4"/>
        <v>0.1</v>
      </c>
      <c r="G23" s="2" t="s">
        <v>50</v>
      </c>
      <c r="H23" s="2">
        <f>$F$2</f>
        <v>5</v>
      </c>
      <c r="I23" s="2">
        <v>1</v>
      </c>
      <c r="J23" s="2">
        <f>SUMIF($I$22:$I$24,1,$H$22:$H$24)/H23</f>
        <v>1</v>
      </c>
      <c r="K23" s="2">
        <f t="shared" ref="K23" si="7">1/J23</f>
        <v>1</v>
      </c>
    </row>
    <row r="24" spans="1:17" x14ac:dyDescent="0.35">
      <c r="G24" s="2" t="s">
        <v>51</v>
      </c>
      <c r="H24" s="2">
        <v>3.8</v>
      </c>
      <c r="J24" s="2">
        <f>SUMIF($I$22:$I$24,1,$H$22:$H$24)/H24</f>
        <v>1.3157894736842106</v>
      </c>
      <c r="K24" s="2">
        <f>0.96/J24</f>
        <v>0.72959999999999992</v>
      </c>
    </row>
    <row r="26" spans="1:17" x14ac:dyDescent="0.35">
      <c r="A26" s="7" t="s">
        <v>42</v>
      </c>
      <c r="B26" s="7" t="s">
        <v>58</v>
      </c>
    </row>
    <row r="27" spans="1:17" x14ac:dyDescent="0.35">
      <c r="A27" s="2" t="s">
        <v>14</v>
      </c>
      <c r="B27" s="2">
        <v>0</v>
      </c>
    </row>
    <row r="28" spans="1:17" x14ac:dyDescent="0.35">
      <c r="A28" s="2" t="s">
        <v>16</v>
      </c>
      <c r="B28" s="2">
        <v>0.25</v>
      </c>
    </row>
    <row r="31" spans="1:17" x14ac:dyDescent="0.35">
      <c r="A31" s="7" t="s">
        <v>46</v>
      </c>
      <c r="B31" s="7" t="s">
        <v>4</v>
      </c>
    </row>
    <row r="32" spans="1:17" x14ac:dyDescent="0.35">
      <c r="A32" s="2" t="s">
        <v>23</v>
      </c>
      <c r="B32" s="2">
        <v>1</v>
      </c>
    </row>
    <row r="33" spans="1:3" x14ac:dyDescent="0.35">
      <c r="A33" s="2" t="s">
        <v>21</v>
      </c>
      <c r="B33" s="2">
        <v>0.9</v>
      </c>
    </row>
    <row r="34" spans="1:3" x14ac:dyDescent="0.35">
      <c r="A34" s="2" t="s">
        <v>19</v>
      </c>
      <c r="B34" s="2">
        <v>1.1499999999999999</v>
      </c>
    </row>
    <row r="37" spans="1:3" x14ac:dyDescent="0.35">
      <c r="A37" s="7" t="s">
        <v>24</v>
      </c>
      <c r="B37" s="7" t="s">
        <v>61</v>
      </c>
      <c r="C37" s="7" t="s">
        <v>62</v>
      </c>
    </row>
    <row r="38" spans="1:3" x14ac:dyDescent="0.35">
      <c r="A38" s="2" t="s">
        <v>23</v>
      </c>
      <c r="B38" s="2">
        <v>1</v>
      </c>
      <c r="C38" s="2">
        <v>1</v>
      </c>
    </row>
    <row r="39" spans="1:3" x14ac:dyDescent="0.35">
      <c r="A39" s="2" t="s">
        <v>26</v>
      </c>
      <c r="B39" s="2">
        <v>1</v>
      </c>
      <c r="C39" s="2">
        <v>0.9</v>
      </c>
    </row>
    <row r="40" spans="1:3" x14ac:dyDescent="0.35">
      <c r="A40" s="2" t="s">
        <v>19</v>
      </c>
      <c r="B40" s="2">
        <v>1</v>
      </c>
      <c r="C40" s="2">
        <v>1.1200000000000001</v>
      </c>
    </row>
    <row r="43" spans="1:3" x14ac:dyDescent="0.35">
      <c r="A43" s="7" t="s">
        <v>29</v>
      </c>
    </row>
    <row r="44" spans="1:3" x14ac:dyDescent="0.35">
      <c r="A44" s="2">
        <v>0</v>
      </c>
    </row>
    <row r="45" spans="1:3" x14ac:dyDescent="0.35">
      <c r="A45" s="2">
        <v>1</v>
      </c>
    </row>
    <row r="48" spans="1:3" x14ac:dyDescent="0.35">
      <c r="A48" s="7" t="s">
        <v>36</v>
      </c>
    </row>
    <row r="49" spans="1:1" x14ac:dyDescent="0.35">
      <c r="A49" s="2" t="s">
        <v>38</v>
      </c>
    </row>
    <row r="50" spans="1:1" x14ac:dyDescent="0.35">
      <c r="A50" s="2" t="s">
        <v>35</v>
      </c>
    </row>
    <row r="51" spans="1:1" x14ac:dyDescent="0.35">
      <c r="A51" s="2" t="s">
        <v>19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7BCD-5B27-4624-8417-E8CB36C9F909}">
  <dimension ref="C3:R10"/>
  <sheetViews>
    <sheetView workbookViewId="0">
      <selection activeCell="I13" sqref="I13"/>
    </sheetView>
  </sheetViews>
  <sheetFormatPr defaultRowHeight="16.5" x14ac:dyDescent="0.35"/>
  <cols>
    <col min="1" max="2" width="9" style="2"/>
    <col min="3" max="3" width="12.25" style="2" bestFit="1" customWidth="1"/>
    <col min="4" max="4" width="9" style="2" customWidth="1"/>
    <col min="5" max="6" width="9" style="2"/>
    <col min="7" max="7" width="10.5" style="2" bestFit="1" customWidth="1"/>
    <col min="8" max="8" width="9.625" style="2" bestFit="1" customWidth="1"/>
    <col min="9" max="9" width="8" style="2" bestFit="1" customWidth="1"/>
    <col min="10" max="10" width="9.625" style="2" bestFit="1" customWidth="1"/>
    <col min="11" max="11" width="12.375" style="2" bestFit="1" customWidth="1"/>
    <col min="12" max="12" width="9" style="2" customWidth="1"/>
    <col min="13" max="13" width="9" style="2"/>
    <col min="14" max="14" width="10.5" style="2" bestFit="1" customWidth="1"/>
    <col min="15" max="17" width="9" style="2"/>
    <col min="18" max="18" width="9.625" style="2" bestFit="1" customWidth="1"/>
    <col min="19" max="16384" width="9" style="2"/>
  </cols>
  <sheetData>
    <row r="3" spans="3:18" x14ac:dyDescent="0.35">
      <c r="C3" s="7" t="s">
        <v>43</v>
      </c>
      <c r="D3" s="15" t="s">
        <v>42</v>
      </c>
      <c r="E3" s="15" t="s">
        <v>36</v>
      </c>
      <c r="F3" s="15" t="s">
        <v>24</v>
      </c>
      <c r="G3" s="15" t="s">
        <v>52</v>
      </c>
      <c r="H3" s="15" t="s">
        <v>46</v>
      </c>
      <c r="I3" s="15" t="s">
        <v>39</v>
      </c>
      <c r="J3" s="15" t="s">
        <v>27</v>
      </c>
      <c r="K3" s="14" t="s">
        <v>28</v>
      </c>
      <c r="L3" s="12" t="s">
        <v>44</v>
      </c>
      <c r="M3" s="8" t="s">
        <v>41</v>
      </c>
      <c r="N3" s="8" t="s">
        <v>81</v>
      </c>
      <c r="O3" s="12" t="s">
        <v>82</v>
      </c>
      <c r="P3" s="11" t="s">
        <v>83</v>
      </c>
      <c r="Q3" s="7" t="s">
        <v>10</v>
      </c>
      <c r="R3" s="7" t="s">
        <v>4</v>
      </c>
    </row>
    <row r="4" spans="3:18" x14ac:dyDescent="0.35">
      <c r="C4" s="2" t="s">
        <v>47</v>
      </c>
      <c r="D4" s="2" t="s">
        <v>13</v>
      </c>
      <c r="E4" s="2" t="s">
        <v>37</v>
      </c>
      <c r="F4" s="2" t="s">
        <v>22</v>
      </c>
      <c r="G4" s="2" t="s">
        <v>53</v>
      </c>
      <c r="H4" s="2" t="s">
        <v>22</v>
      </c>
      <c r="I4" s="2">
        <v>3</v>
      </c>
      <c r="J4" s="2">
        <v>0</v>
      </c>
      <c r="L4" s="2">
        <v>1</v>
      </c>
      <c r="M4" s="2">
        <v>1</v>
      </c>
      <c r="O4" s="2">
        <f ca="1">OFFSET(基本设定!$J$7,$M4,MATCH($D4,基本设定!$K$7:$L$7,0))
*OFFSET(基本设定!$I$21,MATCH($G4,基本设定!$G$22:$G$24,0),COUNTA($O$3:O$3))
*OFFSET(基本设定!$B$13,$I4,COUNTA($O$3:O$3))
*OFFSET(基本设定!$A$37,MATCH($F4,基本设定!$A$38:$A$40,0),COUNTA($O$3:O$3))
*_xlfn.IFS($I4&gt;=基本设定!$O$22,基本设定!$P$22,TRUE,1)
/_xlfn.IFS( AND(O$3&lt;&gt;"生命",$K4&lt;&gt;""),$K4,TRUE,1)
*_xlfn.IFS(O$3="生命",基本设定!$F$2,TRUE,1)*基本设定!$F$1</f>
        <v>2.4057717079063616</v>
      </c>
      <c r="P4" s="2">
        <f ca="1">OFFSET(基本设定!$K$7,$M4,)
*OFFSET(基本设定!$I$21,MATCH($G4,基本设定!$G$22:$G$24,0),COUNTA($O$3:P$3))
*OFFSET(基本设定!$B$13,$I4,COUNTA($O$3:P$3))
*OFFSET(基本设定!$A$37,MATCH($F4,基本设定!$A$38:$A$40,0),COUNTA($O$3:P$3))
*_xlfn.IFS($I4&gt;=基本设定!$O$22,基本设定!$P$22,TRUE,1)
/_xlfn.IFS( AND(P$3&lt;&gt;"生命",$K4&lt;&gt;""),$K4,TRUE,1)
*_xlfn.IFS(P$3="生命",基本设定!$F$2,TRUE,1)*基本设定!$F$1*SUM($M4:$N4)
/_xlfn.IFS(P$3="生命",1+OFFSET(基本设定!$B$26,MATCH($D4,基本设定!$A$27:$A$28,0),),TRUE,1)</f>
        <v>7.2115458870094766</v>
      </c>
      <c r="Q4" s="2">
        <f ca="1">$O4*$L4</f>
        <v>2.4057717079063616</v>
      </c>
      <c r="R4" s="2">
        <f ca="1">ROUND( OFFSET(基本设定!$B$13,$I4,)/_xlfn.IFS($K4&lt;&gt;"",LN($K4)+1,TRUE,1)
*OFFSET(基本设定!$B$31,MATCH($H4,基本设定!$A$32:$A$34,0),),2)</f>
        <v>0.56999999999999995</v>
      </c>
    </row>
    <row r="5" spans="3:18" x14ac:dyDescent="0.35">
      <c r="C5" s="2" t="s">
        <v>40</v>
      </c>
      <c r="D5" s="2" t="s">
        <v>13</v>
      </c>
      <c r="E5" s="2" t="s">
        <v>37</v>
      </c>
      <c r="F5" s="2" t="s">
        <v>22</v>
      </c>
      <c r="G5" s="2" t="s">
        <v>54</v>
      </c>
      <c r="H5" s="2" t="s">
        <v>20</v>
      </c>
      <c r="I5" s="2">
        <v>3</v>
      </c>
      <c r="J5" s="2">
        <v>0</v>
      </c>
      <c r="L5" s="2">
        <v>1.7</v>
      </c>
      <c r="M5" s="2">
        <v>2</v>
      </c>
      <c r="O5" s="2">
        <f ca="1">OFFSET(基本设定!$J$7,$M5,MATCH($D5,基本设定!$K$7:$L$7,0))
*OFFSET(基本设定!$I$21,MATCH($G5,基本设定!$G$22:$G$24,0),COUNTA($O$3:O$3))
*OFFSET(基本设定!$B$13,$I5,COUNTA($O$3:O$3))
*OFFSET(基本设定!$A$37,MATCH($F5,基本设定!$A$38:$A$40,0),COUNTA($O$3:O$3))
*_xlfn.IFS($I5&gt;=基本设定!$O$22,基本设定!$P$22,TRUE,1)
/_xlfn.IFS( AND(O$3&lt;&gt;"生命",$K5&lt;&gt;""),$K5,TRUE,1)
*_xlfn.IFS(O$3="生命",基本设定!$F$2,TRUE,1)*基本设定!$F$1</f>
        <v>5.8991460131020981</v>
      </c>
      <c r="P5" s="2">
        <f ca="1">OFFSET(基本设定!$K$7,$M5,)
*OFFSET(基本设定!$I$21,MATCH($G5,基本设定!$G$22:$G$24,0),COUNTA($O$3:P$3))
*OFFSET(基本设定!$B$13,$I5,COUNTA($O$3:P$3))
*OFFSET(基本设定!$A$37,MATCH($F5,基本设定!$A$38:$A$40,0),COUNTA($O$3:P$3))
*_xlfn.IFS($I5&gt;=基本设定!$O$22,基本设定!$P$22,TRUE,1)
/_xlfn.IFS( AND(P$3&lt;&gt;"生命",$K5&lt;&gt;""),$K5,TRUE,1)
*_xlfn.IFS(P$3="生命",基本设定!$F$2,TRUE,1)*基本设定!$F$1*SUM($M5:$N5)
/_xlfn.IFS(P$3="生命",1+OFFSET(基本设定!$B$26,MATCH($D5,基本设定!$A$27:$A$28,0),),TRUE,1)</f>
        <v>19.610628703123858</v>
      </c>
      <c r="Q5" s="2">
        <f t="shared" ref="Q5:Q10" ca="1" si="0">$O5*$L5</f>
        <v>10.028548222273567</v>
      </c>
      <c r="R5" s="2">
        <f ca="1">ROUND( OFFSET(基本设定!$B$13,$I5,)/_xlfn.IFS($K5&lt;&gt;"",LN($K5)+1,TRUE,1)
*OFFSET(基本设定!$B$31,MATCH($H5,基本设定!$A$32:$A$34,0),),2)</f>
        <v>0.51</v>
      </c>
    </row>
    <row r="6" spans="3:18" x14ac:dyDescent="0.35">
      <c r="C6" s="2" t="s">
        <v>17</v>
      </c>
      <c r="D6" s="2" t="s">
        <v>13</v>
      </c>
      <c r="E6" s="2" t="s">
        <v>37</v>
      </c>
      <c r="F6" s="2" t="s">
        <v>25</v>
      </c>
      <c r="G6" s="2" t="s">
        <v>53</v>
      </c>
      <c r="H6" s="2" t="s">
        <v>20</v>
      </c>
      <c r="I6" s="2">
        <v>3</v>
      </c>
      <c r="J6" s="2">
        <v>0</v>
      </c>
      <c r="L6" s="2">
        <v>1</v>
      </c>
      <c r="M6" s="2">
        <v>3</v>
      </c>
      <c r="O6" s="2">
        <f ca="1">OFFSET(基本设定!$J$7,$M6,MATCH($D6,基本设定!$K$7:$L$7,0))
*OFFSET(基本设定!$I$21,MATCH($G6,基本设定!$G$22:$G$24,0),COUNTA($O$3:O$3))
*OFFSET(基本设定!$B$13,$I6,COUNTA($O$3:O$3))
*OFFSET(基本设定!$A$37,MATCH($F6,基本设定!$A$38:$A$40,0),COUNTA($O$3:O$3))
*_xlfn.IFS($I6&gt;=基本设定!$O$22,基本设定!$P$22,TRUE,1)
/_xlfn.IFS( AND(O$3&lt;&gt;"生命",$K6&lt;&gt;""),$K6,TRUE,1)
*_xlfn.IFS(O$3="生命",基本设定!$F$2,TRUE,1)*基本设定!$F$1</f>
        <v>9.3750782025887975</v>
      </c>
      <c r="P6" s="2">
        <f ca="1">OFFSET(基本设定!$K$7,$M6,)
*OFFSET(基本设定!$I$21,MATCH($G6,基本设定!$G$22:$G$24,0),COUNTA($O$3:P$3))
*OFFSET(基本设定!$B$13,$I6,COUNTA($O$3:P$3))
*OFFSET(基本设定!$A$37,MATCH($F6,基本设定!$A$38:$A$40,0),COUNTA($O$3:P$3))
*_xlfn.IFS($I6&gt;=基本设定!$O$22,基本设定!$P$22,TRUE,1)
/_xlfn.IFS( AND(P$3&lt;&gt;"生命",$K6&lt;&gt;""),$K6,TRUE,1)
*_xlfn.IFS(P$3="生命",基本设定!$F$2,TRUE,1)*基本设定!$F$1*SUM($M6:$N6)
/_xlfn.IFS(P$3="生命",1+OFFSET(基本设定!$B$26,MATCH($D6,基本设定!$A$27:$A$28,0),),TRUE,1)</f>
        <v>75.877431495772626</v>
      </c>
      <c r="Q6" s="2">
        <f t="shared" ca="1" si="0"/>
        <v>9.3750782025887975</v>
      </c>
      <c r="R6" s="2">
        <f ca="1">ROUND( OFFSET(基本设定!$B$13,$I6,)/_xlfn.IFS($K6&lt;&gt;"",LN($K6)+1,TRUE,1)
*OFFSET(基本设定!$B$31,MATCH($H6,基本设定!$A$32:$A$34,0),),2)</f>
        <v>0.51</v>
      </c>
    </row>
    <row r="7" spans="3:18" x14ac:dyDescent="0.35">
      <c r="C7" s="2" t="s">
        <v>45</v>
      </c>
      <c r="D7" s="2" t="s">
        <v>13</v>
      </c>
      <c r="E7" s="2" t="s">
        <v>37</v>
      </c>
      <c r="F7" s="2" t="s">
        <v>22</v>
      </c>
      <c r="G7" s="2" t="s">
        <v>53</v>
      </c>
      <c r="H7" s="2" t="s">
        <v>22</v>
      </c>
      <c r="I7" s="2">
        <v>1</v>
      </c>
      <c r="J7" s="2">
        <v>0</v>
      </c>
      <c r="L7" s="2">
        <v>1.2</v>
      </c>
      <c r="M7" s="2">
        <v>3</v>
      </c>
      <c r="O7" s="2">
        <f ca="1">OFFSET(基本设定!$J$7,$M7,MATCH($D7,基本设定!$K$7:$L$7,0))
*OFFSET(基本设定!$I$21,MATCH($G7,基本设定!$G$22:$G$24,0),COUNTA($O$3:O$3))
*OFFSET(基本设定!$B$13,$I7,COUNTA($O$3:O$3))
*OFFSET(基本设定!$A$37,MATCH($F7,基本设定!$A$38:$A$40,0),COUNTA($O$3:O$3))
*_xlfn.IFS($I7&gt;=基本设定!$O$22,基本设定!$P$22,TRUE,1)
/_xlfn.IFS( AND(O$3&lt;&gt;"生命",$K7&lt;&gt;""),$K7,TRUE,1)
*_xlfn.IFS(O$3="生命",基本设定!$F$2,TRUE,1)*基本设定!$F$1</f>
        <v>12.044036745360739</v>
      </c>
      <c r="P7" s="2">
        <f ca="1">OFFSET(基本设定!$K$7,$M7,)
*OFFSET(基本设定!$I$21,MATCH($G7,基本设定!$G$22:$G$24,0),COUNTA($O$3:P$3))
*OFFSET(基本设定!$B$13,$I7,COUNTA($O$3:P$3))
*OFFSET(基本设定!$A$37,MATCH($F7,基本设定!$A$38:$A$40,0),COUNTA($O$3:P$3))
*_xlfn.IFS($I7&gt;=基本设定!$O$22,基本设定!$P$22,TRUE,1)
/_xlfn.IFS( AND(P$3&lt;&gt;"生命",$K7&lt;&gt;""),$K7,TRUE,1)
*_xlfn.IFS(P$3="生命",基本设定!$F$2,TRUE,1)*基本设定!$F$1*SUM($M7:$N7)
/_xlfn.IFS(P$3="生命",1+OFFSET(基本设定!$B$26,MATCH($D7,基本设定!$A$27:$A$28,0),),TRUE,1)</f>
        <v>180.66055118041109</v>
      </c>
      <c r="Q7" s="2">
        <f t="shared" ca="1" si="0"/>
        <v>14.452844094432885</v>
      </c>
      <c r="R7" s="2">
        <f ca="1">ROUND( OFFSET(基本设定!$B$13,$I7,)/_xlfn.IFS($K7&lt;&gt;"",LN($K7)+1,TRUE,1)
*OFFSET(基本设定!$B$31,MATCH($H7,基本设定!$A$32:$A$34,0),),2)</f>
        <v>1</v>
      </c>
    </row>
    <row r="8" spans="3:18" x14ac:dyDescent="0.35">
      <c r="C8" s="2" t="s">
        <v>48</v>
      </c>
      <c r="D8" s="2" t="s">
        <v>15</v>
      </c>
      <c r="E8" s="2" t="s">
        <v>37</v>
      </c>
      <c r="F8" s="2" t="s">
        <v>22</v>
      </c>
      <c r="G8" s="2" t="s">
        <v>53</v>
      </c>
      <c r="H8" s="2" t="s">
        <v>22</v>
      </c>
      <c r="I8" s="2">
        <v>1</v>
      </c>
      <c r="J8" s="2">
        <v>1</v>
      </c>
      <c r="K8" s="2">
        <v>1.35</v>
      </c>
      <c r="L8" s="2">
        <v>1.5</v>
      </c>
      <c r="M8" s="2">
        <v>4</v>
      </c>
      <c r="O8" s="2">
        <f ca="1">OFFSET(基本设定!$J$7,$M8,MATCH($D8,基本设定!$K$7:$L$7,0))
*OFFSET(基本设定!$I$21,MATCH($G8,基本设定!$G$22:$G$24,0),COUNTA($O$3:O$3))
*OFFSET(基本设定!$B$13,$I8,COUNTA($O$3:O$3))
*OFFSET(基本设定!$A$37,MATCH($F8,基本设定!$A$38:$A$40,0),COUNTA($O$3:O$3))
*_xlfn.IFS($I8&gt;=基本设定!$O$22,基本设定!$P$22,TRUE,1)
/_xlfn.IFS( AND(O$3&lt;&gt;"生命",$K8&lt;&gt;""),$K8,TRUE,1)
*_xlfn.IFS(O$3="生命",基本设定!$F$2,TRUE,1)*基本设定!$F$1</f>
        <v>20.420891284692786</v>
      </c>
      <c r="P8" s="2">
        <f ca="1">OFFSET(基本设定!$K$7,$M8,)
*OFFSET(基本设定!$I$21,MATCH($G8,基本设定!$G$22:$G$24,0),COUNTA($O$3:P$3))
*OFFSET(基本设定!$B$13,$I8,COUNTA($O$3:P$3))
*OFFSET(基本设定!$A$37,MATCH($F8,基本设定!$A$38:$A$40,0),COUNTA($O$3:P$3))
*_xlfn.IFS($I8&gt;=基本设定!$O$22,基本设定!$P$22,TRUE,1)
/_xlfn.IFS( AND(P$3&lt;&gt;"生命",$K8&lt;&gt;""),$K8,TRUE,1)
*_xlfn.IFS(P$3="生命",基本设定!$F$2,TRUE,1)*基本设定!$F$1*SUM($M8:$N8)
/_xlfn.IFS(P$3="生命",1+OFFSET(基本设定!$B$26,MATCH($D8,基本设定!$A$27:$A$28,0),),TRUE,1)</f>
        <v>330.81843881202315</v>
      </c>
      <c r="Q8" s="2">
        <f t="shared" ca="1" si="0"/>
        <v>30.631336927039179</v>
      </c>
      <c r="R8" s="2">
        <f ca="1">ROUND( OFFSET(基本设定!$B$13,$I8,)/_xlfn.IFS($K8&lt;&gt;"",LN($K8)+1,TRUE,1)
*OFFSET(基本设定!$B$31,MATCH($H8,基本设定!$A$32:$A$34,0),),2)</f>
        <v>0.77</v>
      </c>
    </row>
    <row r="9" spans="3:18" x14ac:dyDescent="0.35">
      <c r="C9" s="2" t="s">
        <v>65</v>
      </c>
      <c r="D9" s="2" t="s">
        <v>15</v>
      </c>
      <c r="E9" s="2" t="s">
        <v>37</v>
      </c>
      <c r="F9" s="2" t="s">
        <v>22</v>
      </c>
      <c r="G9" s="2" t="s">
        <v>63</v>
      </c>
      <c r="H9" s="2" t="s">
        <v>18</v>
      </c>
      <c r="I9" s="2">
        <v>1</v>
      </c>
      <c r="J9" s="2">
        <v>0</v>
      </c>
      <c r="L9" s="2">
        <v>1.5</v>
      </c>
      <c r="M9" s="2">
        <v>4</v>
      </c>
      <c r="O9" s="2">
        <f ca="1">OFFSET(基本设定!$J$7,$M9,MATCH($D9,基本设定!$K$7:$L$7,0))
*OFFSET(基本设定!$I$21,MATCH($G9,基本设定!$G$22:$G$24,0),COUNTA($O$3:O$3))
*OFFSET(基本设定!$B$13,$I9,COUNTA($O$3:O$3))
*OFFSET(基本设定!$A$37,MATCH($F9,基本设定!$A$38:$A$40,0),COUNTA($O$3:O$3))
*_xlfn.IFS($I9&gt;=基本设定!$O$22,基本设定!$P$22,TRUE,1)
/_xlfn.IFS( AND(O$3&lt;&gt;"生命",$K9&lt;&gt;""),$K9,TRUE,1)
*_xlfn.IFS(O$3="生命",基本设定!$F$2,TRUE,1)*基本设定!$F$1</f>
        <v>17.230127021459541</v>
      </c>
      <c r="P9" s="2">
        <f ca="1">OFFSET(基本设定!$K$7,$M9,)
*OFFSET(基本设定!$I$21,MATCH($G9,基本设定!$G$22:$G$24,0),COUNTA($O$3:P$3))
*OFFSET(基本设定!$B$13,$I9,COUNTA($O$3:P$3))
*OFFSET(基本设定!$A$37,MATCH($F9,基本设定!$A$38:$A$40,0),COUNTA($O$3:P$3))
*_xlfn.IFS($I9&gt;=基本设定!$O$22,基本设定!$P$22,TRUE,1)
/_xlfn.IFS( AND(P$3&lt;&gt;"生命",$K9&lt;&gt;""),$K9,TRUE,1)
*_xlfn.IFS(P$3="生命",基本设定!$F$2,TRUE,1)*基本设定!$F$1*SUM($M9:$N9)
/_xlfn.IFS(P$3="生命",1+OFFSET(基本设定!$B$26,MATCH($D9,基本设定!$A$27:$A$28,0),),TRUE,1)</f>
        <v>529.30950209923708</v>
      </c>
      <c r="Q9" s="2">
        <f t="shared" ca="1" si="0"/>
        <v>25.845190532189314</v>
      </c>
      <c r="R9" s="2">
        <f ca="1">ROUND( OFFSET(基本设定!$B$13,$I9,)/_xlfn.IFS($K9&lt;&gt;"",LN($K9)+1,TRUE,1)
*OFFSET(基本设定!$B$31,MATCH($H9,基本设定!$A$32:$A$34,0),),2)</f>
        <v>1.1499999999999999</v>
      </c>
    </row>
    <row r="10" spans="3:18" x14ac:dyDescent="0.35">
      <c r="C10" s="2" t="s">
        <v>80</v>
      </c>
      <c r="D10" s="2" t="s">
        <v>15</v>
      </c>
      <c r="E10" s="2" t="s">
        <v>37</v>
      </c>
      <c r="F10" s="2" t="s">
        <v>22</v>
      </c>
      <c r="G10" s="2" t="s">
        <v>54</v>
      </c>
      <c r="H10" s="2" t="s">
        <v>20</v>
      </c>
      <c r="I10" s="2">
        <v>1</v>
      </c>
      <c r="J10" s="2">
        <v>1</v>
      </c>
      <c r="K10" s="2">
        <v>1.65</v>
      </c>
      <c r="L10" s="2">
        <v>1.4</v>
      </c>
      <c r="M10" s="2">
        <v>5</v>
      </c>
      <c r="O10" s="2">
        <f ca="1">OFFSET(基本设定!$J$7,$M10,MATCH($D10,基本设定!$K$7:$L$7,0))
*OFFSET(基本设定!$I$21,MATCH($G10,基本设定!$G$22:$G$24,0),COUNTA($O$3:O$3))
*OFFSET(基本设定!$B$13,$I10,COUNTA($O$3:O$3))
*OFFSET(基本设定!$A$37,MATCH($F10,基本设定!$A$38:$A$40,0),COUNTA($O$3:O$3))
*_xlfn.IFS($I10&gt;=基本设定!$O$22,基本设定!$P$22,TRUE,1)
/_xlfn.IFS( AND(O$3&lt;&gt;"生命",$K10&lt;&gt;""),$K10,TRUE,1)
*_xlfn.IFS(O$3="生命",基本设定!$F$2,TRUE,1)*基本设定!$F$1</f>
        <v>33.018672027023385</v>
      </c>
      <c r="P10" s="2">
        <f ca="1">OFFSET(基本设定!$K$7,$M10,)
*OFFSET(基本设定!$I$21,MATCH($G10,基本设定!$G$22:$G$24,0),COUNTA($O$3:P$3))
*OFFSET(基本设定!$B$13,$I10,COUNTA($O$3:P$3))
*OFFSET(基本设定!$A$37,MATCH($F10,基本设定!$A$38:$A$40,0),COUNTA($O$3:P$3))
*_xlfn.IFS($I10&gt;=基本设定!$O$22,基本设定!$P$22,TRUE,1)
/_xlfn.IFS( AND(P$3&lt;&gt;"生命",$K10&lt;&gt;""),$K10,TRUE,1)
*_xlfn.IFS(P$3="生命",基本设定!$F$2,TRUE,1)*基本设定!$F$1*SUM($M10:$N10)
/_xlfn.IFS(P$3="生命",1+OFFSET(基本设定!$B$26,MATCH($D10,基本设定!$A$27:$A$28,0),),TRUE,1)</f>
        <v>453.14085871633489</v>
      </c>
      <c r="Q10" s="2">
        <f t="shared" ca="1" si="0"/>
        <v>46.226140837832737</v>
      </c>
      <c r="R10" s="2">
        <f ca="1">ROUND( OFFSET(基本设定!$B$13,$I10,)/_xlfn.IFS($K10&lt;&gt;"",LN($K10)+1,TRUE,1)
*OFFSET(基本设定!$B$31,MATCH($H10,基本设定!$A$32:$A$34,0),),2)</f>
        <v>0.6</v>
      </c>
    </row>
  </sheetData>
  <phoneticPr fontId="1" type="noConversion"/>
  <conditionalFormatting sqref="K4:K10">
    <cfRule type="expression" dxfId="5" priority="13">
      <formula>AND($J4=0,$K4&lt;&gt;"")</formula>
    </cfRule>
    <cfRule type="expression" dxfId="4" priority="14">
      <formula>AND($J4=1,$K4="")</formula>
    </cfRule>
  </conditionalFormatting>
  <conditionalFormatting sqref="K13:K14">
    <cfRule type="expression" dxfId="3" priority="1">
      <formula>AND($J13=0,$K13&lt;&gt;"")</formula>
    </cfRule>
    <cfRule type="expression" dxfId="2" priority="2">
      <formula>AND($J13=1,$K13="")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70F8294-0955-4E99-8FE0-777BDCEBF19E}">
          <x14:formula1>
            <xm:f>基本设定!$A$14:$A$23</xm:f>
          </x14:formula1>
          <xm:sqref>I4:I10</xm:sqref>
        </x14:dataValidation>
        <x14:dataValidation type="list" allowBlank="1" showInputMessage="1" showErrorMessage="1" xr:uid="{414BF8D6-50F0-4CC2-912A-23B027906AD7}">
          <x14:formula1>
            <xm:f>基本设定!$A$27:$A$28</xm:f>
          </x14:formula1>
          <xm:sqref>D4:D10</xm:sqref>
        </x14:dataValidation>
        <x14:dataValidation type="list" allowBlank="1" showInputMessage="1" showErrorMessage="1" xr:uid="{5F8B385E-CFBC-4A3B-82D9-83BFD56C0614}">
          <x14:formula1>
            <xm:f>基本设定!$A$32:$A$34</xm:f>
          </x14:formula1>
          <xm:sqref>H4:H10</xm:sqref>
        </x14:dataValidation>
        <x14:dataValidation type="list" allowBlank="1" showInputMessage="1" showErrorMessage="1" xr:uid="{1E7D4DF0-8DFE-4E93-9D6D-4A66AF91405E}">
          <x14:formula1>
            <xm:f>基本设定!$A$38:$A$40</xm:f>
          </x14:formula1>
          <xm:sqref>F4:F10</xm:sqref>
        </x14:dataValidation>
        <x14:dataValidation type="list" allowBlank="1" showInputMessage="1" showErrorMessage="1" xr:uid="{E6E6789D-1735-47BA-A4D1-9923A99B950F}">
          <x14:formula1>
            <xm:f>基本设定!$A$44:$A$45</xm:f>
          </x14:formula1>
          <xm:sqref>J4:J10</xm:sqref>
        </x14:dataValidation>
        <x14:dataValidation type="list" allowBlank="1" showInputMessage="1" showErrorMessage="1" xr:uid="{A6FDD5C5-2E2A-477D-823B-463774701569}">
          <x14:formula1>
            <xm:f>基本设定!$A$49:$A$51</xm:f>
          </x14:formula1>
          <xm:sqref>E4:E10</xm:sqref>
        </x14:dataValidation>
        <x14:dataValidation type="list" allowBlank="1" showInputMessage="1" showErrorMessage="1" xr:uid="{3AAB4050-12BE-4ACA-8F1B-14E4C9B27051}">
          <x14:formula1>
            <xm:f>基本设定!$G$22:$G$24</xm:f>
          </x14:formula1>
          <xm:sqref>G4:G10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A16D-E5D2-4228-ADF5-48760490C799}">
  <sheetPr>
    <tabColor theme="3" tint="0.39997558519241921"/>
  </sheetPr>
  <dimension ref="C3:Y26"/>
  <sheetViews>
    <sheetView workbookViewId="0">
      <selection activeCell="F12" sqref="F12"/>
    </sheetView>
  </sheetViews>
  <sheetFormatPr defaultRowHeight="16.5" x14ac:dyDescent="0.35"/>
  <cols>
    <col min="1" max="5" width="9" style="1"/>
    <col min="6" max="6" width="9.625" style="1" bestFit="1" customWidth="1"/>
    <col min="7" max="8" width="9" style="1"/>
    <col min="9" max="9" width="12.375" style="1" bestFit="1" customWidth="1"/>
    <col min="10" max="11" width="9" style="1"/>
    <col min="12" max="12" width="10.5" style="1" bestFit="1" customWidth="1"/>
    <col min="13" max="15" width="9" style="1"/>
    <col min="16" max="16" width="9.625" style="1" bestFit="1" customWidth="1"/>
    <col min="17" max="16384" width="9" style="1"/>
  </cols>
  <sheetData>
    <row r="3" spans="3:25" x14ac:dyDescent="0.35">
      <c r="C3" s="7" t="s">
        <v>43</v>
      </c>
      <c r="D3" s="15" t="s">
        <v>42</v>
      </c>
      <c r="E3" s="15" t="s">
        <v>36</v>
      </c>
      <c r="F3" s="15" t="s">
        <v>46</v>
      </c>
      <c r="G3" s="15" t="s">
        <v>89</v>
      </c>
      <c r="H3" s="15" t="s">
        <v>27</v>
      </c>
      <c r="I3" s="14" t="s">
        <v>28</v>
      </c>
      <c r="J3" s="14" t="s">
        <v>87</v>
      </c>
      <c r="K3" s="8" t="s">
        <v>41</v>
      </c>
      <c r="L3" s="8" t="s">
        <v>81</v>
      </c>
      <c r="M3" s="12" t="s">
        <v>84</v>
      </c>
      <c r="N3" s="12"/>
      <c r="O3" s="12" t="s">
        <v>93</v>
      </c>
      <c r="P3" s="7" t="s">
        <v>4</v>
      </c>
      <c r="Q3" s="7"/>
      <c r="R3" s="7" t="s">
        <v>93</v>
      </c>
    </row>
    <row r="4" spans="3:25" x14ac:dyDescent="0.35">
      <c r="C4" s="2" t="s">
        <v>85</v>
      </c>
      <c r="D4" s="2" t="s">
        <v>13</v>
      </c>
      <c r="E4" s="2" t="s">
        <v>86</v>
      </c>
      <c r="F4" s="2" t="s">
        <v>20</v>
      </c>
      <c r="G4" s="2" t="s">
        <v>54</v>
      </c>
      <c r="H4" s="2">
        <v>1</v>
      </c>
      <c r="I4" s="2">
        <v>2</v>
      </c>
      <c r="J4" s="2">
        <v>3</v>
      </c>
      <c r="K4" s="2">
        <v>3</v>
      </c>
      <c r="L4" s="2"/>
      <c r="M4" s="2">
        <f ca="1">OFFSET(基本设定!$K$7,$K4,)
*OFFSET(基本设定!$K$21,MATCH($G4,基本设定!$G$22:$G$24,0),)
/$I4/$J4*SUM($K4:$L4)
*基本设定!$F$2*基本设定!$F$1</f>
        <v>21.968323023537984</v>
      </c>
      <c r="N4" s="2"/>
      <c r="O4" s="2" t="str">
        <f t="shared" ref="O4:O6" ca="1" si="0">_xlfn.IFS($N4="","",TRUE, $M4*_xlfn.IFS($N4&lt;&gt;"",$N4,TRUE,1))</f>
        <v/>
      </c>
      <c r="P4" s="2">
        <f ca="1">ROUND(OFFSET(基本设定!$B$31,MATCH($F4,基本设定!$A$32:$A$34,0),)
/_xlfn.IFS($I4&lt;&gt;"",LN($I4)+1,TRUE,1),2)</f>
        <v>0.53</v>
      </c>
      <c r="Q4" s="2"/>
      <c r="R4" s="2" t="str">
        <f t="shared" ref="R4:R6" ca="1" si="1">_xlfn.IFS($Q4="","",TRUE, O4*Q4)</f>
        <v/>
      </c>
      <c r="S4" s="2"/>
      <c r="T4" s="2"/>
      <c r="U4" s="2"/>
      <c r="V4" s="2"/>
      <c r="W4" s="2"/>
      <c r="X4" s="2"/>
      <c r="Y4" s="2"/>
    </row>
    <row r="5" spans="3:25" x14ac:dyDescent="0.35">
      <c r="C5" s="2" t="s">
        <v>90</v>
      </c>
      <c r="D5" s="2" t="s">
        <v>13</v>
      </c>
      <c r="E5" s="2" t="s">
        <v>86</v>
      </c>
      <c r="F5" s="2" t="s">
        <v>20</v>
      </c>
      <c r="G5" s="2" t="s">
        <v>63</v>
      </c>
      <c r="H5" s="2">
        <v>1</v>
      </c>
      <c r="I5" s="2">
        <v>1.5</v>
      </c>
      <c r="J5" s="2">
        <v>1</v>
      </c>
      <c r="K5" s="2">
        <v>2</v>
      </c>
      <c r="L5" s="2"/>
      <c r="M5" s="2">
        <f ca="1">OFFSET(基本设定!$K$7,$K5,)
*OFFSET(基本设定!$K$21,MATCH($G5,基本设定!$G$22:$G$24,0),)
/$I5/$J5*SUM($K5:$L5)
*基本设定!$F$2*基本设定!$F$1</f>
        <v>61.436806714047201</v>
      </c>
      <c r="N5" s="2"/>
      <c r="O5" s="2" t="str">
        <f t="shared" ca="1" si="0"/>
        <v/>
      </c>
      <c r="P5" s="2">
        <f ca="1">ROUND(OFFSET(基本设定!$B$31,MATCH($F5,基本设定!$A$32:$A$34,0),)
/_xlfn.IFS($I5&lt;&gt;"",LN($I5)+1,TRUE,1),2)</f>
        <v>0.64</v>
      </c>
      <c r="Q5" s="2"/>
      <c r="R5" s="2" t="str">
        <f t="shared" ca="1" si="1"/>
        <v/>
      </c>
      <c r="S5" s="2"/>
      <c r="T5" s="2"/>
      <c r="U5" s="2"/>
      <c r="V5" s="2"/>
      <c r="W5" s="2"/>
      <c r="X5" s="2"/>
      <c r="Y5" s="2"/>
    </row>
    <row r="6" spans="3:25" x14ac:dyDescent="0.35">
      <c r="C6" s="2" t="s">
        <v>91</v>
      </c>
      <c r="D6" s="2" t="s">
        <v>15</v>
      </c>
      <c r="E6" s="2" t="s">
        <v>86</v>
      </c>
      <c r="F6" s="2" t="s">
        <v>20</v>
      </c>
      <c r="G6" s="2" t="s">
        <v>53</v>
      </c>
      <c r="H6" s="2">
        <v>1</v>
      </c>
      <c r="I6" s="2">
        <v>2.5</v>
      </c>
      <c r="J6" s="2">
        <v>1</v>
      </c>
      <c r="K6" s="2">
        <v>4</v>
      </c>
      <c r="L6" s="2"/>
      <c r="M6" s="2">
        <f ca="1">OFFSET(基本设定!$K$7,$K6,)
*OFFSET(基本设定!$K$21,MATCH($G6,基本设定!$G$22:$G$24,0),)
/$I6/$J6*SUM($K6:$L6)
*基本设定!$F$2*基本设定!$F$1</f>
        <v>165.40921940601157</v>
      </c>
      <c r="N6" s="2"/>
      <c r="O6" s="2" t="str">
        <f t="shared" ca="1" si="0"/>
        <v/>
      </c>
      <c r="P6" s="2">
        <f ca="1">ROUND(OFFSET(基本设定!$B$31,MATCH($F6,基本设定!$A$32:$A$34,0),)
/_xlfn.IFS($I6&lt;&gt;"",LN($I6)+1,TRUE,1),2)</f>
        <v>0.47</v>
      </c>
      <c r="Q6" s="2"/>
      <c r="R6" s="2" t="str">
        <f t="shared" ca="1" si="1"/>
        <v/>
      </c>
      <c r="S6" s="2"/>
      <c r="T6" s="2"/>
      <c r="U6" s="2"/>
      <c r="V6" s="2"/>
      <c r="W6" s="2"/>
      <c r="X6" s="2"/>
      <c r="Y6" s="2"/>
    </row>
    <row r="7" spans="3:25" x14ac:dyDescent="0.35">
      <c r="C7" s="2" t="s">
        <v>92</v>
      </c>
      <c r="D7" s="2" t="s">
        <v>15</v>
      </c>
      <c r="E7" s="2" t="s">
        <v>86</v>
      </c>
      <c r="F7" s="2" t="s">
        <v>18</v>
      </c>
      <c r="G7" s="2" t="s">
        <v>53</v>
      </c>
      <c r="H7" s="2">
        <v>1</v>
      </c>
      <c r="I7" s="2">
        <v>1.5</v>
      </c>
      <c r="J7" s="2">
        <v>3</v>
      </c>
      <c r="K7" s="2">
        <v>3</v>
      </c>
      <c r="L7" s="2"/>
      <c r="M7" s="2">
        <f ca="1">OFFSET(基本设定!$K$7,$K7,)
*OFFSET(基本设定!$K$21,MATCH($G7,基本设定!$G$22:$G$24,0),)
/$I7/$J7*SUM($K7:$L7)
*基本设定!$F$2*基本设定!$F$1</f>
        <v>40.146789151202455</v>
      </c>
      <c r="N7" s="2">
        <v>0.15</v>
      </c>
      <c r="O7" s="2">
        <f ca="1">_xlfn.IFS($N7="","",TRUE, $M7*_xlfn.IFS($N7&lt;&gt;"",$N7,TRUE,1))</f>
        <v>6.0220183726803684</v>
      </c>
      <c r="P7" s="2">
        <f ca="1">ROUND(OFFSET(基本设定!$B$31,MATCH($F7,基本设定!$A$32:$A$34,0),)
/_xlfn.IFS($I7&lt;&gt;"",LN($I7)+1,TRUE,1),2)</f>
        <v>0.82</v>
      </c>
      <c r="Q7" s="2">
        <f ca="1">1/N7*OFFSET(基本设定!$B$31,MATCH($F7,基本设定!$A$32:$A$34,0),)</f>
        <v>7.6666666666666661</v>
      </c>
      <c r="R7" s="2">
        <f ca="1">_xlfn.IFS($Q7="","",TRUE, O7*Q7)</f>
        <v>46.168807523882819</v>
      </c>
      <c r="S7" s="2"/>
      <c r="T7" s="2"/>
      <c r="U7" s="2"/>
      <c r="V7" s="2"/>
      <c r="W7" s="2"/>
      <c r="X7" s="2"/>
      <c r="Y7" s="2"/>
    </row>
    <row r="8" spans="3:25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3:25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3:25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3:25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3:25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3:25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3:25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3:25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3:25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3:25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3:25" x14ac:dyDescent="0.3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3:25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3:25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3:25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3:25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3:25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3:25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3:25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3:25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3A875210-834F-4552-93F8-83ABF0277858}">
          <x14:formula1>
            <xm:f>基本设定!$A$49:$A$51</xm:f>
          </x14:formula1>
          <xm:sqref>E4:E7</xm:sqref>
        </x14:dataValidation>
        <x14:dataValidation type="list" allowBlank="1" showInputMessage="1" showErrorMessage="1" xr:uid="{330A0387-876D-419C-9E46-B07120A1D415}">
          <x14:formula1>
            <xm:f>基本设定!$A$27:$A$28</xm:f>
          </x14:formula1>
          <xm:sqref>D4:D7</xm:sqref>
        </x14:dataValidation>
        <x14:dataValidation type="list" allowBlank="1" showInputMessage="1" showErrorMessage="1" xr:uid="{301249A1-E305-4CEB-9CA7-F42EEA318002}">
          <x14:formula1>
            <xm:f>基本设定!$A$32:$A$34</xm:f>
          </x14:formula1>
          <xm:sqref>F4:F7</xm:sqref>
        </x14:dataValidation>
        <x14:dataValidation type="list" allowBlank="1" showInputMessage="1" showErrorMessage="1" xr:uid="{F3DC47EA-C042-47EF-A939-7B1ECC551DA8}">
          <x14:formula1>
            <xm:f>基本设定!$A$44:$A$45</xm:f>
          </x14:formula1>
          <xm:sqref>H4:H7</xm:sqref>
        </x14:dataValidation>
        <x14:dataValidation type="list" allowBlank="1" showInputMessage="1" showErrorMessage="1" xr:uid="{1D6C2885-F037-4D17-B2CA-CBB518FFB87B}">
          <x14:formula1>
            <xm:f>基本设定!$G$22:$G$24</xm:f>
          </x14:formula1>
          <xm:sqref>G4:G7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EC6A-4C8B-45FA-A060-FFD449D73F5F}">
  <dimension ref="C1:X19"/>
  <sheetViews>
    <sheetView topLeftCell="B1" workbookViewId="0">
      <selection activeCell="I13" sqref="I13"/>
    </sheetView>
  </sheetViews>
  <sheetFormatPr defaultRowHeight="16.5" x14ac:dyDescent="0.35"/>
  <cols>
    <col min="1" max="2" width="9" style="1"/>
    <col min="3" max="3" width="11.375" style="1" bestFit="1" customWidth="1"/>
    <col min="4" max="6" width="9" style="1"/>
    <col min="7" max="7" width="10.5" style="1" bestFit="1" customWidth="1"/>
    <col min="8" max="8" width="9.625" style="1" bestFit="1" customWidth="1"/>
    <col min="9" max="10" width="9" style="1"/>
    <col min="11" max="11" width="12.375" style="1" bestFit="1" customWidth="1"/>
    <col min="12" max="13" width="9" style="1"/>
    <col min="14" max="14" width="10.5" style="1" bestFit="1" customWidth="1"/>
    <col min="15" max="19" width="9" style="1"/>
    <col min="20" max="20" width="11.375" style="1" bestFit="1" customWidth="1"/>
    <col min="21" max="16384" width="9" style="1"/>
  </cols>
  <sheetData>
    <row r="1" spans="3:24" x14ac:dyDescent="0.35">
      <c r="Q1" s="2"/>
      <c r="T1" s="2"/>
      <c r="U1" s="2"/>
      <c r="V1" s="2"/>
      <c r="W1" s="2"/>
    </row>
    <row r="2" spans="3:24" x14ac:dyDescent="0.35">
      <c r="Q2" s="2"/>
      <c r="T2" s="2"/>
      <c r="U2" s="2"/>
      <c r="V2" s="2"/>
      <c r="W2" s="2"/>
    </row>
    <row r="3" spans="3:24" x14ac:dyDescent="0.35">
      <c r="C3" s="7" t="s">
        <v>43</v>
      </c>
      <c r="D3" s="15" t="s">
        <v>42</v>
      </c>
      <c r="E3" s="15" t="s">
        <v>36</v>
      </c>
      <c r="F3" s="15" t="s">
        <v>24</v>
      </c>
      <c r="G3" s="15" t="s">
        <v>52</v>
      </c>
      <c r="H3" s="15" t="s">
        <v>46</v>
      </c>
      <c r="I3" s="15" t="s">
        <v>39</v>
      </c>
      <c r="J3" s="15" t="s">
        <v>27</v>
      </c>
      <c r="K3" s="14" t="s">
        <v>28</v>
      </c>
      <c r="L3" s="12" t="s">
        <v>44</v>
      </c>
      <c r="M3" s="8" t="s">
        <v>41</v>
      </c>
      <c r="N3" s="8" t="s">
        <v>81</v>
      </c>
      <c r="O3" s="12" t="s">
        <v>82</v>
      </c>
      <c r="P3" s="11" t="s">
        <v>83</v>
      </c>
      <c r="Q3" s="15" t="s">
        <v>95</v>
      </c>
      <c r="R3" s="7" t="s">
        <v>10</v>
      </c>
      <c r="S3" s="7" t="s">
        <v>4</v>
      </c>
      <c r="T3" s="12" t="s">
        <v>99</v>
      </c>
      <c r="U3" s="12"/>
      <c r="V3" s="12"/>
      <c r="W3" s="12"/>
      <c r="X3" s="12"/>
    </row>
    <row r="4" spans="3:24" x14ac:dyDescent="0.35">
      <c r="C4" s="2" t="s">
        <v>94</v>
      </c>
      <c r="D4" s="2" t="s">
        <v>13</v>
      </c>
      <c r="E4" s="2" t="s">
        <v>18</v>
      </c>
      <c r="F4" s="2" t="s">
        <v>18</v>
      </c>
      <c r="G4" s="2" t="s">
        <v>54</v>
      </c>
      <c r="H4" s="2" t="s">
        <v>22</v>
      </c>
      <c r="I4" s="2">
        <v>1</v>
      </c>
      <c r="J4" s="2">
        <v>0</v>
      </c>
      <c r="K4" s="2"/>
      <c r="L4" s="2">
        <v>0.9</v>
      </c>
      <c r="M4" s="2">
        <v>3</v>
      </c>
      <c r="N4" s="2"/>
      <c r="O4" s="2">
        <f ca="1">OFFSET(基本设定!$J$7,$M4,MATCH($D4,基本设定!$K$7:$L$7,0))
*OFFSET(基本设定!$I$21,MATCH($G4,基本设定!$G$22:$G$24,0),COUNTA($O$3:O$3))
*OFFSET(基本设定!$B$13,$I4,COUNTA($O$3:O$3))
*OFFSET(基本设定!$A$37,MATCH($F4,基本设定!$A$38:$A$40,0),COUNTA($O$3:O$3))
*_xlfn.IFS($I4&gt;=基本设定!$O$22,基本设定!$P$22,TRUE,1)
/_xlfn.IFS( AND(O$3&lt;&gt;"生命",$K4&lt;&gt;""),$K4,TRUE,1)
*_xlfn.IFS(O$3="生命",基本设定!$F$2,TRUE,1)*基本设定!$F$1</f>
        <v>15.847416770211497</v>
      </c>
      <c r="P4" s="2">
        <f ca="1">OFFSET(基本设定!$K$7,$M4,)
*OFFSET(基本设定!$I$21,MATCH($G4,基本设定!$G$22:$G$24,0),COUNTA($O$3:P$3))
*OFFSET(基本设定!$B$13,$I4,COUNTA($O$3:P$3))
*OFFSET(基本设定!$A$37,MATCH($F4,基本设定!$A$38:$A$40,0),COUNTA($O$3:P$3))
*_xlfn.IFS($I4&gt;=基本设定!$O$22,基本设定!$P$22,TRUE,1)
/_xlfn.IFS( AND(P$3&lt;&gt;"生命",$K4&lt;&gt;""),$K4,TRUE,1)
*_xlfn.IFS(P$3="生命",基本设定!$F$2,TRUE,1)*基本设定!$F$1*SUM($M4:$N4)
/_xlfn.IFS(P$3="生命",1+OFFSET(基本设定!$B$26,MATCH($D4,基本设定!$A$27:$A$28,0),),TRUE,1)</f>
        <v>147.62713071817527</v>
      </c>
      <c r="Q4" s="2">
        <v>30</v>
      </c>
      <c r="R4" s="2">
        <f ca="1">$O4*$L4</f>
        <v>14.262675093190348</v>
      </c>
      <c r="S4" s="2">
        <f ca="1">ROUND( OFFSET(基本设定!$B$13,$I4,)/_xlfn.IFS($K4&lt;&gt;"",LN($K4)+1,TRUE,1)
*OFFSET(基本设定!$B$31,MATCH($H4,基本设定!$A$32:$A$34,0),),2)</f>
        <v>1</v>
      </c>
      <c r="T4" s="2"/>
      <c r="U4" s="2"/>
      <c r="V4" s="2"/>
      <c r="W4" s="2"/>
      <c r="X4" s="2"/>
    </row>
    <row r="5" spans="3:24" x14ac:dyDescent="0.35">
      <c r="C5" s="2" t="s">
        <v>96</v>
      </c>
      <c r="D5" s="2" t="s">
        <v>13</v>
      </c>
      <c r="E5" s="2" t="s">
        <v>18</v>
      </c>
      <c r="F5" s="2" t="s">
        <v>18</v>
      </c>
      <c r="G5" s="2" t="s">
        <v>54</v>
      </c>
      <c r="H5" s="2" t="s">
        <v>20</v>
      </c>
      <c r="I5" s="2">
        <v>1</v>
      </c>
      <c r="J5" s="2">
        <v>0</v>
      </c>
      <c r="K5" s="2"/>
      <c r="L5" s="2">
        <v>1.2</v>
      </c>
      <c r="M5" s="2">
        <v>4</v>
      </c>
      <c r="N5" s="2"/>
      <c r="O5" s="2">
        <f ca="1">OFFSET(基本设定!$J$7,$M5,MATCH($D5,基本设定!$K$7:$L$7,0))
*OFFSET(基本设定!$I$21,MATCH($G5,基本设定!$G$22:$G$24,0),COUNTA($O$3:O$3))
*OFFSET(基本设定!$B$13,$I5,COUNTA($O$3:O$3))
*OFFSET(基本设定!$A$37,MATCH($F5,基本设定!$A$38:$A$40,0),COUNTA($O$3:O$3))
*_xlfn.IFS($I5&gt;=基本设定!$O$22,基本设定!$P$22,TRUE,1)
/_xlfn.IFS( AND(O$3&lt;&gt;"生命",$K5&lt;&gt;""),$K5,TRUE,1)
*_xlfn.IFS(O$3="生命",基本设定!$F$2,TRUE,1)*基本设定!$F$1</f>
        <v>27.205463718094013</v>
      </c>
      <c r="P5" s="2">
        <f ca="1">OFFSET(基本设定!$K$7,$M5,)
*OFFSET(基本设定!$I$21,MATCH($G5,基本设定!$G$22:$G$24,0),COUNTA($O$3:P$3))
*OFFSET(基本设定!$B$13,$I5,COUNTA($O$3:P$3))
*OFFSET(基本设定!$A$37,MATCH($F5,基本设定!$A$38:$A$40,0),COUNTA($O$3:P$3))
*_xlfn.IFS($I5&gt;=基本设定!$O$22,基本设定!$P$22,TRUE,1)
/_xlfn.IFS( AND(P$3&lt;&gt;"生命",$K5&lt;&gt;""),$K5,TRUE,1)
*_xlfn.IFS(P$3="生命",基本设定!$F$2,TRUE,1)*基本设定!$F$1*SUM($M5:$N5)
/_xlfn.IFS(P$3="生命",1+OFFSET(基本设定!$B$26,MATCH($D5,基本设定!$A$27:$A$28,0),),TRUE,1)</f>
        <v>337.91118614015295</v>
      </c>
      <c r="Q5" s="2">
        <v>30</v>
      </c>
      <c r="R5" s="2">
        <f ca="1">$O5*$L5</f>
        <v>32.646556461712812</v>
      </c>
      <c r="S5" s="2">
        <f ca="1">ROUND( OFFSET(基本设定!$B$13,$I5,)/_xlfn.IFS($K5&lt;&gt;"",LN($K5)+1,TRUE,1)
*OFFSET(基本设定!$B$31,MATCH($H5,基本设定!$A$32:$A$34,0),),2)</f>
        <v>0.9</v>
      </c>
      <c r="T5" s="2"/>
      <c r="U5" s="2"/>
      <c r="V5" s="2"/>
      <c r="W5" s="2"/>
      <c r="X5" s="2"/>
    </row>
    <row r="6" spans="3:24" x14ac:dyDescent="0.35">
      <c r="C6" s="2" t="s">
        <v>97</v>
      </c>
      <c r="D6" s="2" t="s">
        <v>15</v>
      </c>
      <c r="E6" s="2" t="s">
        <v>18</v>
      </c>
      <c r="F6" s="2" t="s">
        <v>18</v>
      </c>
      <c r="G6" s="2" t="s">
        <v>54</v>
      </c>
      <c r="H6" s="2" t="s">
        <v>22</v>
      </c>
      <c r="I6" s="2">
        <v>1</v>
      </c>
      <c r="J6" s="2">
        <v>1</v>
      </c>
      <c r="K6" s="2">
        <v>2</v>
      </c>
      <c r="L6" s="2">
        <v>1.6</v>
      </c>
      <c r="M6" s="2">
        <v>4</v>
      </c>
      <c r="N6" s="2"/>
      <c r="O6" s="2">
        <f ca="1">OFFSET(基本设定!$J$7,$M6,MATCH($D6,基本设定!$K$7:$L$7,0))
*OFFSET(基本设定!$I$21,MATCH($G6,基本设定!$G$22:$G$24,0),COUNTA($O$3:O$3))
*OFFSET(基本设定!$B$13,$I6,COUNTA($O$3:O$3))
*OFFSET(基本设定!$A$37,MATCH($F6,基本设定!$A$38:$A$40,0),COUNTA($O$3:O$3))
*_xlfn.IFS($I6&gt;=基本设定!$O$22,基本设定!$P$22,TRUE,1)
/_xlfn.IFS( AND(O$3&lt;&gt;"生命",$K6&lt;&gt;""),$K6,TRUE,1)
*_xlfn.IFS(O$3="生命",基本设定!$F$2,TRUE,1)*基本设定!$F$1</f>
        <v>18.136975812062673</v>
      </c>
      <c r="P6" s="2">
        <f ca="1">OFFSET(基本设定!$K$7,$M6,)
*OFFSET(基本设定!$I$21,MATCH($G6,基本设定!$G$22:$G$24,0),COUNTA($O$3:P$3))
*OFFSET(基本设定!$B$13,$I6,COUNTA($O$3:P$3))
*OFFSET(基本设定!$A$37,MATCH($F6,基本设定!$A$38:$A$40,0),COUNTA($O$3:P$3))
*_xlfn.IFS($I6&gt;=基本设定!$O$22,基本设定!$P$22,TRUE,1)
/_xlfn.IFS( AND(P$3&lt;&gt;"生命",$K6&lt;&gt;""),$K6,TRUE,1)
*_xlfn.IFS(P$3="生命",基本设定!$F$2,TRUE,1)*基本设定!$F$1*SUM($M6:$N6)
/_xlfn.IFS(P$3="生命",1+OFFSET(基本设定!$B$26,MATCH($D6,基本设定!$A$27:$A$28,0),),TRUE,1)</f>
        <v>270.32894891212237</v>
      </c>
      <c r="Q6" s="2">
        <v>30</v>
      </c>
      <c r="R6" s="2">
        <f ca="1">$O6*$L6</f>
        <v>29.019161299300279</v>
      </c>
      <c r="S6" s="2">
        <f ca="1">ROUND( OFFSET(基本设定!$B$13,$I6,)/_xlfn.IFS($K6&lt;&gt;"",LN($K6)+1,TRUE,1)
*OFFSET(基本设定!$B$31,MATCH($H6,基本设定!$A$32:$A$34,0),),2)</f>
        <v>0.59</v>
      </c>
      <c r="T6" s="2"/>
      <c r="U6" s="2"/>
      <c r="V6" s="2"/>
      <c r="W6" s="2"/>
      <c r="X6" s="2"/>
    </row>
    <row r="7" spans="3:24" x14ac:dyDescent="0.35">
      <c r="C7" s="2" t="s">
        <v>98</v>
      </c>
      <c r="D7" s="2" t="s">
        <v>15</v>
      </c>
      <c r="E7" s="2" t="s">
        <v>18</v>
      </c>
      <c r="F7" s="2" t="s">
        <v>18</v>
      </c>
      <c r="G7" s="2" t="s">
        <v>54</v>
      </c>
      <c r="H7" s="2" t="s">
        <v>20</v>
      </c>
      <c r="I7" s="2">
        <v>1</v>
      </c>
      <c r="J7" s="2">
        <v>0</v>
      </c>
      <c r="K7" s="2"/>
      <c r="L7" s="2">
        <v>0.4</v>
      </c>
      <c r="M7" s="2">
        <v>5</v>
      </c>
      <c r="N7" s="2"/>
      <c r="O7" s="2">
        <f ca="1">OFFSET(基本设定!$J$7,$M7,MATCH($D7,基本设定!$K$7:$L$7,0))
*OFFSET(基本设定!$I$21,MATCH($G7,基本设定!$G$22:$G$24,0),COUNTA($O$3:O$3))
*OFFSET(基本设定!$B$13,$I7,COUNTA($O$3:O$3))
*OFFSET(基本设定!$A$37,MATCH($F7,基本设定!$A$38:$A$40,0),COUNTA($O$3:O$3))
*_xlfn.IFS($I7&gt;=基本设定!$O$22,基本设定!$P$22,TRUE,1)
/_xlfn.IFS( AND(O$3&lt;&gt;"生命",$K7&lt;&gt;""),$K7,TRUE,1)
*_xlfn.IFS(O$3="生命",基本设定!$F$2,TRUE,1)*基本设定!$F$1</f>
        <v>54.480808844588573</v>
      </c>
      <c r="P7" s="2">
        <f ca="1">OFFSET(基本设定!$K$7,$M7,)
*OFFSET(基本设定!$I$21,MATCH($G7,基本设定!$G$22:$G$24,0),COUNTA($O$3:P$3))
*OFFSET(基本设定!$B$13,$I7,COUNTA($O$3:P$3))
*OFFSET(基本设定!$A$37,MATCH($F7,基本设定!$A$38:$A$40,0),COUNTA($O$3:P$3))
*_xlfn.IFS($I7&gt;=基本设定!$O$22,基本设定!$P$22,TRUE,1)
/_xlfn.IFS( AND(P$3&lt;&gt;"生命",$K7&lt;&gt;""),$K7,TRUE,1)
*_xlfn.IFS(P$3="生命",基本设定!$F$2,TRUE,1)*基本设定!$F$1*SUM($M7:$N7)
/_xlfn.IFS(P$3="生命",1+OFFSET(基本设定!$B$26,MATCH($D7,基本设定!$A$27:$A$28,0),),TRUE,1)</f>
        <v>507.51776176229498</v>
      </c>
      <c r="Q7" s="2">
        <v>30</v>
      </c>
      <c r="R7" s="2">
        <f ca="1">$O7*$L7</f>
        <v>21.792323537835429</v>
      </c>
      <c r="S7" s="2">
        <f ca="1">ROUND( OFFSET(基本设定!$B$13,$I7,)/_xlfn.IFS($K7&lt;&gt;"",LN($K7)+1,TRUE,1)
*OFFSET(基本设定!$B$31,MATCH($H7,基本设定!$A$32:$A$34,0),),2)</f>
        <v>0.9</v>
      </c>
      <c r="T7" s="2" t="s">
        <v>100</v>
      </c>
      <c r="U7" s="2">
        <v>0.9</v>
      </c>
      <c r="V7" s="2">
        <v>1.1499999999999999</v>
      </c>
      <c r="W7" s="2">
        <v>1.4</v>
      </c>
      <c r="X7" s="2">
        <f>(U7+V7+W7)/3</f>
        <v>1.1499999999999999</v>
      </c>
    </row>
    <row r="8" spans="3:24" x14ac:dyDescent="0.35">
      <c r="Q8" s="2"/>
      <c r="T8" s="2"/>
      <c r="U8" s="2"/>
      <c r="V8" s="2"/>
      <c r="W8" s="2"/>
    </row>
    <row r="9" spans="3:24" x14ac:dyDescent="0.35">
      <c r="Q9" s="2"/>
      <c r="T9" s="2"/>
      <c r="U9" s="2"/>
      <c r="V9" s="2"/>
      <c r="W9" s="2"/>
    </row>
    <row r="10" spans="3:24" x14ac:dyDescent="0.35">
      <c r="Q10" s="2"/>
      <c r="T10" s="2"/>
      <c r="U10" s="2"/>
      <c r="V10" s="2"/>
      <c r="W10" s="2"/>
    </row>
    <row r="11" spans="3:24" x14ac:dyDescent="0.35">
      <c r="Q11" s="2"/>
      <c r="T11" s="2"/>
      <c r="U11" s="2"/>
      <c r="V11" s="2"/>
      <c r="W11" s="2"/>
    </row>
    <row r="12" spans="3:24" x14ac:dyDescent="0.35">
      <c r="Q12" s="2"/>
      <c r="T12" s="2"/>
      <c r="U12" s="2"/>
      <c r="V12" s="2"/>
      <c r="W12" s="2"/>
    </row>
    <row r="13" spans="3:24" x14ac:dyDescent="0.35">
      <c r="Q13" s="2"/>
      <c r="T13" s="2"/>
      <c r="U13" s="2"/>
      <c r="V13" s="2"/>
      <c r="W13" s="2"/>
    </row>
    <row r="14" spans="3:24" x14ac:dyDescent="0.35">
      <c r="Q14" s="2"/>
      <c r="T14" s="2"/>
      <c r="U14" s="2"/>
      <c r="V14" s="2"/>
      <c r="W14" s="2"/>
    </row>
    <row r="15" spans="3:24" x14ac:dyDescent="0.35">
      <c r="Q15" s="2"/>
      <c r="T15" s="2"/>
      <c r="U15" s="2"/>
      <c r="V15" s="2"/>
      <c r="W15" s="2"/>
    </row>
    <row r="16" spans="3:24" x14ac:dyDescent="0.35">
      <c r="Q16" s="2"/>
      <c r="T16" s="2"/>
      <c r="U16" s="2"/>
      <c r="V16" s="2"/>
      <c r="W16" s="2"/>
    </row>
    <row r="17" spans="17:23" x14ac:dyDescent="0.35">
      <c r="Q17" s="2"/>
      <c r="T17" s="2"/>
      <c r="U17" s="2"/>
      <c r="V17" s="2"/>
      <c r="W17" s="2"/>
    </row>
    <row r="18" spans="17:23" x14ac:dyDescent="0.35">
      <c r="Q18" s="2"/>
      <c r="T18" s="2"/>
      <c r="U18" s="2"/>
      <c r="V18" s="2"/>
      <c r="W18" s="2"/>
    </row>
    <row r="19" spans="17:23" x14ac:dyDescent="0.35">
      <c r="Q19" s="2"/>
      <c r="T19" s="2"/>
      <c r="U19" s="2"/>
      <c r="V19" s="2"/>
      <c r="W19" s="2"/>
    </row>
  </sheetData>
  <phoneticPr fontId="1" type="noConversion"/>
  <conditionalFormatting sqref="K4:K7">
    <cfRule type="expression" dxfId="1" priority="1">
      <formula>AND($J4=0,$K4&lt;&gt;"")</formula>
    </cfRule>
    <cfRule type="expression" dxfId="0" priority="2">
      <formula>AND($J4=1,$K4="")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5698AB2C-A932-4C51-A106-F92D2F783523}">
          <x14:formula1>
            <xm:f>基本设定!$G$22:$G$24</xm:f>
          </x14:formula1>
          <xm:sqref>G4:G7</xm:sqref>
        </x14:dataValidation>
        <x14:dataValidation type="list" allowBlank="1" showInputMessage="1" showErrorMessage="1" xr:uid="{E9B2D18A-0FEA-4619-8166-B406071765C4}">
          <x14:formula1>
            <xm:f>基本设定!$A$49:$A$51</xm:f>
          </x14:formula1>
          <xm:sqref>E4:E7</xm:sqref>
        </x14:dataValidation>
        <x14:dataValidation type="list" allowBlank="1" showInputMessage="1" showErrorMessage="1" xr:uid="{701BE90D-C66F-4329-BA3E-E794EBDE3AEA}">
          <x14:formula1>
            <xm:f>基本设定!$A$44:$A$45</xm:f>
          </x14:formula1>
          <xm:sqref>J4:J7</xm:sqref>
        </x14:dataValidation>
        <x14:dataValidation type="list" allowBlank="1" showInputMessage="1" showErrorMessage="1" xr:uid="{554EBE43-8DD1-4CD9-96B0-9434A88834C1}">
          <x14:formula1>
            <xm:f>基本设定!$A$38:$A$40</xm:f>
          </x14:formula1>
          <xm:sqref>F4:F7</xm:sqref>
        </x14:dataValidation>
        <x14:dataValidation type="list" allowBlank="1" showInputMessage="1" showErrorMessage="1" xr:uid="{8597E8D3-33CD-4A5B-B31F-7763C45120C7}">
          <x14:formula1>
            <xm:f>基本设定!$A$32:$A$34</xm:f>
          </x14:formula1>
          <xm:sqref>H4:H7</xm:sqref>
        </x14:dataValidation>
        <x14:dataValidation type="list" allowBlank="1" showInputMessage="1" showErrorMessage="1" xr:uid="{A2D540E7-F49B-4569-A086-87B90F207F25}">
          <x14:formula1>
            <xm:f>基本设定!$A$27:$A$28</xm:f>
          </x14:formula1>
          <xm:sqref>D4:D7</xm:sqref>
        </x14:dataValidation>
        <x14:dataValidation type="list" allowBlank="1" showInputMessage="1" showErrorMessage="1" xr:uid="{82A4473F-E485-4511-AA6F-11C5BDDBB052}">
          <x14:formula1>
            <xm:f>基本设定!$A$14:$A$23</xm:f>
          </x14:formula1>
          <xm:sqref>I4:I7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8A32-B6AA-458E-A0E1-8F9F4F5F4A63}">
  <sheetPr>
    <tabColor theme="3" tint="0.39997558519241921"/>
  </sheetPr>
  <dimension ref="B3:W28"/>
  <sheetViews>
    <sheetView workbookViewId="0">
      <selection activeCell="G12" sqref="G12"/>
    </sheetView>
  </sheetViews>
  <sheetFormatPr defaultRowHeight="16.5" x14ac:dyDescent="0.35"/>
  <cols>
    <col min="1" max="3" width="9" style="1"/>
    <col min="4" max="4" width="9" style="1" customWidth="1"/>
    <col min="5" max="5" width="9.625" style="1" bestFit="1" customWidth="1"/>
    <col min="6" max="7" width="9.625" style="1" customWidth="1"/>
    <col min="8" max="9" width="9" style="1"/>
    <col min="10" max="10" width="12.375" style="1" bestFit="1" customWidth="1"/>
    <col min="11" max="12" width="9" style="1"/>
    <col min="13" max="13" width="10.5" style="1" bestFit="1" customWidth="1"/>
    <col min="14" max="16384" width="9" style="1"/>
  </cols>
  <sheetData>
    <row r="3" spans="2:23" x14ac:dyDescent="0.35">
      <c r="C3" s="7" t="s">
        <v>43</v>
      </c>
      <c r="D3" s="15" t="s">
        <v>24</v>
      </c>
      <c r="E3" s="15" t="s">
        <v>46</v>
      </c>
      <c r="F3" s="15" t="s">
        <v>42</v>
      </c>
      <c r="G3" s="15" t="s">
        <v>103</v>
      </c>
      <c r="H3" s="15" t="s">
        <v>39</v>
      </c>
      <c r="I3" s="15" t="s">
        <v>27</v>
      </c>
      <c r="J3" s="14" t="s">
        <v>28</v>
      </c>
      <c r="K3" s="12" t="s">
        <v>44</v>
      </c>
      <c r="L3" s="8" t="s">
        <v>41</v>
      </c>
      <c r="M3" s="8" t="s">
        <v>81</v>
      </c>
      <c r="N3" s="12" t="s">
        <v>82</v>
      </c>
      <c r="O3" s="11" t="s">
        <v>83</v>
      </c>
      <c r="P3" s="7" t="s">
        <v>10</v>
      </c>
      <c r="Q3" s="7" t="s">
        <v>4</v>
      </c>
    </row>
    <row r="4" spans="2:23" x14ac:dyDescent="0.35">
      <c r="B4" s="2"/>
      <c r="C4" s="2" t="s">
        <v>101</v>
      </c>
      <c r="D4" s="2" t="s">
        <v>22</v>
      </c>
      <c r="E4" s="2" t="s">
        <v>20</v>
      </c>
      <c r="F4" s="2" t="s">
        <v>13</v>
      </c>
      <c r="G4" s="2" t="s">
        <v>53</v>
      </c>
      <c r="H4" s="2">
        <v>1</v>
      </c>
      <c r="I4" s="2">
        <v>0</v>
      </c>
      <c r="J4" s="2"/>
      <c r="K4" s="2">
        <v>0.8</v>
      </c>
      <c r="L4" s="2">
        <v>3</v>
      </c>
      <c r="M4" s="2">
        <v>0.5</v>
      </c>
      <c r="N4" s="2">
        <f ca="1">OFFSET(基本设定!$J$7,$L4,MATCH($F4,基本设定!$K$7:$L$7,0))
*OFFSET(基本设定!$I$21,MATCH($G4,基本设定!$G$22:$G$24,0),COUNTA($N$3:N$3))
*OFFSET(基本设定!$B$13,$H4,COUNTA($N$3:N$3))
*OFFSET(基本设定!$A$37,MATCH($D4,基本设定!$A$38:$A$40,0),COUNTA($N$3:N$3))
*_xlfn.IFS($H4&gt;=基本设定!$O$22,基本设定!$P$22,TRUE,1)
/_xlfn.IFS( AND(N$3&lt;&gt;"生命",$J4&lt;&gt;""),$J4,TRUE,1)
*_xlfn.IFS(N$3="生命",基本设定!$F$2,TRUE,1)*基本设定!$F$1</f>
        <v>12.044036745360739</v>
      </c>
      <c r="O4" s="2">
        <f ca="1">OFFSET(基本设定!$K$7,$L4,)
*OFFSET(基本设定!$I$21,MATCH($G4,基本设定!$G$22:$G$24,0),COUNTA($N$3:O$3))
*OFFSET(基本设定!$B$13,$H4,COUNTA($N$3:O$3))
*OFFSET(基本设定!$A$37,MATCH($D4,基本设定!$A$38:$A$40,0),COUNTA($N$3:O$3))
*_xlfn.IFS($H4&gt;=基本设定!$O$22,基本设定!$P$22,TRUE,1)
/_xlfn.IFS( AND(O$3&lt;&gt;"生命",$J4&lt;&gt;""),$J4,TRUE,1)
*_xlfn.IFS(O$3="生命",基本设定!$F$2,TRUE,1)*基本设定!$F$1*SUM($L4:$M4)
/_xlfn.IFS(O$3="生命",1+OFFSET(基本设定!$B$26,MATCH($F4,基本设定!$A$27:$A$28,0),),TRUE,1)</f>
        <v>210.77064304381292</v>
      </c>
      <c r="P4" s="2">
        <f ca="1">$N4*$K4</f>
        <v>9.635229396288592</v>
      </c>
      <c r="Q4" s="2">
        <f ca="1">ROUND( OFFSET(基本设定!$B$13,$H4,)/_xlfn.IFS($J4&lt;&gt;"",LN($J4)+1,TRUE,1)
*OFFSET(基本设定!$B$31,MATCH($E4,基本设定!$A$32:$A$34,0),),2)</f>
        <v>0.9</v>
      </c>
      <c r="R4" s="2"/>
      <c r="S4" s="2"/>
      <c r="T4" s="2"/>
      <c r="U4" s="2"/>
      <c r="V4" s="2"/>
      <c r="W4" s="2"/>
    </row>
    <row r="5" spans="2:23" x14ac:dyDescent="0.35">
      <c r="B5" s="2"/>
      <c r="C5" s="2" t="s">
        <v>102</v>
      </c>
      <c r="D5" s="2" t="s">
        <v>22</v>
      </c>
      <c r="E5" s="2" t="s">
        <v>20</v>
      </c>
      <c r="F5" s="2" t="s">
        <v>13</v>
      </c>
      <c r="G5" s="2" t="s">
        <v>53</v>
      </c>
      <c r="H5" s="2">
        <v>1</v>
      </c>
      <c r="I5" s="2">
        <v>0</v>
      </c>
      <c r="J5" s="2"/>
      <c r="K5" s="2">
        <v>1</v>
      </c>
      <c r="L5" s="2">
        <v>3</v>
      </c>
      <c r="M5" s="2">
        <v>0.95</v>
      </c>
      <c r="N5" s="2">
        <f ca="1">OFFSET(基本设定!$J$7,$L5,MATCH($F5,基本设定!$K$7:$L$7,0))
*OFFSET(基本设定!$I$21,MATCH($G5,基本设定!$G$22:$G$24,0),COUNTA($N$3:N$3))
*OFFSET(基本设定!$B$13,$H5,COUNTA($N$3:N$3))
*OFFSET(基本设定!$A$37,MATCH($D5,基本设定!$A$38:$A$40,0),COUNTA($N$3:N$3))
*_xlfn.IFS($H5&gt;=基本设定!$O$22,基本设定!$P$22,TRUE,1)
/_xlfn.IFS( AND(N$3&lt;&gt;"生命",$J5&lt;&gt;""),$J5,TRUE,1)
*_xlfn.IFS(N$3="生命",基本设定!$F$2,TRUE,1)*基本设定!$F$1</f>
        <v>12.044036745360739</v>
      </c>
      <c r="O5" s="2">
        <f ca="1">OFFSET(基本设定!$K$7,$L5,)
*OFFSET(基本设定!$I$21,MATCH($G5,基本设定!$G$22:$G$24,0),COUNTA($N$3:O$3))
*OFFSET(基本设定!$B$13,$H5,COUNTA($N$3:O$3))
*OFFSET(基本设定!$A$37,MATCH($D5,基本设定!$A$38:$A$40,0),COUNTA($N$3:O$3))
*_xlfn.IFS($H5&gt;=基本设定!$O$22,基本设定!$P$22,TRUE,1)
/_xlfn.IFS( AND(O$3&lt;&gt;"生命",$J5&lt;&gt;""),$J5,TRUE,1)
*_xlfn.IFS(O$3="生命",基本设定!$F$2,TRUE,1)*基本设定!$F$1*SUM($L5:$M5)
/_xlfn.IFS(O$3="生命",1+OFFSET(基本设定!$B$26,MATCH($F5,基本设定!$A$27:$A$28,0),),TRUE,1)</f>
        <v>237.86972572087461</v>
      </c>
      <c r="P5" s="2">
        <f ca="1">$N5*$K5</f>
        <v>12.044036745360739</v>
      </c>
      <c r="Q5" s="2">
        <f ca="1">ROUND( OFFSET(基本设定!$B$13,$H5,)/_xlfn.IFS($J5&lt;&gt;"",LN($J5)+1,TRUE,1)
*OFFSET(基本设定!$B$31,MATCH($E5,基本设定!$A$32:$A$34,0),),2)</f>
        <v>0.9</v>
      </c>
      <c r="R5" s="2"/>
      <c r="S5" s="2"/>
      <c r="T5" s="2"/>
      <c r="U5" s="2"/>
      <c r="V5" s="2"/>
      <c r="W5" s="2"/>
    </row>
    <row r="6" spans="2:23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A994678-D55A-4026-A83A-CA1D00F16003}">
          <x14:formula1>
            <xm:f>基本设定!$A$38:$A$40</xm:f>
          </x14:formula1>
          <xm:sqref>D4</xm:sqref>
        </x14:dataValidation>
        <x14:dataValidation type="list" allowBlank="1" showInputMessage="1" showErrorMessage="1" xr:uid="{5EF6D883-5F16-4733-B72E-767282994D7C}">
          <x14:formula1>
            <xm:f>基本设定!$G$22:$G$24</xm:f>
          </x14:formula1>
          <xm:sqref>G4:G5 D5</xm:sqref>
        </x14:dataValidation>
        <x14:dataValidation type="list" allowBlank="1" showInputMessage="1" showErrorMessage="1" xr:uid="{C3A92143-D0DB-4BB1-B73C-9D6E1B2F4383}">
          <x14:formula1>
            <xm:f>基本设定!$A$32:$A$34</xm:f>
          </x14:formula1>
          <xm:sqref>E4:E5</xm:sqref>
        </x14:dataValidation>
        <x14:dataValidation type="list" allowBlank="1" showInputMessage="1" showErrorMessage="1" xr:uid="{A5397ECE-57CC-47F3-BEFD-2EA7B63E19D6}">
          <x14:formula1>
            <xm:f>基本设定!$A$14:$A$23</xm:f>
          </x14:formula1>
          <xm:sqref>H4:H5</xm:sqref>
        </x14:dataValidation>
        <x14:dataValidation type="list" allowBlank="1" showInputMessage="1" showErrorMessage="1" xr:uid="{F4090AED-3CC7-4431-A2F7-DD43F911CA2B}">
          <x14:formula1>
            <xm:f>基本设定!$A$44:$A$45</xm:f>
          </x14:formula1>
          <xm:sqref>I4:I5</xm:sqref>
        </x14:dataValidation>
        <x14:dataValidation type="list" allowBlank="1" showInputMessage="1" showErrorMessage="1" xr:uid="{A74106B6-4707-437F-94EB-434AF720A9D3}">
          <x14:formula1>
            <xm:f>基本设定!$A$27:$A$28</xm:f>
          </x14:formula1>
          <xm:sqref>F4:F5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E5CF-5571-433E-8669-7670CF20D016}">
  <dimension ref="A1"/>
  <sheetViews>
    <sheetView workbookViewId="0">
      <selection activeCell="J21" sqref="J21"/>
    </sheetView>
  </sheetViews>
  <sheetFormatPr defaultRowHeight="16.5" x14ac:dyDescent="0.35"/>
  <cols>
    <col min="1" max="16384" width="9" style="1"/>
  </cols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59D5-4D00-4713-A574-DE91C6E52DC4}">
  <sheetPr>
    <tabColor theme="3" tint="0.39997558519241921"/>
  </sheetPr>
  <dimension ref="A1"/>
  <sheetViews>
    <sheetView workbookViewId="0">
      <selection activeCell="J21" sqref="J21"/>
    </sheetView>
  </sheetViews>
  <sheetFormatPr defaultRowHeight="16.5" x14ac:dyDescent="0.35"/>
  <cols>
    <col min="1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公式说明</vt:lpstr>
      <vt:lpstr>基本设定</vt:lpstr>
      <vt:lpstr>军队</vt:lpstr>
      <vt:lpstr>法术</vt:lpstr>
      <vt:lpstr>建筑</vt:lpstr>
      <vt:lpstr>国王与公主</vt:lpstr>
      <vt:lpstr>Sheet2 (4)</vt:lpstr>
      <vt:lpstr>Sheet3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abrax</dc:creator>
  <cp:lastModifiedBy>abrax</cp:lastModifiedBy>
  <dcterms:created xsi:type="dcterms:W3CDTF">2023-06-05T02:39:15Z</dcterms:created>
  <dcterms:modified xsi:type="dcterms:W3CDTF">2023-06-08T01:17:53Z</dcterms:modified>
</cp:coreProperties>
</file>