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F5A40730-3C9C-499E-B017-11648AC5DD7F}" xr6:coauthVersionLast="47" xr6:coauthVersionMax="47" xr10:uidLastSave="{00000000-0000-0000-0000-000000000000}"/>
  <bookViews>
    <workbookView xWindow="-120" yWindow="-120" windowWidth="29040" windowHeight="16440" activeTab="9" xr2:uid="{00000000-000D-0000-FFFF-FFFF00000000}"/>
  </bookViews>
  <sheets>
    <sheet name="公式说明" sheetId="25" r:id="rId1"/>
    <sheet name="模型构建" sheetId="1" r:id="rId2"/>
    <sheet name="其他属性" sheetId="24" r:id="rId3"/>
    <sheet name="角色升级" sheetId="2" r:id="rId4"/>
    <sheet name="武器伤害" sheetId="3" r:id="rId5"/>
    <sheet name="装备" sheetId="14" r:id="rId6"/>
    <sheet name="技能" sheetId="15" r:id="rId7"/>
    <sheet name="天赋专精" sheetId="16" r:id="rId8"/>
    <sheet name="随从" sheetId="17" r:id="rId9"/>
    <sheet name="隐含假设的改进微分方程" sheetId="26" r:id="rId10"/>
  </sheets>
  <calcPr calcId="191029" calcMode="manual" iterate="1"/>
</workbook>
</file>

<file path=xl/calcChain.xml><?xml version="1.0" encoding="utf-8"?>
<calcChain xmlns="http://schemas.openxmlformats.org/spreadsheetml/2006/main">
  <c r="K9" i="26" l="1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N27" i="26"/>
  <c r="J27" i="26"/>
  <c r="H27" i="26"/>
  <c r="J26" i="26"/>
  <c r="H26" i="26"/>
  <c r="J25" i="26"/>
  <c r="H25" i="26"/>
  <c r="J24" i="26"/>
  <c r="H24" i="26"/>
  <c r="J23" i="26"/>
  <c r="H23" i="26"/>
  <c r="J22" i="26"/>
  <c r="H22" i="26"/>
  <c r="L21" i="26"/>
  <c r="H21" i="26"/>
  <c r="L20" i="26"/>
  <c r="J20" i="26"/>
  <c r="H20" i="26"/>
  <c r="L19" i="26"/>
  <c r="J19" i="26"/>
  <c r="H19" i="26"/>
  <c r="J18" i="26"/>
  <c r="H18" i="26"/>
  <c r="J17" i="26"/>
  <c r="H17" i="26"/>
  <c r="J16" i="26"/>
  <c r="H16" i="26"/>
  <c r="J15" i="26"/>
  <c r="H15" i="26"/>
  <c r="J14" i="26"/>
  <c r="H14" i="26"/>
  <c r="L13" i="26"/>
  <c r="R13" i="26" s="1"/>
  <c r="J13" i="26"/>
  <c r="H13" i="26"/>
  <c r="B13" i="26"/>
  <c r="L26" i="26" s="1"/>
  <c r="R26" i="26" s="1"/>
  <c r="J12" i="26"/>
  <c r="H12" i="26"/>
  <c r="B12" i="26"/>
  <c r="L24" i="26" s="1"/>
  <c r="R24" i="26" s="1"/>
  <c r="J11" i="26"/>
  <c r="H11" i="26"/>
  <c r="J10" i="26"/>
  <c r="H10" i="26"/>
  <c r="B10" i="26"/>
  <c r="L18" i="26" s="1"/>
  <c r="N9" i="26"/>
  <c r="L9" i="26"/>
  <c r="R9" i="26" s="1"/>
  <c r="J9" i="26"/>
  <c r="H9" i="26"/>
  <c r="B9" i="26"/>
  <c r="L14" i="26" s="1"/>
  <c r="R14" i="26" s="1"/>
  <c r="L8" i="26"/>
  <c r="R8" i="26" s="1"/>
  <c r="J8" i="26"/>
  <c r="H8" i="26"/>
  <c r="B8" i="26"/>
  <c r="L12" i="26" s="1"/>
  <c r="R12" i="26" s="1"/>
  <c r="L7" i="26"/>
  <c r="R7" i="26" s="1"/>
  <c r="J7" i="26"/>
  <c r="H7" i="26"/>
  <c r="B1" i="26"/>
  <c r="B2" i="26" s="1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6" i="15"/>
  <c r="H3" i="1"/>
  <c r="B10" i="25"/>
  <c r="E49" i="1"/>
  <c r="R18" i="26" l="1"/>
  <c r="Q18" i="26" s="1"/>
  <c r="S18" i="26" s="1"/>
  <c r="Q12" i="26"/>
  <c r="S12" i="26" s="1"/>
  <c r="Q8" i="26"/>
  <c r="S8" i="26" s="1"/>
  <c r="Q13" i="26"/>
  <c r="S13" i="26" s="1"/>
  <c r="Q24" i="26"/>
  <c r="S24" i="26" s="1"/>
  <c r="Q14" i="26"/>
  <c r="S14" i="26" s="1"/>
  <c r="Q9" i="26"/>
  <c r="S9" i="26" s="1"/>
  <c r="B3" i="26"/>
  <c r="L27" i="26"/>
  <c r="R27" i="26" s="1"/>
  <c r="L10" i="26"/>
  <c r="R10" i="26" s="1"/>
  <c r="L16" i="26"/>
  <c r="R16" i="26" s="1"/>
  <c r="L22" i="26"/>
  <c r="R22" i="26" s="1"/>
  <c r="L11" i="26"/>
  <c r="R11" i="26" s="1"/>
  <c r="L17" i="26"/>
  <c r="R17" i="26" s="1"/>
  <c r="L25" i="26"/>
  <c r="R25" i="26" s="1"/>
  <c r="G34" i="26"/>
  <c r="L15" i="26"/>
  <c r="R15" i="26" s="1"/>
  <c r="L23" i="26"/>
  <c r="R23" i="26" s="1"/>
  <c r="Q26" i="26"/>
  <c r="S26" i="26" s="1"/>
  <c r="Q7" i="26"/>
  <c r="S7" i="26" s="1"/>
  <c r="AD6" i="16" a="1"/>
  <c r="AD6" i="16" s="1"/>
  <c r="Y15" i="3" a="1"/>
  <c r="Y15" i="3" s="1"/>
  <c r="Y16" i="3" a="1"/>
  <c r="Y16" i="3" s="1"/>
  <c r="Y17" i="3" a="1"/>
  <c r="Y17" i="3" s="1"/>
  <c r="Y18" i="3" a="1"/>
  <c r="Y18" i="3" s="1"/>
  <c r="Y14" i="3" a="1"/>
  <c r="Y14" i="3" s="1"/>
  <c r="T15" i="3" a="1"/>
  <c r="T15" i="3" s="1"/>
  <c r="T16" i="3" a="1"/>
  <c r="T16" i="3" s="1"/>
  <c r="T17" i="3" a="1"/>
  <c r="T17" i="3" s="1"/>
  <c r="T18" i="3" a="1"/>
  <c r="T18" i="3" s="1"/>
  <c r="T14" i="3" a="1"/>
  <c r="T14" i="3" s="1"/>
  <c r="O15" i="3" a="1"/>
  <c r="O15" i="3" s="1"/>
  <c r="O16" i="3" a="1"/>
  <c r="O16" i="3" s="1"/>
  <c r="O17" i="3" a="1"/>
  <c r="O17" i="3" s="1"/>
  <c r="O18" i="3" a="1"/>
  <c r="O18" i="3" s="1"/>
  <c r="O14" i="3" a="1"/>
  <c r="O14" i="3" s="1"/>
  <c r="J15" i="3" a="1"/>
  <c r="J15" i="3" s="1"/>
  <c r="J16" i="3" a="1"/>
  <c r="J16" i="3" s="1"/>
  <c r="J17" i="3" a="1"/>
  <c r="J17" i="3" s="1"/>
  <c r="J18" i="3" a="1"/>
  <c r="J18" i="3" s="1"/>
  <c r="J14" i="3" a="1"/>
  <c r="J14" i="3" s="1"/>
  <c r="B1" i="15"/>
  <c r="I26" i="15"/>
  <c r="M26" i="15"/>
  <c r="I25" i="15"/>
  <c r="I24" i="15"/>
  <c r="I23" i="15"/>
  <c r="I22" i="15"/>
  <c r="I21" i="15"/>
  <c r="K20" i="15"/>
  <c r="I19" i="15"/>
  <c r="K19" i="15"/>
  <c r="I18" i="15"/>
  <c r="K18" i="15"/>
  <c r="I16" i="15"/>
  <c r="I17" i="15"/>
  <c r="I15" i="15"/>
  <c r="I12" i="15"/>
  <c r="I13" i="15"/>
  <c r="I14" i="15"/>
  <c r="I9" i="15"/>
  <c r="I10" i="15"/>
  <c r="I11" i="15"/>
  <c r="K11" i="15"/>
  <c r="J8" i="15"/>
  <c r="M8" i="15"/>
  <c r="I8" i="15"/>
  <c r="K8" i="15"/>
  <c r="K6" i="15"/>
  <c r="K7" i="15"/>
  <c r="B12" i="15"/>
  <c r="K26" i="15" s="1"/>
  <c r="B11" i="15"/>
  <c r="K23" i="15" s="1"/>
  <c r="B8" i="15"/>
  <c r="K12" i="15" s="1"/>
  <c r="B9" i="15"/>
  <c r="K16" i="15" s="1"/>
  <c r="B7" i="15"/>
  <c r="K9" i="15" s="1"/>
  <c r="I7" i="15"/>
  <c r="I6" i="15"/>
  <c r="Q11" i="26" l="1"/>
  <c r="S11" i="26" s="1"/>
  <c r="Q22" i="26"/>
  <c r="S22" i="26" s="1"/>
  <c r="Q16" i="26"/>
  <c r="S16" i="26" s="1"/>
  <c r="Q10" i="26"/>
  <c r="S10" i="26" s="1"/>
  <c r="Q17" i="26"/>
  <c r="S17" i="26" s="1"/>
  <c r="Q27" i="26"/>
  <c r="S27" i="26" s="1"/>
  <c r="Q25" i="26"/>
  <c r="S25" i="26" s="1"/>
  <c r="Q15" i="26"/>
  <c r="S15" i="26" s="1"/>
  <c r="Q23" i="26"/>
  <c r="S23" i="26" s="1"/>
  <c r="N54" i="26"/>
  <c r="P47" i="26"/>
  <c r="N55" i="26"/>
  <c r="P48" i="26"/>
  <c r="N40" i="26"/>
  <c r="N56" i="26"/>
  <c r="P49" i="26"/>
  <c r="N41" i="26"/>
  <c r="N57" i="26"/>
  <c r="P50" i="26"/>
  <c r="N42" i="26"/>
  <c r="N58" i="26"/>
  <c r="P51" i="26"/>
  <c r="N43" i="26"/>
  <c r="O43" i="26" s="1"/>
  <c r="N59" i="26"/>
  <c r="O59" i="26" s="1"/>
  <c r="P52" i="26"/>
  <c r="N44" i="26"/>
  <c r="N60" i="26"/>
  <c r="P53" i="26"/>
  <c r="P39" i="26"/>
  <c r="N45" i="26"/>
  <c r="N61" i="26"/>
  <c r="P54" i="26"/>
  <c r="N46" i="26"/>
  <c r="N39" i="26"/>
  <c r="P55" i="26"/>
  <c r="N47" i="26"/>
  <c r="P40" i="26"/>
  <c r="P56" i="26"/>
  <c r="Q56" i="26" s="1"/>
  <c r="N48" i="26"/>
  <c r="P41" i="26"/>
  <c r="Q41" i="26" s="1"/>
  <c r="P57" i="26"/>
  <c r="N49" i="26"/>
  <c r="P42" i="26"/>
  <c r="P58" i="26"/>
  <c r="N50" i="26"/>
  <c r="P43" i="26"/>
  <c r="P59" i="26"/>
  <c r="N53" i="26"/>
  <c r="N51" i="26"/>
  <c r="P44" i="26"/>
  <c r="P60" i="26"/>
  <c r="N52" i="26"/>
  <c r="P45" i="26"/>
  <c r="P61" i="26"/>
  <c r="P46" i="26"/>
  <c r="Q46" i="26" s="1"/>
  <c r="K42" i="26"/>
  <c r="L42" i="26" s="1"/>
  <c r="K58" i="26"/>
  <c r="K43" i="26"/>
  <c r="K59" i="26"/>
  <c r="K44" i="26"/>
  <c r="K60" i="26"/>
  <c r="K45" i="26"/>
  <c r="K61" i="26"/>
  <c r="K46" i="26"/>
  <c r="K39" i="26"/>
  <c r="K57" i="26"/>
  <c r="K47" i="26"/>
  <c r="K48" i="26"/>
  <c r="K49" i="26"/>
  <c r="K50" i="26"/>
  <c r="K51" i="26"/>
  <c r="L51" i="26" s="1"/>
  <c r="K52" i="26"/>
  <c r="L52" i="26" s="1"/>
  <c r="K53" i="26"/>
  <c r="K41" i="26"/>
  <c r="K54" i="26"/>
  <c r="K55" i="26"/>
  <c r="K40" i="26"/>
  <c r="K56" i="26"/>
  <c r="I61" i="26"/>
  <c r="I57" i="26"/>
  <c r="I53" i="26"/>
  <c r="I49" i="26"/>
  <c r="I45" i="26"/>
  <c r="I41" i="26"/>
  <c r="H61" i="26"/>
  <c r="H57" i="26"/>
  <c r="H53" i="26"/>
  <c r="H49" i="26"/>
  <c r="H45" i="26"/>
  <c r="H41" i="26"/>
  <c r="I60" i="26"/>
  <c r="I56" i="26"/>
  <c r="I52" i="26"/>
  <c r="I48" i="26"/>
  <c r="I44" i="26"/>
  <c r="I40" i="26"/>
  <c r="H60" i="26"/>
  <c r="H56" i="26"/>
  <c r="H52" i="26"/>
  <c r="H48" i="26"/>
  <c r="H44" i="26"/>
  <c r="H40" i="26"/>
  <c r="I59" i="26"/>
  <c r="J59" i="26" s="1"/>
  <c r="I55" i="26"/>
  <c r="J55" i="26" s="1"/>
  <c r="I51" i="26"/>
  <c r="I47" i="26"/>
  <c r="I43" i="26"/>
  <c r="I39" i="26"/>
  <c r="H59" i="26"/>
  <c r="H55" i="26"/>
  <c r="H51" i="26"/>
  <c r="H47" i="26"/>
  <c r="H43" i="26"/>
  <c r="H39" i="26"/>
  <c r="I58" i="26"/>
  <c r="I54" i="26"/>
  <c r="I50" i="26"/>
  <c r="I46" i="26"/>
  <c r="J46" i="26" s="1"/>
  <c r="I42" i="26"/>
  <c r="J42" i="26" s="1"/>
  <c r="H58" i="26"/>
  <c r="H54" i="26"/>
  <c r="H50" i="26"/>
  <c r="H46" i="26"/>
  <c r="H42" i="26"/>
  <c r="K21" i="15"/>
  <c r="K22" i="15"/>
  <c r="K14" i="15"/>
  <c r="K10" i="15"/>
  <c r="K25" i="15"/>
  <c r="K17" i="15"/>
  <c r="K13" i="15"/>
  <c r="K15" i="15"/>
  <c r="K24" i="15"/>
  <c r="Y56" i="14"/>
  <c r="P56" i="14"/>
  <c r="P47" i="14"/>
  <c r="Y47" i="14" s="1"/>
  <c r="P38" i="14"/>
  <c r="P29" i="14"/>
  <c r="Y29" i="14" s="1"/>
  <c r="Z20" i="2"/>
  <c r="Q20" i="2"/>
  <c r="H20" i="2"/>
  <c r="AI12" i="2"/>
  <c r="Z12" i="2"/>
  <c r="Q12" i="2"/>
  <c r="H12" i="2"/>
  <c r="D3" i="24"/>
  <c r="D2" i="24" s="1"/>
  <c r="A48" i="14"/>
  <c r="C48" i="14"/>
  <c r="A49" i="14"/>
  <c r="C49" i="14"/>
  <c r="A50" i="14"/>
  <c r="C50" i="14"/>
  <c r="A51" i="14"/>
  <c r="C51" i="14"/>
  <c r="D19" i="24"/>
  <c r="K19" i="24" s="1"/>
  <c r="D20" i="24"/>
  <c r="K20" i="24" s="1"/>
  <c r="D21" i="24"/>
  <c r="H21" i="24"/>
  <c r="S21" i="24" s="1"/>
  <c r="D22" i="24"/>
  <c r="K22" i="24" s="1"/>
  <c r="E22" i="24"/>
  <c r="M22" i="24" s="1"/>
  <c r="G22" i="24"/>
  <c r="Q22" i="24" s="1"/>
  <c r="H22" i="24"/>
  <c r="S22" i="24" s="1"/>
  <c r="D23" i="24"/>
  <c r="K23" i="24" s="1"/>
  <c r="H23" i="24"/>
  <c r="S23" i="24" s="1"/>
  <c r="D24" i="24"/>
  <c r="K24" i="24" s="1"/>
  <c r="F24" i="24"/>
  <c r="O24" i="24" s="1"/>
  <c r="E18" i="24"/>
  <c r="M18" i="24" s="1"/>
  <c r="G18" i="24"/>
  <c r="Q18" i="24" s="1"/>
  <c r="D18" i="24"/>
  <c r="K18" i="24" s="1"/>
  <c r="AN19" i="24"/>
  <c r="H19" i="24" s="1"/>
  <c r="S19" i="24" s="1"/>
  <c r="AN20" i="24"/>
  <c r="H20" i="24" s="1"/>
  <c r="S20" i="24" s="1"/>
  <c r="AN21" i="24"/>
  <c r="AN22" i="24"/>
  <c r="AN23" i="24"/>
  <c r="AN24" i="24"/>
  <c r="H24" i="24" s="1"/>
  <c r="AN18" i="24"/>
  <c r="H18" i="24" s="1"/>
  <c r="S18" i="24" s="1"/>
  <c r="AL19" i="24"/>
  <c r="G19" i="24" s="1"/>
  <c r="Q19" i="24" s="1"/>
  <c r="AL20" i="24"/>
  <c r="G20" i="24" s="1"/>
  <c r="Q20" i="24" s="1"/>
  <c r="AL21" i="24"/>
  <c r="G21" i="24" s="1"/>
  <c r="Q21" i="24" s="1"/>
  <c r="AL22" i="24"/>
  <c r="AL23" i="24"/>
  <c r="G23" i="24" s="1"/>
  <c r="Q23" i="24" s="1"/>
  <c r="AL24" i="24"/>
  <c r="G24" i="24" s="1"/>
  <c r="Q24" i="24" s="1"/>
  <c r="AL18" i="24"/>
  <c r="AJ19" i="24"/>
  <c r="AJ20" i="24"/>
  <c r="AJ21" i="24"/>
  <c r="AJ22" i="24"/>
  <c r="AJ23" i="24"/>
  <c r="AJ24" i="24"/>
  <c r="AJ18" i="24"/>
  <c r="AH19" i="24"/>
  <c r="AH20" i="24"/>
  <c r="AH21" i="24"/>
  <c r="AH22" i="24"/>
  <c r="AH23" i="24"/>
  <c r="AH24" i="24"/>
  <c r="AH18" i="24"/>
  <c r="N19" i="24"/>
  <c r="F19" i="24" s="1"/>
  <c r="O19" i="24" s="1"/>
  <c r="N20" i="24"/>
  <c r="F20" i="24" s="1"/>
  <c r="O20" i="24" s="1"/>
  <c r="N21" i="24"/>
  <c r="F21" i="24" s="1"/>
  <c r="O21" i="24" s="1"/>
  <c r="N22" i="24"/>
  <c r="F22" i="24" s="1"/>
  <c r="O22" i="24" s="1"/>
  <c r="N23" i="24"/>
  <c r="F23" i="24" s="1"/>
  <c r="AV23" i="24" s="1"/>
  <c r="N24" i="24"/>
  <c r="N18" i="24"/>
  <c r="F18" i="24" s="1"/>
  <c r="O18" i="24" s="1"/>
  <c r="L19" i="24"/>
  <c r="E19" i="24" s="1"/>
  <c r="M19" i="24" s="1"/>
  <c r="L20" i="24"/>
  <c r="E20" i="24" s="1"/>
  <c r="M20" i="24" s="1"/>
  <c r="L21" i="24"/>
  <c r="E21" i="24" s="1"/>
  <c r="M21" i="24" s="1"/>
  <c r="L22" i="24"/>
  <c r="L23" i="24"/>
  <c r="E23" i="24" s="1"/>
  <c r="M23" i="24" s="1"/>
  <c r="L24" i="24"/>
  <c r="E24" i="24" s="1"/>
  <c r="M24" i="24" s="1"/>
  <c r="L18" i="24"/>
  <c r="AE19" i="24"/>
  <c r="AE20" i="24"/>
  <c r="AE21" i="24"/>
  <c r="AE22" i="24"/>
  <c r="AE23" i="24"/>
  <c r="AE24" i="24"/>
  <c r="AE18" i="24"/>
  <c r="T19" i="24"/>
  <c r="T20" i="24"/>
  <c r="T21" i="24"/>
  <c r="T22" i="24"/>
  <c r="T23" i="24"/>
  <c r="T24" i="24"/>
  <c r="T18" i="24"/>
  <c r="D3" i="1"/>
  <c r="K53" i="1"/>
  <c r="I53" i="1" s="1"/>
  <c r="B23" i="14"/>
  <c r="B33" i="14" s="1"/>
  <c r="B24" i="14"/>
  <c r="B25" i="14"/>
  <c r="B26" i="14"/>
  <c r="B34" i="14" s="1"/>
  <c r="B27" i="14"/>
  <c r="B28" i="14"/>
  <c r="B22" i="14"/>
  <c r="B32" i="14" s="1"/>
  <c r="D18" i="14"/>
  <c r="B15" i="14"/>
  <c r="B16" i="14" s="1"/>
  <c r="D14" i="14"/>
  <c r="C14" i="14"/>
  <c r="B23" i="3"/>
  <c r="B33" i="3" s="1"/>
  <c r="B49" i="14" s="1"/>
  <c r="B24" i="3"/>
  <c r="B34" i="3" s="1"/>
  <c r="B50" i="14" s="1"/>
  <c r="B25" i="3"/>
  <c r="B35" i="3" s="1"/>
  <c r="B51" i="14" s="1"/>
  <c r="B26" i="3"/>
  <c r="B32" i="3" s="1"/>
  <c r="B48" i="14" s="1"/>
  <c r="B27" i="3"/>
  <c r="B43" i="14" s="1"/>
  <c r="B28" i="3"/>
  <c r="B44" i="14" s="1"/>
  <c r="B22" i="3"/>
  <c r="B38" i="14" s="1"/>
  <c r="D18" i="3"/>
  <c r="B15" i="3"/>
  <c r="D14" i="3"/>
  <c r="C14" i="3"/>
  <c r="D18" i="2"/>
  <c r="D14" i="2"/>
  <c r="C14" i="2"/>
  <c r="B15" i="2"/>
  <c r="B16" i="2" s="1"/>
  <c r="B17" i="2" s="1"/>
  <c r="D17" i="2" s="1"/>
  <c r="K52" i="1"/>
  <c r="I52" i="1" s="1"/>
  <c r="K54" i="1"/>
  <c r="I54" i="1" s="1"/>
  <c r="K55" i="1"/>
  <c r="I55" i="1" s="1"/>
  <c r="K56" i="1"/>
  <c r="I56" i="1" s="1"/>
  <c r="K51" i="1"/>
  <c r="I51" i="1" s="1"/>
  <c r="D57" i="1"/>
  <c r="K57" i="1" s="1"/>
  <c r="I57" i="1" s="1"/>
  <c r="O48" i="26" l="1"/>
  <c r="Q61" i="26"/>
  <c r="Q51" i="26"/>
  <c r="Q45" i="26"/>
  <c r="J54" i="26"/>
  <c r="J45" i="26"/>
  <c r="Q40" i="26"/>
  <c r="O58" i="26"/>
  <c r="O52" i="26"/>
  <c r="O47" i="26"/>
  <c r="O42" i="26"/>
  <c r="L47" i="26"/>
  <c r="Q60" i="26"/>
  <c r="Q55" i="26"/>
  <c r="Q50" i="26"/>
  <c r="Q44" i="26"/>
  <c r="O39" i="26"/>
  <c r="O57" i="26"/>
  <c r="O51" i="26"/>
  <c r="O46" i="26"/>
  <c r="O41" i="26"/>
  <c r="J40" i="26"/>
  <c r="J57" i="26"/>
  <c r="L46" i="26"/>
  <c r="O53" i="26"/>
  <c r="Q54" i="26"/>
  <c r="Q49" i="26"/>
  <c r="J44" i="26"/>
  <c r="Q59" i="26"/>
  <c r="O61" i="26"/>
  <c r="O56" i="26"/>
  <c r="J48" i="26"/>
  <c r="L45" i="26"/>
  <c r="Q43" i="26"/>
  <c r="O45" i="26"/>
  <c r="O40" i="26"/>
  <c r="O50" i="26"/>
  <c r="Q39" i="26"/>
  <c r="Q48" i="26"/>
  <c r="Q58" i="26"/>
  <c r="Q53" i="26"/>
  <c r="O55" i="26"/>
  <c r="Q42" i="26"/>
  <c r="O60" i="26"/>
  <c r="Q47" i="26"/>
  <c r="J47" i="26"/>
  <c r="L43" i="26"/>
  <c r="O49" i="26"/>
  <c r="O44" i="26"/>
  <c r="O54" i="26"/>
  <c r="Q57" i="26"/>
  <c r="Q52" i="26"/>
  <c r="L50" i="26"/>
  <c r="J50" i="26"/>
  <c r="L49" i="26"/>
  <c r="J41" i="26"/>
  <c r="L48" i="26"/>
  <c r="J58" i="26"/>
  <c r="J49" i="26"/>
  <c r="L57" i="26"/>
  <c r="J53" i="26"/>
  <c r="L39" i="26"/>
  <c r="J61" i="26"/>
  <c r="L61" i="26"/>
  <c r="L56" i="26"/>
  <c r="J52" i="26"/>
  <c r="L40" i="26"/>
  <c r="L60" i="26"/>
  <c r="J39" i="26"/>
  <c r="J56" i="26"/>
  <c r="L55" i="26"/>
  <c r="L44" i="26"/>
  <c r="J43" i="26"/>
  <c r="J60" i="26"/>
  <c r="L54" i="26"/>
  <c r="L59" i="26"/>
  <c r="L41" i="26"/>
  <c r="J51" i="26"/>
  <c r="L53" i="26"/>
  <c r="L58" i="26"/>
  <c r="B40" i="14"/>
  <c r="B39" i="14"/>
  <c r="B42" i="14"/>
  <c r="B41" i="14"/>
  <c r="Y38" i="14"/>
  <c r="B6" i="2"/>
  <c r="AC16" i="2" s="1" a="1"/>
  <c r="AC16" i="2" s="1"/>
  <c r="H6" i="2"/>
  <c r="G6" i="2"/>
  <c r="F6" i="2"/>
  <c r="K23" i="2" s="1" a="1"/>
  <c r="K23" i="2" s="1"/>
  <c r="E6" i="2"/>
  <c r="D6" i="2"/>
  <c r="C6" i="2"/>
  <c r="K21" i="24"/>
  <c r="S24" i="24"/>
  <c r="AZ24" i="24"/>
  <c r="X19" i="24"/>
  <c r="C6" i="3" s="1"/>
  <c r="BG19" i="24"/>
  <c r="X22" i="24"/>
  <c r="F6" i="3" s="1"/>
  <c r="BG20" i="24"/>
  <c r="AB21" i="24"/>
  <c r="BG22" i="24"/>
  <c r="BC18" i="24"/>
  <c r="AB22" i="24"/>
  <c r="BK21" i="24"/>
  <c r="AB24" i="24"/>
  <c r="BK24" i="24"/>
  <c r="AG23" i="24"/>
  <c r="BP24" i="24"/>
  <c r="AG24" i="24"/>
  <c r="BR19" i="24"/>
  <c r="AI19" i="24"/>
  <c r="C6" i="14" s="1"/>
  <c r="BV18" i="24"/>
  <c r="AM18" i="24"/>
  <c r="BV19" i="24"/>
  <c r="AM21" i="24"/>
  <c r="BV20" i="24"/>
  <c r="AR21" i="24"/>
  <c r="BV21" i="24"/>
  <c r="AR23" i="24"/>
  <c r="BV22" i="24"/>
  <c r="AV22" i="24"/>
  <c r="BV23" i="24"/>
  <c r="AX18" i="24"/>
  <c r="BV24" i="24"/>
  <c r="X21" i="24"/>
  <c r="E6" i="3" s="1"/>
  <c r="AB23" i="24"/>
  <c r="AI18" i="24"/>
  <c r="B6" i="14" s="1"/>
  <c r="AM20" i="24"/>
  <c r="AR22" i="24"/>
  <c r="AV24" i="24"/>
  <c r="BC19" i="24"/>
  <c r="BG21" i="24"/>
  <c r="BK23" i="24"/>
  <c r="BR18" i="24"/>
  <c r="BC20" i="24"/>
  <c r="X23" i="24"/>
  <c r="G6" i="3" s="1"/>
  <c r="AD18" i="24"/>
  <c r="AI20" i="24"/>
  <c r="D6" i="14" s="1"/>
  <c r="AM22" i="24"/>
  <c r="AR24" i="24"/>
  <c r="AX19" i="24"/>
  <c r="BC21" i="24"/>
  <c r="BG23" i="24"/>
  <c r="BN18" i="24"/>
  <c r="BR20" i="24"/>
  <c r="BK22" i="24"/>
  <c r="X24" i="24"/>
  <c r="H6" i="3" s="1"/>
  <c r="AD19" i="24"/>
  <c r="AI21" i="24"/>
  <c r="E6" i="14" s="1"/>
  <c r="AM23" i="24"/>
  <c r="AT18" i="24"/>
  <c r="AX20" i="24"/>
  <c r="BC22" i="24"/>
  <c r="BG24" i="24"/>
  <c r="BN19" i="24"/>
  <c r="BR21" i="24"/>
  <c r="Z18" i="24"/>
  <c r="AD20" i="24"/>
  <c r="AI22" i="24"/>
  <c r="F6" i="14" s="1"/>
  <c r="AM24" i="24"/>
  <c r="AT19" i="24"/>
  <c r="AX21" i="24"/>
  <c r="BC23" i="24"/>
  <c r="BI18" i="24"/>
  <c r="BN20" i="24"/>
  <c r="BR22" i="24"/>
  <c r="O23" i="24"/>
  <c r="Z19" i="24"/>
  <c r="AD21" i="24"/>
  <c r="AI23" i="24"/>
  <c r="G6" i="14" s="1"/>
  <c r="AO18" i="24"/>
  <c r="AT20" i="24"/>
  <c r="AX22" i="24"/>
  <c r="BC24" i="24"/>
  <c r="BI19" i="24"/>
  <c r="BN21" i="24"/>
  <c r="BR23" i="24"/>
  <c r="AM19" i="24"/>
  <c r="V18" i="24"/>
  <c r="Z20" i="24"/>
  <c r="AD22" i="24"/>
  <c r="AI24" i="24"/>
  <c r="H6" i="14" s="1"/>
  <c r="AO19" i="24"/>
  <c r="AT21" i="24"/>
  <c r="AX23" i="24"/>
  <c r="BE18" i="24"/>
  <c r="BI20" i="24"/>
  <c r="BN22" i="24"/>
  <c r="BR24" i="24"/>
  <c r="BP23" i="24"/>
  <c r="V19" i="24"/>
  <c r="Z21" i="24"/>
  <c r="AD23" i="24"/>
  <c r="AK18" i="24"/>
  <c r="AO20" i="24"/>
  <c r="AT22" i="24"/>
  <c r="AX24" i="24"/>
  <c r="BE19" i="24"/>
  <c r="BI21" i="24"/>
  <c r="BN23" i="24"/>
  <c r="BT18" i="24"/>
  <c r="V20" i="24"/>
  <c r="Z22" i="24"/>
  <c r="AD24" i="24"/>
  <c r="AK19" i="24"/>
  <c r="AO21" i="24"/>
  <c r="AT23" i="24"/>
  <c r="AZ18" i="24"/>
  <c r="BE20" i="24"/>
  <c r="BI22" i="24"/>
  <c r="BN24" i="24"/>
  <c r="BT19" i="24"/>
  <c r="V21" i="24"/>
  <c r="Z23" i="24"/>
  <c r="AG18" i="24"/>
  <c r="AK20" i="24"/>
  <c r="AO22" i="24"/>
  <c r="AT24" i="24"/>
  <c r="AZ19" i="24"/>
  <c r="BE21" i="24"/>
  <c r="BI23" i="24"/>
  <c r="BP18" i="24"/>
  <c r="BT20" i="24"/>
  <c r="V22" i="24"/>
  <c r="Z24" i="24"/>
  <c r="AG19" i="24"/>
  <c r="AK21" i="24"/>
  <c r="AO23" i="24"/>
  <c r="AV18" i="24"/>
  <c r="AZ20" i="24"/>
  <c r="BE22" i="24"/>
  <c r="BI24" i="24"/>
  <c r="BP19" i="24"/>
  <c r="BT21" i="24"/>
  <c r="AR20" i="24"/>
  <c r="X20" i="24"/>
  <c r="D6" i="3" s="1"/>
  <c r="V23" i="24"/>
  <c r="AB18" i="24"/>
  <c r="AG20" i="24"/>
  <c r="AK22" i="24"/>
  <c r="AO24" i="24"/>
  <c r="AV19" i="24"/>
  <c r="AZ21" i="24"/>
  <c r="BE23" i="24"/>
  <c r="BK18" i="24"/>
  <c r="BP20" i="24"/>
  <c r="BT22" i="24"/>
  <c r="V24" i="24"/>
  <c r="AB19" i="24"/>
  <c r="AG21" i="24"/>
  <c r="AK23" i="24"/>
  <c r="AR18" i="24"/>
  <c r="AV20" i="24"/>
  <c r="AZ22" i="24"/>
  <c r="BE24" i="24"/>
  <c r="BK19" i="24"/>
  <c r="BP21" i="24"/>
  <c r="BT23" i="24"/>
  <c r="X18" i="24"/>
  <c r="B6" i="3" s="1"/>
  <c r="AB20" i="24"/>
  <c r="AG22" i="24"/>
  <c r="AK24" i="24"/>
  <c r="AR19" i="24"/>
  <c r="AV21" i="24"/>
  <c r="AZ23" i="24"/>
  <c r="BG18" i="24"/>
  <c r="BK20" i="24"/>
  <c r="BP22" i="24"/>
  <c r="BT24" i="24"/>
  <c r="D16" i="14"/>
  <c r="B17" i="14"/>
  <c r="C18" i="14" s="1"/>
  <c r="D15" i="14"/>
  <c r="C15" i="14"/>
  <c r="C16" i="14"/>
  <c r="D15" i="3"/>
  <c r="B16" i="3"/>
  <c r="C15" i="3"/>
  <c r="C17" i="2"/>
  <c r="C18" i="2"/>
  <c r="C15" i="2"/>
  <c r="D16" i="2"/>
  <c r="C16" i="2"/>
  <c r="D15" i="2"/>
  <c r="K31" i="1"/>
  <c r="K32" i="1"/>
  <c r="K33" i="1"/>
  <c r="K34" i="1"/>
  <c r="K35" i="1"/>
  <c r="K36" i="1"/>
  <c r="K30" i="1"/>
  <c r="H31" i="1"/>
  <c r="H32" i="1"/>
  <c r="H33" i="1"/>
  <c r="H34" i="1"/>
  <c r="H35" i="1"/>
  <c r="H36" i="1"/>
  <c r="H30" i="1"/>
  <c r="Q8" i="15" l="1"/>
  <c r="P8" i="15" s="1"/>
  <c r="R8" i="15" s="1"/>
  <c r="Q6" i="15"/>
  <c r="P6" i="15" s="1"/>
  <c r="R6" i="15" s="1"/>
  <c r="Q23" i="15"/>
  <c r="P23" i="15" s="1"/>
  <c r="R23" i="15" s="1"/>
  <c r="Q11" i="15"/>
  <c r="P11" i="15" s="1"/>
  <c r="R11" i="15" s="1"/>
  <c r="Q7" i="15"/>
  <c r="P7" i="15" s="1"/>
  <c r="R7" i="15" s="1"/>
  <c r="Q26" i="15"/>
  <c r="P26" i="15" s="1"/>
  <c r="R26" i="15" s="1"/>
  <c r="Q9" i="15"/>
  <c r="P9" i="15" s="1"/>
  <c r="R9" i="15" s="1"/>
  <c r="Q12" i="15"/>
  <c r="P12" i="15" s="1"/>
  <c r="R12" i="15" s="1"/>
  <c r="Q16" i="15"/>
  <c r="P16" i="15" s="1"/>
  <c r="R16" i="15" s="1"/>
  <c r="Q22" i="15"/>
  <c r="P22" i="15" s="1"/>
  <c r="R22" i="15" s="1"/>
  <c r="Q24" i="15"/>
  <c r="P24" i="15" s="1"/>
  <c r="R24" i="15" s="1"/>
  <c r="Q21" i="15"/>
  <c r="P21" i="15" s="1"/>
  <c r="R21" i="15" s="1"/>
  <c r="Q17" i="15"/>
  <c r="P17" i="15" s="1"/>
  <c r="R17" i="15" s="1"/>
  <c r="Q10" i="15"/>
  <c r="P10" i="15" s="1"/>
  <c r="R10" i="15" s="1"/>
  <c r="Q15" i="15"/>
  <c r="P15" i="15" s="1"/>
  <c r="R15" i="15" s="1"/>
  <c r="Q14" i="15"/>
  <c r="P14" i="15" s="1"/>
  <c r="R14" i="15" s="1"/>
  <c r="Q25" i="15"/>
  <c r="P25" i="15" s="1"/>
  <c r="R25" i="15" s="1"/>
  <c r="Q13" i="15"/>
  <c r="P13" i="15" s="1"/>
  <c r="R13" i="15" s="1"/>
  <c r="AC59" i="14" a="1"/>
  <c r="AC59" i="14" s="1"/>
  <c r="AC60" i="14" a="1"/>
  <c r="AC60" i="14" s="1"/>
  <c r="AC61" i="14" a="1"/>
  <c r="AC61" i="14" s="1"/>
  <c r="AC62" i="14" a="1"/>
  <c r="AC62" i="14" s="1"/>
  <c r="AC58" i="14" a="1"/>
  <c r="AC58" i="14" s="1"/>
  <c r="T59" i="14" a="1"/>
  <c r="T59" i="14" s="1"/>
  <c r="T60" i="14" a="1"/>
  <c r="T60" i="14" s="1"/>
  <c r="T61" i="14" a="1"/>
  <c r="T61" i="14" s="1"/>
  <c r="T62" i="14" a="1"/>
  <c r="T62" i="14" s="1"/>
  <c r="T58" i="14" a="1"/>
  <c r="T58" i="14" s="1"/>
  <c r="K59" i="14" a="1"/>
  <c r="K59" i="14" s="1"/>
  <c r="K60" i="14" a="1"/>
  <c r="K60" i="14" s="1"/>
  <c r="K61" i="14" a="1"/>
  <c r="K61" i="14" s="1"/>
  <c r="K62" i="14" a="1"/>
  <c r="K62" i="14" s="1"/>
  <c r="K58" i="14" a="1"/>
  <c r="K58" i="14" s="1"/>
  <c r="AC50" i="14" a="1"/>
  <c r="AC50" i="14" s="1"/>
  <c r="AC51" i="14" a="1"/>
  <c r="AC51" i="14" s="1"/>
  <c r="AC52" i="14" a="1"/>
  <c r="AC52" i="14" s="1"/>
  <c r="AC53" i="14" a="1"/>
  <c r="AC53" i="14" s="1"/>
  <c r="AC49" i="14" a="1"/>
  <c r="AC49" i="14" s="1"/>
  <c r="T50" i="14" a="1"/>
  <c r="T50" i="14" s="1"/>
  <c r="T51" i="14" a="1"/>
  <c r="T51" i="14" s="1"/>
  <c r="T52" i="14" a="1"/>
  <c r="T52" i="14" s="1"/>
  <c r="T53" i="14" a="1"/>
  <c r="T53" i="14" s="1"/>
  <c r="T49" i="14" a="1"/>
  <c r="T49" i="14" s="1"/>
  <c r="K50" i="14" a="1"/>
  <c r="K50" i="14" s="1"/>
  <c r="K51" i="14" a="1"/>
  <c r="K51" i="14" s="1"/>
  <c r="K52" i="14" a="1"/>
  <c r="K52" i="14" s="1"/>
  <c r="K53" i="14" a="1"/>
  <c r="K53" i="14" s="1"/>
  <c r="K49" i="14" a="1"/>
  <c r="K49" i="14" s="1"/>
  <c r="AC41" i="14" a="1"/>
  <c r="AC41" i="14" s="1"/>
  <c r="AC42" i="14" a="1"/>
  <c r="AC42" i="14" s="1"/>
  <c r="AC43" i="14" a="1"/>
  <c r="AC43" i="14" s="1"/>
  <c r="AC44" i="14" a="1"/>
  <c r="AC44" i="14" s="1"/>
  <c r="AC40" i="14" a="1"/>
  <c r="AC40" i="14" s="1"/>
  <c r="T41" i="14" a="1"/>
  <c r="T41" i="14" s="1"/>
  <c r="T42" i="14" a="1"/>
  <c r="T42" i="14" s="1"/>
  <c r="T43" i="14" a="1"/>
  <c r="T43" i="14" s="1"/>
  <c r="T44" i="14" a="1"/>
  <c r="T44" i="14" s="1"/>
  <c r="T40" i="14" a="1"/>
  <c r="T40" i="14" s="1"/>
  <c r="K41" i="14" a="1"/>
  <c r="K41" i="14" s="1"/>
  <c r="K42" i="14" a="1"/>
  <c r="K42" i="14" s="1"/>
  <c r="K43" i="14" a="1"/>
  <c r="K43" i="14" s="1"/>
  <c r="K44" i="14" a="1"/>
  <c r="K44" i="14" s="1"/>
  <c r="K40" i="14" a="1"/>
  <c r="K40" i="14" s="1"/>
  <c r="AC24" i="2" a="1"/>
  <c r="AC24" i="2" s="1"/>
  <c r="AC25" i="2" a="1"/>
  <c r="AC25" i="2" s="1"/>
  <c r="AC26" i="2" a="1"/>
  <c r="AC26" i="2" s="1"/>
  <c r="AC22" i="2" a="1"/>
  <c r="AC22" i="2" s="1"/>
  <c r="AC23" i="2" a="1"/>
  <c r="AC23" i="2" s="1"/>
  <c r="AC15" i="2" a="1"/>
  <c r="AC15" i="2" s="1"/>
  <c r="AL17" i="2" a="1"/>
  <c r="AL17" i="2" s="1"/>
  <c r="AL18" i="2" a="1"/>
  <c r="AL18" i="2" s="1"/>
  <c r="AC18" i="2" a="1"/>
  <c r="AC18" i="2" s="1"/>
  <c r="AL16" i="2" a="1"/>
  <c r="AL16" i="2" s="1"/>
  <c r="AL14" i="2" a="1"/>
  <c r="AL14" i="2" s="1"/>
  <c r="AL15" i="2" a="1"/>
  <c r="AL15" i="2" s="1"/>
  <c r="AC17" i="2" a="1"/>
  <c r="AC17" i="2" s="1"/>
  <c r="AC14" i="2" a="1"/>
  <c r="AC14" i="2" s="1"/>
  <c r="K18" i="2" a="1"/>
  <c r="K18" i="2" s="1"/>
  <c r="T18" i="2" a="1"/>
  <c r="T18" i="2" s="1"/>
  <c r="T16" i="2" a="1"/>
  <c r="T16" i="2" s="1"/>
  <c r="T17" i="2" a="1"/>
  <c r="T17" i="2" s="1"/>
  <c r="T14" i="2" a="1"/>
  <c r="T14" i="2" s="1"/>
  <c r="T15" i="2" a="1"/>
  <c r="T15" i="2" s="1"/>
  <c r="T24" i="2" a="1"/>
  <c r="T24" i="2" s="1"/>
  <c r="T25" i="2" a="1"/>
  <c r="T25" i="2" s="1"/>
  <c r="T26" i="2" a="1"/>
  <c r="T26" i="2" s="1"/>
  <c r="T22" i="2" a="1"/>
  <c r="T22" i="2" s="1"/>
  <c r="T23" i="2" a="1"/>
  <c r="T23" i="2" s="1"/>
  <c r="K24" i="2" a="1"/>
  <c r="K24" i="2" s="1"/>
  <c r="K25" i="2" a="1"/>
  <c r="K25" i="2" s="1"/>
  <c r="K26" i="2" a="1"/>
  <c r="K26" i="2" s="1"/>
  <c r="K22" i="2" a="1"/>
  <c r="K22" i="2" s="1"/>
  <c r="K14" i="2" a="1"/>
  <c r="K14" i="2" s="1"/>
  <c r="K17" i="2" a="1"/>
  <c r="K17" i="2" s="1"/>
  <c r="K15" i="2" a="1"/>
  <c r="K15" i="2" s="1"/>
  <c r="K16" i="2" a="1"/>
  <c r="K16" i="2" s="1"/>
  <c r="AC35" i="14" a="1"/>
  <c r="AC35" i="14" s="1"/>
  <c r="AC34" i="14" a="1"/>
  <c r="AC34" i="14" s="1"/>
  <c r="AC33" i="14" a="1"/>
  <c r="AC33" i="14" s="1"/>
  <c r="AC32" i="14" a="1"/>
  <c r="AC32" i="14" s="1"/>
  <c r="AC31" i="14" a="1"/>
  <c r="AC31" i="14" s="1"/>
  <c r="T32" i="14" a="1"/>
  <c r="T32" i="14" s="1"/>
  <c r="T33" i="14" a="1"/>
  <c r="T33" i="14" s="1"/>
  <c r="T34" i="14" a="1"/>
  <c r="T34" i="14" s="1"/>
  <c r="T35" i="14" a="1"/>
  <c r="T35" i="14" s="1"/>
  <c r="T31" i="14" a="1"/>
  <c r="T31" i="14" s="1"/>
  <c r="K32" i="14" a="1"/>
  <c r="K32" i="14" s="1"/>
  <c r="K33" i="14" a="1"/>
  <c r="K33" i="14" s="1"/>
  <c r="K34" i="14" a="1"/>
  <c r="K34" i="14" s="1"/>
  <c r="K35" i="14" a="1"/>
  <c r="K35" i="14" s="1"/>
  <c r="K31" i="14" a="1"/>
  <c r="K31" i="14" s="1"/>
  <c r="AL26" i="14"/>
  <c r="AL23" i="14"/>
  <c r="AL22" i="14"/>
  <c r="AL24" i="14"/>
  <c r="AL25" i="14"/>
  <c r="AC26" i="14"/>
  <c r="AC23" i="14"/>
  <c r="AC22" i="14"/>
  <c r="AC24" i="14"/>
  <c r="AC25" i="14"/>
  <c r="T26" i="14"/>
  <c r="T23" i="14"/>
  <c r="T22" i="14"/>
  <c r="T24" i="14"/>
  <c r="T25" i="14"/>
  <c r="K26" i="14"/>
  <c r="K23" i="14"/>
  <c r="K22" i="14"/>
  <c r="K24" i="14"/>
  <c r="K25" i="14"/>
  <c r="D17" i="14"/>
  <c r="C17" i="14"/>
  <c r="D16" i="3"/>
  <c r="B17" i="3"/>
  <c r="D17" i="3" s="1"/>
  <c r="C16" i="3"/>
  <c r="E20" i="1"/>
  <c r="E21" i="1"/>
  <c r="E22" i="1"/>
  <c r="E23" i="1"/>
  <c r="E24" i="1"/>
  <c r="E25" i="1"/>
  <c r="E19" i="1"/>
  <c r="D20" i="1"/>
  <c r="D21" i="1"/>
  <c r="D22" i="1"/>
  <c r="D23" i="1"/>
  <c r="D24" i="1"/>
  <c r="D25" i="1"/>
  <c r="D19" i="1"/>
  <c r="B9" i="1"/>
  <c r="D9" i="1" s="1"/>
  <c r="C41" i="1" s="1"/>
  <c r="J2" i="1"/>
  <c r="J1" i="1"/>
  <c r="H9" i="24" l="1"/>
  <c r="N9" i="24" s="1"/>
  <c r="F2" i="24"/>
  <c r="D10" i="24"/>
  <c r="J10" i="24" s="1"/>
  <c r="D14" i="24"/>
  <c r="J14" i="24" s="1"/>
  <c r="G8" i="24"/>
  <c r="M8" i="24" s="1"/>
  <c r="F10" i="24"/>
  <c r="L10" i="24" s="1"/>
  <c r="G11" i="24"/>
  <c r="M11" i="24" s="1"/>
  <c r="H10" i="24"/>
  <c r="N10" i="24" s="1"/>
  <c r="H14" i="24"/>
  <c r="N14" i="24" s="1"/>
  <c r="D12" i="24"/>
  <c r="J12" i="24" s="1"/>
  <c r="D11" i="24"/>
  <c r="J11" i="24" s="1"/>
  <c r="F11" i="24"/>
  <c r="L11" i="24" s="1"/>
  <c r="H11" i="24"/>
  <c r="N11" i="24" s="1"/>
  <c r="L2" i="24"/>
  <c r="F12" i="24"/>
  <c r="L12" i="24" s="1"/>
  <c r="F13" i="24"/>
  <c r="L13" i="24" s="1"/>
  <c r="G13" i="24"/>
  <c r="M13" i="24" s="1"/>
  <c r="G10" i="24"/>
  <c r="M10" i="24" s="1"/>
  <c r="J2" i="24"/>
  <c r="G12" i="24"/>
  <c r="M12" i="24" s="1"/>
  <c r="B2" i="24"/>
  <c r="H12" i="24"/>
  <c r="N12" i="24" s="1"/>
  <c r="D9" i="24"/>
  <c r="J9" i="24" s="1"/>
  <c r="D13" i="24"/>
  <c r="J13" i="24" s="1"/>
  <c r="F9" i="24"/>
  <c r="L9" i="24" s="1"/>
  <c r="G9" i="24"/>
  <c r="M9" i="24" s="1"/>
  <c r="G14" i="24"/>
  <c r="M14" i="24" s="1"/>
  <c r="H2" i="24"/>
  <c r="D8" i="24"/>
  <c r="J8" i="24" s="1"/>
  <c r="H13" i="24"/>
  <c r="N13" i="24" s="1"/>
  <c r="H8" i="24"/>
  <c r="N8" i="24" s="1"/>
  <c r="F8" i="24"/>
  <c r="L8" i="24" s="1"/>
  <c r="F14" i="24"/>
  <c r="L14" i="24" s="1"/>
  <c r="C18" i="3"/>
  <c r="C17" i="3"/>
  <c r="E9" i="1"/>
  <c r="E41" i="1" s="1"/>
  <c r="H25" i="1"/>
  <c r="M25" i="1"/>
  <c r="R25" i="1"/>
  <c r="W25" i="1"/>
  <c r="W19" i="1"/>
  <c r="R19" i="1"/>
  <c r="M19" i="1"/>
  <c r="H19" i="1"/>
  <c r="H24" i="1"/>
  <c r="M24" i="1"/>
  <c r="W24" i="1"/>
  <c r="R24" i="1"/>
  <c r="M23" i="1"/>
  <c r="R23" i="1"/>
  <c r="H23" i="1"/>
  <c r="W23" i="1"/>
  <c r="M22" i="1"/>
  <c r="H22" i="1"/>
  <c r="W22" i="1"/>
  <c r="R22" i="1"/>
  <c r="R21" i="1"/>
  <c r="M21" i="1"/>
  <c r="H21" i="1"/>
  <c r="W21" i="1"/>
  <c r="W20" i="1"/>
  <c r="R20" i="1"/>
  <c r="M20" i="1"/>
  <c r="H20" i="1"/>
  <c r="Y19" i="1"/>
  <c r="T19" i="1"/>
  <c r="O19" i="1"/>
  <c r="J19" i="1"/>
  <c r="Y25" i="1"/>
  <c r="T25" i="1"/>
  <c r="O25" i="1"/>
  <c r="J25" i="1"/>
  <c r="Y24" i="1"/>
  <c r="T24" i="1"/>
  <c r="O24" i="1"/>
  <c r="J24" i="1"/>
  <c r="Y23" i="1"/>
  <c r="T23" i="1"/>
  <c r="O23" i="1"/>
  <c r="J23" i="1"/>
  <c r="Y22" i="1"/>
  <c r="T22" i="1"/>
  <c r="O22" i="1"/>
  <c r="J22" i="1"/>
  <c r="Y21" i="1"/>
  <c r="T21" i="1"/>
  <c r="O21" i="1"/>
  <c r="J21" i="1"/>
  <c r="Y20" i="1"/>
  <c r="T20" i="1"/>
  <c r="J20" i="1"/>
  <c r="O20" i="1"/>
  <c r="AF24" i="1"/>
  <c r="AG24" i="1" s="1"/>
  <c r="AB24" i="1"/>
  <c r="AF25" i="1"/>
  <c r="AG25" i="1" s="1"/>
  <c r="AB25" i="1"/>
  <c r="AF22" i="1"/>
  <c r="AG22" i="1" s="1"/>
  <c r="AB22" i="1"/>
  <c r="AF19" i="1"/>
  <c r="AG19" i="1" s="1"/>
  <c r="AB19" i="1"/>
  <c r="AF23" i="1"/>
  <c r="AG23" i="1" s="1"/>
  <c r="AB23" i="1"/>
  <c r="AF21" i="1"/>
  <c r="AG21" i="1" s="1"/>
  <c r="AB21" i="1"/>
  <c r="AF20" i="1"/>
  <c r="AG20" i="1" s="1"/>
  <c r="AB20" i="1"/>
  <c r="AH19" i="1"/>
  <c r="AI19" i="1" s="1"/>
  <c r="AD19" i="1"/>
  <c r="AH25" i="1"/>
  <c r="AI25" i="1" s="1"/>
  <c r="AD25" i="1"/>
  <c r="AH24" i="1"/>
  <c r="AI24" i="1" s="1"/>
  <c r="AD24" i="1"/>
  <c r="AH23" i="1"/>
  <c r="AI23" i="1" s="1"/>
  <c r="AD23" i="1"/>
  <c r="AH22" i="1"/>
  <c r="AI22" i="1" s="1"/>
  <c r="AD22" i="1"/>
  <c r="AH21" i="1"/>
  <c r="AI21" i="1" s="1"/>
  <c r="AD21" i="1"/>
  <c r="AH20" i="1"/>
  <c r="AI20" i="1" s="1"/>
  <c r="AD20" i="1"/>
  <c r="AB41" i="1"/>
  <c r="Y41" i="1"/>
  <c r="W41" i="1"/>
  <c r="T41" i="1"/>
  <c r="R41" i="1"/>
  <c r="D13" i="1"/>
  <c r="C45" i="1" s="1"/>
  <c r="D12" i="1"/>
  <c r="C44" i="1" s="1"/>
  <c r="D11" i="1"/>
  <c r="C43" i="1" s="1"/>
  <c r="D14" i="1"/>
  <c r="C46" i="1" s="1"/>
  <c r="D10" i="1"/>
  <c r="C42" i="1" s="1"/>
  <c r="D8" i="1"/>
  <c r="E8" i="1" l="1"/>
  <c r="C40" i="1"/>
  <c r="B2" i="2" s="1"/>
  <c r="B8" i="2"/>
  <c r="D8" i="2"/>
  <c r="H8" i="2"/>
  <c r="C8" i="2"/>
  <c r="G8" i="2"/>
  <c r="F8" i="2"/>
  <c r="E8" i="2"/>
  <c r="H8" i="14"/>
  <c r="F8" i="3"/>
  <c r="C8" i="14"/>
  <c r="B8" i="3"/>
  <c r="G8" i="14"/>
  <c r="C8" i="3"/>
  <c r="G8" i="3"/>
  <c r="B8" i="14"/>
  <c r="E8" i="3"/>
  <c r="D8" i="14"/>
  <c r="H8" i="3"/>
  <c r="D8" i="3"/>
  <c r="F8" i="14"/>
  <c r="E8" i="14"/>
  <c r="B5" i="2"/>
  <c r="G5" i="2"/>
  <c r="H5" i="2"/>
  <c r="F5" i="2"/>
  <c r="D5" i="2"/>
  <c r="C5" i="2"/>
  <c r="G5" i="14"/>
  <c r="C5" i="14"/>
  <c r="D5" i="14"/>
  <c r="F5" i="3"/>
  <c r="C5" i="3"/>
  <c r="E5" i="14"/>
  <c r="D5" i="3"/>
  <c r="F5" i="14"/>
  <c r="E5" i="3"/>
  <c r="B5" i="14"/>
  <c r="H5" i="14"/>
  <c r="E5" i="2"/>
  <c r="G5" i="3"/>
  <c r="H5" i="3"/>
  <c r="B5" i="3"/>
  <c r="F9" i="2"/>
  <c r="E9" i="2"/>
  <c r="G9" i="2"/>
  <c r="D9" i="2"/>
  <c r="C9" i="2"/>
  <c r="B9" i="2"/>
  <c r="C9" i="14"/>
  <c r="G9" i="14"/>
  <c r="E9" i="14"/>
  <c r="H9" i="14"/>
  <c r="D9" i="3"/>
  <c r="F9" i="14"/>
  <c r="F9" i="3"/>
  <c r="G9" i="3"/>
  <c r="E9" i="3"/>
  <c r="C9" i="3"/>
  <c r="H9" i="2"/>
  <c r="B9" i="3"/>
  <c r="H9" i="3"/>
  <c r="D9" i="14"/>
  <c r="B9" i="14"/>
  <c r="AD41" i="1"/>
  <c r="E7" i="2"/>
  <c r="F7" i="2"/>
  <c r="D7" i="2"/>
  <c r="H7" i="2"/>
  <c r="B7" i="2"/>
  <c r="C7" i="2"/>
  <c r="B7" i="14"/>
  <c r="C7" i="14"/>
  <c r="H7" i="14"/>
  <c r="G7" i="2"/>
  <c r="D7" i="3"/>
  <c r="H7" i="3"/>
  <c r="F7" i="14"/>
  <c r="E7" i="3"/>
  <c r="E7" i="14"/>
  <c r="B7" i="3"/>
  <c r="G7" i="14"/>
  <c r="F7" i="3"/>
  <c r="D7" i="14"/>
  <c r="C7" i="3"/>
  <c r="G7" i="3"/>
  <c r="C3" i="2"/>
  <c r="C2" i="2"/>
  <c r="L35" i="1" a="1"/>
  <c r="L35" i="1" s="1"/>
  <c r="M45" i="1" s="1"/>
  <c r="G2" i="14" s="1"/>
  <c r="W40" i="1"/>
  <c r="L36" i="1" a="1"/>
  <c r="L36" i="1" s="1"/>
  <c r="M46" i="1" s="1"/>
  <c r="H2" i="14" s="1"/>
  <c r="AB40" i="1"/>
  <c r="L30" i="1" a="1"/>
  <c r="L30" i="1" s="1"/>
  <c r="M40" i="1" s="1"/>
  <c r="B2" i="14" s="1"/>
  <c r="I30" i="1" a="1"/>
  <c r="I30" i="1" s="1"/>
  <c r="I31" i="1" a="1"/>
  <c r="I31" i="1" s="1"/>
  <c r="H41" i="1" s="1"/>
  <c r="C2" i="3" s="1"/>
  <c r="I32" i="1" a="1"/>
  <c r="I32" i="1" s="1"/>
  <c r="H42" i="1" s="1"/>
  <c r="D2" i="3" s="1"/>
  <c r="L31" i="1" a="1"/>
  <c r="L31" i="1" s="1"/>
  <c r="M41" i="1" s="1"/>
  <c r="C2" i="14" s="1"/>
  <c r="I33" i="1" a="1"/>
  <c r="I33" i="1" s="1"/>
  <c r="H43" i="1" s="1"/>
  <c r="E2" i="3" s="1"/>
  <c r="I34" i="1" a="1"/>
  <c r="I34" i="1" s="1"/>
  <c r="H44" i="1" s="1"/>
  <c r="F2" i="3" s="1"/>
  <c r="L32" i="1" a="1"/>
  <c r="L32" i="1" s="1"/>
  <c r="M42" i="1" s="1"/>
  <c r="D2" i="14" s="1"/>
  <c r="I35" i="1" a="1"/>
  <c r="I35" i="1" s="1"/>
  <c r="H45" i="1" s="1"/>
  <c r="G2" i="3" s="1"/>
  <c r="I36" i="1" a="1"/>
  <c r="I36" i="1" s="1"/>
  <c r="H46" i="1" s="1"/>
  <c r="H2" i="3" s="1"/>
  <c r="L33" i="1" a="1"/>
  <c r="L33" i="1" s="1"/>
  <c r="M43" i="1" s="1"/>
  <c r="E2" i="14" s="1"/>
  <c r="L34" i="1" a="1"/>
  <c r="L34" i="1" s="1"/>
  <c r="M44" i="1" s="1"/>
  <c r="F2" i="14" s="1"/>
  <c r="R40" i="1"/>
  <c r="E11" i="1"/>
  <c r="AD43" i="1" s="1"/>
  <c r="R43" i="1"/>
  <c r="W43" i="1"/>
  <c r="AB43" i="1"/>
  <c r="E2" i="2"/>
  <c r="E12" i="1"/>
  <c r="AD44" i="1" s="1"/>
  <c r="AB44" i="1"/>
  <c r="F2" i="2"/>
  <c r="R44" i="1"/>
  <c r="W44" i="1"/>
  <c r="E13" i="1"/>
  <c r="AD45" i="1" s="1"/>
  <c r="G2" i="2"/>
  <c r="R45" i="1"/>
  <c r="W45" i="1"/>
  <c r="AB45" i="1"/>
  <c r="E10" i="1"/>
  <c r="AD42" i="1" s="1"/>
  <c r="R42" i="1"/>
  <c r="W42" i="1"/>
  <c r="AB42" i="1"/>
  <c r="D2" i="2"/>
  <c r="E14" i="1"/>
  <c r="AD46" i="1" s="1"/>
  <c r="R46" i="1"/>
  <c r="W46" i="1"/>
  <c r="AB46" i="1"/>
  <c r="H2" i="2"/>
  <c r="F8" i="1" l="1"/>
  <c r="G8" i="1"/>
  <c r="R14" i="2"/>
  <c r="R15" i="2"/>
  <c r="R16" i="2"/>
  <c r="R17" i="2"/>
  <c r="R18" i="2"/>
  <c r="AM23" i="14"/>
  <c r="AM26" i="14"/>
  <c r="AM22" i="14"/>
  <c r="AM24" i="14"/>
  <c r="AM25" i="14"/>
  <c r="N42" i="14"/>
  <c r="N43" i="14"/>
  <c r="N44" i="14"/>
  <c r="N40" i="14"/>
  <c r="N50" i="14"/>
  <c r="N51" i="14"/>
  <c r="N26" i="14"/>
  <c r="N52" i="14"/>
  <c r="N23" i="14"/>
  <c r="N53" i="14"/>
  <c r="N22" i="14"/>
  <c r="N49" i="14"/>
  <c r="N24" i="14"/>
  <c r="N59" i="14"/>
  <c r="N25" i="14"/>
  <c r="N60" i="14"/>
  <c r="N41" i="14"/>
  <c r="N61" i="14"/>
  <c r="N35" i="14"/>
  <c r="N62" i="14"/>
  <c r="N32" i="14"/>
  <c r="N58" i="14"/>
  <c r="N31" i="14"/>
  <c r="N33" i="14"/>
  <c r="N34" i="14"/>
  <c r="W18" i="2"/>
  <c r="W15" i="2"/>
  <c r="W17" i="2"/>
  <c r="W16" i="2"/>
  <c r="W14" i="2"/>
  <c r="M51" i="14"/>
  <c r="M52" i="14"/>
  <c r="M53" i="14"/>
  <c r="M49" i="14"/>
  <c r="M26" i="14"/>
  <c r="M59" i="14"/>
  <c r="M23" i="14"/>
  <c r="M60" i="14"/>
  <c r="M35" i="14"/>
  <c r="M22" i="14"/>
  <c r="M61" i="14"/>
  <c r="M32" i="14"/>
  <c r="M24" i="14"/>
  <c r="M50" i="14"/>
  <c r="M62" i="14"/>
  <c r="M31" i="14"/>
  <c r="M25" i="14"/>
  <c r="M58" i="14"/>
  <c r="M33" i="14"/>
  <c r="M34" i="14"/>
  <c r="M41" i="14"/>
  <c r="M42" i="14"/>
  <c r="M43" i="14"/>
  <c r="M44" i="14"/>
  <c r="M40" i="14"/>
  <c r="AF24" i="14"/>
  <c r="AF25" i="14"/>
  <c r="AF22" i="14"/>
  <c r="AF26" i="14"/>
  <c r="AF23" i="14"/>
  <c r="AF16" i="2"/>
  <c r="AF14" i="2"/>
  <c r="AF18" i="2"/>
  <c r="AF15" i="2"/>
  <c r="AF17" i="2"/>
  <c r="AB22" i="14"/>
  <c r="AB23" i="14"/>
  <c r="AB24" i="14"/>
  <c r="AB25" i="14"/>
  <c r="AB26" i="14"/>
  <c r="AD62" i="14"/>
  <c r="AD33" i="14"/>
  <c r="AD58" i="14"/>
  <c r="AD34" i="14"/>
  <c r="AD41" i="14"/>
  <c r="AD42" i="14"/>
  <c r="AD43" i="14"/>
  <c r="AD44" i="14"/>
  <c r="AD40" i="14"/>
  <c r="AD50" i="14"/>
  <c r="AD51" i="14"/>
  <c r="AD61" i="14"/>
  <c r="AD52" i="14"/>
  <c r="AD53" i="14"/>
  <c r="AD49" i="14"/>
  <c r="AD31" i="14"/>
  <c r="AD59" i="14"/>
  <c r="AD35" i="14"/>
  <c r="AD60" i="14"/>
  <c r="AD32" i="14"/>
  <c r="W26" i="2"/>
  <c r="W22" i="2"/>
  <c r="W23" i="2"/>
  <c r="W24" i="2"/>
  <c r="W25" i="2"/>
  <c r="S50" i="14"/>
  <c r="S51" i="14"/>
  <c r="S22" i="14"/>
  <c r="S52" i="14"/>
  <c r="S23" i="14"/>
  <c r="S53" i="14"/>
  <c r="S24" i="14"/>
  <c r="S49" i="14"/>
  <c r="S25" i="14"/>
  <c r="S40" i="14"/>
  <c r="S59" i="14"/>
  <c r="S26" i="14"/>
  <c r="S60" i="14"/>
  <c r="S61" i="14"/>
  <c r="S31" i="14"/>
  <c r="S62" i="14"/>
  <c r="S32" i="14"/>
  <c r="S58" i="14"/>
  <c r="S33" i="14"/>
  <c r="S34" i="14"/>
  <c r="S41" i="14"/>
  <c r="S35" i="14"/>
  <c r="S42" i="14"/>
  <c r="S43" i="14"/>
  <c r="S44" i="14"/>
  <c r="AO17" i="2"/>
  <c r="AO16" i="2"/>
  <c r="AO14" i="2"/>
  <c r="AO15" i="2"/>
  <c r="AO18" i="2"/>
  <c r="AF23" i="2"/>
  <c r="AF25" i="2"/>
  <c r="AF22" i="2"/>
  <c r="AF24" i="2"/>
  <c r="AF26" i="2"/>
  <c r="N23" i="2"/>
  <c r="N26" i="2"/>
  <c r="N25" i="2"/>
  <c r="N24" i="2"/>
  <c r="N22" i="2"/>
  <c r="S14" i="2"/>
  <c r="S18" i="2"/>
  <c r="S17" i="2"/>
  <c r="S16" i="2"/>
  <c r="S15" i="2"/>
  <c r="U22" i="2"/>
  <c r="U24" i="2"/>
  <c r="U25" i="2"/>
  <c r="U23" i="2"/>
  <c r="U26" i="2"/>
  <c r="AB14" i="2"/>
  <c r="AB16" i="2"/>
  <c r="AB17" i="2"/>
  <c r="AB15" i="2"/>
  <c r="AB18" i="2"/>
  <c r="V59" i="14"/>
  <c r="V40" i="14"/>
  <c r="V34" i="14"/>
  <c r="V60" i="14"/>
  <c r="V50" i="14"/>
  <c r="V61" i="14"/>
  <c r="V51" i="14"/>
  <c r="V62" i="14"/>
  <c r="V52" i="14"/>
  <c r="V58" i="14"/>
  <c r="V53" i="14"/>
  <c r="V49" i="14"/>
  <c r="V44" i="14"/>
  <c r="V26" i="14"/>
  <c r="V23" i="14"/>
  <c r="V22" i="14"/>
  <c r="V33" i="14"/>
  <c r="V24" i="14"/>
  <c r="V25" i="14"/>
  <c r="V41" i="14"/>
  <c r="V35" i="14"/>
  <c r="V42" i="14"/>
  <c r="V32" i="14"/>
  <c r="V43" i="14"/>
  <c r="V31" i="14"/>
  <c r="N18" i="2"/>
  <c r="N17" i="2"/>
  <c r="N15" i="2"/>
  <c r="N14" i="2"/>
  <c r="N16" i="2"/>
  <c r="J26" i="2"/>
  <c r="J24" i="2"/>
  <c r="J23" i="2"/>
  <c r="J25" i="2"/>
  <c r="J22" i="2"/>
  <c r="U26" i="14"/>
  <c r="U41" i="14"/>
  <c r="U35" i="14"/>
  <c r="U23" i="14"/>
  <c r="U42" i="14"/>
  <c r="U32" i="14"/>
  <c r="U22" i="14"/>
  <c r="U43" i="14"/>
  <c r="U31" i="14"/>
  <c r="U24" i="14"/>
  <c r="U44" i="14"/>
  <c r="U33" i="14"/>
  <c r="U25" i="14"/>
  <c r="U40" i="14"/>
  <c r="U34" i="14"/>
  <c r="U59" i="14"/>
  <c r="U50" i="14"/>
  <c r="U60" i="14"/>
  <c r="U51" i="14"/>
  <c r="U61" i="14"/>
  <c r="U52" i="14"/>
  <c r="U62" i="14"/>
  <c r="U53" i="14"/>
  <c r="U58" i="14"/>
  <c r="U49" i="14"/>
  <c r="AB26" i="2"/>
  <c r="AB25" i="2"/>
  <c r="AB22" i="2"/>
  <c r="AB24" i="2"/>
  <c r="AB23" i="2"/>
  <c r="L60" i="14"/>
  <c r="L35" i="14"/>
  <c r="L22" i="14"/>
  <c r="L61" i="14"/>
  <c r="L32" i="14"/>
  <c r="L24" i="14"/>
  <c r="L25" i="14"/>
  <c r="L62" i="14"/>
  <c r="L31" i="14"/>
  <c r="L58" i="14"/>
  <c r="L33" i="14"/>
  <c r="L34" i="14"/>
  <c r="L41" i="14"/>
  <c r="L42" i="14"/>
  <c r="L43" i="14"/>
  <c r="L44" i="14"/>
  <c r="L40" i="14"/>
  <c r="L50" i="14"/>
  <c r="L51" i="14"/>
  <c r="L23" i="14"/>
  <c r="L52" i="14"/>
  <c r="L59" i="14"/>
  <c r="L53" i="14"/>
  <c r="L49" i="14"/>
  <c r="L26" i="14"/>
  <c r="AK14" i="2"/>
  <c r="AK18" i="2"/>
  <c r="AK17" i="2"/>
  <c r="AK15" i="2"/>
  <c r="AK16" i="2"/>
  <c r="S22" i="2"/>
  <c r="S26" i="2"/>
  <c r="S25" i="2"/>
  <c r="S24" i="2"/>
  <c r="S23" i="2"/>
  <c r="AN18" i="2"/>
  <c r="AN16" i="2"/>
  <c r="AN17" i="2"/>
  <c r="AN14" i="2"/>
  <c r="AN15" i="2"/>
  <c r="U18" i="2"/>
  <c r="U15" i="2"/>
  <c r="U14" i="2"/>
  <c r="U17" i="2"/>
  <c r="U16" i="2"/>
  <c r="AF44" i="14"/>
  <c r="AF31" i="14"/>
  <c r="AF40" i="14"/>
  <c r="AF33" i="14"/>
  <c r="AF50" i="14"/>
  <c r="AF34" i="14"/>
  <c r="AF51" i="14"/>
  <c r="AF52" i="14"/>
  <c r="AF53" i="14"/>
  <c r="AF49" i="14"/>
  <c r="AF59" i="14"/>
  <c r="AF60" i="14"/>
  <c r="AF61" i="14"/>
  <c r="AF32" i="14"/>
  <c r="AF62" i="14"/>
  <c r="AF58" i="14"/>
  <c r="AF43" i="14"/>
  <c r="AF41" i="14"/>
  <c r="AF42" i="14"/>
  <c r="AF35" i="14"/>
  <c r="J18" i="2"/>
  <c r="J15" i="2"/>
  <c r="J17" i="2"/>
  <c r="J16" i="2"/>
  <c r="J14" i="2"/>
  <c r="M26" i="2"/>
  <c r="M23" i="2"/>
  <c r="M25" i="2"/>
  <c r="M24" i="2"/>
  <c r="M22" i="2"/>
  <c r="L18" i="2"/>
  <c r="L17" i="2"/>
  <c r="L16" i="2"/>
  <c r="L14" i="2"/>
  <c r="L15" i="2"/>
  <c r="J58" i="14"/>
  <c r="J59" i="14"/>
  <c r="J62" i="14"/>
  <c r="J60" i="14"/>
  <c r="J41" i="14"/>
  <c r="J42" i="14"/>
  <c r="J43" i="14"/>
  <c r="J31" i="14"/>
  <c r="J44" i="14"/>
  <c r="J32" i="14"/>
  <c r="J40" i="14"/>
  <c r="J33" i="14"/>
  <c r="J50" i="14"/>
  <c r="J34" i="14"/>
  <c r="J51" i="14"/>
  <c r="J35" i="14"/>
  <c r="J23" i="14"/>
  <c r="J52" i="14"/>
  <c r="J24" i="14"/>
  <c r="J53" i="14"/>
  <c r="J25" i="14"/>
  <c r="J49" i="14"/>
  <c r="J26" i="14"/>
  <c r="J22" i="14"/>
  <c r="J61" i="14"/>
  <c r="AN26" i="14"/>
  <c r="AN23" i="14"/>
  <c r="AN22" i="14"/>
  <c r="AN24" i="14"/>
  <c r="AN25" i="14"/>
  <c r="V26" i="2"/>
  <c r="V23" i="2"/>
  <c r="V24" i="2"/>
  <c r="V25" i="2"/>
  <c r="V22" i="2"/>
  <c r="AD26" i="2"/>
  <c r="AD23" i="2"/>
  <c r="AD22" i="2"/>
  <c r="AD25" i="2"/>
  <c r="AD24" i="2"/>
  <c r="AE53" i="14"/>
  <c r="AE49" i="14"/>
  <c r="AE59" i="14"/>
  <c r="AE60" i="14"/>
  <c r="AE35" i="14"/>
  <c r="AE61" i="14"/>
  <c r="AE32" i="14"/>
  <c r="AE62" i="14"/>
  <c r="AE31" i="14"/>
  <c r="AE58" i="14"/>
  <c r="AE33" i="14"/>
  <c r="AE34" i="14"/>
  <c r="AE41" i="14"/>
  <c r="AE42" i="14"/>
  <c r="AE43" i="14"/>
  <c r="AE44" i="14"/>
  <c r="AE40" i="14"/>
  <c r="AE50" i="14"/>
  <c r="AE51" i="14"/>
  <c r="AE52" i="14"/>
  <c r="V16" i="2"/>
  <c r="V17" i="2"/>
  <c r="V15" i="2"/>
  <c r="V14" i="2"/>
  <c r="V18" i="2"/>
  <c r="AD26" i="14"/>
  <c r="AD23" i="14"/>
  <c r="AD22" i="14"/>
  <c r="AD24" i="14"/>
  <c r="AD25" i="14"/>
  <c r="AD18" i="2"/>
  <c r="AD16" i="2"/>
  <c r="AD14" i="2"/>
  <c r="AD15" i="2"/>
  <c r="AD17" i="2"/>
  <c r="AO22" i="14"/>
  <c r="AO24" i="14"/>
  <c r="AO25" i="14"/>
  <c r="AO23" i="14"/>
  <c r="AO26" i="14"/>
  <c r="AB58" i="14"/>
  <c r="AB41" i="14"/>
  <c r="AB42" i="14"/>
  <c r="AB43" i="14"/>
  <c r="AB44" i="14"/>
  <c r="AB40" i="14"/>
  <c r="AB50" i="14"/>
  <c r="AB51" i="14"/>
  <c r="AB31" i="14"/>
  <c r="AB52" i="14"/>
  <c r="AB32" i="14"/>
  <c r="AB53" i="14"/>
  <c r="AB33" i="14"/>
  <c r="AB62" i="14"/>
  <c r="AB49" i="14"/>
  <c r="AB34" i="14"/>
  <c r="AB59" i="14"/>
  <c r="AB35" i="14"/>
  <c r="AB60" i="14"/>
  <c r="AB61" i="14"/>
  <c r="AE26" i="2"/>
  <c r="AE22" i="2"/>
  <c r="AE23" i="2"/>
  <c r="AE24" i="2"/>
  <c r="AE25" i="2"/>
  <c r="L24" i="2"/>
  <c r="L22" i="2"/>
  <c r="L23" i="2"/>
  <c r="L25" i="2"/>
  <c r="L26" i="2"/>
  <c r="AE15" i="2"/>
  <c r="AE16" i="2"/>
  <c r="AE18" i="2"/>
  <c r="AE17" i="2"/>
  <c r="AE14" i="2"/>
  <c r="AM17" i="2"/>
  <c r="AM16" i="2"/>
  <c r="AM14" i="2"/>
  <c r="AM15" i="2"/>
  <c r="AM18" i="2"/>
  <c r="W25" i="14"/>
  <c r="W49" i="14"/>
  <c r="W35" i="14"/>
  <c r="W32" i="14"/>
  <c r="W31" i="14"/>
  <c r="W33" i="14"/>
  <c r="W24" i="14"/>
  <c r="W41" i="14"/>
  <c r="W34" i="14"/>
  <c r="W42" i="14"/>
  <c r="W43" i="14"/>
  <c r="W58" i="14"/>
  <c r="W44" i="14"/>
  <c r="W40" i="14"/>
  <c r="W59" i="14"/>
  <c r="W50" i="14"/>
  <c r="W60" i="14"/>
  <c r="W51" i="14"/>
  <c r="W26" i="14"/>
  <c r="W61" i="14"/>
  <c r="W52" i="14"/>
  <c r="W23" i="14"/>
  <c r="W62" i="14"/>
  <c r="W53" i="14"/>
  <c r="W22" i="14"/>
  <c r="AK22" i="14"/>
  <c r="AK23" i="14"/>
  <c r="AK24" i="14"/>
  <c r="AK25" i="14"/>
  <c r="AK26" i="14"/>
  <c r="AE26" i="14"/>
  <c r="AE23" i="14"/>
  <c r="AE22" i="14"/>
  <c r="AE24" i="14"/>
  <c r="AE25" i="14"/>
  <c r="M15" i="2"/>
  <c r="M14" i="2"/>
  <c r="M18" i="2"/>
  <c r="M17" i="2"/>
  <c r="M16" i="2"/>
  <c r="Z59" i="14" a="1"/>
  <c r="Z59" i="14" s="1"/>
  <c r="Z58" i="14" a="1"/>
  <c r="Z58" i="14" s="1"/>
  <c r="Z60" i="14" a="1"/>
  <c r="Z60" i="14" s="1"/>
  <c r="Z61" i="14" a="1"/>
  <c r="Z61" i="14" s="1"/>
  <c r="Z62" i="14" a="1"/>
  <c r="Z62" i="14" s="1"/>
  <c r="Q59" i="14" a="1"/>
  <c r="Q59" i="14" s="1"/>
  <c r="Q58" i="14" a="1"/>
  <c r="Q58" i="14" s="1"/>
  <c r="Q60" i="14" a="1"/>
  <c r="Q60" i="14" s="1"/>
  <c r="Q61" i="14" a="1"/>
  <c r="Q61" i="14" s="1"/>
  <c r="Q62" i="14" a="1"/>
  <c r="Q62" i="14" s="1"/>
  <c r="H59" i="14" a="1"/>
  <c r="H59" i="14" s="1"/>
  <c r="H58" i="14" a="1"/>
  <c r="H58" i="14" s="1"/>
  <c r="H60" i="14" a="1"/>
  <c r="H60" i="14" s="1"/>
  <c r="H61" i="14" a="1"/>
  <c r="H61" i="14" s="1"/>
  <c r="H62" i="14" a="1"/>
  <c r="H62" i="14" s="1"/>
  <c r="Z50" i="14" a="1"/>
  <c r="Z50" i="14" s="1"/>
  <c r="Z49" i="14" a="1"/>
  <c r="Z49" i="14" s="1"/>
  <c r="Z51" i="14" a="1"/>
  <c r="Z51" i="14" s="1"/>
  <c r="Z52" i="14" a="1"/>
  <c r="Z52" i="14" s="1"/>
  <c r="Z53" i="14" a="1"/>
  <c r="Z53" i="14" s="1"/>
  <c r="Q50" i="14" a="1"/>
  <c r="Q50" i="14" s="1"/>
  <c r="Q49" i="14" a="1"/>
  <c r="Q49" i="14" s="1"/>
  <c r="Q51" i="14" a="1"/>
  <c r="Q51" i="14" s="1"/>
  <c r="Q52" i="14" a="1"/>
  <c r="Q52" i="14" s="1"/>
  <c r="Q53" i="14" a="1"/>
  <c r="Q53" i="14" s="1"/>
  <c r="H50" i="14" a="1"/>
  <c r="H50" i="14" s="1"/>
  <c r="H49" i="14" a="1"/>
  <c r="H49" i="14" s="1"/>
  <c r="H51" i="14" a="1"/>
  <c r="H51" i="14" s="1"/>
  <c r="H52" i="14" a="1"/>
  <c r="H52" i="14" s="1"/>
  <c r="H53" i="14" a="1"/>
  <c r="H53" i="14" s="1"/>
  <c r="Z41" i="14" a="1"/>
  <c r="Z41" i="14" s="1"/>
  <c r="Z40" i="14" a="1"/>
  <c r="Z40" i="14" s="1"/>
  <c r="Z42" i="14" a="1"/>
  <c r="Z42" i="14" s="1"/>
  <c r="Z43" i="14" a="1"/>
  <c r="Z43" i="14" s="1"/>
  <c r="Z44" i="14" a="1"/>
  <c r="Z44" i="14" s="1"/>
  <c r="Q41" i="14" a="1"/>
  <c r="Q41" i="14" s="1"/>
  <c r="Q40" i="14" a="1"/>
  <c r="Q40" i="14" s="1"/>
  <c r="Q42" i="14" a="1"/>
  <c r="Q42" i="14" s="1"/>
  <c r="Q43" i="14" a="1"/>
  <c r="Q43" i="14" s="1"/>
  <c r="Q44" i="14" a="1"/>
  <c r="Q44" i="14" s="1"/>
  <c r="H41" i="14" a="1"/>
  <c r="H41" i="14" s="1"/>
  <c r="H42" i="14" a="1"/>
  <c r="H42" i="14" s="1"/>
  <c r="H43" i="14" a="1"/>
  <c r="H43" i="14" s="1"/>
  <c r="H44" i="14" a="1"/>
  <c r="H44" i="14" s="1"/>
  <c r="H40" i="14" a="1"/>
  <c r="H40" i="14" s="1"/>
  <c r="Z32" i="14" a="1"/>
  <c r="Z32" i="14" s="1"/>
  <c r="Z31" i="14" a="1"/>
  <c r="Z31" i="14" s="1"/>
  <c r="Z33" i="14" a="1"/>
  <c r="Z33" i="14" s="1"/>
  <c r="Z34" i="14" a="1"/>
  <c r="Z34" i="14" s="1"/>
  <c r="Z35" i="14" a="1"/>
  <c r="Z35" i="14" s="1"/>
  <c r="Q32" i="14" a="1"/>
  <c r="Q32" i="14" s="1"/>
  <c r="Q31" i="14" a="1"/>
  <c r="Q31" i="14" s="1"/>
  <c r="Q33" i="14" a="1"/>
  <c r="Q33" i="14" s="1"/>
  <c r="Q34" i="14" a="1"/>
  <c r="Q34" i="14" s="1"/>
  <c r="Q35" i="14" a="1"/>
  <c r="Q35" i="14" s="1"/>
  <c r="H32" i="14" a="1"/>
  <c r="H32" i="14" s="1"/>
  <c r="H33" i="14" a="1"/>
  <c r="H33" i="14" s="1"/>
  <c r="H34" i="14" a="1"/>
  <c r="H34" i="14" s="1"/>
  <c r="H35" i="14" a="1"/>
  <c r="H35" i="14" s="1"/>
  <c r="H31" i="14" a="1"/>
  <c r="H31" i="14" s="1"/>
  <c r="AI23" i="14" a="1"/>
  <c r="AI23" i="14" s="1"/>
  <c r="AI22" i="14" a="1"/>
  <c r="AI22" i="14" s="1"/>
  <c r="AI24" i="14" a="1"/>
  <c r="AI24" i="14" s="1"/>
  <c r="AI25" i="14" a="1"/>
  <c r="AI25" i="14" s="1"/>
  <c r="AI26" i="14" a="1"/>
  <c r="AI26" i="14" s="1"/>
  <c r="Z23" i="14" a="1"/>
  <c r="Z23" i="14" s="1"/>
  <c r="Z22" i="14" a="1"/>
  <c r="Z22" i="14" s="1"/>
  <c r="Z24" i="14" a="1"/>
  <c r="Z24" i="14" s="1"/>
  <c r="Z25" i="14" a="1"/>
  <c r="Z25" i="14" s="1"/>
  <c r="Z26" i="14" a="1"/>
  <c r="Z26" i="14" s="1"/>
  <c r="Q23" i="14" a="1"/>
  <c r="Q23" i="14" s="1"/>
  <c r="Q22" i="14" a="1"/>
  <c r="Q22" i="14" s="1"/>
  <c r="Q24" i="14" a="1"/>
  <c r="Q24" i="14" s="1"/>
  <c r="Q25" i="14" a="1"/>
  <c r="Q25" i="14" s="1"/>
  <c r="Q26" i="14" a="1"/>
  <c r="Q26" i="14" s="1"/>
  <c r="H23" i="14" a="1"/>
  <c r="H23" i="14" s="1"/>
  <c r="H24" i="14" a="1"/>
  <c r="H24" i="14" s="1"/>
  <c r="H25" i="14" a="1"/>
  <c r="H25" i="14" s="1"/>
  <c r="H26" i="14" a="1"/>
  <c r="H26" i="14" s="1"/>
  <c r="H22" i="14" a="1"/>
  <c r="H22" i="14" s="1"/>
  <c r="Z22" i="2"/>
  <c r="Z23" i="2"/>
  <c r="Z24" i="2"/>
  <c r="Z25" i="2"/>
  <c r="Z26" i="2"/>
  <c r="Q22" i="2"/>
  <c r="Q23" i="2"/>
  <c r="Q24" i="2"/>
  <c r="Q25" i="2"/>
  <c r="Q26" i="2"/>
  <c r="H22" i="2"/>
  <c r="H23" i="2"/>
  <c r="H24" i="2"/>
  <c r="H25" i="2"/>
  <c r="H26" i="2"/>
  <c r="AI14" i="2"/>
  <c r="AI15" i="2"/>
  <c r="AI16" i="2"/>
  <c r="AI17" i="2"/>
  <c r="AI18" i="2"/>
  <c r="Z14" i="2"/>
  <c r="Z15" i="2"/>
  <c r="Z16" i="2"/>
  <c r="Z17" i="2"/>
  <c r="Z18" i="2"/>
  <c r="Q14" i="2"/>
  <c r="Q15" i="2"/>
  <c r="Q18" i="2"/>
  <c r="Q17" i="2"/>
  <c r="Q16" i="2"/>
  <c r="H18" i="2"/>
  <c r="H17" i="2"/>
  <c r="H16" i="2"/>
  <c r="H15" i="2"/>
  <c r="AD40" i="1"/>
  <c r="E45" i="1"/>
  <c r="T45" i="1"/>
  <c r="Y45" i="1"/>
  <c r="E44" i="1"/>
  <c r="F3" i="2" s="1"/>
  <c r="T44" i="1"/>
  <c r="Y44" i="1"/>
  <c r="T46" i="1"/>
  <c r="Y46" i="1"/>
  <c r="E46" i="1"/>
  <c r="H40" i="1"/>
  <c r="B2" i="3" s="1"/>
  <c r="T40" i="1"/>
  <c r="J32" i="1" a="1"/>
  <c r="J32" i="1" s="1"/>
  <c r="J42" i="1" s="1"/>
  <c r="D3" i="3" s="1"/>
  <c r="J36" i="1" a="1"/>
  <c r="J36" i="1" s="1"/>
  <c r="J46" i="1" s="1"/>
  <c r="H3" i="3" s="1"/>
  <c r="J33" i="1" a="1"/>
  <c r="J33" i="1" s="1"/>
  <c r="J43" i="1" s="1"/>
  <c r="E3" i="3" s="1"/>
  <c r="M35" i="1" a="1"/>
  <c r="M35" i="1" s="1"/>
  <c r="O45" i="1" s="1"/>
  <c r="G3" i="14" s="1"/>
  <c r="Y40" i="1"/>
  <c r="J34" i="1" a="1"/>
  <c r="J34" i="1" s="1"/>
  <c r="J44" i="1" s="1"/>
  <c r="F3" i="3" s="1"/>
  <c r="J35" i="1" a="1"/>
  <c r="J35" i="1" s="1"/>
  <c r="J45" i="1" s="1"/>
  <c r="G3" i="3" s="1"/>
  <c r="M36" i="1" a="1"/>
  <c r="M36" i="1" s="1"/>
  <c r="O46" i="1" s="1"/>
  <c r="H3" i="14" s="1"/>
  <c r="M30" i="1" a="1"/>
  <c r="M30" i="1" s="1"/>
  <c r="O40" i="1" s="1"/>
  <c r="B3" i="14" s="1"/>
  <c r="M31" i="1" a="1"/>
  <c r="M31" i="1" s="1"/>
  <c r="O41" i="1" s="1"/>
  <c r="C3" i="14" s="1"/>
  <c r="E40" i="1"/>
  <c r="B3" i="2" s="1"/>
  <c r="M32" i="1" a="1"/>
  <c r="M32" i="1" s="1"/>
  <c r="O42" i="1" s="1"/>
  <c r="D3" i="14" s="1"/>
  <c r="J31" i="1" a="1"/>
  <c r="J31" i="1" s="1"/>
  <c r="J41" i="1" s="1"/>
  <c r="C3" i="3" s="1"/>
  <c r="M34" i="1" a="1"/>
  <c r="M34" i="1" s="1"/>
  <c r="O44" i="1" s="1"/>
  <c r="F3" i="14" s="1"/>
  <c r="M33" i="1" a="1"/>
  <c r="M33" i="1" s="1"/>
  <c r="O43" i="1" s="1"/>
  <c r="E3" i="14" s="1"/>
  <c r="J30" i="1" a="1"/>
  <c r="J30" i="1" s="1"/>
  <c r="J40" i="1" s="1"/>
  <c r="B3" i="3" s="1"/>
  <c r="T43" i="1"/>
  <c r="Y43" i="1"/>
  <c r="E43" i="1"/>
  <c r="T42" i="1"/>
  <c r="Y42" i="1"/>
  <c r="E42" i="1"/>
  <c r="AA59" i="14" l="1" a="1"/>
  <c r="AA59" i="14" s="1"/>
  <c r="AA60" i="14" a="1"/>
  <c r="AA60" i="14" s="1"/>
  <c r="AA61" i="14" a="1"/>
  <c r="AA61" i="14" s="1"/>
  <c r="AA62" i="14" a="1"/>
  <c r="AA62" i="14" s="1"/>
  <c r="AA58" i="14" a="1"/>
  <c r="AA58" i="14" s="1"/>
  <c r="AA50" i="14" a="1"/>
  <c r="AA50" i="14" s="1"/>
  <c r="AA51" i="14" a="1"/>
  <c r="AA51" i="14" s="1"/>
  <c r="AA52" i="14" a="1"/>
  <c r="AA52" i="14" s="1"/>
  <c r="AA53" i="14" a="1"/>
  <c r="AA53" i="14" s="1"/>
  <c r="AA49" i="14" a="1"/>
  <c r="AA49" i="14" s="1"/>
  <c r="AA41" i="14" a="1"/>
  <c r="AA41" i="14" s="1"/>
  <c r="AA42" i="14" a="1"/>
  <c r="AA42" i="14" s="1"/>
  <c r="AA43" i="14" a="1"/>
  <c r="AA43" i="14" s="1"/>
  <c r="AA44" i="14" a="1"/>
  <c r="AA44" i="14" s="1"/>
  <c r="AA40" i="14" a="1"/>
  <c r="AA40" i="14" s="1"/>
  <c r="AA32" i="14" a="1"/>
  <c r="AA32" i="14" s="1"/>
  <c r="AA33" i="14" a="1"/>
  <c r="AA33" i="14" s="1"/>
  <c r="AA34" i="14" a="1"/>
  <c r="AA34" i="14" s="1"/>
  <c r="AA35" i="14" a="1"/>
  <c r="AA35" i="14" s="1"/>
  <c r="AA31" i="14" a="1"/>
  <c r="AA31" i="14" s="1"/>
  <c r="R59" i="14" a="1"/>
  <c r="R59" i="14" s="1"/>
  <c r="R60" i="14" a="1"/>
  <c r="R60" i="14" s="1"/>
  <c r="R61" i="14" a="1"/>
  <c r="R61" i="14" s="1"/>
  <c r="R62" i="14" a="1"/>
  <c r="R62" i="14" s="1"/>
  <c r="R58" i="14" a="1"/>
  <c r="R58" i="14" s="1"/>
  <c r="R50" i="14" a="1"/>
  <c r="R50" i="14" s="1"/>
  <c r="R51" i="14" a="1"/>
  <c r="R51" i="14" s="1"/>
  <c r="R52" i="14" a="1"/>
  <c r="R52" i="14" s="1"/>
  <c r="R53" i="14" a="1"/>
  <c r="R53" i="14" s="1"/>
  <c r="R49" i="14" a="1"/>
  <c r="R49" i="14" s="1"/>
  <c r="R41" i="14" a="1"/>
  <c r="R41" i="14" s="1"/>
  <c r="R42" i="14" a="1"/>
  <c r="R42" i="14" s="1"/>
  <c r="R43" i="14" a="1"/>
  <c r="R43" i="14" s="1"/>
  <c r="R44" i="14" a="1"/>
  <c r="R44" i="14" s="1"/>
  <c r="R40" i="14" a="1"/>
  <c r="R40" i="14" s="1"/>
  <c r="R32" i="14" a="1"/>
  <c r="R32" i="14" s="1"/>
  <c r="R33" i="14" a="1"/>
  <c r="R33" i="14" s="1"/>
  <c r="R34" i="14" a="1"/>
  <c r="R34" i="14" s="1"/>
  <c r="R35" i="14" a="1"/>
  <c r="R35" i="14" s="1"/>
  <c r="R31" i="14" a="1"/>
  <c r="R31" i="14" s="1"/>
  <c r="I59" i="14" a="1"/>
  <c r="I59" i="14" s="1"/>
  <c r="I60" i="14" a="1"/>
  <c r="I60" i="14" s="1"/>
  <c r="I61" i="14" a="1"/>
  <c r="I61" i="14" s="1"/>
  <c r="I62" i="14" a="1"/>
  <c r="I62" i="14" s="1"/>
  <c r="I58" i="14" a="1"/>
  <c r="I58" i="14" s="1"/>
  <c r="I50" i="14" a="1"/>
  <c r="I50" i="14" s="1"/>
  <c r="I51" i="14" a="1"/>
  <c r="I51" i="14" s="1"/>
  <c r="I52" i="14" a="1"/>
  <c r="I52" i="14" s="1"/>
  <c r="I53" i="14" a="1"/>
  <c r="I53" i="14" s="1"/>
  <c r="I49" i="14" a="1"/>
  <c r="I49" i="14" s="1"/>
  <c r="I42" i="14" a="1"/>
  <c r="I42" i="14" s="1"/>
  <c r="I43" i="14" a="1"/>
  <c r="I43" i="14" s="1"/>
  <c r="I41" i="14" a="1"/>
  <c r="I41" i="14" s="1"/>
  <c r="I44" i="14" a="1"/>
  <c r="I44" i="14" s="1"/>
  <c r="I40" i="14" a="1"/>
  <c r="I40" i="14" s="1"/>
  <c r="I32" i="14" a="1"/>
  <c r="I32" i="14" s="1"/>
  <c r="I33" i="14" a="1"/>
  <c r="I33" i="14" s="1"/>
  <c r="I34" i="14" a="1"/>
  <c r="I34" i="14" s="1"/>
  <c r="I35" i="14" a="1"/>
  <c r="I35" i="14" s="1"/>
  <c r="I31" i="14" a="1"/>
  <c r="I31" i="14" s="1"/>
  <c r="R23" i="14" a="1"/>
  <c r="R23" i="14" s="1"/>
  <c r="R24" i="14" a="1"/>
  <c r="R24" i="14" s="1"/>
  <c r="R25" i="14" a="1"/>
  <c r="R25" i="14" s="1"/>
  <c r="R26" i="14" a="1"/>
  <c r="R26" i="14" s="1"/>
  <c r="R22" i="14" a="1"/>
  <c r="R22" i="14" s="1"/>
  <c r="I23" i="14" a="1"/>
  <c r="I23" i="14" s="1"/>
  <c r="I24" i="14" a="1"/>
  <c r="I24" i="14" s="1"/>
  <c r="I25" i="14" a="1"/>
  <c r="I25" i="14" s="1"/>
  <c r="I26" i="14" a="1"/>
  <c r="I26" i="14" s="1"/>
  <c r="I22" i="14" a="1"/>
  <c r="I22" i="14" s="1"/>
  <c r="AJ23" i="14" a="1"/>
  <c r="AJ23" i="14" s="1"/>
  <c r="AJ24" i="14" a="1"/>
  <c r="AJ24" i="14" s="1"/>
  <c r="AJ25" i="14" a="1"/>
  <c r="AJ25" i="14" s="1"/>
  <c r="AJ26" i="14" a="1"/>
  <c r="AJ26" i="14" s="1"/>
  <c r="AJ22" i="14" a="1"/>
  <c r="AJ22" i="14" s="1"/>
  <c r="AA23" i="14" a="1"/>
  <c r="AA23" i="14" s="1"/>
  <c r="AA24" i="14" a="1"/>
  <c r="AA24" i="14" s="1"/>
  <c r="AA25" i="14" a="1"/>
  <c r="AA25" i="14" s="1"/>
  <c r="AA26" i="14" a="1"/>
  <c r="AA26" i="14" s="1"/>
  <c r="AA22" i="14" a="1"/>
  <c r="AA22" i="14" s="1"/>
  <c r="I14" i="2"/>
  <c r="I15" i="2"/>
  <c r="I16" i="2"/>
  <c r="I17" i="2"/>
  <c r="I18" i="2"/>
  <c r="X15" i="3" a="1"/>
  <c r="X15" i="3" s="1"/>
  <c r="W15" i="3" s="1"/>
  <c r="X17" i="3" a="1"/>
  <c r="X17" i="3" s="1"/>
  <c r="W17" i="3" s="1"/>
  <c r="X18" i="3" a="1"/>
  <c r="X18" i="3" s="1"/>
  <c r="W18" i="3" s="1"/>
  <c r="X16" i="3" a="1"/>
  <c r="X16" i="3" s="1"/>
  <c r="W16" i="3" s="1"/>
  <c r="X14" i="3" a="1"/>
  <c r="X14" i="3" s="1"/>
  <c r="W14" i="3" s="1"/>
  <c r="S15" i="3" a="1"/>
  <c r="S15" i="3" s="1"/>
  <c r="R15" i="3" s="1"/>
  <c r="S17" i="3" a="1"/>
  <c r="S17" i="3" s="1"/>
  <c r="R17" i="3" s="1"/>
  <c r="S18" i="3" a="1"/>
  <c r="S18" i="3" s="1"/>
  <c r="R18" i="3" s="1"/>
  <c r="S14" i="3" a="1"/>
  <c r="S14" i="3" s="1"/>
  <c r="R14" i="3" s="1"/>
  <c r="S16" i="3" a="1"/>
  <c r="S16" i="3" s="1"/>
  <c r="R16" i="3" s="1"/>
  <c r="N15" i="3" a="1"/>
  <c r="N15" i="3" s="1"/>
  <c r="M15" i="3" s="1"/>
  <c r="N17" i="3" a="1"/>
  <c r="N17" i="3" s="1"/>
  <c r="M17" i="3" s="1"/>
  <c r="N16" i="3" a="1"/>
  <c r="N16" i="3" s="1"/>
  <c r="M16" i="3" s="1"/>
  <c r="N18" i="3" a="1"/>
  <c r="N18" i="3" s="1"/>
  <c r="M18" i="3" s="1"/>
  <c r="N14" i="3" a="1"/>
  <c r="N14" i="3" s="1"/>
  <c r="M14" i="3" s="1"/>
  <c r="I15" i="3" a="1"/>
  <c r="I15" i="3" s="1"/>
  <c r="H15" i="3" s="1"/>
  <c r="I16" i="3" a="1"/>
  <c r="I16" i="3" s="1"/>
  <c r="H16" i="3" s="1"/>
  <c r="I17" i="3" a="1"/>
  <c r="I17" i="3" s="1"/>
  <c r="H17" i="3" s="1"/>
  <c r="I14" i="3" a="1"/>
  <c r="I14" i="3" s="1"/>
  <c r="H14" i="3" s="1"/>
  <c r="I18" i="3" a="1"/>
  <c r="I18" i="3" s="1"/>
  <c r="H18" i="3" s="1"/>
  <c r="C34" i="1" a="1"/>
  <c r="C34" i="1" s="1"/>
  <c r="D3" i="2"/>
  <c r="C32" i="1" a="1"/>
  <c r="C32" i="1" s="1"/>
  <c r="G3" i="2"/>
  <c r="C35" i="1" a="1"/>
  <c r="C35" i="1" s="1"/>
  <c r="E3" i="2"/>
  <c r="C33" i="1" a="1"/>
  <c r="C33" i="1" s="1"/>
  <c r="C31" i="1" a="1"/>
  <c r="C31" i="1" s="1"/>
  <c r="H3" i="2"/>
  <c r="C36" i="1" a="1"/>
  <c r="C36" i="1" s="1"/>
  <c r="C30" i="1" a="1"/>
  <c r="C30" i="1" s="1"/>
  <c r="AE6" i="16" s="1"/>
  <c r="G6" i="16" s="1"/>
  <c r="H14" i="2"/>
  <c r="B30" i="1" a="1"/>
  <c r="B30" i="1" s="1"/>
  <c r="C12" i="25" s="1"/>
  <c r="B12" i="25" s="1"/>
  <c r="B32" i="1" a="1"/>
  <c r="B32" i="1" s="1"/>
  <c r="B34" i="1" a="1"/>
  <c r="B34" i="1" s="1"/>
  <c r="B33" i="1" a="1"/>
  <c r="B33" i="1" s="1"/>
  <c r="B35" i="1" a="1"/>
  <c r="B35" i="1" s="1"/>
  <c r="B36" i="1" a="1"/>
  <c r="B36" i="1" s="1"/>
  <c r="B31" i="1" a="1"/>
  <c r="B31" i="1" s="1"/>
  <c r="AD7" i="16" s="1"/>
  <c r="G7" i="16" s="1"/>
  <c r="AJ14" i="2" l="1"/>
  <c r="AJ15" i="2"/>
  <c r="AJ16" i="2"/>
  <c r="AJ17" i="2"/>
  <c r="AJ18" i="2"/>
  <c r="AA23" i="2"/>
  <c r="AA24" i="2"/>
  <c r="AA25" i="2"/>
  <c r="AA26" i="2"/>
  <c r="AA22" i="2"/>
  <c r="AA15" i="2"/>
  <c r="AA16" i="2"/>
  <c r="AA17" i="2"/>
  <c r="AA18" i="2"/>
  <c r="AA14" i="2"/>
  <c r="R23" i="2"/>
  <c r="R24" i="2"/>
  <c r="R25" i="2"/>
  <c r="R26" i="2"/>
  <c r="R22" i="2"/>
  <c r="I22" i="2"/>
  <c r="I23" i="2"/>
  <c r="I24" i="2"/>
  <c r="I25" i="2"/>
  <c r="I26" i="2"/>
  <c r="D30" i="1"/>
  <c r="D31" i="1"/>
  <c r="D36" i="1"/>
  <c r="D35" i="1"/>
  <c r="D33" i="1"/>
  <c r="D34" i="1"/>
  <c r="D32" i="1"/>
  <c r="P18" i="15"/>
  <c r="Q18" i="15"/>
  <c r="R18" i="15"/>
  <c r="P19" i="15"/>
  <c r="Q19" i="15"/>
  <c r="R19" i="15"/>
  <c r="I20" i="15"/>
  <c r="L20" i="15"/>
  <c r="N20" i="15"/>
  <c r="P20" i="15"/>
  <c r="Q20" i="15"/>
  <c r="R20" i="15"/>
  <c r="Q19" i="26"/>
  <c r="R19" i="26"/>
  <c r="S19" i="26"/>
  <c r="Q20" i="26"/>
  <c r="R20" i="26"/>
  <c r="S20" i="26"/>
  <c r="J21" i="26"/>
  <c r="M21" i="26"/>
  <c r="O21" i="26"/>
  <c r="Q21" i="26"/>
  <c r="R21" i="26"/>
  <c r="S21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2" authorId="0" shapeId="0" xr:uid="{7E3DDDAC-10EB-4F52-8D92-7B308F117FA6}">
      <text>
        <r>
          <rPr>
            <sz val="9"/>
            <color indexed="81"/>
            <rFont val="宋体"/>
            <family val="3"/>
            <charset val="134"/>
          </rPr>
          <t>表示取哪种增长方式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2" authorId="0" shapeId="0" xr:uid="{60E849DD-91CC-45F1-A224-1E5E41E803DF}">
      <text>
        <r>
          <rPr>
            <sz val="9"/>
            <color indexed="81"/>
            <rFont val="宋体"/>
            <family val="3"/>
            <charset val="134"/>
          </rPr>
          <t>表示取哪种增长方式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2" authorId="0" shapeId="0" xr:uid="{24DAC88D-91E7-4237-9791-4BFDC8D7274C}">
      <text>
        <r>
          <rPr>
            <sz val="9"/>
            <color indexed="81"/>
            <rFont val="宋体"/>
            <family val="3"/>
            <charset val="134"/>
          </rPr>
          <t>表示取哪种增长方式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5" authorId="0" shapeId="0" xr:uid="{7F1A326B-7807-43FF-A7F0-8E474B9BAD8C}">
      <text>
        <r>
          <rPr>
            <sz val="9"/>
            <color indexed="81"/>
            <rFont val="宋体"/>
            <family val="3"/>
            <charset val="134"/>
          </rPr>
          <t xml:space="preserve">1】填1表示这个技能的生效时机是下一次普攻时
</t>
        </r>
      </text>
    </comment>
    <comment ref="M5" authorId="0" shapeId="0" xr:uid="{614202C8-61F4-4E28-AEE0-E8719E785BB7}">
      <text>
        <r>
          <rPr>
            <sz val="9"/>
            <color indexed="81"/>
            <rFont val="宋体"/>
            <family val="3"/>
            <charset val="134"/>
          </rPr>
          <t>1】一个技能的积分区域为它的施法时间或CD。所以施法时间和CD不得同时存在，否则称呼为异常技能
2】异常技能在一个多技能的游戏系统里于施法完毕后，在CD中可以进行其他攻击、治疗的动作，如释放其他技能。这导致异常技能CD部分会和其他技能的效果堆叠，即dD不再是标准值。理论上，我们可以减去堆叠出来的多余部分或加权扣减，但这个权值取决于其他的技能，而这些技能在CD中具体使用哪一个是不可预知的
——不可预知意味着需要假设概率模型，这称随机微分方程，其表达式为当前dD等于上一时刻的dD与一个概率分布相加，这对追求简洁建模而言是一个可怕的灾难
3】当有游戏性的设计需要时，可以存在非常少的异常技能，但这样的技能必须有较长的CD，如术士的混乱箭就有施法时间但CD很长，异常技能的累积伤害不服从dD的积分区域。很少的异常技能可作为误差忽略，尤其是每个职业都有异常技能时，它们会互相抵消，保证战斗时长的误差收敛到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6" authorId="0" shapeId="0" xr:uid="{339B210A-CFA5-435E-ACB8-6A5BE35C4B67}">
      <text>
        <r>
          <rPr>
            <sz val="9"/>
            <color indexed="81"/>
            <rFont val="宋体"/>
            <family val="3"/>
            <charset val="134"/>
          </rPr>
          <t xml:space="preserve">1】填1表示这个技能的生效时机是下一次普攻时
</t>
        </r>
      </text>
    </comment>
    <comment ref="N6" authorId="0" shapeId="0" xr:uid="{C20CA4BE-EE1D-4D71-B915-D13CBC3CFFEB}">
      <text>
        <r>
          <rPr>
            <sz val="9"/>
            <color indexed="81"/>
            <rFont val="宋体"/>
            <family val="3"/>
            <charset val="134"/>
          </rPr>
          <t>1】一个技能的积分区域为它的施法时间或CD。所以施法时间和CD不得同时存在，否则称呼为异常技能
2】异常技能在一个多技能的游戏系统里于施法完毕后，在CD中可以进行其他攻击、治疗的动作，如释放其他技能。这导致异常技能CD部分会和其他技能的效果堆叠，即dD不再是标准值。理论上，我们可以减去堆叠出来的多余部分或加权扣减，但这个权值取决于其他的技能，而这些技能在CD中具体使用哪一个是不可预知的
——不可预知意味着需要假设概率模型，这称随机微分方程，其表达式为当前dD等于上一时刻的dD与一个概率分布相加，这对追求简洁建模而言是一个可怕的灾难
3】当有游戏性的设计需要时，可以存在非常少的异常技能，但这样的技能必须有较长的CD，如术士的混乱箭就有施法时间但CD很长，异常技能的累积伤害不服从dD的积分区域。很少的异常技能可作为误差忽略，尤其是每个职业都有异常技能时，它们会互相抵消，保证战斗时长的误差收敛到0</t>
        </r>
      </text>
    </comment>
  </commentList>
</comments>
</file>

<file path=xl/sharedStrings.xml><?xml version="1.0" encoding="utf-8"?>
<sst xmlns="http://schemas.openxmlformats.org/spreadsheetml/2006/main" count="917" uniqueCount="236">
  <si>
    <t>最小容忍秒</t>
    <phoneticPr fontId="10" type="noConversion"/>
  </si>
  <si>
    <t>最大容忍</t>
    <phoneticPr fontId="10" type="noConversion"/>
  </si>
  <si>
    <t>数量级</t>
    <phoneticPr fontId="10" type="noConversion"/>
  </si>
  <si>
    <t>标准战斗时长</t>
    <phoneticPr fontId="10" type="noConversion"/>
  </si>
  <si>
    <t>最大生命周期</t>
    <phoneticPr fontId="10" type="noConversion"/>
  </si>
  <si>
    <t>最低付费门槛￥</t>
    <phoneticPr fontId="10" type="noConversion"/>
  </si>
  <si>
    <t>平均每日属性倍率</t>
    <phoneticPr fontId="10" type="noConversion"/>
  </si>
  <si>
    <t>每单位属性倍率￥</t>
    <phoneticPr fontId="10" type="noConversion"/>
  </si>
  <si>
    <t>最大属性倍率</t>
    <phoneticPr fontId="10" type="noConversion"/>
  </si>
  <si>
    <t>最大付费深度</t>
    <phoneticPr fontId="10" type="noConversion"/>
  </si>
  <si>
    <t>乘法？减法？</t>
    <phoneticPr fontId="10" type="noConversion"/>
  </si>
  <si>
    <t>付费可接受感受阈值</t>
    <phoneticPr fontId="10" type="noConversion"/>
  </si>
  <si>
    <t>付费对标游戏天数</t>
    <phoneticPr fontId="10" type="noConversion"/>
  </si>
  <si>
    <t>职业</t>
    <phoneticPr fontId="10" type="noConversion"/>
  </si>
  <si>
    <t>德鲁伊_熊形态</t>
    <phoneticPr fontId="10" type="noConversion"/>
  </si>
  <si>
    <t>猎人</t>
    <phoneticPr fontId="10" type="noConversion"/>
  </si>
  <si>
    <t>武器战士</t>
    <phoneticPr fontId="10" type="noConversion"/>
  </si>
  <si>
    <t>盗贼</t>
    <phoneticPr fontId="10" type="noConversion"/>
  </si>
  <si>
    <t>术士</t>
    <phoneticPr fontId="10" type="noConversion"/>
  </si>
  <si>
    <t>圣骑士</t>
    <phoneticPr fontId="10" type="noConversion"/>
  </si>
  <si>
    <t>牧师</t>
    <phoneticPr fontId="10" type="noConversion"/>
  </si>
  <si>
    <t>容忍时长</t>
    <phoneticPr fontId="10" type="noConversion"/>
  </si>
  <si>
    <t>容忍目标？</t>
    <phoneticPr fontId="10" type="noConversion"/>
  </si>
  <si>
    <t>伤害偏移</t>
    <phoneticPr fontId="10" type="noConversion"/>
  </si>
  <si>
    <t>角色升级</t>
  </si>
  <si>
    <t>角色升级</t>
    <phoneticPr fontId="10" type="noConversion"/>
  </si>
  <si>
    <t>武器伤害</t>
  </si>
  <si>
    <t>武器伤害</t>
    <phoneticPr fontId="10" type="noConversion"/>
  </si>
  <si>
    <t>装备</t>
  </si>
  <si>
    <t>装备</t>
    <phoneticPr fontId="10" type="noConversion"/>
  </si>
  <si>
    <t>dD</t>
  </si>
  <si>
    <t>dD</t>
    <phoneticPr fontId="10" type="noConversion"/>
  </si>
  <si>
    <t>dH</t>
  </si>
  <si>
    <t>dH</t>
    <phoneticPr fontId="10" type="noConversion"/>
  </si>
  <si>
    <t>技能</t>
  </si>
  <si>
    <t>技能</t>
    <phoneticPr fontId="10" type="noConversion"/>
  </si>
  <si>
    <t>随从</t>
  </si>
  <si>
    <t>随从</t>
    <phoneticPr fontId="10" type="noConversion"/>
  </si>
  <si>
    <t>模块权重&gt;&gt;</t>
    <phoneticPr fontId="10" type="noConversion"/>
  </si>
  <si>
    <t>不用武器？</t>
    <phoneticPr fontId="10" type="noConversion"/>
  </si>
  <si>
    <t>天赋专精</t>
  </si>
  <si>
    <t>天赋专精</t>
    <phoneticPr fontId="10" type="noConversion"/>
  </si>
  <si>
    <t>权重和</t>
    <phoneticPr fontId="10" type="noConversion"/>
  </si>
  <si>
    <t>携带随从？</t>
    <phoneticPr fontId="10" type="noConversion"/>
  </si>
  <si>
    <t>%</t>
  </si>
  <si>
    <t>%</t>
    <phoneticPr fontId="10" type="noConversion"/>
  </si>
  <si>
    <t>模块中职业偏移</t>
    <phoneticPr fontId="10" type="noConversion"/>
  </si>
  <si>
    <t>伤害偏移误差</t>
    <phoneticPr fontId="10" type="noConversion"/>
  </si>
  <si>
    <t>共用？</t>
    <phoneticPr fontId="10" type="noConversion"/>
  </si>
  <si>
    <t>++++++++++++</t>
    <phoneticPr fontId="10" type="noConversion"/>
  </si>
  <si>
    <t>职业平衡</t>
    <phoneticPr fontId="10" type="noConversion"/>
  </si>
  <si>
    <t>&lt;&lt;相乘</t>
    <phoneticPr fontId="10" type="noConversion"/>
  </si>
  <si>
    <t>生存偏移</t>
    <phoneticPr fontId="10" type="noConversion"/>
  </si>
  <si>
    <t>生存偏移误差</t>
    <phoneticPr fontId="10" type="noConversion"/>
  </si>
  <si>
    <t>最大</t>
    <phoneticPr fontId="10" type="noConversion"/>
  </si>
  <si>
    <t>最小秒</t>
    <phoneticPr fontId="10" type="noConversion"/>
  </si>
  <si>
    <t>其他属性</t>
    <phoneticPr fontId="10" type="noConversion"/>
  </si>
  <si>
    <t>最大减伤率</t>
    <phoneticPr fontId="10" type="noConversion"/>
  </si>
  <si>
    <t>最大暴击率</t>
    <phoneticPr fontId="10" type="noConversion"/>
  </si>
  <si>
    <t>最大闪避率</t>
  </si>
  <si>
    <t>最大闪避率</t>
    <phoneticPr fontId="10" type="noConversion"/>
  </si>
  <si>
    <t>最大格挡率</t>
    <phoneticPr fontId="10" type="noConversion"/>
  </si>
  <si>
    <t>最大招架率</t>
    <phoneticPr fontId="10" type="noConversion"/>
  </si>
  <si>
    <t>互斥事件组</t>
  </si>
  <si>
    <t>德鲁伊_熊形态</t>
  </si>
  <si>
    <t>武器战士</t>
  </si>
  <si>
    <t>盗贼</t>
  </si>
  <si>
    <t>猎人</t>
  </si>
  <si>
    <t>术士</t>
  </si>
  <si>
    <t>圣骑士</t>
  </si>
  <si>
    <t>牧师</t>
  </si>
  <si>
    <t>全概率</t>
    <phoneticPr fontId="10" type="noConversion"/>
  </si>
  <si>
    <t>最低命中率</t>
    <phoneticPr fontId="10" type="noConversion"/>
  </si>
  <si>
    <t>假设所有攻击都受其他属性的影响</t>
    <phoneticPr fontId="10" type="noConversion"/>
  </si>
  <si>
    <t>为空表示取职业平衡的偏移值</t>
    <phoneticPr fontId="10" type="noConversion"/>
  </si>
  <si>
    <t>线性</t>
    <phoneticPr fontId="10" type="noConversion"/>
  </si>
  <si>
    <t>一重积分</t>
    <phoneticPr fontId="10" type="noConversion"/>
  </si>
  <si>
    <t>对数增长</t>
    <phoneticPr fontId="10" type="noConversion"/>
  </si>
  <si>
    <t>攻击强度</t>
    <phoneticPr fontId="10" type="noConversion"/>
  </si>
  <si>
    <t>生命</t>
    <phoneticPr fontId="10" type="noConversion"/>
  </si>
  <si>
    <t>武器类型</t>
    <phoneticPr fontId="10" type="noConversion"/>
  </si>
  <si>
    <t>法杖</t>
  </si>
  <si>
    <t>法杖</t>
    <phoneticPr fontId="10" type="noConversion"/>
  </si>
  <si>
    <t>双手剑</t>
  </si>
  <si>
    <t>双手剑</t>
    <phoneticPr fontId="10" type="noConversion"/>
  </si>
  <si>
    <t>狩猎弓</t>
    <phoneticPr fontId="10" type="noConversion"/>
  </si>
  <si>
    <t>短匕</t>
  </si>
  <si>
    <t>短匕</t>
    <phoneticPr fontId="10" type="noConversion"/>
  </si>
  <si>
    <t>武器编码</t>
    <phoneticPr fontId="10" type="noConversion"/>
  </si>
  <si>
    <t>攻速</t>
    <phoneticPr fontId="10" type="noConversion"/>
  </si>
  <si>
    <t>攻击</t>
    <phoneticPr fontId="10" type="noConversion"/>
  </si>
  <si>
    <t>装备类型</t>
    <phoneticPr fontId="10" type="noConversion"/>
  </si>
  <si>
    <t>装备编码</t>
    <phoneticPr fontId="10" type="noConversion"/>
  </si>
  <si>
    <t>皮甲</t>
  </si>
  <si>
    <t>皮甲</t>
    <phoneticPr fontId="10" type="noConversion"/>
  </si>
  <si>
    <t>锁甲</t>
  </si>
  <si>
    <t>锁甲</t>
    <phoneticPr fontId="10" type="noConversion"/>
  </si>
  <si>
    <t>布甲</t>
  </si>
  <si>
    <t>布甲</t>
    <phoneticPr fontId="10" type="noConversion"/>
  </si>
  <si>
    <t>装备部位</t>
    <phoneticPr fontId="10" type="noConversion"/>
  </si>
  <si>
    <t>定位</t>
    <phoneticPr fontId="10" type="noConversion"/>
  </si>
  <si>
    <t>武器</t>
  </si>
  <si>
    <t>武器</t>
    <phoneticPr fontId="10" type="noConversion"/>
  </si>
  <si>
    <t>胸部</t>
  </si>
  <si>
    <t>胸部</t>
    <phoneticPr fontId="10" type="noConversion"/>
  </si>
  <si>
    <t>手套</t>
    <phoneticPr fontId="10" type="noConversion"/>
  </si>
  <si>
    <t>靴子</t>
    <phoneticPr fontId="10" type="noConversion"/>
  </si>
  <si>
    <t>护身符</t>
    <phoneticPr fontId="10" type="noConversion"/>
  </si>
  <si>
    <t>权重</t>
    <phoneticPr fontId="10" type="noConversion"/>
  </si>
  <si>
    <t>伤害微元</t>
  </si>
  <si>
    <t>暴击微元</t>
  </si>
  <si>
    <t>闪避微元</t>
  </si>
  <si>
    <t>招架微元</t>
  </si>
  <si>
    <t>护甲微元</t>
  </si>
  <si>
    <t>格挡微元</t>
  </si>
  <si>
    <t>其他属性系数</t>
    <phoneticPr fontId="10" type="noConversion"/>
  </si>
  <si>
    <t>每1%需要</t>
    <phoneticPr fontId="10" type="noConversion"/>
  </si>
  <si>
    <t>经数量级缩放</t>
    <phoneticPr fontId="10" type="noConversion"/>
  </si>
  <si>
    <t>暴击微元</t>
    <phoneticPr fontId="10" type="noConversion"/>
  </si>
  <si>
    <t>护甲微元</t>
    <phoneticPr fontId="10" type="noConversion"/>
  </si>
  <si>
    <t>格挡微元</t>
    <phoneticPr fontId="10" type="noConversion"/>
  </si>
  <si>
    <t>+++++++</t>
    <phoneticPr fontId="10" type="noConversion"/>
  </si>
  <si>
    <t>招架微元</t>
    <phoneticPr fontId="10" type="noConversion"/>
  </si>
  <si>
    <t>闪避微元</t>
    <phoneticPr fontId="10" type="noConversion"/>
  </si>
  <si>
    <t>手套</t>
  </si>
  <si>
    <t>靴子</t>
  </si>
  <si>
    <t>护身符</t>
  </si>
  <si>
    <t>计算</t>
    <phoneticPr fontId="10" type="noConversion"/>
  </si>
  <si>
    <t>施法时间</t>
    <phoneticPr fontId="10" type="noConversion"/>
  </si>
  <si>
    <t>持续时间</t>
    <phoneticPr fontId="10" type="noConversion"/>
  </si>
  <si>
    <t>生效间隔</t>
    <phoneticPr fontId="10" type="noConversion"/>
  </si>
  <si>
    <t>技能名</t>
    <phoneticPr fontId="10" type="noConversion"/>
  </si>
  <si>
    <t>文本描述</t>
    <phoneticPr fontId="10" type="noConversion"/>
  </si>
  <si>
    <t>重殴</t>
    <phoneticPr fontId="10" type="noConversion"/>
  </si>
  <si>
    <t>技能倍率</t>
    <phoneticPr fontId="10" type="noConversion"/>
  </si>
  <si>
    <t>重殴目标，造成750武器伤害</t>
    <phoneticPr fontId="10" type="noConversion"/>
  </si>
  <si>
    <t>痛击</t>
    <phoneticPr fontId="10" type="noConversion"/>
  </si>
  <si>
    <t>命中目标数</t>
    <phoneticPr fontId="10" type="noConversion"/>
  </si>
  <si>
    <t>痛击前方所有敌人，造成1%攻击强度的伤害</t>
    <phoneticPr fontId="10" type="noConversion"/>
  </si>
  <si>
    <t>无需引导？</t>
    <phoneticPr fontId="10" type="noConversion"/>
  </si>
  <si>
    <t>攻击列仅用于UI面板显示</t>
    <phoneticPr fontId="10" type="noConversion"/>
  </si>
  <si>
    <t>实际计算取攻击强度</t>
    <phoneticPr fontId="10" type="noConversion"/>
  </si>
  <si>
    <t>公共CD</t>
    <phoneticPr fontId="10" type="noConversion"/>
  </si>
  <si>
    <t>CD</t>
    <phoneticPr fontId="10" type="noConversion"/>
  </si>
  <si>
    <t>痛击_流血</t>
    <phoneticPr fontId="10" type="noConversion"/>
  </si>
  <si>
    <t>%&gt;&gt;</t>
    <phoneticPr fontId="10" type="noConversion"/>
  </si>
  <si>
    <t>装备等级</t>
    <phoneticPr fontId="10" type="noConversion"/>
  </si>
  <si>
    <t>顺劈斩</t>
    <phoneticPr fontId="10" type="noConversion"/>
  </si>
  <si>
    <t>猛击</t>
    <phoneticPr fontId="10" type="noConversion"/>
  </si>
  <si>
    <t>猛击对手，对其造成305%武器伤害</t>
    <phoneticPr fontId="10" type="noConversion"/>
  </si>
  <si>
    <t>旋风斩</t>
    <phoneticPr fontId="10" type="noConversion"/>
  </si>
  <si>
    <t>释放出钢铁旋风，攻击８码以内的所有敌人，造成270%武器伤害</t>
    <phoneticPr fontId="10" type="noConversion"/>
  </si>
  <si>
    <t>横扫前方所有敌人（至多５个），造成90%武器伤害</t>
    <phoneticPr fontId="10" type="noConversion"/>
  </si>
  <si>
    <t>突刺目标，对其造成500%武器伤害。当你在目标背后时伤害提高２０％</t>
    <phoneticPr fontId="10" type="noConversion"/>
  </si>
  <si>
    <t>背刺</t>
    <phoneticPr fontId="10" type="noConversion"/>
  </si>
  <si>
    <t>锁喉</t>
    <phoneticPr fontId="10" type="noConversion"/>
  </si>
  <si>
    <t>痛击前方所有敌人使其流血，周期性的造成123%攻击强度的流血伤害</t>
    <phoneticPr fontId="10" type="noConversion"/>
  </si>
  <si>
    <t>影袭</t>
    <phoneticPr fontId="10" type="noConversion"/>
  </si>
  <si>
    <t>立即攻击，对目标造成208%武器伤害</t>
    <phoneticPr fontId="10" type="noConversion"/>
  </si>
  <si>
    <t>发射多枚箭矢，对你的当前目标及８码范围内的所有敌人造成100%武器伤害</t>
    <phoneticPr fontId="10" type="noConversion"/>
  </si>
  <si>
    <t>多重射击</t>
    <phoneticPr fontId="10" type="noConversion"/>
  </si>
  <si>
    <t>瞄准射击</t>
    <phoneticPr fontId="10" type="noConversion"/>
  </si>
  <si>
    <t>一次强力的瞄准射击，造成0%武器伤害。如果目标尚未受到过你的伤害，则伤害提高５０％</t>
    <phoneticPr fontId="10" type="noConversion"/>
  </si>
  <si>
    <t>奇美拉射击</t>
    <phoneticPr fontId="10" type="noConversion"/>
  </si>
  <si>
    <t>一次双龙出海般的射击，攻击主要目标和附近的另一个目标，对其中一个造成720%武器伤害，对另一个造成【计算伤害 - 自由分配值】％武器伤害</t>
    <phoneticPr fontId="10" type="noConversion"/>
  </si>
  <si>
    <t>腐蚀术</t>
    <phoneticPr fontId="10" type="noConversion"/>
  </si>
  <si>
    <t>对敌人施放锁喉，在１８秒内每周期对其造成810%攻击强度的流血伤害</t>
    <phoneticPr fontId="10" type="noConversion"/>
  </si>
  <si>
    <t>腐蚀目标，在１４秒内每周期对其造成241.5%法术强度的伤害</t>
    <phoneticPr fontId="10" type="noConversion"/>
  </si>
  <si>
    <t>暗影箭</t>
    <phoneticPr fontId="10" type="noConversion"/>
  </si>
  <si>
    <t>向敌人发射一支暗影箭，对其造成125%法术强度的伤害</t>
    <phoneticPr fontId="10" type="noConversion"/>
  </si>
  <si>
    <t>火焰之雨</t>
    <phoneticPr fontId="10" type="noConversion"/>
  </si>
  <si>
    <t>地狱之火如雨般落下，在８秒内对范围内的敌人周期性的造成640%法术强度的火焰伤害</t>
    <phoneticPr fontId="10" type="noConversion"/>
  </si>
  <si>
    <t>审判</t>
    <phoneticPr fontId="10" type="noConversion"/>
  </si>
  <si>
    <t>奉献</t>
    <phoneticPr fontId="10" type="noConversion"/>
  </si>
  <si>
    <t>将圣洁的能量灌入你脚下的土地，在９秒内对进入该区域的敌人周期性的造成270%攻击强度的伤害</t>
    <phoneticPr fontId="10" type="noConversion"/>
  </si>
  <si>
    <t>十字军打击</t>
    <phoneticPr fontId="10" type="noConversion"/>
  </si>
  <si>
    <t>攻击目标，造成290%武器伤害。可以使用２次</t>
    <phoneticPr fontId="10" type="noConversion"/>
  </si>
  <si>
    <t>惩击</t>
    <phoneticPr fontId="10" type="noConversion"/>
  </si>
  <si>
    <t>惩击一名敌人，造成260%法术强度的伤害，并有２０％几率重置神圣之火的冷却时间</t>
    <phoneticPr fontId="10" type="noConversion"/>
  </si>
  <si>
    <t>神圣之火</t>
    <phoneticPr fontId="10" type="noConversion"/>
  </si>
  <si>
    <t>神圣的烈焰吞噬敌人，对其造成200%法术强度的伤害</t>
    <phoneticPr fontId="10" type="noConversion"/>
  </si>
  <si>
    <t>神圣之火_神圣烈焰</t>
    <phoneticPr fontId="10" type="noConversion"/>
  </si>
  <si>
    <t>神圣的烈焰吞噬敌人，在７秒内周期性的造成231%法术强度的伤害</t>
    <phoneticPr fontId="10" type="noConversion"/>
  </si>
  <si>
    <t>熊形态</t>
    <phoneticPr fontId="10" type="noConversion"/>
  </si>
  <si>
    <t>致死打击</t>
    <phoneticPr fontId="10" type="noConversion"/>
  </si>
  <si>
    <t>公式</t>
  </si>
  <si>
    <t>解释</t>
  </si>
  <si>
    <t>属性或技能</t>
    <phoneticPr fontId="10" type="noConversion"/>
  </si>
  <si>
    <t>伤害值</t>
    <phoneticPr fontId="10" type="noConversion"/>
  </si>
  <si>
    <t>生命的一阶导，dH dt = -dD dt，两者互为相反数</t>
    <phoneticPr fontId="10" type="noConversion"/>
  </si>
  <si>
    <t>1】为dD在时间t上的积分
2】t = 武器攻速、技能的CD或施法时间</t>
    <phoneticPr fontId="10" type="noConversion"/>
  </si>
  <si>
    <t>1】一般的，最终伤害 = 攻击强度 * 武器攻速 * （1-减伤率）
2】技能的，最终伤害 = 攻击强度 * 技能伤害%系数 * （1-减伤率）</t>
    <phoneticPr fontId="10" type="noConversion"/>
  </si>
  <si>
    <t>攻击或伤害</t>
    <phoneticPr fontId="10" type="noConversion"/>
  </si>
  <si>
    <t>1】命中、闪避、招架、格挡判定逻辑是互斥的，即所谓的圆桌算法
2】命中率至少为20%
3】闪避招架格挡加起来超过1-20%时，先判定命中，再判断闪避招架格挡
4】未超过1-20%，只需判断闪避招架格挡</t>
    <phoneticPr fontId="10" type="noConversion"/>
  </si>
  <si>
    <t>1】为dH在时间t上的积分
2】t = 标准战斗时长</t>
    <phoneticPr fontId="10" type="noConversion"/>
  </si>
  <si>
    <t>&lt;&lt;特殊</t>
    <phoneticPr fontId="10" type="noConversion"/>
  </si>
  <si>
    <t>审判目标，造成250%法术强度的伤害</t>
    <phoneticPr fontId="10" type="noConversion"/>
  </si>
  <si>
    <t>1】累积伤害量的一阶导，俗称dps，单位取秒
2】作为属性时叫“攻击强度”
3】建模时称“伤害微元”</t>
    <phoneticPr fontId="10" type="noConversion"/>
  </si>
  <si>
    <t>γ</t>
    <phoneticPr fontId="10" type="noConversion"/>
  </si>
  <si>
    <t>占标准时长</t>
    <phoneticPr fontId="10" type="noConversion"/>
  </si>
  <si>
    <t>一阶导</t>
    <phoneticPr fontId="10" type="noConversion"/>
  </si>
  <si>
    <t>双曲正割</t>
    <phoneticPr fontId="10" type="noConversion"/>
  </si>
  <si>
    <t>双曲正割^2</t>
    <phoneticPr fontId="10" type="noConversion"/>
  </si>
  <si>
    <t>常数</t>
    <phoneticPr fontId="10" type="noConversion"/>
  </si>
  <si>
    <t>双曲正割^4</t>
    <phoneticPr fontId="10" type="noConversion"/>
  </si>
  <si>
    <t>&lt;&lt;转折曲线</t>
    <phoneticPr fontId="10" type="noConversion"/>
  </si>
  <si>
    <t>双曲余弦^2</t>
    <phoneticPr fontId="10" type="noConversion"/>
  </si>
  <si>
    <t>双曲余弦^4</t>
    <phoneticPr fontId="10" type="noConversion"/>
  </si>
  <si>
    <t>武器或瞬发技能</t>
    <phoneticPr fontId="10" type="noConversion"/>
  </si>
  <si>
    <t>需施法或引导技能</t>
    <phoneticPr fontId="10" type="noConversion"/>
  </si>
  <si>
    <t>双曲余弦</t>
    <phoneticPr fontId="10" type="noConversion"/>
  </si>
  <si>
    <t>未改进</t>
    <phoneticPr fontId="10" type="noConversion"/>
  </si>
  <si>
    <t>改进后</t>
    <phoneticPr fontId="10" type="noConversion"/>
  </si>
  <si>
    <t>重殴目标，造成309.4%武器伤害</t>
  </si>
  <si>
    <t>痛击前方所有敌人，造成137.5%攻击强度的伤害</t>
  </si>
  <si>
    <t>痛击前方所有敌人使其流血，周期性的造成34.4%攻击强度的流血伤害</t>
  </si>
  <si>
    <t>横扫前方所有敌人（至多５个），造成45.8%武器伤害</t>
  </si>
  <si>
    <t>猛击对手，对其造成412.5%武器伤害</t>
  </si>
  <si>
    <t>释放出钢铁旋风，攻击８码以内的所有敌人，造成171.9%武器伤害</t>
  </si>
  <si>
    <t>突刺目标，对其造成550%武器伤害。当你在目标背后时伤害提高２０％</t>
  </si>
  <si>
    <t>对敌人施放锁喉，在１８秒内每周期对其造成114.6%攻击强度的流血伤害</t>
  </si>
  <si>
    <t>立即攻击，对目标造成68.8%武器伤害</t>
  </si>
  <si>
    <t>发射多枚箭矢，对你的当前目标及８码范围内的所有敌人造成177.8%武器伤害</t>
  </si>
  <si>
    <t>一次强力的瞄准射击，造成600%武器伤害。如果目标尚未受到过你的伤害，则伤害提高５０％</t>
  </si>
  <si>
    <t>一次双龙出海般的射击，攻击主要目标和附近的另一个目标，对其中一个造成666.7% 伤害，对另一个造成【计算伤害 - 自由分配值】％武器伤害</t>
  </si>
  <si>
    <t>腐蚀目标，在１４秒内每周期对其造成450%法术强度的伤害</t>
  </si>
  <si>
    <t>向敌人发射一支暗影箭，对其造成750%法术强度的伤害</t>
  </si>
  <si>
    <t>地狱之火如雨般落下，在８秒内对范围内的敌人周期性的造成50%法术强度的火焰伤害</t>
  </si>
  <si>
    <t>审判目标，造成309.4%法术强度的伤害</t>
  </si>
  <si>
    <t>将圣洁的能量灌入你脚下的土地，在９秒内对进入该区域的敌人周期性的造成5.7%攻击强度的伤害</t>
  </si>
  <si>
    <t>攻击目标，造成206.3%武器伤害。可以使用２次</t>
  </si>
  <si>
    <t>惩击一名敌人，造成300%法术强度的伤害，并有２０％几率重置神圣之火的冷却时间</t>
  </si>
  <si>
    <t>神圣的烈焰吞噬敌人，对其造成1666.7%法术强度的伤害</t>
  </si>
  <si>
    <t>神圣的烈焰吞噬敌人，在７秒内周期性的造成238.1%法术强度的伤害</t>
  </si>
  <si>
    <t>双曲函数模型</t>
    <phoneticPr fontId="10" type="noConversion"/>
  </si>
  <si>
    <t>常数模型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</si>
</sst>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幼圆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幼圆"/>
      <family val="2"/>
      <charset val="134"/>
      <scheme val="minor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name val="微软雅黑"/>
      <family val="2"/>
      <charset val="134"/>
    </font>
    <font>
      <sz val="16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6" tint="0.39997558519241921"/>
      <name val="微软雅黑"/>
      <family val="2"/>
      <charset val="134"/>
    </font>
    <font>
      <b/>
      <sz val="10"/>
      <color theme="4" tint="0.39997558519241921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B111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EB9F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14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常规" xfId="0" builtinId="0"/>
  </cellStyles>
  <dxfs count="36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b/>
        <i/>
        <color rgb="FFC0000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EB9FA"/>
      <color rgb="FF0C3A5A"/>
      <color rgb="FF0C5A47"/>
      <color rgb="FF0D4159"/>
      <color rgb="FFAB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3A6E9-EF7D-482A-AF98-81ACD83A395A}" name="表1" displayName="表1" ref="A1:C12" totalsRowShown="0" headerRowDxfId="35">
  <tableColumns count="3">
    <tableColumn id="1" xr3:uid="{D19DCB41-F836-4309-B76B-2872FA51136C}" name="属性或技能" dataDxfId="34"/>
    <tableColumn id="2" xr3:uid="{C61AFF34-6D75-4504-B764-E2FB31689F5D}" name="公式" dataDxfId="33"/>
    <tableColumn id="3" xr3:uid="{A8E4A7B4-6F10-4AC9-ACE2-B34D5FD7CF15}" name="解释" dataDxfId="3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框架">
  <a:themeElements>
    <a:clrScheme name="框架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框架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框架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11B0-3AAA-425A-8CD9-E55240DC7728}">
  <sheetPr>
    <tabColor theme="1" tint="0.249977111117893"/>
  </sheetPr>
  <dimension ref="A1:C18"/>
  <sheetViews>
    <sheetView workbookViewId="0">
      <selection activeCell="F17" sqref="F17"/>
    </sheetView>
  </sheetViews>
  <sheetFormatPr defaultRowHeight="16.5"/>
  <cols>
    <col min="1" max="1" width="15.875" style="31" customWidth="1"/>
    <col min="2" max="2" width="69.75" style="31" customWidth="1"/>
    <col min="3" max="3" width="40.375" style="31" bestFit="1" customWidth="1"/>
    <col min="4" max="16384" width="9" style="31"/>
  </cols>
  <sheetData>
    <row r="1" spans="1:3" ht="33" customHeight="1">
      <c r="A1" s="35" t="s">
        <v>187</v>
      </c>
      <c r="B1" s="36" t="s">
        <v>185</v>
      </c>
      <c r="C1" s="36" t="s">
        <v>186</v>
      </c>
    </row>
    <row r="2" spans="1:3" ht="33">
      <c r="A2" s="34" t="s">
        <v>188</v>
      </c>
      <c r="B2" s="32" t="s">
        <v>191</v>
      </c>
    </row>
    <row r="3" spans="1:3" ht="49.5">
      <c r="A3" s="34" t="s">
        <v>31</v>
      </c>
      <c r="C3" s="39" t="s">
        <v>197</v>
      </c>
    </row>
    <row r="4" spans="1:3" ht="17.25">
      <c r="A4" s="34" t="s">
        <v>33</v>
      </c>
      <c r="C4" s="31" t="s">
        <v>189</v>
      </c>
    </row>
    <row r="5" spans="1:3" ht="33">
      <c r="A5" s="34" t="s">
        <v>192</v>
      </c>
      <c r="B5" s="32" t="s">
        <v>190</v>
      </c>
    </row>
    <row r="6" spans="1:3" ht="33">
      <c r="A6" s="34" t="s">
        <v>79</v>
      </c>
      <c r="B6" s="37" t="s">
        <v>194</v>
      </c>
    </row>
    <row r="7" spans="1:3" ht="17.25">
      <c r="A7" s="34" t="s">
        <v>118</v>
      </c>
    </row>
    <row r="8" spans="1:3" ht="17.25">
      <c r="A8" s="34" t="s">
        <v>119</v>
      </c>
    </row>
    <row r="9" spans="1:3" ht="66">
      <c r="A9" s="34" t="s">
        <v>123</v>
      </c>
      <c r="B9" s="37" t="s">
        <v>193</v>
      </c>
    </row>
    <row r="10" spans="1:3" ht="17.25">
      <c r="A10" s="34" t="s">
        <v>120</v>
      </c>
      <c r="B10" s="31" t="str">
        <f>"成功格挡减免"&amp;C10*100&amp;"%伤害"</f>
        <v>成功格挡减免30%伤害</v>
      </c>
      <c r="C10" s="31">
        <v>0.3</v>
      </c>
    </row>
    <row r="11" spans="1:3" ht="17.25">
      <c r="A11" s="34" t="s">
        <v>122</v>
      </c>
    </row>
    <row r="12" spans="1:3" ht="49.5">
      <c r="A12" s="34" t="s">
        <v>14</v>
      </c>
      <c r="B12" s="32" t="str">
        <f ca="1">"1】熊形态下，德鲁伊的基础攻速恒为2
2】最终伤害需 * 熊形态参数
3】熊形态参数 = "&amp;C12</f>
        <v>1】熊形态下，德鲁伊的基础攻速恒为2
2】最终伤害需 * 熊形态参数
3】熊形态参数 = 0.54</v>
      </c>
      <c r="C12" s="31">
        <f ca="1">ROUND(1/模型构建!B30,2)</f>
        <v>0.54</v>
      </c>
    </row>
    <row r="18" spans="2:2">
      <c r="B18" s="33"/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"/>
  <sheetViews>
    <sheetView zoomScaleNormal="100" workbookViewId="0">
      <selection activeCell="H11" sqref="H11"/>
    </sheetView>
  </sheetViews>
  <sheetFormatPr defaultRowHeight="16.5"/>
  <cols>
    <col min="1" max="1" width="17.25" style="1" customWidth="1"/>
    <col min="2" max="2" width="15" style="1" customWidth="1"/>
    <col min="3" max="3" width="12.75" style="1" customWidth="1"/>
    <col min="4" max="4" width="14.125" style="1" bestFit="1" customWidth="1"/>
    <col min="5" max="5" width="16.75" style="1" customWidth="1"/>
    <col min="6" max="6" width="9" style="1"/>
    <col min="7" max="7" width="15" style="1" customWidth="1"/>
    <col min="8" max="8" width="12.25" style="1" customWidth="1"/>
    <col min="9" max="9" width="11.375" style="1" customWidth="1"/>
    <col min="10" max="10" width="9.625" style="1" customWidth="1"/>
    <col min="11" max="12" width="9" style="1" customWidth="1"/>
    <col min="13" max="16384" width="9" style="1"/>
  </cols>
  <sheetData>
    <row r="1" spans="1:12">
      <c r="A1" s="6" t="s">
        <v>0</v>
      </c>
      <c r="B1" s="40">
        <v>12</v>
      </c>
      <c r="C1" s="6" t="s">
        <v>109</v>
      </c>
      <c r="D1" s="40">
        <v>1</v>
      </c>
      <c r="E1" s="6" t="s">
        <v>5</v>
      </c>
      <c r="F1" s="4">
        <v>100</v>
      </c>
      <c r="G1" s="6" t="s">
        <v>12</v>
      </c>
      <c r="H1" s="4">
        <v>2</v>
      </c>
      <c r="I1" s="6" t="s">
        <v>8</v>
      </c>
      <c r="J1" s="4">
        <f>H2*F2</f>
        <v>180</v>
      </c>
      <c r="K1" s="6" t="s">
        <v>134</v>
      </c>
      <c r="L1" s="4">
        <v>3</v>
      </c>
    </row>
    <row r="2" spans="1:12">
      <c r="A2" s="6" t="s">
        <v>1</v>
      </c>
      <c r="B2" s="40">
        <v>80</v>
      </c>
      <c r="C2" s="6" t="s">
        <v>2</v>
      </c>
      <c r="D2" s="4">
        <v>0.6</v>
      </c>
      <c r="E2" s="6" t="s">
        <v>4</v>
      </c>
      <c r="F2" s="4">
        <v>90</v>
      </c>
      <c r="G2" s="6" t="s">
        <v>6</v>
      </c>
      <c r="H2" s="4">
        <v>2</v>
      </c>
      <c r="I2" s="6" t="s">
        <v>9</v>
      </c>
      <c r="J2" s="4">
        <f>H3*F2</f>
        <v>11524.950199005572</v>
      </c>
    </row>
    <row r="3" spans="1:12">
      <c r="A3" s="6" t="s">
        <v>3</v>
      </c>
      <c r="B3" s="40">
        <v>25</v>
      </c>
      <c r="C3" s="6" t="s">
        <v>117</v>
      </c>
      <c r="D3" s="4">
        <f>D1*D2</f>
        <v>0.6</v>
      </c>
      <c r="E3" s="6" t="s">
        <v>11</v>
      </c>
      <c r="F3" s="4">
        <v>0.7</v>
      </c>
      <c r="G3" s="6" t="s">
        <v>7</v>
      </c>
      <c r="H3" s="4">
        <f>F1/(H2*H1*(POWER(1/F3,1/J3)-1))</f>
        <v>128.05500221117302</v>
      </c>
      <c r="I3" s="6" t="s">
        <v>10</v>
      </c>
      <c r="J3" s="4">
        <v>2</v>
      </c>
    </row>
    <row r="6" spans="1:12">
      <c r="A6" s="7" t="s">
        <v>50</v>
      </c>
    </row>
    <row r="7" spans="1:12">
      <c r="A7" s="5" t="s">
        <v>13</v>
      </c>
      <c r="B7" s="5" t="s">
        <v>21</v>
      </c>
      <c r="C7" s="5" t="s">
        <v>22</v>
      </c>
      <c r="D7" s="10" t="s">
        <v>23</v>
      </c>
      <c r="E7" s="9" t="s">
        <v>52</v>
      </c>
      <c r="F7" s="5" t="s">
        <v>55</v>
      </c>
      <c r="G7" s="5" t="s">
        <v>54</v>
      </c>
    </row>
    <row r="8" spans="1:12">
      <c r="A8" s="1" t="s">
        <v>14</v>
      </c>
      <c r="B8" s="1">
        <v>45</v>
      </c>
      <c r="D8" s="1">
        <f t="shared" ref="D8:D14" si="0">SUMIF($C$8:$C$14,1,$B$8:$B$14)/B8</f>
        <v>0.55555555555555558</v>
      </c>
      <c r="E8" s="1">
        <f>1/D8</f>
        <v>1.7999999999999998</v>
      </c>
      <c r="F8" s="1">
        <f>$B$9*MIN($E$8:$E$14)/MAX($D$8:$D$14)</f>
        <v>15.209999999999996</v>
      </c>
      <c r="G8" s="1">
        <f>$B$9*MAX($E$8:$E$14)/MIN($D$8:$D$14)</f>
        <v>80.999999999999986</v>
      </c>
    </row>
    <row r="9" spans="1:12">
      <c r="A9" s="1" t="s">
        <v>16</v>
      </c>
      <c r="B9" s="1">
        <f>$B$3</f>
        <v>25</v>
      </c>
      <c r="C9" s="1">
        <v>1</v>
      </c>
      <c r="D9" s="1">
        <f t="shared" si="0"/>
        <v>1</v>
      </c>
      <c r="E9" s="1">
        <f t="shared" ref="E9:E14" si="1">1/D9</f>
        <v>1</v>
      </c>
    </row>
    <row r="10" spans="1:12">
      <c r="A10" s="1" t="s">
        <v>17</v>
      </c>
      <c r="B10" s="1">
        <v>19.5</v>
      </c>
      <c r="D10" s="1">
        <f t="shared" si="0"/>
        <v>1.2820512820512822</v>
      </c>
      <c r="E10" s="1">
        <f t="shared" si="1"/>
        <v>0.77999999999999992</v>
      </c>
    </row>
    <row r="11" spans="1:12">
      <c r="A11" s="1" t="s">
        <v>15</v>
      </c>
      <c r="B11" s="1">
        <v>21</v>
      </c>
      <c r="D11" s="1">
        <f t="shared" si="0"/>
        <v>1.1904761904761905</v>
      </c>
      <c r="E11" s="1">
        <f t="shared" si="1"/>
        <v>0.84</v>
      </c>
    </row>
    <row r="12" spans="1:12">
      <c r="A12" s="1" t="s">
        <v>18</v>
      </c>
      <c r="B12" s="1">
        <v>28</v>
      </c>
      <c r="D12" s="1">
        <f t="shared" si="0"/>
        <v>0.8928571428571429</v>
      </c>
      <c r="E12" s="1">
        <f t="shared" si="1"/>
        <v>1.1199999999999999</v>
      </c>
    </row>
    <row r="13" spans="1:12">
      <c r="A13" s="1" t="s">
        <v>19</v>
      </c>
      <c r="B13" s="1">
        <v>32</v>
      </c>
      <c r="D13" s="1">
        <f t="shared" si="0"/>
        <v>0.78125</v>
      </c>
      <c r="E13" s="1">
        <f t="shared" si="1"/>
        <v>1.28</v>
      </c>
    </row>
    <row r="14" spans="1:12">
      <c r="A14" s="1" t="s">
        <v>20</v>
      </c>
      <c r="B14" s="1">
        <v>23</v>
      </c>
      <c r="D14" s="1">
        <f t="shared" si="0"/>
        <v>1.0869565217391304</v>
      </c>
      <c r="E14" s="1">
        <f t="shared" si="1"/>
        <v>0.92</v>
      </c>
    </row>
    <row r="17" spans="1:35">
      <c r="A17" s="7" t="s">
        <v>38</v>
      </c>
      <c r="D17" s="1" t="s">
        <v>31</v>
      </c>
      <c r="E17" s="1" t="s">
        <v>33</v>
      </c>
      <c r="G17" s="1" t="s">
        <v>25</v>
      </c>
      <c r="L17" s="1" t="s">
        <v>27</v>
      </c>
      <c r="Q17" s="1" t="s">
        <v>29</v>
      </c>
      <c r="V17" s="1" t="s">
        <v>35</v>
      </c>
      <c r="AA17" s="1" t="s">
        <v>41</v>
      </c>
      <c r="AF17" s="1" t="s">
        <v>37</v>
      </c>
    </row>
    <row r="18" spans="1:35">
      <c r="A18" s="5" t="s">
        <v>13</v>
      </c>
      <c r="B18" s="5" t="s">
        <v>39</v>
      </c>
      <c r="C18" s="5" t="s">
        <v>43</v>
      </c>
      <c r="D18" s="5" t="s">
        <v>42</v>
      </c>
      <c r="E18" s="5" t="s">
        <v>42</v>
      </c>
      <c r="F18" s="5" t="s">
        <v>48</v>
      </c>
      <c r="G18" s="10" t="s">
        <v>31</v>
      </c>
      <c r="H18" s="5" t="s">
        <v>45</v>
      </c>
      <c r="I18" s="9" t="s">
        <v>33</v>
      </c>
      <c r="J18" s="5" t="s">
        <v>45</v>
      </c>
      <c r="K18" s="5" t="s">
        <v>48</v>
      </c>
      <c r="L18" s="10" t="s">
        <v>31</v>
      </c>
      <c r="M18" s="5" t="s">
        <v>45</v>
      </c>
      <c r="N18" s="9" t="s">
        <v>33</v>
      </c>
      <c r="O18" s="5" t="s">
        <v>45</v>
      </c>
      <c r="P18" s="5" t="s">
        <v>48</v>
      </c>
      <c r="Q18" s="10" t="s">
        <v>31</v>
      </c>
      <c r="R18" s="5" t="s">
        <v>45</v>
      </c>
      <c r="S18" s="9" t="s">
        <v>33</v>
      </c>
      <c r="T18" s="5" t="s">
        <v>45</v>
      </c>
      <c r="U18" s="5" t="s">
        <v>48</v>
      </c>
      <c r="V18" s="10" t="s">
        <v>31</v>
      </c>
      <c r="W18" s="5" t="s">
        <v>45</v>
      </c>
      <c r="X18" s="9" t="s">
        <v>33</v>
      </c>
      <c r="Y18" s="5" t="s">
        <v>45</v>
      </c>
      <c r="Z18" s="5" t="s">
        <v>48</v>
      </c>
      <c r="AA18" s="10" t="s">
        <v>31</v>
      </c>
      <c r="AB18" s="5" t="s">
        <v>45</v>
      </c>
      <c r="AC18" s="9" t="s">
        <v>33</v>
      </c>
      <c r="AD18" s="5" t="s">
        <v>45</v>
      </c>
      <c r="AE18" s="5" t="s">
        <v>48</v>
      </c>
      <c r="AF18" s="10" t="s">
        <v>31</v>
      </c>
      <c r="AG18" s="5" t="s">
        <v>45</v>
      </c>
      <c r="AH18" s="9" t="s">
        <v>33</v>
      </c>
      <c r="AI18" s="5" t="s">
        <v>45</v>
      </c>
    </row>
    <row r="19" spans="1:35">
      <c r="A19" s="1" t="s">
        <v>14</v>
      </c>
      <c r="B19" s="3"/>
      <c r="C19" s="3"/>
      <c r="D19" s="3">
        <f t="shared" ref="D19:E25" si="2">SUMIFS($G19:$AC19,$G$18:$AC$18,D$17)</f>
        <v>31</v>
      </c>
      <c r="E19" s="3">
        <f t="shared" si="2"/>
        <v>26</v>
      </c>
      <c r="F19" s="3"/>
      <c r="G19" s="3">
        <v>1</v>
      </c>
      <c r="H19" s="3">
        <f t="shared" ref="H19:H25" ca="1" si="3">N(G19)/OFFSET($C19,,MATCH(G$18,$D$17:$E$17,0))</f>
        <v>3.2258064516129031E-2</v>
      </c>
      <c r="I19" s="3">
        <v>1</v>
      </c>
      <c r="J19" s="3">
        <f t="shared" ref="J19:J25" ca="1" si="4">N(I19)/OFFSET($C19,,MATCH(I$18,$D$17:$E$17,0))</f>
        <v>3.8461538461538464E-2</v>
      </c>
      <c r="K19" s="3">
        <v>1</v>
      </c>
      <c r="L19" s="3">
        <v>15</v>
      </c>
      <c r="M19" s="3">
        <f t="shared" ref="M19:M25" ca="1" si="5">N(L19)/OFFSET($C19,,MATCH(L$18,$D$17:$E$17,0))</f>
        <v>0.4838709677419355</v>
      </c>
      <c r="N19" s="3"/>
      <c r="O19" s="3">
        <f t="shared" ref="O19:O25" ca="1" si="6">N(N19)/OFFSET($C19,,MATCH(N$18,$D$17:$E$17,0))</f>
        <v>0</v>
      </c>
      <c r="P19" s="3">
        <v>1</v>
      </c>
      <c r="Q19" s="3">
        <v>15</v>
      </c>
      <c r="R19" s="3">
        <f t="shared" ref="R19:R25" ca="1" si="7">N(Q19)/OFFSET($C19,,MATCH(Q$18,$D$17:$E$17,0))</f>
        <v>0.4838709677419355</v>
      </c>
      <c r="S19" s="3">
        <v>25</v>
      </c>
      <c r="T19" s="3">
        <f t="shared" ref="T19:T25" ca="1" si="8">N(S19)/OFFSET($C19,,MATCH(S$18,$D$17:$E$17,0))</f>
        <v>0.96153846153846156</v>
      </c>
      <c r="U19" s="3"/>
      <c r="V19" s="3"/>
      <c r="W19" s="3">
        <f t="shared" ref="W19:W25" ca="1" si="9">N(V19)/OFFSET($C19,,MATCH(V$18,$D$17:$E$17,0))</f>
        <v>0</v>
      </c>
      <c r="X19" s="3"/>
      <c r="Y19" s="3">
        <f t="shared" ref="Y19:Y25" ca="1" si="10">N(X19)/OFFSET($C19,,MATCH(X$18,$D$17:$E$17,0))</f>
        <v>0</v>
      </c>
      <c r="Z19" s="3"/>
      <c r="AA19" s="3"/>
      <c r="AB19" s="3">
        <f t="shared" ref="AB19:AB25" ca="1" si="11">N(AA19)/OFFSET($C19,,MATCH(AA$18,$D$17:$E$17,0))</f>
        <v>0</v>
      </c>
      <c r="AC19" s="3"/>
      <c r="AD19" s="3">
        <f t="shared" ref="AD19:AD25" ca="1" si="12">N(AC19)/OFFSET($C19,,MATCH(AC$18,$D$17:$E$17,0))</f>
        <v>0</v>
      </c>
      <c r="AE19" s="3"/>
      <c r="AF19" s="3" t="str">
        <f t="shared" ref="AF19:AF25" si="13">_xlfn.IFS($C19="","",TRUE, D19*$C19)</f>
        <v/>
      </c>
      <c r="AG19" s="3">
        <f t="shared" ref="AG19:AG25" ca="1" si="14">N(AF19)/OFFSET($C19,,MATCH(AF$18,$D$17:$E$17,0))</f>
        <v>0</v>
      </c>
      <c r="AH19" s="3" t="str">
        <f t="shared" ref="AH19:AH25" si="15">_xlfn.IFS($C19="","",TRUE, E19*$C19)</f>
        <v/>
      </c>
      <c r="AI19" s="3">
        <f t="shared" ref="AI19:AI25" ca="1" si="16">N(AH19)/OFFSET($C19,,MATCH(AH$18,$D$17:$E$17,0))</f>
        <v>0</v>
      </c>
    </row>
    <row r="20" spans="1:35">
      <c r="A20" s="1" t="s">
        <v>16</v>
      </c>
      <c r="B20" s="3"/>
      <c r="C20" s="3"/>
      <c r="D20" s="3">
        <f t="shared" si="2"/>
        <v>31</v>
      </c>
      <c r="E20" s="3">
        <f t="shared" si="2"/>
        <v>26</v>
      </c>
      <c r="F20" s="3"/>
      <c r="G20" s="3">
        <v>1</v>
      </c>
      <c r="H20" s="3">
        <f t="shared" ca="1" si="3"/>
        <v>3.2258064516129031E-2</v>
      </c>
      <c r="I20" s="3">
        <v>1</v>
      </c>
      <c r="J20" s="3">
        <f t="shared" ca="1" si="4"/>
        <v>3.8461538461538464E-2</v>
      </c>
      <c r="K20" s="3">
        <v>2</v>
      </c>
      <c r="L20" s="3">
        <v>15</v>
      </c>
      <c r="M20" s="3">
        <f t="shared" ca="1" si="5"/>
        <v>0.4838709677419355</v>
      </c>
      <c r="N20" s="3"/>
      <c r="O20" s="3">
        <f t="shared" ca="1" si="6"/>
        <v>0</v>
      </c>
      <c r="P20" s="3">
        <v>2</v>
      </c>
      <c r="Q20" s="3">
        <v>15</v>
      </c>
      <c r="R20" s="3">
        <f t="shared" ca="1" si="7"/>
        <v>0.4838709677419355</v>
      </c>
      <c r="S20" s="3">
        <v>25</v>
      </c>
      <c r="T20" s="3">
        <f t="shared" ca="1" si="8"/>
        <v>0.96153846153846156</v>
      </c>
      <c r="U20" s="3"/>
      <c r="V20" s="3"/>
      <c r="W20" s="3">
        <f t="shared" ca="1" si="9"/>
        <v>0</v>
      </c>
      <c r="X20" s="3"/>
      <c r="Y20" s="3">
        <f t="shared" ca="1" si="10"/>
        <v>0</v>
      </c>
      <c r="Z20" s="3"/>
      <c r="AA20" s="3"/>
      <c r="AB20" s="3">
        <f t="shared" ca="1" si="11"/>
        <v>0</v>
      </c>
      <c r="AC20" s="3"/>
      <c r="AD20" s="3">
        <f t="shared" ca="1" si="12"/>
        <v>0</v>
      </c>
      <c r="AE20" s="3"/>
      <c r="AF20" s="3" t="str">
        <f t="shared" si="13"/>
        <v/>
      </c>
      <c r="AG20" s="3">
        <f t="shared" ca="1" si="14"/>
        <v>0</v>
      </c>
      <c r="AH20" s="3" t="str">
        <f t="shared" si="15"/>
        <v/>
      </c>
      <c r="AI20" s="3">
        <f t="shared" ca="1" si="16"/>
        <v>0</v>
      </c>
    </row>
    <row r="21" spans="1:35">
      <c r="A21" s="1" t="s">
        <v>17</v>
      </c>
      <c r="B21" s="3"/>
      <c r="C21" s="3"/>
      <c r="D21" s="3">
        <f t="shared" si="2"/>
        <v>31</v>
      </c>
      <c r="E21" s="3">
        <f t="shared" si="2"/>
        <v>26</v>
      </c>
      <c r="F21" s="3"/>
      <c r="G21" s="3">
        <v>1</v>
      </c>
      <c r="H21" s="3">
        <f t="shared" ca="1" si="3"/>
        <v>3.2258064516129031E-2</v>
      </c>
      <c r="I21" s="3">
        <v>1</v>
      </c>
      <c r="J21" s="3">
        <f t="shared" ca="1" si="4"/>
        <v>3.8461538461538464E-2</v>
      </c>
      <c r="K21" s="3">
        <v>3</v>
      </c>
      <c r="L21" s="3">
        <v>15</v>
      </c>
      <c r="M21" s="3">
        <f t="shared" ca="1" si="5"/>
        <v>0.4838709677419355</v>
      </c>
      <c r="N21" s="3"/>
      <c r="O21" s="3">
        <f t="shared" ca="1" si="6"/>
        <v>0</v>
      </c>
      <c r="P21" s="3">
        <v>1</v>
      </c>
      <c r="Q21" s="3">
        <v>15</v>
      </c>
      <c r="R21" s="3">
        <f t="shared" ca="1" si="7"/>
        <v>0.4838709677419355</v>
      </c>
      <c r="S21" s="3">
        <v>25</v>
      </c>
      <c r="T21" s="3">
        <f t="shared" ca="1" si="8"/>
        <v>0.96153846153846156</v>
      </c>
      <c r="U21" s="3"/>
      <c r="V21" s="3"/>
      <c r="W21" s="3">
        <f t="shared" ca="1" si="9"/>
        <v>0</v>
      </c>
      <c r="X21" s="3"/>
      <c r="Y21" s="3">
        <f t="shared" ca="1" si="10"/>
        <v>0</v>
      </c>
      <c r="Z21" s="3"/>
      <c r="AA21" s="3"/>
      <c r="AB21" s="3">
        <f t="shared" ca="1" si="11"/>
        <v>0</v>
      </c>
      <c r="AC21" s="3"/>
      <c r="AD21" s="3">
        <f t="shared" ca="1" si="12"/>
        <v>0</v>
      </c>
      <c r="AE21" s="3"/>
      <c r="AF21" s="3" t="str">
        <f t="shared" si="13"/>
        <v/>
      </c>
      <c r="AG21" s="3">
        <f t="shared" ca="1" si="14"/>
        <v>0</v>
      </c>
      <c r="AH21" s="3" t="str">
        <f t="shared" si="15"/>
        <v/>
      </c>
      <c r="AI21" s="3">
        <f t="shared" ca="1" si="16"/>
        <v>0</v>
      </c>
    </row>
    <row r="22" spans="1:35">
      <c r="A22" s="1" t="s">
        <v>15</v>
      </c>
      <c r="B22" s="3"/>
      <c r="C22" s="3">
        <v>0.16</v>
      </c>
      <c r="D22" s="3">
        <f t="shared" si="2"/>
        <v>31</v>
      </c>
      <c r="E22" s="3">
        <f t="shared" si="2"/>
        <v>26</v>
      </c>
      <c r="F22" s="3"/>
      <c r="G22" s="3">
        <v>1</v>
      </c>
      <c r="H22" s="3">
        <f t="shared" ca="1" si="3"/>
        <v>3.2258064516129031E-2</v>
      </c>
      <c r="I22" s="3">
        <v>1</v>
      </c>
      <c r="J22" s="3">
        <f t="shared" ca="1" si="4"/>
        <v>3.8461538461538464E-2</v>
      </c>
      <c r="K22" s="3">
        <v>4</v>
      </c>
      <c r="L22" s="3">
        <v>15</v>
      </c>
      <c r="M22" s="3">
        <f t="shared" ca="1" si="5"/>
        <v>0.4838709677419355</v>
      </c>
      <c r="N22" s="3"/>
      <c r="O22" s="3">
        <f t="shared" ca="1" si="6"/>
        <v>0</v>
      </c>
      <c r="P22" s="3">
        <v>1</v>
      </c>
      <c r="Q22" s="3">
        <v>15</v>
      </c>
      <c r="R22" s="3">
        <f t="shared" ca="1" si="7"/>
        <v>0.4838709677419355</v>
      </c>
      <c r="S22" s="3">
        <v>25</v>
      </c>
      <c r="T22" s="3">
        <f t="shared" ca="1" si="8"/>
        <v>0.96153846153846156</v>
      </c>
      <c r="U22" s="3"/>
      <c r="V22" s="3"/>
      <c r="W22" s="3">
        <f t="shared" ca="1" si="9"/>
        <v>0</v>
      </c>
      <c r="X22" s="3"/>
      <c r="Y22" s="3">
        <f t="shared" ca="1" si="10"/>
        <v>0</v>
      </c>
      <c r="Z22" s="3"/>
      <c r="AA22" s="3"/>
      <c r="AB22" s="3">
        <f t="shared" ca="1" si="11"/>
        <v>0</v>
      </c>
      <c r="AC22" s="3"/>
      <c r="AD22" s="3">
        <f t="shared" ca="1" si="12"/>
        <v>0</v>
      </c>
      <c r="AE22" s="3"/>
      <c r="AF22" s="3">
        <f t="shared" si="13"/>
        <v>4.96</v>
      </c>
      <c r="AG22" s="3">
        <f t="shared" ca="1" si="14"/>
        <v>0.16</v>
      </c>
      <c r="AH22" s="3">
        <f t="shared" si="15"/>
        <v>4.16</v>
      </c>
      <c r="AI22" s="3">
        <f t="shared" ca="1" si="16"/>
        <v>0.16</v>
      </c>
    </row>
    <row r="23" spans="1:35">
      <c r="A23" s="1" t="s">
        <v>18</v>
      </c>
      <c r="B23" s="3">
        <v>1</v>
      </c>
      <c r="C23" s="3">
        <v>0.12</v>
      </c>
      <c r="D23" s="3">
        <f t="shared" si="2"/>
        <v>31</v>
      </c>
      <c r="E23" s="3">
        <f t="shared" si="2"/>
        <v>26</v>
      </c>
      <c r="F23" s="3"/>
      <c r="G23" s="3">
        <v>1</v>
      </c>
      <c r="H23" s="3">
        <f t="shared" ca="1" si="3"/>
        <v>3.2258064516129031E-2</v>
      </c>
      <c r="I23" s="3">
        <v>1</v>
      </c>
      <c r="J23" s="3">
        <f t="shared" ca="1" si="4"/>
        <v>3.8461538461538464E-2</v>
      </c>
      <c r="K23" s="3">
        <v>1</v>
      </c>
      <c r="L23" s="3">
        <v>15</v>
      </c>
      <c r="M23" s="3">
        <f t="shared" ca="1" si="5"/>
        <v>0.4838709677419355</v>
      </c>
      <c r="N23" s="3"/>
      <c r="O23" s="3">
        <f t="shared" ca="1" si="6"/>
        <v>0</v>
      </c>
      <c r="P23" s="3">
        <v>3</v>
      </c>
      <c r="Q23" s="3">
        <v>15</v>
      </c>
      <c r="R23" s="3">
        <f t="shared" ca="1" si="7"/>
        <v>0.4838709677419355</v>
      </c>
      <c r="S23" s="3">
        <v>25</v>
      </c>
      <c r="T23" s="3">
        <f t="shared" ca="1" si="8"/>
        <v>0.96153846153846156</v>
      </c>
      <c r="U23" s="3"/>
      <c r="V23" s="3"/>
      <c r="W23" s="3">
        <f t="shared" ca="1" si="9"/>
        <v>0</v>
      </c>
      <c r="X23" s="3"/>
      <c r="Y23" s="3">
        <f t="shared" ca="1" si="10"/>
        <v>0</v>
      </c>
      <c r="Z23" s="3"/>
      <c r="AA23" s="3"/>
      <c r="AB23" s="3">
        <f t="shared" ca="1" si="11"/>
        <v>0</v>
      </c>
      <c r="AC23" s="3"/>
      <c r="AD23" s="3">
        <f t="shared" ca="1" si="12"/>
        <v>0</v>
      </c>
      <c r="AE23" s="3"/>
      <c r="AF23" s="3">
        <f t="shared" si="13"/>
        <v>3.7199999999999998</v>
      </c>
      <c r="AG23" s="3">
        <f t="shared" ca="1" si="14"/>
        <v>0.12</v>
      </c>
      <c r="AH23" s="3">
        <f t="shared" si="15"/>
        <v>3.12</v>
      </c>
      <c r="AI23" s="3">
        <f t="shared" ca="1" si="16"/>
        <v>0.12000000000000001</v>
      </c>
    </row>
    <row r="24" spans="1:35">
      <c r="A24" s="1" t="s">
        <v>19</v>
      </c>
      <c r="B24" s="3"/>
      <c r="C24" s="3"/>
      <c r="D24" s="3">
        <f t="shared" si="2"/>
        <v>31</v>
      </c>
      <c r="E24" s="3">
        <f t="shared" si="2"/>
        <v>26</v>
      </c>
      <c r="F24" s="3"/>
      <c r="G24" s="3">
        <v>1</v>
      </c>
      <c r="H24" s="3">
        <f t="shared" ca="1" si="3"/>
        <v>3.2258064516129031E-2</v>
      </c>
      <c r="I24" s="3">
        <v>1</v>
      </c>
      <c r="J24" s="3">
        <f t="shared" ca="1" si="4"/>
        <v>3.8461538461538464E-2</v>
      </c>
      <c r="K24" s="3">
        <v>2</v>
      </c>
      <c r="L24" s="3">
        <v>15</v>
      </c>
      <c r="M24" s="3">
        <f t="shared" ca="1" si="5"/>
        <v>0.4838709677419355</v>
      </c>
      <c r="N24" s="3"/>
      <c r="O24" s="3">
        <f t="shared" ca="1" si="6"/>
        <v>0</v>
      </c>
      <c r="P24" s="3">
        <v>2</v>
      </c>
      <c r="Q24" s="3">
        <v>15</v>
      </c>
      <c r="R24" s="3">
        <f t="shared" ca="1" si="7"/>
        <v>0.4838709677419355</v>
      </c>
      <c r="S24" s="3">
        <v>25</v>
      </c>
      <c r="T24" s="3">
        <f t="shared" ca="1" si="8"/>
        <v>0.96153846153846156</v>
      </c>
      <c r="U24" s="3"/>
      <c r="V24" s="3"/>
      <c r="W24" s="3">
        <f t="shared" ca="1" si="9"/>
        <v>0</v>
      </c>
      <c r="X24" s="3"/>
      <c r="Y24" s="3">
        <f t="shared" ca="1" si="10"/>
        <v>0</v>
      </c>
      <c r="Z24" s="3"/>
      <c r="AA24" s="3"/>
      <c r="AB24" s="3">
        <f t="shared" ca="1" si="11"/>
        <v>0</v>
      </c>
      <c r="AC24" s="3"/>
      <c r="AD24" s="3">
        <f t="shared" ca="1" si="12"/>
        <v>0</v>
      </c>
      <c r="AE24" s="3"/>
      <c r="AF24" s="3" t="str">
        <f t="shared" si="13"/>
        <v/>
      </c>
      <c r="AG24" s="3">
        <f t="shared" ca="1" si="14"/>
        <v>0</v>
      </c>
      <c r="AH24" s="3" t="str">
        <f t="shared" si="15"/>
        <v/>
      </c>
      <c r="AI24" s="3">
        <f t="shared" ca="1" si="16"/>
        <v>0</v>
      </c>
    </row>
    <row r="25" spans="1:35">
      <c r="A25" s="1" t="s">
        <v>20</v>
      </c>
      <c r="B25" s="3">
        <v>1</v>
      </c>
      <c r="C25" s="3"/>
      <c r="D25" s="3">
        <f t="shared" si="2"/>
        <v>31</v>
      </c>
      <c r="E25" s="3">
        <f t="shared" si="2"/>
        <v>26</v>
      </c>
      <c r="F25" s="3"/>
      <c r="G25" s="3">
        <v>1</v>
      </c>
      <c r="H25" s="3">
        <f t="shared" ca="1" si="3"/>
        <v>3.2258064516129031E-2</v>
      </c>
      <c r="I25" s="3">
        <v>1</v>
      </c>
      <c r="J25" s="3">
        <f t="shared" ca="1" si="4"/>
        <v>3.8461538461538464E-2</v>
      </c>
      <c r="K25" s="3">
        <v>1</v>
      </c>
      <c r="L25" s="3">
        <v>15</v>
      </c>
      <c r="M25" s="3">
        <f t="shared" ca="1" si="5"/>
        <v>0.4838709677419355</v>
      </c>
      <c r="N25" s="3"/>
      <c r="O25" s="3">
        <f t="shared" ca="1" si="6"/>
        <v>0</v>
      </c>
      <c r="P25" s="3">
        <v>3</v>
      </c>
      <c r="Q25" s="3">
        <v>15</v>
      </c>
      <c r="R25" s="3">
        <f t="shared" ca="1" si="7"/>
        <v>0.4838709677419355</v>
      </c>
      <c r="S25" s="3">
        <v>25</v>
      </c>
      <c r="T25" s="3">
        <f t="shared" ca="1" si="8"/>
        <v>0.96153846153846156</v>
      </c>
      <c r="U25" s="3"/>
      <c r="V25" s="3"/>
      <c r="W25" s="3">
        <f t="shared" ca="1" si="9"/>
        <v>0</v>
      </c>
      <c r="X25" s="3"/>
      <c r="Y25" s="3">
        <f t="shared" ca="1" si="10"/>
        <v>0</v>
      </c>
      <c r="Z25" s="3"/>
      <c r="AA25" s="3"/>
      <c r="AB25" s="3">
        <f t="shared" ca="1" si="11"/>
        <v>0</v>
      </c>
      <c r="AC25" s="3"/>
      <c r="AD25" s="3">
        <f t="shared" ca="1" si="12"/>
        <v>0</v>
      </c>
      <c r="AE25" s="3"/>
      <c r="AF25" s="3" t="str">
        <f t="shared" si="13"/>
        <v/>
      </c>
      <c r="AG25" s="3">
        <f t="shared" ca="1" si="14"/>
        <v>0</v>
      </c>
      <c r="AH25" s="3" t="str">
        <f t="shared" si="15"/>
        <v/>
      </c>
      <c r="AI25" s="3">
        <f t="shared" ca="1" si="16"/>
        <v>0</v>
      </c>
    </row>
    <row r="28" spans="1:35">
      <c r="A28" s="7" t="s">
        <v>46</v>
      </c>
      <c r="B28" s="15" t="s">
        <v>74</v>
      </c>
      <c r="F28" s="1" t="s">
        <v>25</v>
      </c>
      <c r="I28" s="1" t="s">
        <v>27</v>
      </c>
      <c r="L28" s="1" t="s">
        <v>29</v>
      </c>
      <c r="O28" s="1" t="s">
        <v>35</v>
      </c>
      <c r="R28" s="1" t="s">
        <v>41</v>
      </c>
      <c r="U28" s="1" t="s">
        <v>37</v>
      </c>
    </row>
    <row r="29" spans="1:35">
      <c r="A29" s="5" t="s">
        <v>13</v>
      </c>
      <c r="B29" s="10" t="s">
        <v>47</v>
      </c>
      <c r="C29" s="9" t="s">
        <v>53</v>
      </c>
      <c r="D29" s="5" t="s">
        <v>51</v>
      </c>
      <c r="E29" s="5" t="s">
        <v>48</v>
      </c>
      <c r="F29" s="10" t="s">
        <v>31</v>
      </c>
      <c r="G29" s="9" t="s">
        <v>33</v>
      </c>
      <c r="H29" s="5" t="s">
        <v>48</v>
      </c>
      <c r="I29" s="10" t="s">
        <v>31</v>
      </c>
      <c r="J29" s="9" t="s">
        <v>33</v>
      </c>
      <c r="K29" s="5" t="s">
        <v>48</v>
      </c>
      <c r="L29" s="10" t="s">
        <v>31</v>
      </c>
      <c r="M29" s="9" t="s">
        <v>33</v>
      </c>
      <c r="N29" s="5" t="s">
        <v>48</v>
      </c>
      <c r="O29" s="10" t="s">
        <v>31</v>
      </c>
      <c r="P29" s="9" t="s">
        <v>33</v>
      </c>
      <c r="Q29" s="5" t="s">
        <v>48</v>
      </c>
      <c r="R29" s="10" t="s">
        <v>31</v>
      </c>
      <c r="S29" s="9" t="s">
        <v>33</v>
      </c>
      <c r="T29" s="5" t="s">
        <v>48</v>
      </c>
      <c r="U29" s="10" t="s">
        <v>31</v>
      </c>
      <c r="V29" s="9" t="s">
        <v>33</v>
      </c>
    </row>
    <row r="30" spans="1:35">
      <c r="A30" s="1" t="s">
        <v>14</v>
      </c>
      <c r="B30" s="2">
        <f t="array" aca="1" ref="B30" ca="1">MMULT(--_xlfn.IFS($B$39:$Y$39=$C$39,$B40:$Y40,TRUE,0),TRANSPOSE(--_xlfn.IFS($G$18:$AD$18=$H$18,$G19:$AD19,TRUE,0)))/$D8</f>
        <v>1.846774193548387</v>
      </c>
      <c r="C30" s="2">
        <f t="array" aca="1" ref="C30" ca="1">SUMPRODUCT(_xlfn.IFS($B$39:$Y$39=$E$39,$B40:$Y40,TRUE,0),(_xlfn.IFS($G$18:$AD$18=$H$18,$G19:$AD19,TRUE,0)))/$E8</f>
        <v>0.48717948717948723</v>
      </c>
      <c r="D30" s="2">
        <f t="shared" ref="D30:D36" ca="1" si="17">B30*C30</f>
        <v>0.89971050454921431</v>
      </c>
      <c r="H30" s="1">
        <f t="shared" ref="H30:H36" si="18">K19</f>
        <v>1</v>
      </c>
      <c r="I30" s="1">
        <f t="array" ref="I30">MEDIAN(_xlfn.IFS($H$30:$H$36=$H30,$D$8:$D$14,TRUE,""))</f>
        <v>0.8928571428571429</v>
      </c>
      <c r="J30" s="1">
        <f t="array" ref="J30">MEDIAN(_xlfn.IFS($H$30:$H$36=$H30,$E$8:$E$14,TRUE,""))</f>
        <v>1.1199999999999999</v>
      </c>
      <c r="K30" s="1">
        <f t="shared" ref="K30:K36" si="19">P19</f>
        <v>1</v>
      </c>
      <c r="L30" s="1">
        <f t="array" ref="L30">MEDIAN(_xlfn.IFS($K$30:$K$36=$K30,$D$8:$D$14,TRUE,""))</f>
        <v>1.1904761904761905</v>
      </c>
      <c r="M30" s="1">
        <f t="array" ref="M30">MEDIAN(_xlfn.IFS($K$30:$K$36=$K30,$E$8:$E$14,TRUE,""))</f>
        <v>0.84</v>
      </c>
    </row>
    <row r="31" spans="1:35">
      <c r="A31" s="1" t="s">
        <v>16</v>
      </c>
      <c r="B31" s="2">
        <f t="array" aca="1" ref="B31" ca="1">MMULT(--_xlfn.IFS($B$39:$Y$39=$C$39,$B41:$Y41,TRUE,0),TRANSPOSE(--_xlfn.IFS($G$18:$AD$18=$H$18,$G20:$AD20,TRUE,0)))/$D9</f>
        <v>0.89415322580645173</v>
      </c>
      <c r="C31" s="2">
        <f t="array" aca="1" ref="C31" ca="1">SUMPRODUCT(_xlfn.IFS($B$39:$Y$39=$E$39,$B41:$Y41,TRUE,0),(_xlfn.IFS($G$18:$AD$18=$H$18,$G20:$AD20,TRUE,0)))/$E9</f>
        <v>1.1346153846153848</v>
      </c>
      <c r="D31" s="2">
        <f t="shared" ca="1" si="17"/>
        <v>1.0145200062034743</v>
      </c>
      <c r="H31" s="1">
        <f t="shared" si="18"/>
        <v>2</v>
      </c>
      <c r="I31" s="1">
        <f t="array" ref="I31">MEDIAN(_xlfn.IFS($H$30:$H$36=$H31,$D$8:$D$14,TRUE,""))</f>
        <v>0.890625</v>
      </c>
      <c r="J31" s="1">
        <f t="array" ref="J31">MEDIAN(_xlfn.IFS($H$30:$H$36=$H31,$E$8:$E$14,TRUE,""))</f>
        <v>1.1400000000000001</v>
      </c>
      <c r="K31" s="1">
        <f t="shared" si="19"/>
        <v>2</v>
      </c>
      <c r="L31" s="1">
        <f t="array" ref="L31">MEDIAN(_xlfn.IFS($K$30:$K$36=$K31,$D$8:$D$14,TRUE,""))</f>
        <v>0.890625</v>
      </c>
      <c r="M31" s="1">
        <f t="array" ref="M31">MEDIAN(_xlfn.IFS($K$30:$K$36=$K31,$E$8:$E$14,TRUE,""))</f>
        <v>1.1400000000000001</v>
      </c>
    </row>
    <row r="32" spans="1:35">
      <c r="A32" s="1" t="s">
        <v>17</v>
      </c>
      <c r="B32" s="2">
        <f t="array" aca="1" ref="B32" ca="1">MMULT(--_xlfn.IFS($B$39:$Y$39=$C$39,$B42:$Y42,TRUE,0),TRANSPOSE(--_xlfn.IFS($G$18:$AD$18=$H$18,$G21:$AD21,TRUE,0)))/$D10</f>
        <v>0.96543778801843316</v>
      </c>
      <c r="C32" s="2">
        <f t="array" aca="1" ref="C32" ca="1">SUMPRODUCT(_xlfn.IFS($B$39:$Y$39=$E$39,$B42:$Y42,TRUE,0),(_xlfn.IFS($G$18:$AD$18=$H$18,$G21:$AD21,TRUE,0)))/$E10</f>
        <v>1.0739644970414204</v>
      </c>
      <c r="D32" s="2">
        <f t="shared" ca="1" si="17"/>
        <v>1.036845908433998</v>
      </c>
      <c r="H32" s="1">
        <f t="shared" si="18"/>
        <v>3</v>
      </c>
      <c r="I32" s="1">
        <f t="array" ref="I32">MEDIAN(_xlfn.IFS($H$30:$H$36=$H32,$D$8:$D$14,TRUE,""))</f>
        <v>1.2820512820512822</v>
      </c>
      <c r="J32" s="1">
        <f t="array" ref="J32">MEDIAN(_xlfn.IFS($H$30:$H$36=$H32,$E$8:$E$14,TRUE,""))</f>
        <v>0.77999999999999992</v>
      </c>
      <c r="K32" s="1">
        <f t="shared" si="19"/>
        <v>1</v>
      </c>
      <c r="L32" s="1">
        <f t="array" ref="L32">MEDIAN(_xlfn.IFS($K$30:$K$36=$K32,$D$8:$D$14,TRUE,""))</f>
        <v>1.1904761904761905</v>
      </c>
      <c r="M32" s="1">
        <f t="array" ref="M32">MEDIAN(_xlfn.IFS($K$30:$K$36=$K32,$E$8:$E$14,TRUE,""))</f>
        <v>0.84</v>
      </c>
    </row>
    <row r="33" spans="1:31">
      <c r="A33" s="1" t="s">
        <v>15</v>
      </c>
      <c r="B33" s="2">
        <f t="array" aca="1" ref="B33" ca="1">MMULT(--_xlfn.IFS($B$39:$Y$39=$C$39,$B43:$Y43,TRUE,0),TRANSPOSE(--_xlfn.IFS($G$18:$AD$18=$H$18,$G22:$AD22,TRUE,0)))/$D11</f>
        <v>1.0000000000000002</v>
      </c>
      <c r="C33" s="2">
        <f t="array" aca="1" ref="C33" ca="1">SUMPRODUCT(_xlfn.IFS($B$39:$Y$39=$E$39,$B43:$Y43,TRUE,0),(_xlfn.IFS($G$18:$AD$18=$H$18,$G22:$AD22,TRUE,0)))/$E11</f>
        <v>1</v>
      </c>
      <c r="D33" s="2">
        <f t="shared" ca="1" si="17"/>
        <v>1.0000000000000002</v>
      </c>
      <c r="H33" s="1">
        <f t="shared" si="18"/>
        <v>4</v>
      </c>
      <c r="I33" s="1">
        <f t="array" ref="I33">MEDIAN(_xlfn.IFS($H$30:$H$36=$H33,$D$8:$D$14,TRUE,""))</f>
        <v>1.1904761904761905</v>
      </c>
      <c r="J33" s="1">
        <f t="array" ref="J33">MEDIAN(_xlfn.IFS($H$30:$H$36=$H33,$E$8:$E$14,TRUE,""))</f>
        <v>0.84</v>
      </c>
      <c r="K33" s="1">
        <f t="shared" si="19"/>
        <v>1</v>
      </c>
      <c r="L33" s="1">
        <f t="array" ref="L33">MEDIAN(_xlfn.IFS($K$30:$K$36=$K33,$D$8:$D$14,TRUE,""))</f>
        <v>1.1904761904761905</v>
      </c>
      <c r="M33" s="1">
        <f t="array" ref="M33">MEDIAN(_xlfn.IFS($K$30:$K$36=$K33,$E$8:$E$14,TRUE,""))</f>
        <v>0.84</v>
      </c>
    </row>
    <row r="34" spans="1:31">
      <c r="A34" s="1" t="s">
        <v>18</v>
      </c>
      <c r="B34" s="2">
        <f t="array" aca="1" ref="B34" ca="1">MMULT(--_xlfn.IFS($B$39:$Y$39=$C$39,$B44:$Y44,TRUE,0),TRANSPOSE(--_xlfn.IFS($G$18:$AD$18=$H$18,$G23:$AD23,TRUE,0)))/$D12</f>
        <v>1.0525946704067322</v>
      </c>
      <c r="C34" s="2">
        <f t="array" aca="1" ref="C34" ca="1">SUMPRODUCT(_xlfn.IFS($B$39:$Y$39=$E$39,$B44:$Y44,TRUE,0),(_xlfn.IFS($G$18:$AD$18=$H$18,$G23:$AD23,TRUE,0)))/$E12</f>
        <v>0.91414835164835173</v>
      </c>
      <c r="D34" s="2">
        <f t="shared" ca="1" si="17"/>
        <v>0.96222768290615424</v>
      </c>
      <c r="H34" s="1">
        <f t="shared" si="18"/>
        <v>1</v>
      </c>
      <c r="I34" s="1">
        <f t="array" ref="I34">MEDIAN(_xlfn.IFS($H$30:$H$36=$H34,$D$8:$D$14,TRUE,""))</f>
        <v>0.8928571428571429</v>
      </c>
      <c r="J34" s="1">
        <f t="array" ref="J34">MEDIAN(_xlfn.IFS($H$30:$H$36=$H34,$E$8:$E$14,TRUE,""))</f>
        <v>1.1199999999999999</v>
      </c>
      <c r="K34" s="1">
        <f t="shared" si="19"/>
        <v>3</v>
      </c>
      <c r="L34" s="1">
        <f t="array" ref="L34">MEDIAN(_xlfn.IFS($K$30:$K$36=$K34,$D$8:$D$14,TRUE,""))</f>
        <v>0.98990683229813659</v>
      </c>
      <c r="M34" s="1">
        <f t="array" ref="M34">MEDIAN(_xlfn.IFS($K$30:$K$36=$K34,$E$8:$E$14,TRUE,""))</f>
        <v>1.02</v>
      </c>
    </row>
    <row r="35" spans="1:31">
      <c r="A35" s="1" t="s">
        <v>19</v>
      </c>
      <c r="B35" s="2">
        <f t="array" aca="1" ref="B35" ca="1">MMULT(--_xlfn.IFS($B$39:$Y$39=$C$39,$B45:$Y45,TRUE,0),TRANSPOSE(--_xlfn.IFS($G$18:$AD$18=$H$18,$G24:$AD24,TRUE,0)))/$D13</f>
        <v>1.1354838709677422</v>
      </c>
      <c r="C35" s="2">
        <f t="array" aca="1" ref="C35" ca="1">SUMPRODUCT(_xlfn.IFS($B$39:$Y$39=$E$39,$B45:$Y45,TRUE,0),(_xlfn.IFS($G$18:$AD$18=$H$18,$G24:$AD24,TRUE,0)))/$E13</f>
        <v>0.89483173076923084</v>
      </c>
      <c r="D35" s="2">
        <f t="shared" ca="1" si="17"/>
        <v>1.0160669975186107</v>
      </c>
      <c r="H35" s="1">
        <f t="shared" si="18"/>
        <v>2</v>
      </c>
      <c r="I35" s="1">
        <f t="array" ref="I35">MEDIAN(_xlfn.IFS($H$30:$H$36=$H35,$D$8:$D$14,TRUE,""))</f>
        <v>0.890625</v>
      </c>
      <c r="J35" s="1">
        <f t="array" ref="J35">MEDIAN(_xlfn.IFS($H$30:$H$36=$H35,$E$8:$E$14,TRUE,""))</f>
        <v>1.1400000000000001</v>
      </c>
      <c r="K35" s="1">
        <f t="shared" si="19"/>
        <v>2</v>
      </c>
      <c r="L35" s="1">
        <f t="array" ref="L35">MEDIAN(_xlfn.IFS($K$30:$K$36=$K35,$D$8:$D$14,TRUE,""))</f>
        <v>0.890625</v>
      </c>
      <c r="M35" s="1">
        <f t="array" ref="M35">MEDIAN(_xlfn.IFS($K$30:$K$36=$K35,$E$8:$E$14,TRUE,""))</f>
        <v>1.1400000000000001</v>
      </c>
    </row>
    <row r="36" spans="1:31">
      <c r="A36" s="1" t="s">
        <v>20</v>
      </c>
      <c r="B36" s="2">
        <f t="array" aca="1" ref="B36" ca="1">MMULT(--_xlfn.IFS($B$39:$Y$39=$C$39,$B46:$Y46,TRUE,0),TRANSPOSE(--_xlfn.IFS($G$18:$AD$18=$H$18,$G25:$AD25,TRUE,0)))/$D14</f>
        <v>0.87039170506912444</v>
      </c>
      <c r="C36" s="2">
        <f t="array" aca="1" ref="C36" ca="1">SUMPRODUCT(_xlfn.IFS($B$39:$Y$39=$E$39,$B46:$Y46,TRUE,0),(_xlfn.IFS($G$18:$AD$18=$H$18,$G25:$AD25,TRUE,0)))/$E14</f>
        <v>1.1045150501672241</v>
      </c>
      <c r="D36" s="2">
        <f t="shared" ca="1" si="17"/>
        <v>0.96136073778955966</v>
      </c>
      <c r="H36" s="1">
        <f t="shared" si="18"/>
        <v>1</v>
      </c>
      <c r="I36" s="1">
        <f t="array" ref="I36">MEDIAN(_xlfn.IFS($H$30:$H$36=$H36,$D$8:$D$14,TRUE,""))</f>
        <v>0.8928571428571429</v>
      </c>
      <c r="J36" s="1">
        <f t="array" ref="J36">MEDIAN(_xlfn.IFS($H$30:$H$36=$H36,$E$8:$E$14,TRUE,""))</f>
        <v>1.1199999999999999</v>
      </c>
      <c r="K36" s="1">
        <f t="shared" si="19"/>
        <v>3</v>
      </c>
      <c r="L36" s="1">
        <f t="array" ref="L36">MEDIAN(_xlfn.IFS($K$30:$K$36=$K36,$D$8:$D$14,TRUE,""))</f>
        <v>0.98990683229813659</v>
      </c>
      <c r="M36" s="1">
        <f t="array" ref="M36">MEDIAN(_xlfn.IFS($K$30:$K$36=$K36,$E$8:$E$14,TRUE,""))</f>
        <v>1.02</v>
      </c>
    </row>
    <row r="37" spans="1:31">
      <c r="A37" s="7" t="s">
        <v>49</v>
      </c>
    </row>
    <row r="38" spans="1:31">
      <c r="A38" s="7" t="s">
        <v>46</v>
      </c>
      <c r="B38" s="1" t="s">
        <v>24</v>
      </c>
      <c r="G38" s="1" t="s">
        <v>26</v>
      </c>
      <c r="L38" s="1" t="s">
        <v>28</v>
      </c>
      <c r="Q38" s="1" t="s">
        <v>34</v>
      </c>
      <c r="V38" s="1" t="s">
        <v>40</v>
      </c>
      <c r="AA38" s="1" t="s">
        <v>36</v>
      </c>
    </row>
    <row r="39" spans="1:31">
      <c r="A39" s="5" t="s">
        <v>13</v>
      </c>
      <c r="B39" s="5" t="s">
        <v>48</v>
      </c>
      <c r="C39" s="10" t="s">
        <v>31</v>
      </c>
      <c r="D39" s="5" t="s">
        <v>45</v>
      </c>
      <c r="E39" s="9" t="s">
        <v>33</v>
      </c>
      <c r="F39" s="5" t="s">
        <v>45</v>
      </c>
      <c r="G39" s="5" t="s">
        <v>48</v>
      </c>
      <c r="H39" s="10" t="s">
        <v>31</v>
      </c>
      <c r="I39" s="5" t="s">
        <v>45</v>
      </c>
      <c r="J39" s="9" t="s">
        <v>33</v>
      </c>
      <c r="K39" s="5" t="s">
        <v>45</v>
      </c>
      <c r="L39" s="5" t="s">
        <v>48</v>
      </c>
      <c r="M39" s="10" t="s">
        <v>31</v>
      </c>
      <c r="N39" s="5" t="s">
        <v>45</v>
      </c>
      <c r="O39" s="9" t="s">
        <v>33</v>
      </c>
      <c r="P39" s="5" t="s">
        <v>45</v>
      </c>
      <c r="Q39" s="5" t="s">
        <v>48</v>
      </c>
      <c r="R39" s="10" t="s">
        <v>31</v>
      </c>
      <c r="S39" s="5" t="s">
        <v>45</v>
      </c>
      <c r="T39" s="9" t="s">
        <v>33</v>
      </c>
      <c r="U39" s="5" t="s">
        <v>45</v>
      </c>
      <c r="V39" s="5" t="s">
        <v>48</v>
      </c>
      <c r="W39" s="10" t="s">
        <v>31</v>
      </c>
      <c r="X39" s="5" t="s">
        <v>45</v>
      </c>
      <c r="Y39" s="9" t="s">
        <v>33</v>
      </c>
      <c r="Z39" s="5" t="s">
        <v>45</v>
      </c>
      <c r="AA39" s="5" t="s">
        <v>48</v>
      </c>
      <c r="AB39" s="10" t="s">
        <v>30</v>
      </c>
      <c r="AC39" s="5" t="s">
        <v>44</v>
      </c>
      <c r="AD39" s="9" t="s">
        <v>32</v>
      </c>
      <c r="AE39" s="5" t="s">
        <v>44</v>
      </c>
    </row>
    <row r="40" spans="1:31">
      <c r="A40" s="1" t="s">
        <v>14</v>
      </c>
      <c r="C40" s="1">
        <f ca="1">_xlfn.IFS(OFFSET($E$29,MATCH($A40,$A$30:$A$36,0),MATCH(LOOKUP("々",$B$38:B$38),$F$28:$V$28,0)+_xlfn.IFS(C$39=$E$39,1,TRUE,0))="",OFFSET($D$7,MATCH($A40,$A$8:$A$14,0),_xlfn.IFS(C$39=$E$39,1,TRUE,0)),
TRUE,OFFSET($E$29,MATCH($A40,$A$30:$A$36,0),MATCH(LOOKUP("々",$B$38:B$38),$F$28:$V$28,0)+_xlfn.IFS(C$39=$E$39,1,TRUE,0)))</f>
        <v>0.55555555555555558</v>
      </c>
      <c r="E40" s="1">
        <f ca="1">_xlfn.IFS(OFFSET($E$29,MATCH($A40,$A$30:$A$36,0),MATCH(LOOKUP("々",$B$38:D$38),$F$28:$V$28,0)+_xlfn.IFS(E$39=$E$39,1,TRUE,0))="",OFFSET($D$7,MATCH($A40,$A$8:$A$14,0),_xlfn.IFS(E$39=$E$39,1,TRUE,0)),
TRUE,OFFSET($E$29,MATCH($A40,$A$30:$A$36,0),MATCH(LOOKUP("々",$B$38:D$38),$F$28:$V$28,0)+_xlfn.IFS(E$39=$E$39,1,TRUE,0)))</f>
        <v>1.7999999999999998</v>
      </c>
      <c r="H40" s="1">
        <f ca="1">_xlfn.IFS(OFFSET($E$29,MATCH($A40,$A$30:$A$36,0),MATCH(LOOKUP("々",$B$38:G$38),$F$28:$V$28,0)+_xlfn.IFS(H$39=$E$39,1,TRUE,0))="",OFFSET($D$7,MATCH($A40,$A$8:$A$14,0),_xlfn.IFS(H$39=$E$39,1,TRUE,0)),
TRUE,OFFSET($E$29,MATCH($A40,$A$30:$A$36,0),MATCH(LOOKUP("々",$B$38:G$38),$F$28:$V$28,0)+_xlfn.IFS(H$39=$E$39,1,TRUE,0)))</f>
        <v>0.8928571428571429</v>
      </c>
      <c r="J40" s="1">
        <f ca="1">_xlfn.IFS(OFFSET($E$29,MATCH($A40,$A$30:$A$36,0),MATCH(LOOKUP("々",$B$38:I$38),$F$28:$V$28,0)+_xlfn.IFS(J$39=$E$39,1,TRUE,0))="",OFFSET($D$7,MATCH($A40,$A$8:$A$14,0),_xlfn.IFS(J$39=$E$39,1,TRUE,0)),
TRUE,OFFSET($E$29,MATCH($A40,$A$30:$A$36,0),MATCH(LOOKUP("々",$B$38:I$38),$F$28:$V$28,0)+_xlfn.IFS(J$39=$E$39,1,TRUE,0)))</f>
        <v>1.1199999999999999</v>
      </c>
      <c r="M40" s="1">
        <f ca="1">_xlfn.IFS(OFFSET($E$29,MATCH($A40,$A$30:$A$36,0),MATCH(LOOKUP("々",$B$38:L$38),$F$28:$V$28,0)+_xlfn.IFS(M$39=$E$39,1,TRUE,0))="",OFFSET($D$7,MATCH($A40,$A$8:$A$14,0),_xlfn.IFS(M$39=$E$39,1,TRUE,0)),
TRUE,OFFSET($E$29,MATCH($A40,$A$30:$A$36,0),MATCH(LOOKUP("々",$B$38:L$38),$F$28:$V$28,0)+_xlfn.IFS(M$39=$E$39,1,TRUE,0)))</f>
        <v>1.1904761904761905</v>
      </c>
      <c r="O40" s="1">
        <f ca="1">_xlfn.IFS(OFFSET($E$29,MATCH($A40,$A$30:$A$36,0),MATCH(LOOKUP("々",$B$38:N$38),$F$28:$V$28,0)+_xlfn.IFS(O$39=$E$39,1,TRUE,0))="",OFFSET($D$7,MATCH($A40,$A$8:$A$14,0),_xlfn.IFS(O$39=$E$39,1,TRUE,0)),
TRUE,OFFSET($E$29,MATCH($A40,$A$30:$A$36,0),MATCH(LOOKUP("々",$B$38:N$38),$F$28:$V$28,0)+_xlfn.IFS(O$39=$E$39,1,TRUE,0)))</f>
        <v>0.84</v>
      </c>
      <c r="R40" s="1">
        <f ca="1">_xlfn.IFS(OFFSET($E$29,MATCH($A40,$A$30:$A$36,0),MATCH(LOOKUP("々",$B$38:Q$38),$F$28:$V$28,0)+_xlfn.IFS(R$39=$E$39,1,TRUE,0))="",OFFSET($D$7,MATCH($A40,$A$8:$A$14,0),_xlfn.IFS(R$39=$E$39,1,TRUE,0)),
TRUE,OFFSET($E$29,MATCH($A40,$A$30:$A$36,0),MATCH(LOOKUP("々",$B$38:Q$38),$F$28:$V$28,0)+_xlfn.IFS(R$39=$E$39,1,TRUE,0)))</f>
        <v>0.55555555555555558</v>
      </c>
      <c r="T40" s="1">
        <f ca="1">_xlfn.IFS(OFFSET($E$29,MATCH($A40,$A$30:$A$36,0),MATCH(LOOKUP("々",$B$38:S$38),$F$28:$V$28,0)+_xlfn.IFS(T$39=$E$39,1,TRUE,0))="",OFFSET($D$7,MATCH($A40,$A$8:$A$14,0),_xlfn.IFS(T$39=$E$39,1,TRUE,0)),
TRUE,OFFSET($E$29,MATCH($A40,$A$30:$A$36,0),MATCH(LOOKUP("々",$B$38:S$38),$F$28:$V$28,0)+_xlfn.IFS(T$39=$E$39,1,TRUE,0)))</f>
        <v>1.7999999999999998</v>
      </c>
      <c r="W40" s="1">
        <f ca="1">_xlfn.IFS(OFFSET($E$29,MATCH($A40,$A$30:$A$36,0),MATCH(LOOKUP("々",$B$38:V$38),$F$28:$V$28,0)+_xlfn.IFS(W$39=$E$39,1,TRUE,0))="",OFFSET($D$7,MATCH($A40,$A$8:$A$14,0),_xlfn.IFS(W$39=$E$39,1,TRUE,0)),
TRUE,OFFSET($E$29,MATCH($A40,$A$30:$A$36,0),MATCH(LOOKUP("々",$B$38:V$38),$F$28:$V$28,0)+_xlfn.IFS(W$39=$E$39,1,TRUE,0)))</f>
        <v>0.55555555555555558</v>
      </c>
      <c r="Y40" s="1">
        <f ca="1">_xlfn.IFS(OFFSET($E$29,MATCH($A40,$A$30:$A$36,0),MATCH(LOOKUP("々",$B$38:X$38),$F$28:$V$28,0)+_xlfn.IFS(Y$39=$E$39,1,TRUE,0))="",OFFSET($D$7,MATCH($A40,$A$8:$A$14,0),_xlfn.IFS(Y$39=$E$39,1,TRUE,0)),
TRUE,OFFSET($E$29,MATCH($A40,$A$30:$A$36,0),MATCH(LOOKUP("々",$B$38:X$38),$F$28:$V$28,0)+_xlfn.IFS(Y$39=$E$39,1,TRUE,0)))</f>
        <v>1.7999999999999998</v>
      </c>
      <c r="AB40" s="1">
        <f ca="1">_xlfn.IFS(OFFSET($E$29,MATCH($A40,$A$30:$A$36,0),MATCH(LOOKUP("々",$B$38:AA$38),$F$28:$V$28,0)+_xlfn.IFS(AB$39=$E$39,1,TRUE,0))="",OFFSET($D$7,MATCH($A40,$A$8:$A$14,0),_xlfn.IFS(AB$39=$E$39,1,TRUE,0)),
TRUE,OFFSET($E$29,MATCH($A40,$A$30:$A$36,0),MATCH(LOOKUP("々",$B$38:AA$38),$F$28:$V$28,0)+_xlfn.IFS(AB$39=$E$39,1,TRUE,0)))</f>
        <v>0.55555555555555558</v>
      </c>
      <c r="AD40" s="1">
        <f ca="1">_xlfn.IFS(OFFSET($E$29,MATCH($A40,$A$30:$A$36,0),MATCH(LOOKUP("々",$B$38:AD$38),$F$28:$V$28,0)+_xlfn.IFS(AD$39=$E$39,1,TRUE,0))="",OFFSET($D$7,MATCH($A40,$A$8:$A$14,0),_xlfn.IFS(AD$39=$E$39,1,TRUE,0)),
TRUE,OFFSET($E$29,MATCH($A40,$A$30:$A$36,0),MATCH(LOOKUP("々",$B$38:AD$38),$F$28:$V$28,0)+_xlfn.IFS(AC$39=$E$39,1,TRUE,0)))</f>
        <v>1.7999999999999998</v>
      </c>
    </row>
    <row r="41" spans="1:31">
      <c r="A41" s="1" t="s">
        <v>16</v>
      </c>
      <c r="C41" s="1">
        <f ca="1">_xlfn.IFS(OFFSET($E$29,MATCH($A41,$A$30:$A$36,0),MATCH(LOOKUP("々",$B$38:B$38),$F$28:$V$28,0)+_xlfn.IFS(C$39=$E$39,1,TRUE,0))="",OFFSET($D$7,MATCH($A41,$A$8:$A$14,0),_xlfn.IFS(C$39=$E$39,1,TRUE,0)),
TRUE,OFFSET($E$29,MATCH($A41,$A$30:$A$36,0),MATCH(LOOKUP("々",$B$38:B$38),$F$28:$V$28,0)+_xlfn.IFS(C$39=$E$39,1,TRUE,0)))</f>
        <v>1</v>
      </c>
      <c r="E41" s="1">
        <f ca="1">_xlfn.IFS(OFFSET($E$29,MATCH($A41,$A$30:$A$36,0),MATCH(LOOKUP("々",$B$38:D$38),$F$28:$V$28,0)+_xlfn.IFS(E$39=$E$39,1,TRUE,0))="",OFFSET($D$7,MATCH($A41,$A$8:$A$14,0),_xlfn.IFS(E$39=$E$39,1,TRUE,0)),
TRUE,OFFSET($E$29,MATCH($A41,$A$30:$A$36,0),MATCH(LOOKUP("々",$B$38:D$38),$F$28:$V$28,0)+_xlfn.IFS(E$39=$E$39,1,TRUE,0)))</f>
        <v>1</v>
      </c>
      <c r="H41" s="1">
        <f ca="1">_xlfn.IFS(OFFSET($E$29,MATCH($A41,$A$30:$A$36,0),MATCH(LOOKUP("々",$B$38:G$38),$F$28:$V$28,0)+_xlfn.IFS(H$39=$E$39,1,TRUE,0))="",OFFSET($D$7,MATCH($A41,$A$8:$A$14,0),_xlfn.IFS(H$39=$E$39,1,TRUE,0)),
TRUE,OFFSET($E$29,MATCH($A41,$A$30:$A$36,0),MATCH(LOOKUP("々",$B$38:G$38),$F$28:$V$28,0)+_xlfn.IFS(H$39=$E$39,1,TRUE,0)))</f>
        <v>0.890625</v>
      </c>
      <c r="J41" s="1">
        <f ca="1">_xlfn.IFS(OFFSET($E$29,MATCH($A41,$A$30:$A$36,0),MATCH(LOOKUP("々",$B$38:I$38),$F$28:$V$28,0)+_xlfn.IFS(J$39=$E$39,1,TRUE,0))="",OFFSET($D$7,MATCH($A41,$A$8:$A$14,0),_xlfn.IFS(J$39=$E$39,1,TRUE,0)),
TRUE,OFFSET($E$29,MATCH($A41,$A$30:$A$36,0),MATCH(LOOKUP("々",$B$38:I$38),$F$28:$V$28,0)+_xlfn.IFS(J$39=$E$39,1,TRUE,0)))</f>
        <v>1.1400000000000001</v>
      </c>
      <c r="M41" s="1">
        <f ca="1">_xlfn.IFS(OFFSET($E$29,MATCH($A41,$A$30:$A$36,0),MATCH(LOOKUP("々",$B$38:L$38),$F$28:$V$28,0)+_xlfn.IFS(M$39=$E$39,1,TRUE,0))="",OFFSET($D$7,MATCH($A41,$A$8:$A$14,0),_xlfn.IFS(M$39=$E$39,1,TRUE,0)),
TRUE,OFFSET($E$29,MATCH($A41,$A$30:$A$36,0),MATCH(LOOKUP("々",$B$38:L$38),$F$28:$V$28,0)+_xlfn.IFS(M$39=$E$39,1,TRUE,0)))</f>
        <v>0.890625</v>
      </c>
      <c r="O41" s="1">
        <f ca="1">_xlfn.IFS(OFFSET($E$29,MATCH($A41,$A$30:$A$36,0),MATCH(LOOKUP("々",$B$38:N$38),$F$28:$V$28,0)+_xlfn.IFS(O$39=$E$39,1,TRUE,0))="",OFFSET($D$7,MATCH($A41,$A$8:$A$14,0),_xlfn.IFS(O$39=$E$39,1,TRUE,0)),
TRUE,OFFSET($E$29,MATCH($A41,$A$30:$A$36,0),MATCH(LOOKUP("々",$B$38:N$38),$F$28:$V$28,0)+_xlfn.IFS(O$39=$E$39,1,TRUE,0)))</f>
        <v>1.1400000000000001</v>
      </c>
      <c r="R41" s="1">
        <f ca="1">_xlfn.IFS(OFFSET($E$29,MATCH($A41,$A$30:$A$36,0),MATCH(LOOKUP("々",$B$38:Q$38),$F$28:$V$28,0)+_xlfn.IFS(R$39=$E$39,1,TRUE,0))="",OFFSET($D$7,MATCH($A41,$A$8:$A$14,0),_xlfn.IFS(R$39=$E$39,1,TRUE,0)),
TRUE,OFFSET($E$29,MATCH($A41,$A$30:$A$36,0),MATCH(LOOKUP("々",$B$38:Q$38),$F$28:$V$28,0)+_xlfn.IFS(R$39=$E$39,1,TRUE,0)))</f>
        <v>1</v>
      </c>
      <c r="T41" s="1">
        <f ca="1">_xlfn.IFS(OFFSET($E$29,MATCH($A41,$A$30:$A$36,0),MATCH(LOOKUP("々",$B$38:S$38),$F$28:$V$28,0)+_xlfn.IFS(T$39=$E$39,1,TRUE,0))="",OFFSET($D$7,MATCH($A41,$A$8:$A$14,0),_xlfn.IFS(T$39=$E$39,1,TRUE,0)),
TRUE,OFFSET($E$29,MATCH($A41,$A$30:$A$36,0),MATCH(LOOKUP("々",$B$38:S$38),$F$28:$V$28,0)+_xlfn.IFS(T$39=$E$39,1,TRUE,0)))</f>
        <v>1</v>
      </c>
      <c r="W41" s="1">
        <f ca="1">_xlfn.IFS(OFFSET($E$29,MATCH($A41,$A$30:$A$36,0),MATCH(LOOKUP("々",$B$38:V$38),$F$28:$V$28,0)+_xlfn.IFS(W$39=$E$39,1,TRUE,0))="",OFFSET($D$7,MATCH($A41,$A$8:$A$14,0),_xlfn.IFS(W$39=$E$39,1,TRUE,0)),
TRUE,OFFSET($E$29,MATCH($A41,$A$30:$A$36,0),MATCH(LOOKUP("々",$B$38:V$38),$F$28:$V$28,0)+_xlfn.IFS(W$39=$E$39,1,TRUE,0)))</f>
        <v>1</v>
      </c>
      <c r="Y41" s="1">
        <f ca="1">_xlfn.IFS(OFFSET($E$29,MATCH($A41,$A$30:$A$36,0),MATCH(LOOKUP("々",$B$38:X$38),$F$28:$V$28,0)+_xlfn.IFS(Y$39=$E$39,1,TRUE,0))="",OFFSET($D$7,MATCH($A41,$A$8:$A$14,0),_xlfn.IFS(Y$39=$E$39,1,TRUE,0)),
TRUE,OFFSET($E$29,MATCH($A41,$A$30:$A$36,0),MATCH(LOOKUP("々",$B$38:X$38),$F$28:$V$28,0)+_xlfn.IFS(Y$39=$E$39,1,TRUE,0)))</f>
        <v>1</v>
      </c>
      <c r="AB41" s="1">
        <f ca="1">_xlfn.IFS(OFFSET($E$29,MATCH($A41,$A$30:$A$36,0),MATCH(LOOKUP("々",$B$38:AA$38),$F$28:$V$28,0)+_xlfn.IFS(AB$39=$E$39,1,TRUE,0))="",OFFSET($D$7,MATCH($A41,$A$8:$A$14,0),_xlfn.IFS(AB$39=$E$39,1,TRUE,0)),
TRUE,OFFSET($E$29,MATCH($A41,$A$30:$A$36,0),MATCH(LOOKUP("々",$B$38:AA$38),$F$28:$V$28,0)+_xlfn.IFS(AB$39=$E$39,1,TRUE,0)))</f>
        <v>1</v>
      </c>
      <c r="AD41" s="1">
        <f ca="1">_xlfn.IFS(OFFSET($E$29,MATCH($A41,$A$30:$A$36,0),MATCH(LOOKUP("々",$B$38:AD$38),$F$28:$V$28,0)+_xlfn.IFS(AD$39=$E$39,1,TRUE,0))="",OFFSET($D$7,MATCH($A41,$A$8:$A$14,0),_xlfn.IFS(AD$39=$E$39,1,TRUE,0)),
TRUE,OFFSET($E$29,MATCH($A41,$A$30:$A$36,0),MATCH(LOOKUP("々",$B$38:AD$38),$F$28:$V$28,0)+_xlfn.IFS(AC$39=$E$39,1,TRUE,0)))</f>
        <v>1</v>
      </c>
    </row>
    <row r="42" spans="1:31">
      <c r="A42" s="1" t="s">
        <v>17</v>
      </c>
      <c r="C42" s="1">
        <f ca="1">_xlfn.IFS(OFFSET($E$29,MATCH($A42,$A$30:$A$36,0),MATCH(LOOKUP("々",$B$38:B$38),$F$28:$V$28,0)+_xlfn.IFS(C$39=$E$39,1,TRUE,0))="",OFFSET($D$7,MATCH($A42,$A$8:$A$14,0),_xlfn.IFS(C$39=$E$39,1,TRUE,0)),
TRUE,OFFSET($E$29,MATCH($A42,$A$30:$A$36,0),MATCH(LOOKUP("々",$B$38:B$38),$F$28:$V$28,0)+_xlfn.IFS(C$39=$E$39,1,TRUE,0)))</f>
        <v>1.2820512820512822</v>
      </c>
      <c r="E42" s="1">
        <f ca="1">_xlfn.IFS(OFFSET($E$29,MATCH($A42,$A$30:$A$36,0),MATCH(LOOKUP("々",$B$38:D$38),$F$28:$V$28,0)+_xlfn.IFS(E$39=$E$39,1,TRUE,0))="",OFFSET($D$7,MATCH($A42,$A$8:$A$14,0),_xlfn.IFS(E$39=$E$39,1,TRUE,0)),
TRUE,OFFSET($E$29,MATCH($A42,$A$30:$A$36,0),MATCH(LOOKUP("々",$B$38:D$38),$F$28:$V$28,0)+_xlfn.IFS(E$39=$E$39,1,TRUE,0)))</f>
        <v>0.77999999999999992</v>
      </c>
      <c r="H42" s="1">
        <f ca="1">_xlfn.IFS(OFFSET($E$29,MATCH($A42,$A$30:$A$36,0),MATCH(LOOKUP("々",$B$38:G$38),$F$28:$V$28,0)+_xlfn.IFS(H$39=$E$39,1,TRUE,0))="",OFFSET($D$7,MATCH($A42,$A$8:$A$14,0),_xlfn.IFS(H$39=$E$39,1,TRUE,0)),
TRUE,OFFSET($E$29,MATCH($A42,$A$30:$A$36,0),MATCH(LOOKUP("々",$B$38:G$38),$F$28:$V$28,0)+_xlfn.IFS(H$39=$E$39,1,TRUE,0)))</f>
        <v>1.2820512820512822</v>
      </c>
      <c r="J42" s="1">
        <f ca="1">_xlfn.IFS(OFFSET($E$29,MATCH($A42,$A$30:$A$36,0),MATCH(LOOKUP("々",$B$38:I$38),$F$28:$V$28,0)+_xlfn.IFS(J$39=$E$39,1,TRUE,0))="",OFFSET($D$7,MATCH($A42,$A$8:$A$14,0),_xlfn.IFS(J$39=$E$39,1,TRUE,0)),
TRUE,OFFSET($E$29,MATCH($A42,$A$30:$A$36,0),MATCH(LOOKUP("々",$B$38:I$38),$F$28:$V$28,0)+_xlfn.IFS(J$39=$E$39,1,TRUE,0)))</f>
        <v>0.77999999999999992</v>
      </c>
      <c r="M42" s="1">
        <f ca="1">_xlfn.IFS(OFFSET($E$29,MATCH($A42,$A$30:$A$36,0),MATCH(LOOKUP("々",$B$38:L$38),$F$28:$V$28,0)+_xlfn.IFS(M$39=$E$39,1,TRUE,0))="",OFFSET($D$7,MATCH($A42,$A$8:$A$14,0),_xlfn.IFS(M$39=$E$39,1,TRUE,0)),
TRUE,OFFSET($E$29,MATCH($A42,$A$30:$A$36,0),MATCH(LOOKUP("々",$B$38:L$38),$F$28:$V$28,0)+_xlfn.IFS(M$39=$E$39,1,TRUE,0)))</f>
        <v>1.1904761904761905</v>
      </c>
      <c r="O42" s="1">
        <f ca="1">_xlfn.IFS(OFFSET($E$29,MATCH($A42,$A$30:$A$36,0),MATCH(LOOKUP("々",$B$38:N$38),$F$28:$V$28,0)+_xlfn.IFS(O$39=$E$39,1,TRUE,0))="",OFFSET($D$7,MATCH($A42,$A$8:$A$14,0),_xlfn.IFS(O$39=$E$39,1,TRUE,0)),
TRUE,OFFSET($E$29,MATCH($A42,$A$30:$A$36,0),MATCH(LOOKUP("々",$B$38:N$38),$F$28:$V$28,0)+_xlfn.IFS(O$39=$E$39,1,TRUE,0)))</f>
        <v>0.84</v>
      </c>
      <c r="R42" s="1">
        <f ca="1">_xlfn.IFS(OFFSET($E$29,MATCH($A42,$A$30:$A$36,0),MATCH(LOOKUP("々",$B$38:Q$38),$F$28:$V$28,0)+_xlfn.IFS(R$39=$E$39,1,TRUE,0))="",OFFSET($D$7,MATCH($A42,$A$8:$A$14,0),_xlfn.IFS(R$39=$E$39,1,TRUE,0)),
TRUE,OFFSET($E$29,MATCH($A42,$A$30:$A$36,0),MATCH(LOOKUP("々",$B$38:Q$38),$F$28:$V$28,0)+_xlfn.IFS(R$39=$E$39,1,TRUE,0)))</f>
        <v>1.2820512820512822</v>
      </c>
      <c r="T42" s="1">
        <f ca="1">_xlfn.IFS(OFFSET($E$29,MATCH($A42,$A$30:$A$36,0),MATCH(LOOKUP("々",$B$38:S$38),$F$28:$V$28,0)+_xlfn.IFS(T$39=$E$39,1,TRUE,0))="",OFFSET($D$7,MATCH($A42,$A$8:$A$14,0),_xlfn.IFS(T$39=$E$39,1,TRUE,0)),
TRUE,OFFSET($E$29,MATCH($A42,$A$30:$A$36,0),MATCH(LOOKUP("々",$B$38:S$38),$F$28:$V$28,0)+_xlfn.IFS(T$39=$E$39,1,TRUE,0)))</f>
        <v>0.77999999999999992</v>
      </c>
      <c r="W42" s="1">
        <f ca="1">_xlfn.IFS(OFFSET($E$29,MATCH($A42,$A$30:$A$36,0),MATCH(LOOKUP("々",$B$38:V$38),$F$28:$V$28,0)+_xlfn.IFS(W$39=$E$39,1,TRUE,0))="",OFFSET($D$7,MATCH($A42,$A$8:$A$14,0),_xlfn.IFS(W$39=$E$39,1,TRUE,0)),
TRUE,OFFSET($E$29,MATCH($A42,$A$30:$A$36,0),MATCH(LOOKUP("々",$B$38:V$38),$F$28:$V$28,0)+_xlfn.IFS(W$39=$E$39,1,TRUE,0)))</f>
        <v>1.2820512820512822</v>
      </c>
      <c r="Y42" s="1">
        <f ca="1">_xlfn.IFS(OFFSET($E$29,MATCH($A42,$A$30:$A$36,0),MATCH(LOOKUP("々",$B$38:X$38),$F$28:$V$28,0)+_xlfn.IFS(Y$39=$E$39,1,TRUE,0))="",OFFSET($D$7,MATCH($A42,$A$8:$A$14,0),_xlfn.IFS(Y$39=$E$39,1,TRUE,0)),
TRUE,OFFSET($E$29,MATCH($A42,$A$30:$A$36,0),MATCH(LOOKUP("々",$B$38:X$38),$F$28:$V$28,0)+_xlfn.IFS(Y$39=$E$39,1,TRUE,0)))</f>
        <v>0.77999999999999992</v>
      </c>
      <c r="AB42" s="1">
        <f ca="1">_xlfn.IFS(OFFSET($E$29,MATCH($A42,$A$30:$A$36,0),MATCH(LOOKUP("々",$B$38:AA$38),$F$28:$V$28,0)+_xlfn.IFS(AB$39=$E$39,1,TRUE,0))="",OFFSET($D$7,MATCH($A42,$A$8:$A$14,0),_xlfn.IFS(AB$39=$E$39,1,TRUE,0)),
TRUE,OFFSET($E$29,MATCH($A42,$A$30:$A$36,0),MATCH(LOOKUP("々",$B$38:AA$38),$F$28:$V$28,0)+_xlfn.IFS(AB$39=$E$39,1,TRUE,0)))</f>
        <v>1.2820512820512822</v>
      </c>
      <c r="AD42" s="1">
        <f ca="1">_xlfn.IFS(OFFSET($E$29,MATCH($A42,$A$30:$A$36,0),MATCH(LOOKUP("々",$B$38:AD$38),$F$28:$V$28,0)+_xlfn.IFS(AD$39=$E$39,1,TRUE,0))="",OFFSET($D$7,MATCH($A42,$A$8:$A$14,0),_xlfn.IFS(AD$39=$E$39,1,TRUE,0)),
TRUE,OFFSET($E$29,MATCH($A42,$A$30:$A$36,0),MATCH(LOOKUP("々",$B$38:AD$38),$F$28:$V$28,0)+_xlfn.IFS(AC$39=$E$39,1,TRUE,0)))</f>
        <v>0.77999999999999992</v>
      </c>
    </row>
    <row r="43" spans="1:31">
      <c r="A43" s="1" t="s">
        <v>15</v>
      </c>
      <c r="C43" s="1">
        <f ca="1">_xlfn.IFS(OFFSET($E$29,MATCH($A43,$A$30:$A$36,0),MATCH(LOOKUP("々",$B$38:B$38),$F$28:$V$28,0)+_xlfn.IFS(C$39=$E$39,1,TRUE,0))="",OFFSET($D$7,MATCH($A43,$A$8:$A$14,0),_xlfn.IFS(C$39=$E$39,1,TRUE,0)),
TRUE,OFFSET($E$29,MATCH($A43,$A$30:$A$36,0),MATCH(LOOKUP("々",$B$38:B$38),$F$28:$V$28,0)+_xlfn.IFS(C$39=$E$39,1,TRUE,0)))</f>
        <v>1.1904761904761905</v>
      </c>
      <c r="E43" s="1">
        <f ca="1">_xlfn.IFS(OFFSET($E$29,MATCH($A43,$A$30:$A$36,0),MATCH(LOOKUP("々",$B$38:D$38),$F$28:$V$28,0)+_xlfn.IFS(E$39=$E$39,1,TRUE,0))="",OFFSET($D$7,MATCH($A43,$A$8:$A$14,0),_xlfn.IFS(E$39=$E$39,1,TRUE,0)),
TRUE,OFFSET($E$29,MATCH($A43,$A$30:$A$36,0),MATCH(LOOKUP("々",$B$38:D$38),$F$28:$V$28,0)+_xlfn.IFS(E$39=$E$39,1,TRUE,0)))</f>
        <v>0.84</v>
      </c>
      <c r="H43" s="1">
        <f ca="1">_xlfn.IFS(OFFSET($E$29,MATCH($A43,$A$30:$A$36,0),MATCH(LOOKUP("々",$B$38:G$38),$F$28:$V$28,0)+_xlfn.IFS(H$39=$E$39,1,TRUE,0))="",OFFSET($D$7,MATCH($A43,$A$8:$A$14,0),_xlfn.IFS(H$39=$E$39,1,TRUE,0)),
TRUE,OFFSET($E$29,MATCH($A43,$A$30:$A$36,0),MATCH(LOOKUP("々",$B$38:G$38),$F$28:$V$28,0)+_xlfn.IFS(H$39=$E$39,1,TRUE,0)))</f>
        <v>1.1904761904761905</v>
      </c>
      <c r="J43" s="1">
        <f ca="1">_xlfn.IFS(OFFSET($E$29,MATCH($A43,$A$30:$A$36,0),MATCH(LOOKUP("々",$B$38:I$38),$F$28:$V$28,0)+_xlfn.IFS(J$39=$E$39,1,TRUE,0))="",OFFSET($D$7,MATCH($A43,$A$8:$A$14,0),_xlfn.IFS(J$39=$E$39,1,TRUE,0)),
TRUE,OFFSET($E$29,MATCH($A43,$A$30:$A$36,0),MATCH(LOOKUP("々",$B$38:I$38),$F$28:$V$28,0)+_xlfn.IFS(J$39=$E$39,1,TRUE,0)))</f>
        <v>0.84</v>
      </c>
      <c r="M43" s="1">
        <f ca="1">_xlfn.IFS(OFFSET($E$29,MATCH($A43,$A$30:$A$36,0),MATCH(LOOKUP("々",$B$38:L$38),$F$28:$V$28,0)+_xlfn.IFS(M$39=$E$39,1,TRUE,0))="",OFFSET($D$7,MATCH($A43,$A$8:$A$14,0),_xlfn.IFS(M$39=$E$39,1,TRUE,0)),
TRUE,OFFSET($E$29,MATCH($A43,$A$30:$A$36,0),MATCH(LOOKUP("々",$B$38:L$38),$F$28:$V$28,0)+_xlfn.IFS(M$39=$E$39,1,TRUE,0)))</f>
        <v>1.1904761904761905</v>
      </c>
      <c r="O43" s="1">
        <f ca="1">_xlfn.IFS(OFFSET($E$29,MATCH($A43,$A$30:$A$36,0),MATCH(LOOKUP("々",$B$38:N$38),$F$28:$V$28,0)+_xlfn.IFS(O$39=$E$39,1,TRUE,0))="",OFFSET($D$7,MATCH($A43,$A$8:$A$14,0),_xlfn.IFS(O$39=$E$39,1,TRUE,0)),
TRUE,OFFSET($E$29,MATCH($A43,$A$30:$A$36,0),MATCH(LOOKUP("々",$B$38:N$38),$F$28:$V$28,0)+_xlfn.IFS(O$39=$E$39,1,TRUE,0)))</f>
        <v>0.84</v>
      </c>
      <c r="R43" s="1">
        <f ca="1">_xlfn.IFS(OFFSET($E$29,MATCH($A43,$A$30:$A$36,0),MATCH(LOOKUP("々",$B$38:Q$38),$F$28:$V$28,0)+_xlfn.IFS(R$39=$E$39,1,TRUE,0))="",OFFSET($D$7,MATCH($A43,$A$8:$A$14,0),_xlfn.IFS(R$39=$E$39,1,TRUE,0)),
TRUE,OFFSET($E$29,MATCH($A43,$A$30:$A$36,0),MATCH(LOOKUP("々",$B$38:Q$38),$F$28:$V$28,0)+_xlfn.IFS(R$39=$E$39,1,TRUE,0)))</f>
        <v>1.1904761904761905</v>
      </c>
      <c r="T43" s="1">
        <f ca="1">_xlfn.IFS(OFFSET($E$29,MATCH($A43,$A$30:$A$36,0),MATCH(LOOKUP("々",$B$38:S$38),$F$28:$V$28,0)+_xlfn.IFS(T$39=$E$39,1,TRUE,0))="",OFFSET($D$7,MATCH($A43,$A$8:$A$14,0),_xlfn.IFS(T$39=$E$39,1,TRUE,0)),
TRUE,OFFSET($E$29,MATCH($A43,$A$30:$A$36,0),MATCH(LOOKUP("々",$B$38:S$38),$F$28:$V$28,0)+_xlfn.IFS(T$39=$E$39,1,TRUE,0)))</f>
        <v>0.84</v>
      </c>
      <c r="W43" s="1">
        <f ca="1">_xlfn.IFS(OFFSET($E$29,MATCH($A43,$A$30:$A$36,0),MATCH(LOOKUP("々",$B$38:V$38),$F$28:$V$28,0)+_xlfn.IFS(W$39=$E$39,1,TRUE,0))="",OFFSET($D$7,MATCH($A43,$A$8:$A$14,0),_xlfn.IFS(W$39=$E$39,1,TRUE,0)),
TRUE,OFFSET($E$29,MATCH($A43,$A$30:$A$36,0),MATCH(LOOKUP("々",$B$38:V$38),$F$28:$V$28,0)+_xlfn.IFS(W$39=$E$39,1,TRUE,0)))</f>
        <v>1.1904761904761905</v>
      </c>
      <c r="Y43" s="1">
        <f ca="1">_xlfn.IFS(OFFSET($E$29,MATCH($A43,$A$30:$A$36,0),MATCH(LOOKUP("々",$B$38:X$38),$F$28:$V$28,0)+_xlfn.IFS(Y$39=$E$39,1,TRUE,0))="",OFFSET($D$7,MATCH($A43,$A$8:$A$14,0),_xlfn.IFS(Y$39=$E$39,1,TRUE,0)),
TRUE,OFFSET($E$29,MATCH($A43,$A$30:$A$36,0),MATCH(LOOKUP("々",$B$38:X$38),$F$28:$V$28,0)+_xlfn.IFS(Y$39=$E$39,1,TRUE,0)))</f>
        <v>0.84</v>
      </c>
      <c r="AB43" s="1">
        <f ca="1">_xlfn.IFS(OFFSET($E$29,MATCH($A43,$A$30:$A$36,0),MATCH(LOOKUP("々",$B$38:AA$38),$F$28:$V$28,0)+_xlfn.IFS(AB$39=$E$39,1,TRUE,0))="",OFFSET($D$7,MATCH($A43,$A$8:$A$14,0),_xlfn.IFS(AB$39=$E$39,1,TRUE,0)),
TRUE,OFFSET($E$29,MATCH($A43,$A$30:$A$36,0),MATCH(LOOKUP("々",$B$38:AA$38),$F$28:$V$28,0)+_xlfn.IFS(AB$39=$E$39,1,TRUE,0)))</f>
        <v>1.1904761904761905</v>
      </c>
      <c r="AD43" s="1">
        <f ca="1">_xlfn.IFS(OFFSET($E$29,MATCH($A43,$A$30:$A$36,0),MATCH(LOOKUP("々",$B$38:AD$38),$F$28:$V$28,0)+_xlfn.IFS(AD$39=$E$39,1,TRUE,0))="",OFFSET($D$7,MATCH($A43,$A$8:$A$14,0),_xlfn.IFS(AD$39=$E$39,1,TRUE,0)),
TRUE,OFFSET($E$29,MATCH($A43,$A$30:$A$36,0),MATCH(LOOKUP("々",$B$38:AD$38),$F$28:$V$28,0)+_xlfn.IFS(AC$39=$E$39,1,TRUE,0)))</f>
        <v>0.84</v>
      </c>
    </row>
    <row r="44" spans="1:31">
      <c r="A44" s="1" t="s">
        <v>18</v>
      </c>
      <c r="C44" s="1">
        <f ca="1">_xlfn.IFS(OFFSET($E$29,MATCH($A44,$A$30:$A$36,0),MATCH(LOOKUP("々",$B$38:B$38),$F$28:$V$28,0)+_xlfn.IFS(C$39=$E$39,1,TRUE,0))="",OFFSET($D$7,MATCH($A44,$A$8:$A$14,0),_xlfn.IFS(C$39=$E$39,1,TRUE,0)),
TRUE,OFFSET($E$29,MATCH($A44,$A$30:$A$36,0),MATCH(LOOKUP("々",$B$38:B$38),$F$28:$V$28,0)+_xlfn.IFS(C$39=$E$39,1,TRUE,0)))</f>
        <v>0.8928571428571429</v>
      </c>
      <c r="E44" s="1">
        <f ca="1">_xlfn.IFS(OFFSET($E$29,MATCH($A44,$A$30:$A$36,0),MATCH(LOOKUP("々",$B$38:D$38),$F$28:$V$28,0)+_xlfn.IFS(E$39=$E$39,1,TRUE,0))="",OFFSET($D$7,MATCH($A44,$A$8:$A$14,0),_xlfn.IFS(E$39=$E$39,1,TRUE,0)),
TRUE,OFFSET($E$29,MATCH($A44,$A$30:$A$36,0),MATCH(LOOKUP("々",$B$38:D$38),$F$28:$V$28,0)+_xlfn.IFS(E$39=$E$39,1,TRUE,0)))</f>
        <v>1.1199999999999999</v>
      </c>
      <c r="H44" s="1">
        <f ca="1">_xlfn.IFS(OFFSET($E$29,MATCH($A44,$A$30:$A$36,0),MATCH(LOOKUP("々",$B$38:G$38),$F$28:$V$28,0)+_xlfn.IFS(H$39=$E$39,1,TRUE,0))="",OFFSET($D$7,MATCH($A44,$A$8:$A$14,0),_xlfn.IFS(H$39=$E$39,1,TRUE,0)),
TRUE,OFFSET($E$29,MATCH($A44,$A$30:$A$36,0),MATCH(LOOKUP("々",$B$38:G$38),$F$28:$V$28,0)+_xlfn.IFS(H$39=$E$39,1,TRUE,0)))</f>
        <v>0.8928571428571429</v>
      </c>
      <c r="J44" s="1">
        <f ca="1">_xlfn.IFS(OFFSET($E$29,MATCH($A44,$A$30:$A$36,0),MATCH(LOOKUP("々",$B$38:I$38),$F$28:$V$28,0)+_xlfn.IFS(J$39=$E$39,1,TRUE,0))="",OFFSET($D$7,MATCH($A44,$A$8:$A$14,0),_xlfn.IFS(J$39=$E$39,1,TRUE,0)),
TRUE,OFFSET($E$29,MATCH($A44,$A$30:$A$36,0),MATCH(LOOKUP("々",$B$38:I$38),$F$28:$V$28,0)+_xlfn.IFS(J$39=$E$39,1,TRUE,0)))</f>
        <v>1.1199999999999999</v>
      </c>
      <c r="M44" s="1">
        <f ca="1">_xlfn.IFS(OFFSET($E$29,MATCH($A44,$A$30:$A$36,0),MATCH(LOOKUP("々",$B$38:L$38),$F$28:$V$28,0)+_xlfn.IFS(M$39=$E$39,1,TRUE,0))="",OFFSET($D$7,MATCH($A44,$A$8:$A$14,0),_xlfn.IFS(M$39=$E$39,1,TRUE,0)),
TRUE,OFFSET($E$29,MATCH($A44,$A$30:$A$36,0),MATCH(LOOKUP("々",$B$38:L$38),$F$28:$V$28,0)+_xlfn.IFS(M$39=$E$39,1,TRUE,0)))</f>
        <v>0.98990683229813659</v>
      </c>
      <c r="O44" s="1">
        <f ca="1">_xlfn.IFS(OFFSET($E$29,MATCH($A44,$A$30:$A$36,0),MATCH(LOOKUP("々",$B$38:N$38),$F$28:$V$28,0)+_xlfn.IFS(O$39=$E$39,1,TRUE,0))="",OFFSET($D$7,MATCH($A44,$A$8:$A$14,0),_xlfn.IFS(O$39=$E$39,1,TRUE,0)),
TRUE,OFFSET($E$29,MATCH($A44,$A$30:$A$36,0),MATCH(LOOKUP("々",$B$38:N$38),$F$28:$V$28,0)+_xlfn.IFS(O$39=$E$39,1,TRUE,0)))</f>
        <v>1.02</v>
      </c>
      <c r="R44" s="1">
        <f ca="1">_xlfn.IFS(OFFSET($E$29,MATCH($A44,$A$30:$A$36,0),MATCH(LOOKUP("々",$B$38:Q$38),$F$28:$V$28,0)+_xlfn.IFS(R$39=$E$39,1,TRUE,0))="",OFFSET($D$7,MATCH($A44,$A$8:$A$14,0),_xlfn.IFS(R$39=$E$39,1,TRUE,0)),
TRUE,OFFSET($E$29,MATCH($A44,$A$30:$A$36,0),MATCH(LOOKUP("々",$B$38:Q$38),$F$28:$V$28,0)+_xlfn.IFS(R$39=$E$39,1,TRUE,0)))</f>
        <v>0.8928571428571429</v>
      </c>
      <c r="T44" s="1">
        <f ca="1">_xlfn.IFS(OFFSET($E$29,MATCH($A44,$A$30:$A$36,0),MATCH(LOOKUP("々",$B$38:S$38),$F$28:$V$28,0)+_xlfn.IFS(T$39=$E$39,1,TRUE,0))="",OFFSET($D$7,MATCH($A44,$A$8:$A$14,0),_xlfn.IFS(T$39=$E$39,1,TRUE,0)),
TRUE,OFFSET($E$29,MATCH($A44,$A$30:$A$36,0),MATCH(LOOKUP("々",$B$38:S$38),$F$28:$V$28,0)+_xlfn.IFS(T$39=$E$39,1,TRUE,0)))</f>
        <v>1.1199999999999999</v>
      </c>
      <c r="W44" s="1">
        <f ca="1">_xlfn.IFS(OFFSET($E$29,MATCH($A44,$A$30:$A$36,0),MATCH(LOOKUP("々",$B$38:V$38),$F$28:$V$28,0)+_xlfn.IFS(W$39=$E$39,1,TRUE,0))="",OFFSET($D$7,MATCH($A44,$A$8:$A$14,0),_xlfn.IFS(W$39=$E$39,1,TRUE,0)),
TRUE,OFFSET($E$29,MATCH($A44,$A$30:$A$36,0),MATCH(LOOKUP("々",$B$38:V$38),$F$28:$V$28,0)+_xlfn.IFS(W$39=$E$39,1,TRUE,0)))</f>
        <v>0.8928571428571429</v>
      </c>
      <c r="Y44" s="1">
        <f ca="1">_xlfn.IFS(OFFSET($E$29,MATCH($A44,$A$30:$A$36,0),MATCH(LOOKUP("々",$B$38:X$38),$F$28:$V$28,0)+_xlfn.IFS(Y$39=$E$39,1,TRUE,0))="",OFFSET($D$7,MATCH($A44,$A$8:$A$14,0),_xlfn.IFS(Y$39=$E$39,1,TRUE,0)),
TRUE,OFFSET($E$29,MATCH($A44,$A$30:$A$36,0),MATCH(LOOKUP("々",$B$38:X$38),$F$28:$V$28,0)+_xlfn.IFS(Y$39=$E$39,1,TRUE,0)))</f>
        <v>1.1199999999999999</v>
      </c>
      <c r="AB44" s="1">
        <f ca="1">_xlfn.IFS(OFFSET($E$29,MATCH($A44,$A$30:$A$36,0),MATCH(LOOKUP("々",$B$38:AA$38),$F$28:$V$28,0)+_xlfn.IFS(AB$39=$E$39,1,TRUE,0))="",OFFSET($D$7,MATCH($A44,$A$8:$A$14,0),_xlfn.IFS(AB$39=$E$39,1,TRUE,0)),
TRUE,OFFSET($E$29,MATCH($A44,$A$30:$A$36,0),MATCH(LOOKUP("々",$B$38:AA$38),$F$28:$V$28,0)+_xlfn.IFS(AB$39=$E$39,1,TRUE,0)))</f>
        <v>0.8928571428571429</v>
      </c>
      <c r="AD44" s="1">
        <f ca="1">_xlfn.IFS(OFFSET($E$29,MATCH($A44,$A$30:$A$36,0),MATCH(LOOKUP("々",$B$38:AD$38),$F$28:$V$28,0)+_xlfn.IFS(AD$39=$E$39,1,TRUE,0))="",OFFSET($D$7,MATCH($A44,$A$8:$A$14,0),_xlfn.IFS(AD$39=$E$39,1,TRUE,0)),
TRUE,OFFSET($E$29,MATCH($A44,$A$30:$A$36,0),MATCH(LOOKUP("々",$B$38:AD$38),$F$28:$V$28,0)+_xlfn.IFS(AC$39=$E$39,1,TRUE,0)))</f>
        <v>1.1199999999999999</v>
      </c>
    </row>
    <row r="45" spans="1:31">
      <c r="A45" s="1" t="s">
        <v>19</v>
      </c>
      <c r="C45" s="1">
        <f ca="1">_xlfn.IFS(OFFSET($E$29,MATCH($A45,$A$30:$A$36,0),MATCH(LOOKUP("々",$B$38:B$38),$F$28:$V$28,0)+_xlfn.IFS(C$39=$E$39,1,TRUE,0))="",OFFSET($D$7,MATCH($A45,$A$8:$A$14,0),_xlfn.IFS(C$39=$E$39,1,TRUE,0)),
TRUE,OFFSET($E$29,MATCH($A45,$A$30:$A$36,0),MATCH(LOOKUP("々",$B$38:B$38),$F$28:$V$28,0)+_xlfn.IFS(C$39=$E$39,1,TRUE,0)))</f>
        <v>0.78125</v>
      </c>
      <c r="E45" s="1">
        <f ca="1">_xlfn.IFS(OFFSET($E$29,MATCH($A45,$A$30:$A$36,0),MATCH(LOOKUP("々",$B$38:D$38),$F$28:$V$28,0)+_xlfn.IFS(E$39=$E$39,1,TRUE,0))="",OFFSET($D$7,MATCH($A45,$A$8:$A$14,0),_xlfn.IFS(E$39=$E$39,1,TRUE,0)),
TRUE,OFFSET($E$29,MATCH($A45,$A$30:$A$36,0),MATCH(LOOKUP("々",$B$38:D$38),$F$28:$V$28,0)+_xlfn.IFS(E$39=$E$39,1,TRUE,0)))</f>
        <v>1.28</v>
      </c>
      <c r="H45" s="1">
        <f ca="1">_xlfn.IFS(OFFSET($E$29,MATCH($A45,$A$30:$A$36,0),MATCH(LOOKUP("々",$B$38:G$38),$F$28:$V$28,0)+_xlfn.IFS(H$39=$E$39,1,TRUE,0))="",OFFSET($D$7,MATCH($A45,$A$8:$A$14,0),_xlfn.IFS(H$39=$E$39,1,TRUE,0)),
TRUE,OFFSET($E$29,MATCH($A45,$A$30:$A$36,0),MATCH(LOOKUP("々",$B$38:G$38),$F$28:$V$28,0)+_xlfn.IFS(H$39=$E$39,1,TRUE,0)))</f>
        <v>0.890625</v>
      </c>
      <c r="J45" s="1">
        <f ca="1">_xlfn.IFS(OFFSET($E$29,MATCH($A45,$A$30:$A$36,0),MATCH(LOOKUP("々",$B$38:I$38),$F$28:$V$28,0)+_xlfn.IFS(J$39=$E$39,1,TRUE,0))="",OFFSET($D$7,MATCH($A45,$A$8:$A$14,0),_xlfn.IFS(J$39=$E$39,1,TRUE,0)),
TRUE,OFFSET($E$29,MATCH($A45,$A$30:$A$36,0),MATCH(LOOKUP("々",$B$38:I$38),$F$28:$V$28,0)+_xlfn.IFS(J$39=$E$39,1,TRUE,0)))</f>
        <v>1.1400000000000001</v>
      </c>
      <c r="M45" s="1">
        <f ca="1">_xlfn.IFS(OFFSET($E$29,MATCH($A45,$A$30:$A$36,0),MATCH(LOOKUP("々",$B$38:L$38),$F$28:$V$28,0)+_xlfn.IFS(M$39=$E$39,1,TRUE,0))="",OFFSET($D$7,MATCH($A45,$A$8:$A$14,0),_xlfn.IFS(M$39=$E$39,1,TRUE,0)),
TRUE,OFFSET($E$29,MATCH($A45,$A$30:$A$36,0),MATCH(LOOKUP("々",$B$38:L$38),$F$28:$V$28,0)+_xlfn.IFS(M$39=$E$39,1,TRUE,0)))</f>
        <v>0.890625</v>
      </c>
      <c r="O45" s="1">
        <f ca="1">_xlfn.IFS(OFFSET($E$29,MATCH($A45,$A$30:$A$36,0),MATCH(LOOKUP("々",$B$38:N$38),$F$28:$V$28,0)+_xlfn.IFS(O$39=$E$39,1,TRUE,0))="",OFFSET($D$7,MATCH($A45,$A$8:$A$14,0),_xlfn.IFS(O$39=$E$39,1,TRUE,0)),
TRUE,OFFSET($E$29,MATCH($A45,$A$30:$A$36,0),MATCH(LOOKUP("々",$B$38:N$38),$F$28:$V$28,0)+_xlfn.IFS(O$39=$E$39,1,TRUE,0)))</f>
        <v>1.1400000000000001</v>
      </c>
      <c r="R45" s="1">
        <f ca="1">_xlfn.IFS(OFFSET($E$29,MATCH($A45,$A$30:$A$36,0),MATCH(LOOKUP("々",$B$38:Q$38),$F$28:$V$28,0)+_xlfn.IFS(R$39=$E$39,1,TRUE,0))="",OFFSET($D$7,MATCH($A45,$A$8:$A$14,0),_xlfn.IFS(R$39=$E$39,1,TRUE,0)),
TRUE,OFFSET($E$29,MATCH($A45,$A$30:$A$36,0),MATCH(LOOKUP("々",$B$38:Q$38),$F$28:$V$28,0)+_xlfn.IFS(R$39=$E$39,1,TRUE,0)))</f>
        <v>0.78125</v>
      </c>
      <c r="T45" s="1">
        <f ca="1">_xlfn.IFS(OFFSET($E$29,MATCH($A45,$A$30:$A$36,0),MATCH(LOOKUP("々",$B$38:S$38),$F$28:$V$28,0)+_xlfn.IFS(T$39=$E$39,1,TRUE,0))="",OFFSET($D$7,MATCH($A45,$A$8:$A$14,0),_xlfn.IFS(T$39=$E$39,1,TRUE,0)),
TRUE,OFFSET($E$29,MATCH($A45,$A$30:$A$36,0),MATCH(LOOKUP("々",$B$38:S$38),$F$28:$V$28,0)+_xlfn.IFS(T$39=$E$39,1,TRUE,0)))</f>
        <v>1.28</v>
      </c>
      <c r="W45" s="1">
        <f ca="1">_xlfn.IFS(OFFSET($E$29,MATCH($A45,$A$30:$A$36,0),MATCH(LOOKUP("々",$B$38:V$38),$F$28:$V$28,0)+_xlfn.IFS(W$39=$E$39,1,TRUE,0))="",OFFSET($D$7,MATCH($A45,$A$8:$A$14,0),_xlfn.IFS(W$39=$E$39,1,TRUE,0)),
TRUE,OFFSET($E$29,MATCH($A45,$A$30:$A$36,0),MATCH(LOOKUP("々",$B$38:V$38),$F$28:$V$28,0)+_xlfn.IFS(W$39=$E$39,1,TRUE,0)))</f>
        <v>0.78125</v>
      </c>
      <c r="Y45" s="1">
        <f ca="1">_xlfn.IFS(OFFSET($E$29,MATCH($A45,$A$30:$A$36,0),MATCH(LOOKUP("々",$B$38:X$38),$F$28:$V$28,0)+_xlfn.IFS(Y$39=$E$39,1,TRUE,0))="",OFFSET($D$7,MATCH($A45,$A$8:$A$14,0),_xlfn.IFS(Y$39=$E$39,1,TRUE,0)),
TRUE,OFFSET($E$29,MATCH($A45,$A$30:$A$36,0),MATCH(LOOKUP("々",$B$38:X$38),$F$28:$V$28,0)+_xlfn.IFS(Y$39=$E$39,1,TRUE,0)))</f>
        <v>1.28</v>
      </c>
      <c r="AB45" s="1">
        <f ca="1">_xlfn.IFS(OFFSET($E$29,MATCH($A45,$A$30:$A$36,0),MATCH(LOOKUP("々",$B$38:AA$38),$F$28:$V$28,0)+_xlfn.IFS(AB$39=$E$39,1,TRUE,0))="",OFFSET($D$7,MATCH($A45,$A$8:$A$14,0),_xlfn.IFS(AB$39=$E$39,1,TRUE,0)),
TRUE,OFFSET($E$29,MATCH($A45,$A$30:$A$36,0),MATCH(LOOKUP("々",$B$38:AA$38),$F$28:$V$28,0)+_xlfn.IFS(AB$39=$E$39,1,TRUE,0)))</f>
        <v>0.78125</v>
      </c>
      <c r="AD45" s="1">
        <f ca="1">_xlfn.IFS(OFFSET($E$29,MATCH($A45,$A$30:$A$36,0),MATCH(LOOKUP("々",$B$38:AD$38),$F$28:$V$28,0)+_xlfn.IFS(AD$39=$E$39,1,TRUE,0))="",OFFSET($D$7,MATCH($A45,$A$8:$A$14,0),_xlfn.IFS(AD$39=$E$39,1,TRUE,0)),
TRUE,OFFSET($E$29,MATCH($A45,$A$30:$A$36,0),MATCH(LOOKUP("々",$B$38:AD$38),$F$28:$V$28,0)+_xlfn.IFS(AC$39=$E$39,1,TRUE,0)))</f>
        <v>1.28</v>
      </c>
    </row>
    <row r="46" spans="1:31">
      <c r="A46" s="1" t="s">
        <v>20</v>
      </c>
      <c r="C46" s="1">
        <f ca="1">_xlfn.IFS(OFFSET($E$29,MATCH($A46,$A$30:$A$36,0),MATCH(LOOKUP("々",$B$38:B$38),$F$28:$V$28,0)+_xlfn.IFS(C$39=$E$39,1,TRUE,0))="",OFFSET($D$7,MATCH($A46,$A$8:$A$14,0),_xlfn.IFS(C$39=$E$39,1,TRUE,0)),
TRUE,OFFSET($E$29,MATCH($A46,$A$30:$A$36,0),MATCH(LOOKUP("々",$B$38:B$38),$F$28:$V$28,0)+_xlfn.IFS(C$39=$E$39,1,TRUE,0)))</f>
        <v>1.0869565217391304</v>
      </c>
      <c r="E46" s="1">
        <f ca="1">_xlfn.IFS(OFFSET($E$29,MATCH($A46,$A$30:$A$36,0),MATCH(LOOKUP("々",$B$38:D$38),$F$28:$V$28,0)+_xlfn.IFS(E$39=$E$39,1,TRUE,0))="",OFFSET($D$7,MATCH($A46,$A$8:$A$14,0),_xlfn.IFS(E$39=$E$39,1,TRUE,0)),
TRUE,OFFSET($E$29,MATCH($A46,$A$30:$A$36,0),MATCH(LOOKUP("々",$B$38:D$38),$F$28:$V$28,0)+_xlfn.IFS(E$39=$E$39,1,TRUE,0)))</f>
        <v>0.92</v>
      </c>
      <c r="H46" s="1">
        <f ca="1">_xlfn.IFS(OFFSET($E$29,MATCH($A46,$A$30:$A$36,0),MATCH(LOOKUP("々",$B$38:G$38),$F$28:$V$28,0)+_xlfn.IFS(H$39=$E$39,1,TRUE,0))="",OFFSET($D$7,MATCH($A46,$A$8:$A$14,0),_xlfn.IFS(H$39=$E$39,1,TRUE,0)),
TRUE,OFFSET($E$29,MATCH($A46,$A$30:$A$36,0),MATCH(LOOKUP("々",$B$38:G$38),$F$28:$V$28,0)+_xlfn.IFS(H$39=$E$39,1,TRUE,0)))</f>
        <v>0.8928571428571429</v>
      </c>
      <c r="J46" s="1">
        <f ca="1">_xlfn.IFS(OFFSET($E$29,MATCH($A46,$A$30:$A$36,0),MATCH(LOOKUP("々",$B$38:I$38),$F$28:$V$28,0)+_xlfn.IFS(J$39=$E$39,1,TRUE,0))="",OFFSET($D$7,MATCH($A46,$A$8:$A$14,0),_xlfn.IFS(J$39=$E$39,1,TRUE,0)),
TRUE,OFFSET($E$29,MATCH($A46,$A$30:$A$36,0),MATCH(LOOKUP("々",$B$38:I$38),$F$28:$V$28,0)+_xlfn.IFS(J$39=$E$39,1,TRUE,0)))</f>
        <v>1.1199999999999999</v>
      </c>
      <c r="M46" s="1">
        <f ca="1">_xlfn.IFS(OFFSET($E$29,MATCH($A46,$A$30:$A$36,0),MATCH(LOOKUP("々",$B$38:L$38),$F$28:$V$28,0)+_xlfn.IFS(M$39=$E$39,1,TRUE,0))="",OFFSET($D$7,MATCH($A46,$A$8:$A$14,0),_xlfn.IFS(M$39=$E$39,1,TRUE,0)),
TRUE,OFFSET($E$29,MATCH($A46,$A$30:$A$36,0),MATCH(LOOKUP("々",$B$38:L$38),$F$28:$V$28,0)+_xlfn.IFS(M$39=$E$39,1,TRUE,0)))</f>
        <v>0.98990683229813659</v>
      </c>
      <c r="O46" s="1">
        <f ca="1">_xlfn.IFS(OFFSET($E$29,MATCH($A46,$A$30:$A$36,0),MATCH(LOOKUP("々",$B$38:N$38),$F$28:$V$28,0)+_xlfn.IFS(O$39=$E$39,1,TRUE,0))="",OFFSET($D$7,MATCH($A46,$A$8:$A$14,0),_xlfn.IFS(O$39=$E$39,1,TRUE,0)),
TRUE,OFFSET($E$29,MATCH($A46,$A$30:$A$36,0),MATCH(LOOKUP("々",$B$38:N$38),$F$28:$V$28,0)+_xlfn.IFS(O$39=$E$39,1,TRUE,0)))</f>
        <v>1.02</v>
      </c>
      <c r="R46" s="1">
        <f ca="1">_xlfn.IFS(OFFSET($E$29,MATCH($A46,$A$30:$A$36,0),MATCH(LOOKUP("々",$B$38:Q$38),$F$28:$V$28,0)+_xlfn.IFS(R$39=$E$39,1,TRUE,0))="",OFFSET($D$7,MATCH($A46,$A$8:$A$14,0),_xlfn.IFS(R$39=$E$39,1,TRUE,0)),
TRUE,OFFSET($E$29,MATCH($A46,$A$30:$A$36,0),MATCH(LOOKUP("々",$B$38:Q$38),$F$28:$V$28,0)+_xlfn.IFS(R$39=$E$39,1,TRUE,0)))</f>
        <v>1.0869565217391304</v>
      </c>
      <c r="T46" s="1">
        <f ca="1">_xlfn.IFS(OFFSET($E$29,MATCH($A46,$A$30:$A$36,0),MATCH(LOOKUP("々",$B$38:S$38),$F$28:$V$28,0)+_xlfn.IFS(T$39=$E$39,1,TRUE,0))="",OFFSET($D$7,MATCH($A46,$A$8:$A$14,0),_xlfn.IFS(T$39=$E$39,1,TRUE,0)),
TRUE,OFFSET($E$29,MATCH($A46,$A$30:$A$36,0),MATCH(LOOKUP("々",$B$38:S$38),$F$28:$V$28,0)+_xlfn.IFS(T$39=$E$39,1,TRUE,0)))</f>
        <v>0.92</v>
      </c>
      <c r="W46" s="1">
        <f ca="1">_xlfn.IFS(OFFSET($E$29,MATCH($A46,$A$30:$A$36,0),MATCH(LOOKUP("々",$B$38:V$38),$F$28:$V$28,0)+_xlfn.IFS(W$39=$E$39,1,TRUE,0))="",OFFSET($D$7,MATCH($A46,$A$8:$A$14,0),_xlfn.IFS(W$39=$E$39,1,TRUE,0)),
TRUE,OFFSET($E$29,MATCH($A46,$A$30:$A$36,0),MATCH(LOOKUP("々",$B$38:V$38),$F$28:$V$28,0)+_xlfn.IFS(W$39=$E$39,1,TRUE,0)))</f>
        <v>1.0869565217391304</v>
      </c>
      <c r="Y46" s="1">
        <f ca="1">_xlfn.IFS(OFFSET($E$29,MATCH($A46,$A$30:$A$36,0),MATCH(LOOKUP("々",$B$38:X$38),$F$28:$V$28,0)+_xlfn.IFS(Y$39=$E$39,1,TRUE,0))="",OFFSET($D$7,MATCH($A46,$A$8:$A$14,0),_xlfn.IFS(Y$39=$E$39,1,TRUE,0)),
TRUE,OFFSET($E$29,MATCH($A46,$A$30:$A$36,0),MATCH(LOOKUP("々",$B$38:X$38),$F$28:$V$28,0)+_xlfn.IFS(Y$39=$E$39,1,TRUE,0)))</f>
        <v>0.92</v>
      </c>
      <c r="AB46" s="1">
        <f ca="1">_xlfn.IFS(OFFSET($E$29,MATCH($A46,$A$30:$A$36,0),MATCH(LOOKUP("々",$B$38:AA$38),$F$28:$V$28,0)+_xlfn.IFS(AB$39=$E$39,1,TRUE,0))="",OFFSET($D$7,MATCH($A46,$A$8:$A$14,0),_xlfn.IFS(AB$39=$E$39,1,TRUE,0)),
TRUE,OFFSET($E$29,MATCH($A46,$A$30:$A$36,0),MATCH(LOOKUP("々",$B$38:AA$38),$F$28:$V$28,0)+_xlfn.IFS(AB$39=$E$39,1,TRUE,0)))</f>
        <v>1.0869565217391304</v>
      </c>
      <c r="AD46" s="1">
        <f ca="1">_xlfn.IFS(OFFSET($E$29,MATCH($A46,$A$30:$A$36,0),MATCH(LOOKUP("々",$B$38:AD$38),$F$28:$V$28,0)+_xlfn.IFS(AD$39=$E$39,1,TRUE,0))="",OFFSET($D$7,MATCH($A46,$A$8:$A$14,0),_xlfn.IFS(AD$39=$E$39,1,TRUE,0)),
TRUE,OFFSET($E$29,MATCH($A46,$A$30:$A$36,0),MATCH(LOOKUP("々",$B$38:AD$38),$F$28:$V$28,0)+_xlfn.IFS(AC$39=$E$39,1,TRUE,0)))</f>
        <v>0.92</v>
      </c>
    </row>
    <row r="49" spans="1:15">
      <c r="A49" s="7" t="s">
        <v>56</v>
      </c>
      <c r="E49" s="1">
        <f>公式说明!$C$10</f>
        <v>0.3</v>
      </c>
      <c r="J49" s="7" t="s">
        <v>63</v>
      </c>
      <c r="K49" s="14" t="s">
        <v>73</v>
      </c>
    </row>
    <row r="50" spans="1:15">
      <c r="A50" s="5" t="s">
        <v>13</v>
      </c>
      <c r="B50" s="12" t="s">
        <v>58</v>
      </c>
      <c r="C50" s="11" t="s">
        <v>57</v>
      </c>
      <c r="D50" s="13" t="s">
        <v>59</v>
      </c>
      <c r="E50" s="11" t="s">
        <v>61</v>
      </c>
      <c r="F50" s="13" t="s">
        <v>62</v>
      </c>
      <c r="I50" s="5" t="s">
        <v>127</v>
      </c>
      <c r="J50" s="5" t="s">
        <v>13</v>
      </c>
      <c r="K50" s="5" t="s">
        <v>71</v>
      </c>
      <c r="L50" s="13" t="s">
        <v>59</v>
      </c>
      <c r="M50" s="11" t="s">
        <v>61</v>
      </c>
      <c r="N50" s="13" t="s">
        <v>62</v>
      </c>
      <c r="O50" s="5" t="s">
        <v>72</v>
      </c>
    </row>
    <row r="51" spans="1:15">
      <c r="A51" s="1" t="s">
        <v>14</v>
      </c>
      <c r="B51" s="1">
        <v>0.08</v>
      </c>
      <c r="C51" s="1">
        <v>0.65</v>
      </c>
      <c r="D51" s="1">
        <v>0.2</v>
      </c>
      <c r="E51" s="1">
        <v>0.15</v>
      </c>
      <c r="F51" s="1">
        <v>0.1</v>
      </c>
      <c r="I51" s="1">
        <f t="shared" ref="I51:I57" si="20">K51*(1-C51)</f>
        <v>0.22924999999999998</v>
      </c>
      <c r="J51" s="1" t="s">
        <v>64</v>
      </c>
      <c r="K51" s="1">
        <f t="shared" ref="K51:K57" si="21">_xlfn.IFS(SUM($D51:$F51)&gt;=1-$O$51,1*$O$51+(1-$O$51)*(0*$D51+(1-$E$49)*E51+0*F51),
TRUE,1*(1-SUM($D51:$F51))+(0*$D51+(1-$E$49)*E51+0*F51))</f>
        <v>0.65500000000000003</v>
      </c>
      <c r="O51" s="1">
        <v>0.2</v>
      </c>
    </row>
    <row r="52" spans="1:15">
      <c r="A52" s="1" t="s">
        <v>16</v>
      </c>
      <c r="B52" s="1">
        <v>0.16</v>
      </c>
      <c r="C52" s="1">
        <v>0.4</v>
      </c>
      <c r="D52" s="1">
        <v>0.15</v>
      </c>
      <c r="F52" s="1">
        <v>0.18</v>
      </c>
      <c r="I52" s="1">
        <f t="shared" si="20"/>
        <v>0.40200000000000002</v>
      </c>
      <c r="J52" s="1" t="s">
        <v>65</v>
      </c>
      <c r="K52" s="1">
        <f t="shared" si="21"/>
        <v>0.67</v>
      </c>
    </row>
    <row r="53" spans="1:15">
      <c r="A53" s="1" t="s">
        <v>17</v>
      </c>
      <c r="B53" s="1">
        <v>0.25</v>
      </c>
      <c r="C53" s="1">
        <v>0.22</v>
      </c>
      <c r="D53" s="1">
        <v>0.45</v>
      </c>
      <c r="F53" s="1">
        <v>0.25</v>
      </c>
      <c r="I53" s="1">
        <f t="shared" si="20"/>
        <v>0.23400000000000004</v>
      </c>
      <c r="J53" s="1" t="s">
        <v>66</v>
      </c>
      <c r="K53" s="1">
        <f t="shared" si="21"/>
        <v>0.30000000000000004</v>
      </c>
    </row>
    <row r="54" spans="1:15">
      <c r="A54" s="1" t="s">
        <v>15</v>
      </c>
      <c r="B54" s="1">
        <v>0.2</v>
      </c>
      <c r="C54" s="1">
        <v>0.28000000000000003</v>
      </c>
      <c r="D54" s="1">
        <v>0.35</v>
      </c>
      <c r="F54" s="1">
        <v>0.2</v>
      </c>
      <c r="I54" s="1">
        <f t="shared" si="20"/>
        <v>0.32399999999999995</v>
      </c>
      <c r="J54" s="1" t="s">
        <v>67</v>
      </c>
      <c r="K54" s="1">
        <f t="shared" si="21"/>
        <v>0.44999999999999996</v>
      </c>
    </row>
    <row r="55" spans="1:15">
      <c r="A55" s="1" t="s">
        <v>18</v>
      </c>
      <c r="B55" s="1">
        <v>0.18</v>
      </c>
      <c r="C55" s="1">
        <v>0.09</v>
      </c>
      <c r="D55" s="1">
        <v>0.06</v>
      </c>
      <c r="I55" s="1">
        <f t="shared" si="20"/>
        <v>0.85539999999999994</v>
      </c>
      <c r="J55" s="1" t="s">
        <v>68</v>
      </c>
      <c r="K55" s="1">
        <f t="shared" si="21"/>
        <v>0.94</v>
      </c>
    </row>
    <row r="56" spans="1:15">
      <c r="A56" s="1" t="s">
        <v>19</v>
      </c>
      <c r="B56" s="1">
        <v>0.13</v>
      </c>
      <c r="C56" s="1">
        <v>0.45</v>
      </c>
      <c r="D56" s="1">
        <v>0.12</v>
      </c>
      <c r="F56" s="1">
        <v>0.12</v>
      </c>
      <c r="I56" s="1">
        <f t="shared" si="20"/>
        <v>0.41800000000000004</v>
      </c>
      <c r="J56" s="1" t="s">
        <v>69</v>
      </c>
      <c r="K56" s="1">
        <f t="shared" si="21"/>
        <v>0.76</v>
      </c>
    </row>
    <row r="57" spans="1:15">
      <c r="A57" s="1" t="s">
        <v>20</v>
      </c>
      <c r="B57" s="1">
        <v>0.1</v>
      </c>
      <c r="C57" s="1">
        <v>0.05</v>
      </c>
      <c r="D57" s="1">
        <f>D55</f>
        <v>0.06</v>
      </c>
      <c r="I57" s="1">
        <f t="shared" si="20"/>
        <v>0.8929999999999999</v>
      </c>
      <c r="J57" s="1" t="s">
        <v>70</v>
      </c>
      <c r="K57" s="1">
        <f t="shared" si="21"/>
        <v>0.94</v>
      </c>
    </row>
  </sheetData>
  <phoneticPr fontId="10" type="noConversion"/>
  <conditionalFormatting sqref="B19:AI25">
    <cfRule type="cellIs" dxfId="31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E9A0-B694-4546-A79D-A01D32A8AB7A}">
  <sheetPr>
    <tabColor rgb="FF0C3A5A"/>
  </sheetPr>
  <dimension ref="A1:BV24"/>
  <sheetViews>
    <sheetView workbookViewId="0">
      <selection activeCell="B5" sqref="B5"/>
    </sheetView>
  </sheetViews>
  <sheetFormatPr defaultRowHeight="16.5"/>
  <cols>
    <col min="1" max="1" width="9" style="3" customWidth="1"/>
    <col min="2" max="2" width="9" style="3"/>
    <col min="3" max="3" width="12.25" style="3" bestFit="1" customWidth="1"/>
    <col min="4" max="4" width="9" style="3"/>
    <col min="5" max="5" width="12.75" style="3" bestFit="1" customWidth="1"/>
    <col min="6" max="16384" width="9" style="3"/>
  </cols>
  <sheetData>
    <row r="1" spans="1:65">
      <c r="A1" s="6" t="s">
        <v>110</v>
      </c>
      <c r="B1" s="8">
        <v>1</v>
      </c>
      <c r="C1" s="6" t="s">
        <v>113</v>
      </c>
      <c r="D1" s="8">
        <v>1</v>
      </c>
      <c r="E1" s="6" t="s">
        <v>111</v>
      </c>
      <c r="F1" s="8">
        <v>1</v>
      </c>
      <c r="G1" s="6" t="s">
        <v>114</v>
      </c>
      <c r="H1" s="8">
        <v>1</v>
      </c>
      <c r="I1" s="21" t="s">
        <v>112</v>
      </c>
      <c r="J1" s="8">
        <v>1</v>
      </c>
      <c r="K1" s="6" t="s">
        <v>2</v>
      </c>
      <c r="L1" s="4">
        <v>1</v>
      </c>
    </row>
    <row r="2" spans="1:65">
      <c r="B2" s="3">
        <f>模型构建!$J$1*$L$1*B$1</f>
        <v>180</v>
      </c>
      <c r="D2" s="3">
        <f>D3/0.01*$K$8</f>
        <v>450</v>
      </c>
      <c r="F2" s="3">
        <f>模型构建!$J$1*$L$1*F$1</f>
        <v>180</v>
      </c>
      <c r="H2" s="3">
        <f>模型构建!$J$1*$L$1*H$1</f>
        <v>180</v>
      </c>
      <c r="J2" s="3">
        <f>模型构建!$J$1*$L$1*J$1</f>
        <v>180</v>
      </c>
      <c r="L2" s="3">
        <f>模型构建!$J$1*$L$1*L$1</f>
        <v>180</v>
      </c>
    </row>
    <row r="3" spans="1:65">
      <c r="D3" s="3">
        <f>MAX(模型构建!$C$52:$C$57)</f>
        <v>0.45</v>
      </c>
    </row>
    <row r="6" spans="1:65">
      <c r="C6" s="7" t="s">
        <v>115</v>
      </c>
      <c r="J6" s="3" t="s">
        <v>116</v>
      </c>
    </row>
    <row r="7" spans="1:65">
      <c r="C7" s="5" t="s">
        <v>13</v>
      </c>
      <c r="D7" s="12" t="s">
        <v>58</v>
      </c>
      <c r="E7" s="11" t="s">
        <v>57</v>
      </c>
      <c r="F7" s="13" t="s">
        <v>59</v>
      </c>
      <c r="G7" s="11" t="s">
        <v>61</v>
      </c>
      <c r="H7" s="13" t="s">
        <v>62</v>
      </c>
      <c r="I7" s="18"/>
      <c r="J7" s="5" t="s">
        <v>58</v>
      </c>
      <c r="K7" s="5" t="s">
        <v>57</v>
      </c>
      <c r="L7" s="5" t="s">
        <v>60</v>
      </c>
      <c r="M7" s="5" t="s">
        <v>61</v>
      </c>
      <c r="N7" s="5" t="s">
        <v>62</v>
      </c>
    </row>
    <row r="8" spans="1:65">
      <c r="C8" s="1" t="s">
        <v>14</v>
      </c>
      <c r="D8" s="3">
        <f ca="1">OFFSET(模型构建!$A$50,MATCH($C8,模型构建!$A$51:$A$57,0),MATCH(D$7,$D$7:$H$7,0))
/模型构建!$J$1*$L$1*OFFSET($A$1,,MATCH(D$7,$D$7:$H$7,0)*2-1)</f>
        <v>4.4444444444444447E-4</v>
      </c>
      <c r="F8" s="3">
        <f ca="1">OFFSET(模型构建!$A$50,MATCH($C8,模型构建!$A$51:$A$57,0),MATCH(F$7,$D$7:$H$7,0))
/模型构建!$J$1*$L$1*OFFSET($A$1,,MATCH(F$7,$D$7:$H$7,0)*2-1)</f>
        <v>1.1111111111111111E-3</v>
      </c>
      <c r="G8" s="3">
        <f ca="1">OFFSET(模型构建!$A$50,MATCH($C8,模型构建!$A$51:$A$57,0),MATCH(G$7,$D$7:$H$7,0))
/模型构建!$J$1*$L$1*OFFSET($A$1,,MATCH(G$7,$D$7:$H$7,0)*2-1)</f>
        <v>8.3333333333333328E-4</v>
      </c>
      <c r="H8" s="3">
        <f ca="1">OFFSET(模型构建!$A$50,MATCH($C8,模型构建!$A$51:$A$57,0),MATCH(H$7,$D$7:$H$7,0))
/模型构建!$J$1*$L$1*OFFSET($A$1,,MATCH(H$7,$D$7:$H$7,0)*2-1)</f>
        <v>5.5555555555555556E-4</v>
      </c>
      <c r="J8" s="3">
        <f ca="1">IFERROR( 0.01/D8,0)</f>
        <v>22.5</v>
      </c>
      <c r="K8" s="3">
        <v>10</v>
      </c>
      <c r="L8" s="3">
        <f t="shared" ref="L8:N8" ca="1" si="0">IFERROR( 0.01/F8,0)</f>
        <v>9</v>
      </c>
      <c r="M8" s="3">
        <f t="shared" ca="1" si="0"/>
        <v>12.000000000000002</v>
      </c>
      <c r="N8" s="3">
        <f t="shared" ca="1" si="0"/>
        <v>18</v>
      </c>
    </row>
    <row r="9" spans="1:65">
      <c r="C9" s="1" t="s">
        <v>16</v>
      </c>
      <c r="D9" s="3">
        <f ca="1">OFFSET(模型构建!$A$50,MATCH($C9,模型构建!$A$51:$A$57,0),MATCH(D$7,$D$7:$H$7,0))
/模型构建!$J$1*$L$1*OFFSET($A$1,,MATCH(D$7,$D$7:$H$7,0)*2-1)</f>
        <v>8.8888888888888893E-4</v>
      </c>
      <c r="F9" s="3">
        <f ca="1">OFFSET(模型构建!$A$50,MATCH($C9,模型构建!$A$51:$A$57,0),MATCH(F$7,$D$7:$H$7,0))
/模型构建!$J$1*$L$1*OFFSET($A$1,,MATCH(F$7,$D$7:$H$7,0)*2-1)</f>
        <v>8.3333333333333328E-4</v>
      </c>
      <c r="G9" s="3">
        <f ca="1">OFFSET(模型构建!$A$50,MATCH($C9,模型构建!$A$51:$A$57,0),MATCH(G$7,$D$7:$H$7,0))
/模型构建!$J$1*$L$1*OFFSET($A$1,,MATCH(G$7,$D$7:$H$7,0)*2-1)</f>
        <v>0</v>
      </c>
      <c r="H9" s="3">
        <f ca="1">OFFSET(模型构建!$A$50,MATCH($C9,模型构建!$A$51:$A$57,0),MATCH(H$7,$D$7:$H$7,0))
/模型构建!$J$1*$L$1*OFFSET($A$1,,MATCH(H$7,$D$7:$H$7,0)*2-1)</f>
        <v>1E-3</v>
      </c>
      <c r="J9" s="3">
        <f t="shared" ref="J9:J14" ca="1" si="1">IFERROR( 0.01/D9,0)</f>
        <v>11.25</v>
      </c>
      <c r="K9" s="3">
        <v>10</v>
      </c>
      <c r="L9" s="3">
        <f t="shared" ref="L9:L14" ca="1" si="2">IFERROR( 0.01/F9,0)</f>
        <v>12.000000000000002</v>
      </c>
      <c r="M9" s="3">
        <f t="shared" ref="M9:M14" ca="1" si="3">IFERROR( 0.01/G9,0)</f>
        <v>0</v>
      </c>
      <c r="N9" s="3">
        <f t="shared" ref="N9:N14" ca="1" si="4">IFERROR( 0.01/H9,0)</f>
        <v>10</v>
      </c>
    </row>
    <row r="10" spans="1:65">
      <c r="C10" s="1" t="s">
        <v>17</v>
      </c>
      <c r="D10" s="3">
        <f ca="1">OFFSET(模型构建!$A$50,MATCH($C10,模型构建!$A$51:$A$57,0),MATCH(D$7,$D$7:$H$7,0))
/模型构建!$J$1*$L$1*OFFSET($A$1,,MATCH(D$7,$D$7:$H$7,0)*2-1)</f>
        <v>1.3888888888888889E-3</v>
      </c>
      <c r="F10" s="3">
        <f ca="1">OFFSET(模型构建!$A$50,MATCH($C10,模型构建!$A$51:$A$57,0),MATCH(F$7,$D$7:$H$7,0))
/模型构建!$J$1*$L$1*OFFSET($A$1,,MATCH(F$7,$D$7:$H$7,0)*2-1)</f>
        <v>2.5000000000000001E-3</v>
      </c>
      <c r="G10" s="3">
        <f ca="1">OFFSET(模型构建!$A$50,MATCH($C10,模型构建!$A$51:$A$57,0),MATCH(G$7,$D$7:$H$7,0))
/模型构建!$J$1*$L$1*OFFSET($A$1,,MATCH(G$7,$D$7:$H$7,0)*2-1)</f>
        <v>0</v>
      </c>
      <c r="H10" s="3">
        <f ca="1">OFFSET(模型构建!$A$50,MATCH($C10,模型构建!$A$51:$A$57,0),MATCH(H$7,$D$7:$H$7,0))
/模型构建!$J$1*$L$1*OFFSET($A$1,,MATCH(H$7,$D$7:$H$7,0)*2-1)</f>
        <v>1.3888888888888889E-3</v>
      </c>
      <c r="J10" s="3">
        <f t="shared" ca="1" si="1"/>
        <v>7.2</v>
      </c>
      <c r="K10" s="3">
        <v>10</v>
      </c>
      <c r="L10" s="3">
        <f t="shared" ca="1" si="2"/>
        <v>4</v>
      </c>
      <c r="M10" s="3">
        <f t="shared" ca="1" si="3"/>
        <v>0</v>
      </c>
      <c r="N10" s="3">
        <f t="shared" ca="1" si="4"/>
        <v>7.2</v>
      </c>
    </row>
    <row r="11" spans="1:65">
      <c r="C11" s="1" t="s">
        <v>15</v>
      </c>
      <c r="D11" s="3">
        <f ca="1">OFFSET(模型构建!$A$50,MATCH($C11,模型构建!$A$51:$A$57,0),MATCH(D$7,$D$7:$H$7,0))
/模型构建!$J$1*$L$1*OFFSET($A$1,,MATCH(D$7,$D$7:$H$7,0)*2-1)</f>
        <v>1.1111111111111111E-3</v>
      </c>
      <c r="F11" s="3">
        <f ca="1">OFFSET(模型构建!$A$50,MATCH($C11,模型构建!$A$51:$A$57,0),MATCH(F$7,$D$7:$H$7,0))
/模型构建!$J$1*$L$1*OFFSET($A$1,,MATCH(F$7,$D$7:$H$7,0)*2-1)</f>
        <v>1.9444444444444444E-3</v>
      </c>
      <c r="G11" s="3">
        <f ca="1">OFFSET(模型构建!$A$50,MATCH($C11,模型构建!$A$51:$A$57,0),MATCH(G$7,$D$7:$H$7,0))
/模型构建!$J$1*$L$1*OFFSET($A$1,,MATCH(G$7,$D$7:$H$7,0)*2-1)</f>
        <v>0</v>
      </c>
      <c r="H11" s="3">
        <f ca="1">OFFSET(模型构建!$A$50,MATCH($C11,模型构建!$A$51:$A$57,0),MATCH(H$7,$D$7:$H$7,0))
/模型构建!$J$1*$L$1*OFFSET($A$1,,MATCH(H$7,$D$7:$H$7,0)*2-1)</f>
        <v>1.1111111111111111E-3</v>
      </c>
      <c r="J11" s="3">
        <f t="shared" ca="1" si="1"/>
        <v>9</v>
      </c>
      <c r="K11" s="3">
        <v>10</v>
      </c>
      <c r="L11" s="3">
        <f t="shared" ca="1" si="2"/>
        <v>5.1428571428571432</v>
      </c>
      <c r="M11" s="3">
        <f t="shared" ca="1" si="3"/>
        <v>0</v>
      </c>
      <c r="N11" s="3">
        <f t="shared" ca="1" si="4"/>
        <v>9</v>
      </c>
    </row>
    <row r="12" spans="1:65">
      <c r="C12" s="1" t="s">
        <v>18</v>
      </c>
      <c r="D12" s="3">
        <f ca="1">OFFSET(模型构建!$A$50,MATCH($C12,模型构建!$A$51:$A$57,0),MATCH(D$7,$D$7:$H$7,0))
/模型构建!$J$1*$L$1*OFFSET($A$1,,MATCH(D$7,$D$7:$H$7,0)*2-1)</f>
        <v>1E-3</v>
      </c>
      <c r="F12" s="3">
        <f ca="1">OFFSET(模型构建!$A$50,MATCH($C12,模型构建!$A$51:$A$57,0),MATCH(F$7,$D$7:$H$7,0))
/模型构建!$J$1*$L$1*OFFSET($A$1,,MATCH(F$7,$D$7:$H$7,0)*2-1)</f>
        <v>3.3333333333333332E-4</v>
      </c>
      <c r="G12" s="3">
        <f ca="1">OFFSET(模型构建!$A$50,MATCH($C12,模型构建!$A$51:$A$57,0),MATCH(G$7,$D$7:$H$7,0))
/模型构建!$J$1*$L$1*OFFSET($A$1,,MATCH(G$7,$D$7:$H$7,0)*2-1)</f>
        <v>0</v>
      </c>
      <c r="H12" s="3">
        <f ca="1">OFFSET(模型构建!$A$50,MATCH($C12,模型构建!$A$51:$A$57,0),MATCH(H$7,$D$7:$H$7,0))
/模型构建!$J$1*$L$1*OFFSET($A$1,,MATCH(H$7,$D$7:$H$7,0)*2-1)</f>
        <v>0</v>
      </c>
      <c r="J12" s="3">
        <f t="shared" ca="1" si="1"/>
        <v>10</v>
      </c>
      <c r="K12" s="3">
        <v>10</v>
      </c>
      <c r="L12" s="3">
        <f t="shared" ca="1" si="2"/>
        <v>30</v>
      </c>
      <c r="M12" s="3">
        <f t="shared" ca="1" si="3"/>
        <v>0</v>
      </c>
      <c r="N12" s="3">
        <f t="shared" ca="1" si="4"/>
        <v>0</v>
      </c>
    </row>
    <row r="13" spans="1:65">
      <c r="C13" s="1" t="s">
        <v>19</v>
      </c>
      <c r="D13" s="3">
        <f ca="1">OFFSET(模型构建!$A$50,MATCH($C13,模型构建!$A$51:$A$57,0),MATCH(D$7,$D$7:$H$7,0))
/模型构建!$J$1*$L$1*OFFSET($A$1,,MATCH(D$7,$D$7:$H$7,0)*2-1)</f>
        <v>7.222222222222223E-4</v>
      </c>
      <c r="F13" s="3">
        <f ca="1">OFFSET(模型构建!$A$50,MATCH($C13,模型构建!$A$51:$A$57,0),MATCH(F$7,$D$7:$H$7,0))
/模型构建!$J$1*$L$1*OFFSET($A$1,,MATCH(F$7,$D$7:$H$7,0)*2-1)</f>
        <v>6.6666666666666664E-4</v>
      </c>
      <c r="G13" s="3">
        <f ca="1">OFFSET(模型构建!$A$50,MATCH($C13,模型构建!$A$51:$A$57,0),MATCH(G$7,$D$7:$H$7,0))
/模型构建!$J$1*$L$1*OFFSET($A$1,,MATCH(G$7,$D$7:$H$7,0)*2-1)</f>
        <v>0</v>
      </c>
      <c r="H13" s="3">
        <f ca="1">OFFSET(模型构建!$A$50,MATCH($C13,模型构建!$A$51:$A$57,0),MATCH(H$7,$D$7:$H$7,0))
/模型构建!$J$1*$L$1*OFFSET($A$1,,MATCH(H$7,$D$7:$H$7,0)*2-1)</f>
        <v>6.6666666666666664E-4</v>
      </c>
      <c r="J13" s="3">
        <f t="shared" ca="1" si="1"/>
        <v>13.846153846153845</v>
      </c>
      <c r="K13" s="3">
        <v>10</v>
      </c>
      <c r="L13" s="3">
        <f t="shared" ca="1" si="2"/>
        <v>15</v>
      </c>
      <c r="M13" s="3">
        <f t="shared" ca="1" si="3"/>
        <v>0</v>
      </c>
      <c r="N13" s="3">
        <f t="shared" ca="1" si="4"/>
        <v>15</v>
      </c>
    </row>
    <row r="14" spans="1:65">
      <c r="C14" s="1" t="s">
        <v>20</v>
      </c>
      <c r="D14" s="3">
        <f ca="1">OFFSET(模型构建!$A$50,MATCH($C14,模型构建!$A$51:$A$57,0),MATCH(D$7,$D$7:$H$7,0))
/模型构建!$J$1*$L$1*OFFSET($A$1,,MATCH(D$7,$D$7:$H$7,0)*2-1)</f>
        <v>5.5555555555555556E-4</v>
      </c>
      <c r="F14" s="3">
        <f ca="1">OFFSET(模型构建!$A$50,MATCH($C14,模型构建!$A$51:$A$57,0),MATCH(F$7,$D$7:$H$7,0))
/模型构建!$J$1*$L$1*OFFSET($A$1,,MATCH(F$7,$D$7:$H$7,0)*2-1)</f>
        <v>3.3333333333333332E-4</v>
      </c>
      <c r="G14" s="3">
        <f ca="1">OFFSET(模型构建!$A$50,MATCH($C14,模型构建!$A$51:$A$57,0),MATCH(G$7,$D$7:$H$7,0))
/模型构建!$J$1*$L$1*OFFSET($A$1,,MATCH(G$7,$D$7:$H$7,0)*2-1)</f>
        <v>0</v>
      </c>
      <c r="H14" s="3">
        <f ca="1">OFFSET(模型构建!$A$50,MATCH($C14,模型构建!$A$51:$A$57,0),MATCH(H$7,$D$7:$H$7,0))
/模型构建!$J$1*$L$1*OFFSET($A$1,,MATCH(H$7,$D$7:$H$7,0)*2-1)</f>
        <v>0</v>
      </c>
      <c r="J14" s="3">
        <f t="shared" ca="1" si="1"/>
        <v>18</v>
      </c>
      <c r="K14" s="3">
        <v>10</v>
      </c>
      <c r="L14" s="3">
        <f t="shared" ca="1" si="2"/>
        <v>30</v>
      </c>
      <c r="M14" s="3">
        <f t="shared" ca="1" si="3"/>
        <v>0</v>
      </c>
      <c r="N14" s="3">
        <f t="shared" ca="1" si="4"/>
        <v>0</v>
      </c>
    </row>
    <row r="16" spans="1:65">
      <c r="D16" s="3" t="s">
        <v>110</v>
      </c>
      <c r="E16" s="3" t="s">
        <v>113</v>
      </c>
      <c r="F16" s="3" t="s">
        <v>111</v>
      </c>
      <c r="G16" s="3" t="s">
        <v>114</v>
      </c>
      <c r="H16" s="3" t="s">
        <v>112</v>
      </c>
      <c r="I16" s="1"/>
      <c r="J16" s="1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27</v>
      </c>
      <c r="V16" s="1"/>
      <c r="W16" s="1"/>
      <c r="X16" s="1"/>
      <c r="Y16" s="1"/>
      <c r="AA16" s="1"/>
      <c r="AB16" s="1"/>
      <c r="AC16" s="1"/>
      <c r="AD16" s="1"/>
      <c r="AF16" s="1" t="s">
        <v>29</v>
      </c>
      <c r="AG16" s="1"/>
      <c r="AH16" s="1"/>
      <c r="AI16" s="1"/>
      <c r="AK16" s="1"/>
      <c r="AL16" s="1"/>
      <c r="AM16" s="1"/>
      <c r="AN16" s="1"/>
      <c r="AP16" s="1"/>
      <c r="AQ16" s="1" t="s">
        <v>35</v>
      </c>
      <c r="AR16" s="1"/>
      <c r="BB16" s="1" t="s">
        <v>41</v>
      </c>
      <c r="BM16" s="1" t="s">
        <v>37</v>
      </c>
    </row>
    <row r="17" spans="3:74">
      <c r="C17" s="5" t="s">
        <v>13</v>
      </c>
      <c r="D17" s="5" t="s">
        <v>42</v>
      </c>
      <c r="E17" s="5" t="s">
        <v>42</v>
      </c>
      <c r="F17" s="5" t="s">
        <v>42</v>
      </c>
      <c r="G17" s="5" t="s">
        <v>42</v>
      </c>
      <c r="H17" s="5" t="s">
        <v>42</v>
      </c>
      <c r="I17" s="5" t="s">
        <v>48</v>
      </c>
      <c r="J17" s="12" t="s">
        <v>118</v>
      </c>
      <c r="K17" s="5" t="s">
        <v>45</v>
      </c>
      <c r="L17" s="11" t="s">
        <v>119</v>
      </c>
      <c r="M17" s="5" t="s">
        <v>45</v>
      </c>
      <c r="N17" s="13" t="s">
        <v>111</v>
      </c>
      <c r="O17" s="5" t="s">
        <v>45</v>
      </c>
      <c r="P17" s="11" t="s">
        <v>120</v>
      </c>
      <c r="Q17" s="5" t="s">
        <v>45</v>
      </c>
      <c r="R17" s="13" t="s">
        <v>112</v>
      </c>
      <c r="S17" s="5" t="s">
        <v>45</v>
      </c>
      <c r="T17" s="5" t="s">
        <v>48</v>
      </c>
      <c r="U17" s="12" t="s">
        <v>118</v>
      </c>
      <c r="V17" s="5" t="s">
        <v>45</v>
      </c>
      <c r="W17" s="11" t="s">
        <v>119</v>
      </c>
      <c r="X17" s="5" t="s">
        <v>45</v>
      </c>
      <c r="Y17" s="13" t="s">
        <v>111</v>
      </c>
      <c r="Z17" s="5" t="s">
        <v>45</v>
      </c>
      <c r="AA17" s="11" t="s">
        <v>120</v>
      </c>
      <c r="AB17" s="5" t="s">
        <v>45</v>
      </c>
      <c r="AC17" s="13" t="s">
        <v>112</v>
      </c>
      <c r="AD17" s="5" t="s">
        <v>45</v>
      </c>
      <c r="AE17" s="5" t="s">
        <v>48</v>
      </c>
      <c r="AF17" s="12" t="s">
        <v>118</v>
      </c>
      <c r="AG17" s="5" t="s">
        <v>45</v>
      </c>
      <c r="AH17" s="11" t="s">
        <v>119</v>
      </c>
      <c r="AI17" s="5" t="s">
        <v>45</v>
      </c>
      <c r="AJ17" s="13" t="s">
        <v>111</v>
      </c>
      <c r="AK17" s="5" t="s">
        <v>45</v>
      </c>
      <c r="AL17" s="11" t="s">
        <v>120</v>
      </c>
      <c r="AM17" s="5" t="s">
        <v>45</v>
      </c>
      <c r="AN17" s="13" t="s">
        <v>112</v>
      </c>
      <c r="AO17" s="5" t="s">
        <v>45</v>
      </c>
      <c r="AP17" s="5" t="s">
        <v>48</v>
      </c>
      <c r="AQ17" s="12" t="s">
        <v>118</v>
      </c>
      <c r="AR17" s="5" t="s">
        <v>45</v>
      </c>
      <c r="AS17" s="11" t="s">
        <v>119</v>
      </c>
      <c r="AT17" s="5" t="s">
        <v>45</v>
      </c>
      <c r="AU17" s="13" t="s">
        <v>111</v>
      </c>
      <c r="AV17" s="5" t="s">
        <v>45</v>
      </c>
      <c r="AW17" s="11" t="s">
        <v>120</v>
      </c>
      <c r="AX17" s="5" t="s">
        <v>45</v>
      </c>
      <c r="AY17" s="13" t="s">
        <v>112</v>
      </c>
      <c r="AZ17" s="5" t="s">
        <v>45</v>
      </c>
      <c r="BA17" s="5" t="s">
        <v>48</v>
      </c>
      <c r="BB17" s="12" t="s">
        <v>118</v>
      </c>
      <c r="BC17" s="5" t="s">
        <v>45</v>
      </c>
      <c r="BD17" s="11" t="s">
        <v>119</v>
      </c>
      <c r="BE17" s="5" t="s">
        <v>45</v>
      </c>
      <c r="BF17" s="13" t="s">
        <v>111</v>
      </c>
      <c r="BG17" s="5" t="s">
        <v>45</v>
      </c>
      <c r="BH17" s="11" t="s">
        <v>120</v>
      </c>
      <c r="BI17" s="5" t="s">
        <v>45</v>
      </c>
      <c r="BJ17" s="13" t="s">
        <v>112</v>
      </c>
      <c r="BK17" s="5" t="s">
        <v>45</v>
      </c>
      <c r="BL17" s="5" t="s">
        <v>48</v>
      </c>
      <c r="BM17" s="12" t="s">
        <v>118</v>
      </c>
      <c r="BN17" s="5" t="s">
        <v>45</v>
      </c>
      <c r="BO17" s="11" t="s">
        <v>119</v>
      </c>
      <c r="BP17" s="5" t="s">
        <v>45</v>
      </c>
      <c r="BQ17" s="13" t="s">
        <v>111</v>
      </c>
      <c r="BR17" s="5" t="s">
        <v>45</v>
      </c>
      <c r="BS17" s="11" t="s">
        <v>120</v>
      </c>
      <c r="BT17" s="5" t="s">
        <v>45</v>
      </c>
      <c r="BU17" s="13" t="s">
        <v>112</v>
      </c>
      <c r="BV17" s="5" t="s">
        <v>45</v>
      </c>
    </row>
    <row r="18" spans="3:74">
      <c r="C18" s="1" t="s">
        <v>14</v>
      </c>
      <c r="D18" s="3">
        <f>SUMIFS($J18:$BV18,$J$17:$BV$17,D$16)</f>
        <v>16</v>
      </c>
      <c r="E18" s="3">
        <f t="shared" ref="E18:H24" si="5">SUMIFS($J18:$BV18,$J$17:$BV$17,E$16)</f>
        <v>16</v>
      </c>
      <c r="F18" s="3">
        <f t="shared" si="5"/>
        <v>16</v>
      </c>
      <c r="G18" s="3">
        <f t="shared" si="5"/>
        <v>15</v>
      </c>
      <c r="H18" s="3">
        <f t="shared" si="5"/>
        <v>15</v>
      </c>
      <c r="J18" s="3">
        <v>1</v>
      </c>
      <c r="K18" s="3">
        <f ca="1">N(J18)/OFFSET($C18,,MATCH(J$17,$D$16:$H$16,0))</f>
        <v>6.25E-2</v>
      </c>
      <c r="L18" s="3">
        <f>J18</f>
        <v>1</v>
      </c>
      <c r="M18" s="3">
        <f ca="1">N(L18)/OFFSET($C18,,MATCH(L$17,$D$16:$H$16,0))</f>
        <v>6.25E-2</v>
      </c>
      <c r="N18" s="3">
        <f>J18</f>
        <v>1</v>
      </c>
      <c r="O18" s="3">
        <f ca="1">N(N18)/OFFSET($C18,,MATCH(N$17,$D$16:$H$16,0))</f>
        <v>6.25E-2</v>
      </c>
      <c r="Q18" s="3">
        <f ca="1">N(P18)/OFFSET($C18,,MATCH(P$17,$D$16:$H$16,0))</f>
        <v>0</v>
      </c>
      <c r="S18" s="3">
        <f ca="1">N(R18)/OFFSET($C18,,MATCH(R$17,$D$16:$H$16,0))</f>
        <v>0</v>
      </c>
      <c r="T18" s="3">
        <f>模型构建!K19</f>
        <v>1</v>
      </c>
      <c r="V18" s="3">
        <f ca="1">N(U18)/OFFSET($C18,,MATCH(U$17,$D$16:$H$16,0))</f>
        <v>0</v>
      </c>
      <c r="X18" s="3">
        <f ca="1">N(W18)/OFFSET($C18,,MATCH(W$17,$D$16:$H$16,0))</f>
        <v>0</v>
      </c>
      <c r="Z18" s="3">
        <f ca="1">N(Y18)/OFFSET($C18,,MATCH(Y$17,$D$16:$H$16,0))</f>
        <v>0</v>
      </c>
      <c r="AB18" s="3">
        <f ca="1">N(AA18)/OFFSET($C18,,MATCH(AA$17,$D$16:$H$16,0))</f>
        <v>0</v>
      </c>
      <c r="AD18" s="3">
        <f ca="1">N(AC18)/OFFSET($C18,,MATCH(AC$17,$D$16:$H$16,0))</f>
        <v>0</v>
      </c>
      <c r="AE18" s="3">
        <f>模型构建!P19</f>
        <v>1</v>
      </c>
      <c r="AF18" s="3">
        <v>15</v>
      </c>
      <c r="AG18" s="3">
        <f ca="1">N(AF18)/OFFSET($C18,,MATCH(AF$17,$D$16:$H$16,0))</f>
        <v>0.9375</v>
      </c>
      <c r="AH18" s="3">
        <f>AF18</f>
        <v>15</v>
      </c>
      <c r="AI18" s="3">
        <f ca="1">N(AH18)/OFFSET($C18,,MATCH(AH$17,$D$16:$H$16,0))</f>
        <v>0.9375</v>
      </c>
      <c r="AJ18" s="3">
        <f>AF18</f>
        <v>15</v>
      </c>
      <c r="AK18" s="3">
        <f ca="1">N(AJ18)/OFFSET($C18,,MATCH(AJ$17,$D$16:$H$16,0))</f>
        <v>0.9375</v>
      </c>
      <c r="AL18" s="3">
        <f>AF18</f>
        <v>15</v>
      </c>
      <c r="AM18" s="3">
        <f ca="1">N(AL18)/OFFSET($C18,,MATCH(AL$17,$D$16:$H$16,0))</f>
        <v>1</v>
      </c>
      <c r="AN18" s="3">
        <f>AF18</f>
        <v>15</v>
      </c>
      <c r="AO18" s="3">
        <f ca="1">N(AN18)/OFFSET($C18,,MATCH(AN$17,$D$16:$H$16,0))</f>
        <v>1</v>
      </c>
      <c r="AR18" s="3">
        <f ca="1">N(AQ18)/OFFSET($C18,,MATCH(AQ$17,$D$16:$H$16,0))</f>
        <v>0</v>
      </c>
      <c r="AT18" s="3">
        <f ca="1">N(AS18)/OFFSET($C18,,MATCH(AS$17,$D$16:$H$16,0))</f>
        <v>0</v>
      </c>
      <c r="AV18" s="3">
        <f ca="1">N(AU18)/OFFSET($C18,,MATCH(AU$17,$D$16:$H$16,0))</f>
        <v>0</v>
      </c>
      <c r="AX18" s="3">
        <f ca="1">N(AW18)/OFFSET($C18,,MATCH(AW$17,$D$16:$H$16,0))</f>
        <v>0</v>
      </c>
      <c r="AZ18" s="3">
        <f ca="1">N(AY18)/OFFSET($C18,,MATCH(AY$17,$D$16:$H$16,0))</f>
        <v>0</v>
      </c>
      <c r="BC18" s="3">
        <f ca="1">N(BB18)/OFFSET($C18,,MATCH(BB$17,$D$16:$H$16,0))</f>
        <v>0</v>
      </c>
      <c r="BE18" s="3">
        <f ca="1">N(BD18)/OFFSET($C18,,MATCH(BD$17,$D$16:$H$16,0))</f>
        <v>0</v>
      </c>
      <c r="BG18" s="3">
        <f ca="1">N(BF18)/OFFSET($C18,,MATCH(BF$17,$D$16:$H$16,0))</f>
        <v>0</v>
      </c>
      <c r="BI18" s="3">
        <f ca="1">N(BH18)/OFFSET($C18,,MATCH(BH$17,$D$16:$H$16,0))</f>
        <v>0</v>
      </c>
      <c r="BK18" s="3">
        <f ca="1">N(BJ18)/OFFSET($C18,,MATCH(BJ$17,$D$16:$H$16,0))</f>
        <v>0</v>
      </c>
      <c r="BN18" s="3">
        <f ca="1">N(BM18)/OFFSET($C18,,MATCH(BM$17,$D$16:$H$16,0))</f>
        <v>0</v>
      </c>
      <c r="BP18" s="3">
        <f ca="1">N(BO18)/OFFSET($C18,,MATCH(BO$17,$D$16:$H$16,0))</f>
        <v>0</v>
      </c>
      <c r="BR18" s="3">
        <f ca="1">N(BQ18)/OFFSET($C18,,MATCH(BQ$17,$D$16:$H$16,0))</f>
        <v>0</v>
      </c>
      <c r="BT18" s="3">
        <f ca="1">N(BS18)/OFFSET($C18,,MATCH(BS$17,$D$16:$H$16,0))</f>
        <v>0</v>
      </c>
      <c r="BV18" s="3">
        <f ca="1">N(BU18)/OFFSET($C18,,MATCH(BU$17,$D$16:$H$16,0))</f>
        <v>0</v>
      </c>
    </row>
    <row r="19" spans="3:74">
      <c r="C19" s="1" t="s">
        <v>16</v>
      </c>
      <c r="D19" s="3">
        <f t="shared" ref="D19:D24" si="6">SUMIFS($J19:$BV19,$J$17:$BV$17,D$16)</f>
        <v>16</v>
      </c>
      <c r="E19" s="3">
        <f t="shared" si="5"/>
        <v>16</v>
      </c>
      <c r="F19" s="3">
        <f t="shared" si="5"/>
        <v>16</v>
      </c>
      <c r="G19" s="3">
        <f t="shared" si="5"/>
        <v>15</v>
      </c>
      <c r="H19" s="3">
        <f t="shared" si="5"/>
        <v>15</v>
      </c>
      <c r="J19" s="3">
        <v>1</v>
      </c>
      <c r="K19" s="3">
        <f t="shared" ref="K19:M24" ca="1" si="7">N(J19)/OFFSET($C19,,MATCH(J$17,$D$16:$H$16,0))</f>
        <v>6.25E-2</v>
      </c>
      <c r="L19" s="3">
        <f t="shared" ref="L19:L24" si="8">J19</f>
        <v>1</v>
      </c>
      <c r="M19" s="3">
        <f t="shared" ca="1" si="7"/>
        <v>6.25E-2</v>
      </c>
      <c r="N19" s="3">
        <f t="shared" ref="N19:N24" si="9">J19</f>
        <v>1</v>
      </c>
      <c r="O19" s="3">
        <f t="shared" ref="O19" ca="1" si="10">N(N19)/OFFSET($C19,,MATCH(N$17,$D$16:$H$16,0))</f>
        <v>6.25E-2</v>
      </c>
      <c r="Q19" s="3">
        <f t="shared" ref="Q19" ca="1" si="11">N(P19)/OFFSET($C19,,MATCH(P$17,$D$16:$H$16,0))</f>
        <v>0</v>
      </c>
      <c r="S19" s="3">
        <f t="shared" ref="S19" ca="1" si="12">N(R19)/OFFSET($C19,,MATCH(R$17,$D$16:$H$16,0))</f>
        <v>0</v>
      </c>
      <c r="T19" s="3">
        <f>模型构建!K20</f>
        <v>2</v>
      </c>
      <c r="V19" s="3">
        <f t="shared" ref="V19" ca="1" si="13">N(U19)/OFFSET($C19,,MATCH(U$17,$D$16:$H$16,0))</f>
        <v>0</v>
      </c>
      <c r="X19" s="3">
        <f t="shared" ref="X19" ca="1" si="14">N(W19)/OFFSET($C19,,MATCH(W$17,$D$16:$H$16,0))</f>
        <v>0</v>
      </c>
      <c r="Z19" s="3">
        <f t="shared" ref="Z19" ca="1" si="15">N(Y19)/OFFSET($C19,,MATCH(Y$17,$D$16:$H$16,0))</f>
        <v>0</v>
      </c>
      <c r="AB19" s="3">
        <f t="shared" ref="AB19" ca="1" si="16">N(AA19)/OFFSET($C19,,MATCH(AA$17,$D$16:$H$16,0))</f>
        <v>0</v>
      </c>
      <c r="AD19" s="3">
        <f t="shared" ref="AD19" ca="1" si="17">N(AC19)/OFFSET($C19,,MATCH(AC$17,$D$16:$H$16,0))</f>
        <v>0</v>
      </c>
      <c r="AE19" s="3">
        <f>模型构建!P20</f>
        <v>2</v>
      </c>
      <c r="AF19" s="3">
        <v>15</v>
      </c>
      <c r="AG19" s="3">
        <f t="shared" ref="AG19" ca="1" si="18">N(AF19)/OFFSET($C19,,MATCH(AF$17,$D$16:$H$16,0))</f>
        <v>0.9375</v>
      </c>
      <c r="AH19" s="3">
        <f t="shared" ref="AH19:AH24" si="19">AF19</f>
        <v>15</v>
      </c>
      <c r="AI19" s="3">
        <f t="shared" ref="AI19" ca="1" si="20">N(AH19)/OFFSET($C19,,MATCH(AH$17,$D$16:$H$16,0))</f>
        <v>0.9375</v>
      </c>
      <c r="AJ19" s="3">
        <f t="shared" ref="AJ19:AJ24" si="21">AF19</f>
        <v>15</v>
      </c>
      <c r="AK19" s="3">
        <f t="shared" ref="AK19" ca="1" si="22">N(AJ19)/OFFSET($C19,,MATCH(AJ$17,$D$16:$H$16,0))</f>
        <v>0.9375</v>
      </c>
      <c r="AL19" s="3">
        <f t="shared" ref="AL19:AL24" si="23">AF19</f>
        <v>15</v>
      </c>
      <c r="AM19" s="3">
        <f t="shared" ref="AM19" ca="1" si="24">N(AL19)/OFFSET($C19,,MATCH(AL$17,$D$16:$H$16,0))</f>
        <v>1</v>
      </c>
      <c r="AN19" s="3">
        <f t="shared" ref="AN19:AN24" si="25">AF19</f>
        <v>15</v>
      </c>
      <c r="AO19" s="3">
        <f t="shared" ref="AO19" ca="1" si="26">N(AN19)/OFFSET($C19,,MATCH(AN$17,$D$16:$H$16,0))</f>
        <v>1</v>
      </c>
      <c r="AR19" s="3">
        <f t="shared" ref="AR19" ca="1" si="27">N(AQ19)/OFFSET($C19,,MATCH(AQ$17,$D$16:$H$16,0))</f>
        <v>0</v>
      </c>
      <c r="AT19" s="3">
        <f t="shared" ref="AT19" ca="1" si="28">N(AS19)/OFFSET($C19,,MATCH(AS$17,$D$16:$H$16,0))</f>
        <v>0</v>
      </c>
      <c r="AV19" s="3">
        <f t="shared" ref="AV19" ca="1" si="29">N(AU19)/OFFSET($C19,,MATCH(AU$17,$D$16:$H$16,0))</f>
        <v>0</v>
      </c>
      <c r="AX19" s="3">
        <f t="shared" ref="AX19" ca="1" si="30">N(AW19)/OFFSET($C19,,MATCH(AW$17,$D$16:$H$16,0))</f>
        <v>0</v>
      </c>
      <c r="AZ19" s="3">
        <f t="shared" ref="AZ19" ca="1" si="31">N(AY19)/OFFSET($C19,,MATCH(AY$17,$D$16:$H$16,0))</f>
        <v>0</v>
      </c>
      <c r="BC19" s="3">
        <f t="shared" ref="BC19" ca="1" si="32">N(BB19)/OFFSET($C19,,MATCH(BB$17,$D$16:$H$16,0))</f>
        <v>0</v>
      </c>
      <c r="BE19" s="3">
        <f t="shared" ref="BE19" ca="1" si="33">N(BD19)/OFFSET($C19,,MATCH(BD$17,$D$16:$H$16,0))</f>
        <v>0</v>
      </c>
      <c r="BG19" s="3">
        <f t="shared" ref="BG19" ca="1" si="34">N(BF19)/OFFSET($C19,,MATCH(BF$17,$D$16:$H$16,0))</f>
        <v>0</v>
      </c>
      <c r="BI19" s="3">
        <f t="shared" ref="BI19" ca="1" si="35">N(BH19)/OFFSET($C19,,MATCH(BH$17,$D$16:$H$16,0))</f>
        <v>0</v>
      </c>
      <c r="BK19" s="3">
        <f t="shared" ref="BK19" ca="1" si="36">N(BJ19)/OFFSET($C19,,MATCH(BJ$17,$D$16:$H$16,0))</f>
        <v>0</v>
      </c>
      <c r="BN19" s="3">
        <f t="shared" ref="BN19" ca="1" si="37">N(BM19)/OFFSET($C19,,MATCH(BM$17,$D$16:$H$16,0))</f>
        <v>0</v>
      </c>
      <c r="BP19" s="3">
        <f t="shared" ref="BP19" ca="1" si="38">N(BO19)/OFFSET($C19,,MATCH(BO$17,$D$16:$H$16,0))</f>
        <v>0</v>
      </c>
      <c r="BR19" s="3">
        <f t="shared" ref="BR19:BT19" ca="1" si="39">N(BQ19)/OFFSET($C19,,MATCH(BQ$17,$D$16:$H$16,0))</f>
        <v>0</v>
      </c>
      <c r="BT19" s="3">
        <f t="shared" ca="1" si="39"/>
        <v>0</v>
      </c>
      <c r="BV19" s="3">
        <f t="shared" ref="BV19" ca="1" si="40">N(BU19)/OFFSET($C19,,MATCH(BU$17,$D$16:$H$16,0))</f>
        <v>0</v>
      </c>
    </row>
    <row r="20" spans="3:74">
      <c r="C20" s="1" t="s">
        <v>17</v>
      </c>
      <c r="D20" s="3">
        <f t="shared" si="6"/>
        <v>16</v>
      </c>
      <c r="E20" s="3">
        <f t="shared" si="5"/>
        <v>16</v>
      </c>
      <c r="F20" s="3">
        <f t="shared" si="5"/>
        <v>16</v>
      </c>
      <c r="G20" s="3">
        <f t="shared" si="5"/>
        <v>15</v>
      </c>
      <c r="H20" s="3">
        <f t="shared" si="5"/>
        <v>15</v>
      </c>
      <c r="J20" s="3">
        <v>1</v>
      </c>
      <c r="K20" s="3">
        <f t="shared" ca="1" si="7"/>
        <v>6.25E-2</v>
      </c>
      <c r="L20" s="3">
        <f t="shared" si="8"/>
        <v>1</v>
      </c>
      <c r="M20" s="3">
        <f t="shared" ca="1" si="7"/>
        <v>6.25E-2</v>
      </c>
      <c r="N20" s="3">
        <f t="shared" si="9"/>
        <v>1</v>
      </c>
      <c r="O20" s="3">
        <f t="shared" ref="O20" ca="1" si="41">N(N20)/OFFSET($C20,,MATCH(N$17,$D$16:$H$16,0))</f>
        <v>6.25E-2</v>
      </c>
      <c r="Q20" s="3">
        <f t="shared" ref="Q20" ca="1" si="42">N(P20)/OFFSET($C20,,MATCH(P$17,$D$16:$H$16,0))</f>
        <v>0</v>
      </c>
      <c r="S20" s="3">
        <f t="shared" ref="S20" ca="1" si="43">N(R20)/OFFSET($C20,,MATCH(R$17,$D$16:$H$16,0))</f>
        <v>0</v>
      </c>
      <c r="T20" s="3">
        <f>模型构建!K21</f>
        <v>3</v>
      </c>
      <c r="V20" s="3">
        <f t="shared" ref="V20" ca="1" si="44">N(U20)/OFFSET($C20,,MATCH(U$17,$D$16:$H$16,0))</f>
        <v>0</v>
      </c>
      <c r="X20" s="3">
        <f t="shared" ref="X20" ca="1" si="45">N(W20)/OFFSET($C20,,MATCH(W$17,$D$16:$H$16,0))</f>
        <v>0</v>
      </c>
      <c r="Z20" s="3">
        <f t="shared" ref="Z20" ca="1" si="46">N(Y20)/OFFSET($C20,,MATCH(Y$17,$D$16:$H$16,0))</f>
        <v>0</v>
      </c>
      <c r="AB20" s="3">
        <f t="shared" ref="AB20" ca="1" si="47">N(AA20)/OFFSET($C20,,MATCH(AA$17,$D$16:$H$16,0))</f>
        <v>0</v>
      </c>
      <c r="AD20" s="3">
        <f t="shared" ref="AD20" ca="1" si="48">N(AC20)/OFFSET($C20,,MATCH(AC$17,$D$16:$H$16,0))</f>
        <v>0</v>
      </c>
      <c r="AE20" s="3">
        <f>模型构建!P21</f>
        <v>1</v>
      </c>
      <c r="AF20" s="3">
        <v>15</v>
      </c>
      <c r="AG20" s="3">
        <f t="shared" ref="AG20" ca="1" si="49">N(AF20)/OFFSET($C20,,MATCH(AF$17,$D$16:$H$16,0))</f>
        <v>0.9375</v>
      </c>
      <c r="AH20" s="3">
        <f t="shared" si="19"/>
        <v>15</v>
      </c>
      <c r="AI20" s="3">
        <f t="shared" ref="AI20" ca="1" si="50">N(AH20)/OFFSET($C20,,MATCH(AH$17,$D$16:$H$16,0))</f>
        <v>0.9375</v>
      </c>
      <c r="AJ20" s="3">
        <f t="shared" si="21"/>
        <v>15</v>
      </c>
      <c r="AK20" s="3">
        <f t="shared" ref="AK20" ca="1" si="51">N(AJ20)/OFFSET($C20,,MATCH(AJ$17,$D$16:$H$16,0))</f>
        <v>0.9375</v>
      </c>
      <c r="AL20" s="3">
        <f t="shared" si="23"/>
        <v>15</v>
      </c>
      <c r="AM20" s="3">
        <f t="shared" ref="AM20" ca="1" si="52">N(AL20)/OFFSET($C20,,MATCH(AL$17,$D$16:$H$16,0))</f>
        <v>1</v>
      </c>
      <c r="AN20" s="3">
        <f t="shared" si="25"/>
        <v>15</v>
      </c>
      <c r="AO20" s="3">
        <f t="shared" ref="AO20" ca="1" si="53">N(AN20)/OFFSET($C20,,MATCH(AN$17,$D$16:$H$16,0))</f>
        <v>1</v>
      </c>
      <c r="AR20" s="3">
        <f t="shared" ref="AR20" ca="1" si="54">N(AQ20)/OFFSET($C20,,MATCH(AQ$17,$D$16:$H$16,0))</f>
        <v>0</v>
      </c>
      <c r="AT20" s="3">
        <f t="shared" ref="AT20" ca="1" si="55">N(AS20)/OFFSET($C20,,MATCH(AS$17,$D$16:$H$16,0))</f>
        <v>0</v>
      </c>
      <c r="AV20" s="3">
        <f t="shared" ref="AV20" ca="1" si="56">N(AU20)/OFFSET($C20,,MATCH(AU$17,$D$16:$H$16,0))</f>
        <v>0</v>
      </c>
      <c r="AX20" s="3">
        <f t="shared" ref="AX20" ca="1" si="57">N(AW20)/OFFSET($C20,,MATCH(AW$17,$D$16:$H$16,0))</f>
        <v>0</v>
      </c>
      <c r="AZ20" s="3">
        <f t="shared" ref="AZ20" ca="1" si="58">N(AY20)/OFFSET($C20,,MATCH(AY$17,$D$16:$H$16,0))</f>
        <v>0</v>
      </c>
      <c r="BC20" s="3">
        <f t="shared" ref="BC20" ca="1" si="59">N(BB20)/OFFSET($C20,,MATCH(BB$17,$D$16:$H$16,0))</f>
        <v>0</v>
      </c>
      <c r="BE20" s="3">
        <f t="shared" ref="BE20" ca="1" si="60">N(BD20)/OFFSET($C20,,MATCH(BD$17,$D$16:$H$16,0))</f>
        <v>0</v>
      </c>
      <c r="BG20" s="3">
        <f t="shared" ref="BG20" ca="1" si="61">N(BF20)/OFFSET($C20,,MATCH(BF$17,$D$16:$H$16,0))</f>
        <v>0</v>
      </c>
      <c r="BI20" s="3">
        <f t="shared" ref="BI20" ca="1" si="62">N(BH20)/OFFSET($C20,,MATCH(BH$17,$D$16:$H$16,0))</f>
        <v>0</v>
      </c>
      <c r="BK20" s="3">
        <f t="shared" ref="BK20" ca="1" si="63">N(BJ20)/OFFSET($C20,,MATCH(BJ$17,$D$16:$H$16,0))</f>
        <v>0</v>
      </c>
      <c r="BN20" s="3">
        <f t="shared" ref="BN20" ca="1" si="64">N(BM20)/OFFSET($C20,,MATCH(BM$17,$D$16:$H$16,0))</f>
        <v>0</v>
      </c>
      <c r="BP20" s="3">
        <f t="shared" ref="BP20" ca="1" si="65">N(BO20)/OFFSET($C20,,MATCH(BO$17,$D$16:$H$16,0))</f>
        <v>0</v>
      </c>
      <c r="BR20" s="3">
        <f t="shared" ref="BR20:BT20" ca="1" si="66">N(BQ20)/OFFSET($C20,,MATCH(BQ$17,$D$16:$H$16,0))</f>
        <v>0</v>
      </c>
      <c r="BT20" s="3">
        <f t="shared" ca="1" si="66"/>
        <v>0</v>
      </c>
      <c r="BV20" s="3">
        <f t="shared" ref="BV20" ca="1" si="67">N(BU20)/OFFSET($C20,,MATCH(BU$17,$D$16:$H$16,0))</f>
        <v>0</v>
      </c>
    </row>
    <row r="21" spans="3:74">
      <c r="C21" s="1" t="s">
        <v>15</v>
      </c>
      <c r="D21" s="3">
        <f t="shared" si="6"/>
        <v>16</v>
      </c>
      <c r="E21" s="3">
        <f t="shared" si="5"/>
        <v>16</v>
      </c>
      <c r="F21" s="3">
        <f t="shared" si="5"/>
        <v>16</v>
      </c>
      <c r="G21" s="3">
        <f t="shared" si="5"/>
        <v>15</v>
      </c>
      <c r="H21" s="3">
        <f t="shared" si="5"/>
        <v>15</v>
      </c>
      <c r="J21" s="3">
        <v>1</v>
      </c>
      <c r="K21" s="3">
        <f t="shared" ca="1" si="7"/>
        <v>6.25E-2</v>
      </c>
      <c r="L21" s="3">
        <f t="shared" si="8"/>
        <v>1</v>
      </c>
      <c r="M21" s="3">
        <f t="shared" ca="1" si="7"/>
        <v>6.25E-2</v>
      </c>
      <c r="N21" s="3">
        <f t="shared" si="9"/>
        <v>1</v>
      </c>
      <c r="O21" s="3">
        <f t="shared" ref="O21" ca="1" si="68">N(N21)/OFFSET($C21,,MATCH(N$17,$D$16:$H$16,0))</f>
        <v>6.25E-2</v>
      </c>
      <c r="Q21" s="3">
        <f t="shared" ref="Q21" ca="1" si="69">N(P21)/OFFSET($C21,,MATCH(P$17,$D$16:$H$16,0))</f>
        <v>0</v>
      </c>
      <c r="S21" s="3">
        <f t="shared" ref="S21" ca="1" si="70">N(R21)/OFFSET($C21,,MATCH(R$17,$D$16:$H$16,0))</f>
        <v>0</v>
      </c>
      <c r="T21" s="3">
        <f>模型构建!K22</f>
        <v>4</v>
      </c>
      <c r="V21" s="3">
        <f t="shared" ref="V21" ca="1" si="71">N(U21)/OFFSET($C21,,MATCH(U$17,$D$16:$H$16,0))</f>
        <v>0</v>
      </c>
      <c r="X21" s="3">
        <f t="shared" ref="X21" ca="1" si="72">N(W21)/OFFSET($C21,,MATCH(W$17,$D$16:$H$16,0))</f>
        <v>0</v>
      </c>
      <c r="Z21" s="3">
        <f t="shared" ref="Z21" ca="1" si="73">N(Y21)/OFFSET($C21,,MATCH(Y$17,$D$16:$H$16,0))</f>
        <v>0</v>
      </c>
      <c r="AB21" s="3">
        <f t="shared" ref="AB21" ca="1" si="74">N(AA21)/OFFSET($C21,,MATCH(AA$17,$D$16:$H$16,0))</f>
        <v>0</v>
      </c>
      <c r="AD21" s="3">
        <f t="shared" ref="AD21" ca="1" si="75">N(AC21)/OFFSET($C21,,MATCH(AC$17,$D$16:$H$16,0))</f>
        <v>0</v>
      </c>
      <c r="AE21" s="3">
        <f>模型构建!P22</f>
        <v>1</v>
      </c>
      <c r="AF21" s="3">
        <v>15</v>
      </c>
      <c r="AG21" s="3">
        <f t="shared" ref="AG21" ca="1" si="76">N(AF21)/OFFSET($C21,,MATCH(AF$17,$D$16:$H$16,0))</f>
        <v>0.9375</v>
      </c>
      <c r="AH21" s="3">
        <f t="shared" si="19"/>
        <v>15</v>
      </c>
      <c r="AI21" s="3">
        <f t="shared" ref="AI21" ca="1" si="77">N(AH21)/OFFSET($C21,,MATCH(AH$17,$D$16:$H$16,0))</f>
        <v>0.9375</v>
      </c>
      <c r="AJ21" s="3">
        <f t="shared" si="21"/>
        <v>15</v>
      </c>
      <c r="AK21" s="3">
        <f t="shared" ref="AK21" ca="1" si="78">N(AJ21)/OFFSET($C21,,MATCH(AJ$17,$D$16:$H$16,0))</f>
        <v>0.9375</v>
      </c>
      <c r="AL21" s="3">
        <f t="shared" si="23"/>
        <v>15</v>
      </c>
      <c r="AM21" s="3">
        <f t="shared" ref="AM21" ca="1" si="79">N(AL21)/OFFSET($C21,,MATCH(AL$17,$D$16:$H$16,0))</f>
        <v>1</v>
      </c>
      <c r="AN21" s="3">
        <f t="shared" si="25"/>
        <v>15</v>
      </c>
      <c r="AO21" s="3">
        <f t="shared" ref="AO21" ca="1" si="80">N(AN21)/OFFSET($C21,,MATCH(AN$17,$D$16:$H$16,0))</f>
        <v>1</v>
      </c>
      <c r="AR21" s="3">
        <f t="shared" ref="AR21" ca="1" si="81">N(AQ21)/OFFSET($C21,,MATCH(AQ$17,$D$16:$H$16,0))</f>
        <v>0</v>
      </c>
      <c r="AT21" s="3">
        <f t="shared" ref="AT21" ca="1" si="82">N(AS21)/OFFSET($C21,,MATCH(AS$17,$D$16:$H$16,0))</f>
        <v>0</v>
      </c>
      <c r="AV21" s="3">
        <f t="shared" ref="AV21" ca="1" si="83">N(AU21)/OFFSET($C21,,MATCH(AU$17,$D$16:$H$16,0))</f>
        <v>0</v>
      </c>
      <c r="AX21" s="3">
        <f t="shared" ref="AX21" ca="1" si="84">N(AW21)/OFFSET($C21,,MATCH(AW$17,$D$16:$H$16,0))</f>
        <v>0</v>
      </c>
      <c r="AZ21" s="3">
        <f t="shared" ref="AZ21" ca="1" si="85">N(AY21)/OFFSET($C21,,MATCH(AY$17,$D$16:$H$16,0))</f>
        <v>0</v>
      </c>
      <c r="BC21" s="3">
        <f t="shared" ref="BC21" ca="1" si="86">N(BB21)/OFFSET($C21,,MATCH(BB$17,$D$16:$H$16,0))</f>
        <v>0</v>
      </c>
      <c r="BE21" s="3">
        <f t="shared" ref="BE21" ca="1" si="87">N(BD21)/OFFSET($C21,,MATCH(BD$17,$D$16:$H$16,0))</f>
        <v>0</v>
      </c>
      <c r="BG21" s="3">
        <f t="shared" ref="BG21" ca="1" si="88">N(BF21)/OFFSET($C21,,MATCH(BF$17,$D$16:$H$16,0))</f>
        <v>0</v>
      </c>
      <c r="BI21" s="3">
        <f t="shared" ref="BI21" ca="1" si="89">N(BH21)/OFFSET($C21,,MATCH(BH$17,$D$16:$H$16,0))</f>
        <v>0</v>
      </c>
      <c r="BK21" s="3">
        <f t="shared" ref="BK21" ca="1" si="90">N(BJ21)/OFFSET($C21,,MATCH(BJ$17,$D$16:$H$16,0))</f>
        <v>0</v>
      </c>
      <c r="BN21" s="3">
        <f t="shared" ref="BN21" ca="1" si="91">N(BM21)/OFFSET($C21,,MATCH(BM$17,$D$16:$H$16,0))</f>
        <v>0</v>
      </c>
      <c r="BP21" s="3">
        <f t="shared" ref="BP21" ca="1" si="92">N(BO21)/OFFSET($C21,,MATCH(BO$17,$D$16:$H$16,0))</f>
        <v>0</v>
      </c>
      <c r="BR21" s="3">
        <f t="shared" ref="BR21:BT21" ca="1" si="93">N(BQ21)/OFFSET($C21,,MATCH(BQ$17,$D$16:$H$16,0))</f>
        <v>0</v>
      </c>
      <c r="BT21" s="3">
        <f t="shared" ca="1" si="93"/>
        <v>0</v>
      </c>
      <c r="BV21" s="3">
        <f t="shared" ref="BV21" ca="1" si="94">N(BU21)/OFFSET($C21,,MATCH(BU$17,$D$16:$H$16,0))</f>
        <v>0</v>
      </c>
    </row>
    <row r="22" spans="3:74">
      <c r="C22" s="1" t="s">
        <v>18</v>
      </c>
      <c r="D22" s="3">
        <f t="shared" si="6"/>
        <v>16</v>
      </c>
      <c r="E22" s="3">
        <f t="shared" si="5"/>
        <v>16</v>
      </c>
      <c r="F22" s="3">
        <f t="shared" si="5"/>
        <v>16</v>
      </c>
      <c r="G22" s="3">
        <f t="shared" si="5"/>
        <v>15</v>
      </c>
      <c r="H22" s="3">
        <f t="shared" si="5"/>
        <v>15</v>
      </c>
      <c r="J22" s="3">
        <v>1</v>
      </c>
      <c r="K22" s="3">
        <f t="shared" ca="1" si="7"/>
        <v>6.25E-2</v>
      </c>
      <c r="L22" s="3">
        <f t="shared" si="8"/>
        <v>1</v>
      </c>
      <c r="M22" s="3">
        <f t="shared" ca="1" si="7"/>
        <v>6.25E-2</v>
      </c>
      <c r="N22" s="3">
        <f t="shared" si="9"/>
        <v>1</v>
      </c>
      <c r="O22" s="3">
        <f t="shared" ref="O22" ca="1" si="95">N(N22)/OFFSET($C22,,MATCH(N$17,$D$16:$H$16,0))</f>
        <v>6.25E-2</v>
      </c>
      <c r="Q22" s="3">
        <f t="shared" ref="Q22" ca="1" si="96">N(P22)/OFFSET($C22,,MATCH(P$17,$D$16:$H$16,0))</f>
        <v>0</v>
      </c>
      <c r="S22" s="3">
        <f t="shared" ref="S22" ca="1" si="97">N(R22)/OFFSET($C22,,MATCH(R$17,$D$16:$H$16,0))</f>
        <v>0</v>
      </c>
      <c r="T22" s="3">
        <f>模型构建!K23</f>
        <v>1</v>
      </c>
      <c r="V22" s="3">
        <f t="shared" ref="V22" ca="1" si="98">N(U22)/OFFSET($C22,,MATCH(U$17,$D$16:$H$16,0))</f>
        <v>0</v>
      </c>
      <c r="X22" s="3">
        <f t="shared" ref="X22" ca="1" si="99">N(W22)/OFFSET($C22,,MATCH(W$17,$D$16:$H$16,0))</f>
        <v>0</v>
      </c>
      <c r="Z22" s="3">
        <f t="shared" ref="Z22" ca="1" si="100">N(Y22)/OFFSET($C22,,MATCH(Y$17,$D$16:$H$16,0))</f>
        <v>0</v>
      </c>
      <c r="AB22" s="3">
        <f t="shared" ref="AB22" ca="1" si="101">N(AA22)/OFFSET($C22,,MATCH(AA$17,$D$16:$H$16,0))</f>
        <v>0</v>
      </c>
      <c r="AD22" s="3">
        <f t="shared" ref="AD22" ca="1" si="102">N(AC22)/OFFSET($C22,,MATCH(AC$17,$D$16:$H$16,0))</f>
        <v>0</v>
      </c>
      <c r="AE22" s="3">
        <f>模型构建!P23</f>
        <v>3</v>
      </c>
      <c r="AF22" s="3">
        <v>15</v>
      </c>
      <c r="AG22" s="3">
        <f t="shared" ref="AG22" ca="1" si="103">N(AF22)/OFFSET($C22,,MATCH(AF$17,$D$16:$H$16,0))</f>
        <v>0.9375</v>
      </c>
      <c r="AH22" s="3">
        <f t="shared" si="19"/>
        <v>15</v>
      </c>
      <c r="AI22" s="3">
        <f t="shared" ref="AI22" ca="1" si="104">N(AH22)/OFFSET($C22,,MATCH(AH$17,$D$16:$H$16,0))</f>
        <v>0.9375</v>
      </c>
      <c r="AJ22" s="3">
        <f t="shared" si="21"/>
        <v>15</v>
      </c>
      <c r="AK22" s="3">
        <f t="shared" ref="AK22" ca="1" si="105">N(AJ22)/OFFSET($C22,,MATCH(AJ$17,$D$16:$H$16,0))</f>
        <v>0.9375</v>
      </c>
      <c r="AL22" s="3">
        <f t="shared" si="23"/>
        <v>15</v>
      </c>
      <c r="AM22" s="3">
        <f t="shared" ref="AM22" ca="1" si="106">N(AL22)/OFFSET($C22,,MATCH(AL$17,$D$16:$H$16,0))</f>
        <v>1</v>
      </c>
      <c r="AN22" s="3">
        <f t="shared" si="25"/>
        <v>15</v>
      </c>
      <c r="AO22" s="3">
        <f t="shared" ref="AO22" ca="1" si="107">N(AN22)/OFFSET($C22,,MATCH(AN$17,$D$16:$H$16,0))</f>
        <v>1</v>
      </c>
      <c r="AR22" s="3">
        <f t="shared" ref="AR22" ca="1" si="108">N(AQ22)/OFFSET($C22,,MATCH(AQ$17,$D$16:$H$16,0))</f>
        <v>0</v>
      </c>
      <c r="AT22" s="3">
        <f t="shared" ref="AT22" ca="1" si="109">N(AS22)/OFFSET($C22,,MATCH(AS$17,$D$16:$H$16,0))</f>
        <v>0</v>
      </c>
      <c r="AV22" s="3">
        <f t="shared" ref="AV22" ca="1" si="110">N(AU22)/OFFSET($C22,,MATCH(AU$17,$D$16:$H$16,0))</f>
        <v>0</v>
      </c>
      <c r="AX22" s="3">
        <f t="shared" ref="AX22" ca="1" si="111">N(AW22)/OFFSET($C22,,MATCH(AW$17,$D$16:$H$16,0))</f>
        <v>0</v>
      </c>
      <c r="AZ22" s="3">
        <f t="shared" ref="AZ22" ca="1" si="112">N(AY22)/OFFSET($C22,,MATCH(AY$17,$D$16:$H$16,0))</f>
        <v>0</v>
      </c>
      <c r="BC22" s="3">
        <f t="shared" ref="BC22" ca="1" si="113">N(BB22)/OFFSET($C22,,MATCH(BB$17,$D$16:$H$16,0))</f>
        <v>0</v>
      </c>
      <c r="BE22" s="3">
        <f t="shared" ref="BE22" ca="1" si="114">N(BD22)/OFFSET($C22,,MATCH(BD$17,$D$16:$H$16,0))</f>
        <v>0</v>
      </c>
      <c r="BG22" s="3">
        <f t="shared" ref="BG22" ca="1" si="115">N(BF22)/OFFSET($C22,,MATCH(BF$17,$D$16:$H$16,0))</f>
        <v>0</v>
      </c>
      <c r="BI22" s="3">
        <f t="shared" ref="BI22" ca="1" si="116">N(BH22)/OFFSET($C22,,MATCH(BH$17,$D$16:$H$16,0))</f>
        <v>0</v>
      </c>
      <c r="BK22" s="3">
        <f t="shared" ref="BK22" ca="1" si="117">N(BJ22)/OFFSET($C22,,MATCH(BJ$17,$D$16:$H$16,0))</f>
        <v>0</v>
      </c>
      <c r="BN22" s="3">
        <f t="shared" ref="BN22" ca="1" si="118">N(BM22)/OFFSET($C22,,MATCH(BM$17,$D$16:$H$16,0))</f>
        <v>0</v>
      </c>
      <c r="BP22" s="3">
        <f t="shared" ref="BP22" ca="1" si="119">N(BO22)/OFFSET($C22,,MATCH(BO$17,$D$16:$H$16,0))</f>
        <v>0</v>
      </c>
      <c r="BR22" s="3">
        <f t="shared" ref="BR22:BT22" ca="1" si="120">N(BQ22)/OFFSET($C22,,MATCH(BQ$17,$D$16:$H$16,0))</f>
        <v>0</v>
      </c>
      <c r="BT22" s="3">
        <f t="shared" ca="1" si="120"/>
        <v>0</v>
      </c>
      <c r="BV22" s="3">
        <f t="shared" ref="BV22" ca="1" si="121">N(BU22)/OFFSET($C22,,MATCH(BU$17,$D$16:$H$16,0))</f>
        <v>0</v>
      </c>
    </row>
    <row r="23" spans="3:74">
      <c r="C23" s="1" t="s">
        <v>19</v>
      </c>
      <c r="D23" s="3">
        <f t="shared" si="6"/>
        <v>16</v>
      </c>
      <c r="E23" s="3">
        <f t="shared" si="5"/>
        <v>16</v>
      </c>
      <c r="F23" s="3">
        <f t="shared" si="5"/>
        <v>16</v>
      </c>
      <c r="G23" s="3">
        <f t="shared" si="5"/>
        <v>15</v>
      </c>
      <c r="H23" s="3">
        <f t="shared" si="5"/>
        <v>15</v>
      </c>
      <c r="J23" s="3">
        <v>1</v>
      </c>
      <c r="K23" s="3">
        <f t="shared" ca="1" si="7"/>
        <v>6.25E-2</v>
      </c>
      <c r="L23" s="3">
        <f t="shared" si="8"/>
        <v>1</v>
      </c>
      <c r="M23" s="3">
        <f t="shared" ca="1" si="7"/>
        <v>6.25E-2</v>
      </c>
      <c r="N23" s="3">
        <f t="shared" si="9"/>
        <v>1</v>
      </c>
      <c r="O23" s="3">
        <f t="shared" ref="O23" ca="1" si="122">N(N23)/OFFSET($C23,,MATCH(N$17,$D$16:$H$16,0))</f>
        <v>6.25E-2</v>
      </c>
      <c r="Q23" s="3">
        <f t="shared" ref="Q23" ca="1" si="123">N(P23)/OFFSET($C23,,MATCH(P$17,$D$16:$H$16,0))</f>
        <v>0</v>
      </c>
      <c r="S23" s="3">
        <f t="shared" ref="S23" ca="1" si="124">N(R23)/OFFSET($C23,,MATCH(R$17,$D$16:$H$16,0))</f>
        <v>0</v>
      </c>
      <c r="T23" s="3">
        <f>模型构建!K24</f>
        <v>2</v>
      </c>
      <c r="V23" s="3">
        <f t="shared" ref="V23" ca="1" si="125">N(U23)/OFFSET($C23,,MATCH(U$17,$D$16:$H$16,0))</f>
        <v>0</v>
      </c>
      <c r="X23" s="3">
        <f t="shared" ref="X23" ca="1" si="126">N(W23)/OFFSET($C23,,MATCH(W$17,$D$16:$H$16,0))</f>
        <v>0</v>
      </c>
      <c r="Z23" s="3">
        <f t="shared" ref="Z23" ca="1" si="127">N(Y23)/OFFSET($C23,,MATCH(Y$17,$D$16:$H$16,0))</f>
        <v>0</v>
      </c>
      <c r="AB23" s="3">
        <f t="shared" ref="AB23" ca="1" si="128">N(AA23)/OFFSET($C23,,MATCH(AA$17,$D$16:$H$16,0))</f>
        <v>0</v>
      </c>
      <c r="AD23" s="3">
        <f t="shared" ref="AD23" ca="1" si="129">N(AC23)/OFFSET($C23,,MATCH(AC$17,$D$16:$H$16,0))</f>
        <v>0</v>
      </c>
      <c r="AE23" s="3">
        <f>模型构建!P24</f>
        <v>2</v>
      </c>
      <c r="AF23" s="3">
        <v>15</v>
      </c>
      <c r="AG23" s="3">
        <f t="shared" ref="AG23" ca="1" si="130">N(AF23)/OFFSET($C23,,MATCH(AF$17,$D$16:$H$16,0))</f>
        <v>0.9375</v>
      </c>
      <c r="AH23" s="3">
        <f t="shared" si="19"/>
        <v>15</v>
      </c>
      <c r="AI23" s="3">
        <f t="shared" ref="AI23" ca="1" si="131">N(AH23)/OFFSET($C23,,MATCH(AH$17,$D$16:$H$16,0))</f>
        <v>0.9375</v>
      </c>
      <c r="AJ23" s="3">
        <f t="shared" si="21"/>
        <v>15</v>
      </c>
      <c r="AK23" s="3">
        <f t="shared" ref="AK23" ca="1" si="132">N(AJ23)/OFFSET($C23,,MATCH(AJ$17,$D$16:$H$16,0))</f>
        <v>0.9375</v>
      </c>
      <c r="AL23" s="3">
        <f t="shared" si="23"/>
        <v>15</v>
      </c>
      <c r="AM23" s="3">
        <f t="shared" ref="AM23" ca="1" si="133">N(AL23)/OFFSET($C23,,MATCH(AL$17,$D$16:$H$16,0))</f>
        <v>1</v>
      </c>
      <c r="AN23" s="3">
        <f t="shared" si="25"/>
        <v>15</v>
      </c>
      <c r="AO23" s="3">
        <f t="shared" ref="AO23" ca="1" si="134">N(AN23)/OFFSET($C23,,MATCH(AN$17,$D$16:$H$16,0))</f>
        <v>1</v>
      </c>
      <c r="AR23" s="3">
        <f t="shared" ref="AR23" ca="1" si="135">N(AQ23)/OFFSET($C23,,MATCH(AQ$17,$D$16:$H$16,0))</f>
        <v>0</v>
      </c>
      <c r="AT23" s="3">
        <f t="shared" ref="AT23" ca="1" si="136">N(AS23)/OFFSET($C23,,MATCH(AS$17,$D$16:$H$16,0))</f>
        <v>0</v>
      </c>
      <c r="AV23" s="3">
        <f t="shared" ref="AV23" ca="1" si="137">N(AU23)/OFFSET($C23,,MATCH(AU$17,$D$16:$H$16,0))</f>
        <v>0</v>
      </c>
      <c r="AX23" s="3">
        <f t="shared" ref="AX23" ca="1" si="138">N(AW23)/OFFSET($C23,,MATCH(AW$17,$D$16:$H$16,0))</f>
        <v>0</v>
      </c>
      <c r="AZ23" s="3">
        <f t="shared" ref="AZ23" ca="1" si="139">N(AY23)/OFFSET($C23,,MATCH(AY$17,$D$16:$H$16,0))</f>
        <v>0</v>
      </c>
      <c r="BC23" s="3">
        <f t="shared" ref="BC23" ca="1" si="140">N(BB23)/OFFSET($C23,,MATCH(BB$17,$D$16:$H$16,0))</f>
        <v>0</v>
      </c>
      <c r="BE23" s="3">
        <f t="shared" ref="BE23" ca="1" si="141">N(BD23)/OFFSET($C23,,MATCH(BD$17,$D$16:$H$16,0))</f>
        <v>0</v>
      </c>
      <c r="BG23" s="3">
        <f t="shared" ref="BG23" ca="1" si="142">N(BF23)/OFFSET($C23,,MATCH(BF$17,$D$16:$H$16,0))</f>
        <v>0</v>
      </c>
      <c r="BI23" s="3">
        <f t="shared" ref="BI23" ca="1" si="143">N(BH23)/OFFSET($C23,,MATCH(BH$17,$D$16:$H$16,0))</f>
        <v>0</v>
      </c>
      <c r="BK23" s="3">
        <f t="shared" ref="BK23" ca="1" si="144">N(BJ23)/OFFSET($C23,,MATCH(BJ$17,$D$16:$H$16,0))</f>
        <v>0</v>
      </c>
      <c r="BN23" s="3">
        <f t="shared" ref="BN23" ca="1" si="145">N(BM23)/OFFSET($C23,,MATCH(BM$17,$D$16:$H$16,0))</f>
        <v>0</v>
      </c>
      <c r="BP23" s="3">
        <f t="shared" ref="BP23" ca="1" si="146">N(BO23)/OFFSET($C23,,MATCH(BO$17,$D$16:$H$16,0))</f>
        <v>0</v>
      </c>
      <c r="BR23" s="3">
        <f t="shared" ref="BR23:BT23" ca="1" si="147">N(BQ23)/OFFSET($C23,,MATCH(BQ$17,$D$16:$H$16,0))</f>
        <v>0</v>
      </c>
      <c r="BT23" s="3">
        <f t="shared" ca="1" si="147"/>
        <v>0</v>
      </c>
      <c r="BV23" s="3">
        <f t="shared" ref="BV23" ca="1" si="148">N(BU23)/OFFSET($C23,,MATCH(BU$17,$D$16:$H$16,0))</f>
        <v>0</v>
      </c>
    </row>
    <row r="24" spans="3:74">
      <c r="C24" s="1" t="s">
        <v>20</v>
      </c>
      <c r="D24" s="3">
        <f t="shared" si="6"/>
        <v>16</v>
      </c>
      <c r="E24" s="3">
        <f t="shared" si="5"/>
        <v>16</v>
      </c>
      <c r="F24" s="3">
        <f t="shared" si="5"/>
        <v>16</v>
      </c>
      <c r="G24" s="3">
        <f t="shared" si="5"/>
        <v>15</v>
      </c>
      <c r="H24" s="3">
        <f t="shared" si="5"/>
        <v>15</v>
      </c>
      <c r="J24" s="3">
        <v>1</v>
      </c>
      <c r="K24" s="3">
        <f t="shared" ca="1" si="7"/>
        <v>6.25E-2</v>
      </c>
      <c r="L24" s="3">
        <f t="shared" si="8"/>
        <v>1</v>
      </c>
      <c r="M24" s="3">
        <f t="shared" ca="1" si="7"/>
        <v>6.25E-2</v>
      </c>
      <c r="N24" s="3">
        <f t="shared" si="9"/>
        <v>1</v>
      </c>
      <c r="O24" s="3">
        <f t="shared" ref="O24" ca="1" si="149">N(N24)/OFFSET($C24,,MATCH(N$17,$D$16:$H$16,0))</f>
        <v>6.25E-2</v>
      </c>
      <c r="Q24" s="3">
        <f t="shared" ref="Q24" ca="1" si="150">N(P24)/OFFSET($C24,,MATCH(P$17,$D$16:$H$16,0))</f>
        <v>0</v>
      </c>
      <c r="S24" s="3">
        <f t="shared" ref="S24" ca="1" si="151">N(R24)/OFFSET($C24,,MATCH(R$17,$D$16:$H$16,0))</f>
        <v>0</v>
      </c>
      <c r="T24" s="3">
        <f>模型构建!K25</f>
        <v>1</v>
      </c>
      <c r="V24" s="3">
        <f t="shared" ref="V24" ca="1" si="152">N(U24)/OFFSET($C24,,MATCH(U$17,$D$16:$H$16,0))</f>
        <v>0</v>
      </c>
      <c r="X24" s="3">
        <f t="shared" ref="X24" ca="1" si="153">N(W24)/OFFSET($C24,,MATCH(W$17,$D$16:$H$16,0))</f>
        <v>0</v>
      </c>
      <c r="Z24" s="3">
        <f t="shared" ref="Z24" ca="1" si="154">N(Y24)/OFFSET($C24,,MATCH(Y$17,$D$16:$H$16,0))</f>
        <v>0</v>
      </c>
      <c r="AB24" s="3">
        <f t="shared" ref="AB24" ca="1" si="155">N(AA24)/OFFSET($C24,,MATCH(AA$17,$D$16:$H$16,0))</f>
        <v>0</v>
      </c>
      <c r="AD24" s="3">
        <f t="shared" ref="AD24" ca="1" si="156">N(AC24)/OFFSET($C24,,MATCH(AC$17,$D$16:$H$16,0))</f>
        <v>0</v>
      </c>
      <c r="AE24" s="3">
        <f>模型构建!P25</f>
        <v>3</v>
      </c>
      <c r="AF24" s="3">
        <v>15</v>
      </c>
      <c r="AG24" s="3">
        <f t="shared" ref="AG24" ca="1" si="157">N(AF24)/OFFSET($C24,,MATCH(AF$17,$D$16:$H$16,0))</f>
        <v>0.9375</v>
      </c>
      <c r="AH24" s="3">
        <f t="shared" si="19"/>
        <v>15</v>
      </c>
      <c r="AI24" s="3">
        <f t="shared" ref="AI24" ca="1" si="158">N(AH24)/OFFSET($C24,,MATCH(AH$17,$D$16:$H$16,0))</f>
        <v>0.9375</v>
      </c>
      <c r="AJ24" s="3">
        <f t="shared" si="21"/>
        <v>15</v>
      </c>
      <c r="AK24" s="3">
        <f t="shared" ref="AK24" ca="1" si="159">N(AJ24)/OFFSET($C24,,MATCH(AJ$17,$D$16:$H$16,0))</f>
        <v>0.9375</v>
      </c>
      <c r="AL24" s="3">
        <f t="shared" si="23"/>
        <v>15</v>
      </c>
      <c r="AM24" s="3">
        <f t="shared" ref="AM24" ca="1" si="160">N(AL24)/OFFSET($C24,,MATCH(AL$17,$D$16:$H$16,0))</f>
        <v>1</v>
      </c>
      <c r="AN24" s="3">
        <f t="shared" si="25"/>
        <v>15</v>
      </c>
      <c r="AO24" s="3">
        <f t="shared" ref="AO24" ca="1" si="161">N(AN24)/OFFSET($C24,,MATCH(AN$17,$D$16:$H$16,0))</f>
        <v>1</v>
      </c>
      <c r="AR24" s="3">
        <f t="shared" ref="AR24" ca="1" si="162">N(AQ24)/OFFSET($C24,,MATCH(AQ$17,$D$16:$H$16,0))</f>
        <v>0</v>
      </c>
      <c r="AT24" s="3">
        <f t="shared" ref="AT24" ca="1" si="163">N(AS24)/OFFSET($C24,,MATCH(AS$17,$D$16:$H$16,0))</f>
        <v>0</v>
      </c>
      <c r="AV24" s="3">
        <f t="shared" ref="AV24" ca="1" si="164">N(AU24)/OFFSET($C24,,MATCH(AU$17,$D$16:$H$16,0))</f>
        <v>0</v>
      </c>
      <c r="AX24" s="3">
        <f t="shared" ref="AX24" ca="1" si="165">N(AW24)/OFFSET($C24,,MATCH(AW$17,$D$16:$H$16,0))</f>
        <v>0</v>
      </c>
      <c r="AZ24" s="3">
        <f t="shared" ref="AZ24" ca="1" si="166">N(AY24)/OFFSET($C24,,MATCH(AY$17,$D$16:$H$16,0))</f>
        <v>0</v>
      </c>
      <c r="BC24" s="3">
        <f t="shared" ref="BC24" ca="1" si="167">N(BB24)/OFFSET($C24,,MATCH(BB$17,$D$16:$H$16,0))</f>
        <v>0</v>
      </c>
      <c r="BE24" s="3">
        <f t="shared" ref="BE24" ca="1" si="168">N(BD24)/OFFSET($C24,,MATCH(BD$17,$D$16:$H$16,0))</f>
        <v>0</v>
      </c>
      <c r="BG24" s="3">
        <f t="shared" ref="BG24" ca="1" si="169">N(BF24)/OFFSET($C24,,MATCH(BF$17,$D$16:$H$16,0))</f>
        <v>0</v>
      </c>
      <c r="BI24" s="3">
        <f t="shared" ref="BI24" ca="1" si="170">N(BH24)/OFFSET($C24,,MATCH(BH$17,$D$16:$H$16,0))</f>
        <v>0</v>
      </c>
      <c r="BK24" s="3">
        <f t="shared" ref="BK24" ca="1" si="171">N(BJ24)/OFFSET($C24,,MATCH(BJ$17,$D$16:$H$16,0))</f>
        <v>0</v>
      </c>
      <c r="BN24" s="3">
        <f t="shared" ref="BN24" ca="1" si="172">N(BM24)/OFFSET($C24,,MATCH(BM$17,$D$16:$H$16,0))</f>
        <v>0</v>
      </c>
      <c r="BP24" s="3">
        <f t="shared" ref="BP24" ca="1" si="173">N(BO24)/OFFSET($C24,,MATCH(BO$17,$D$16:$H$16,0))</f>
        <v>0</v>
      </c>
      <c r="BR24" s="3">
        <f t="shared" ref="BR24:BT24" ca="1" si="174">N(BQ24)/OFFSET($C24,,MATCH(BQ$17,$D$16:$H$16,0))</f>
        <v>0</v>
      </c>
      <c r="BT24" s="3">
        <f t="shared" ca="1" si="174"/>
        <v>0</v>
      </c>
      <c r="BV24" s="3">
        <f t="shared" ref="BV24" ca="1" si="175">N(BU24)/OFFSET($C24,,MATCH(BU$17,$D$16:$H$16,0))</f>
        <v>0</v>
      </c>
    </row>
  </sheetData>
  <phoneticPr fontId="10" type="noConversion"/>
  <conditionalFormatting sqref="D8:H14">
    <cfRule type="cellIs" dxfId="30" priority="3" operator="equal">
      <formula>0</formula>
    </cfRule>
  </conditionalFormatting>
  <conditionalFormatting sqref="D18:BV24">
    <cfRule type="cellIs" dxfId="29" priority="1" operator="equal">
      <formula>0</formula>
    </cfRule>
  </conditionalFormatting>
  <conditionalFormatting sqref="J8:N14">
    <cfRule type="cellIs" dxfId="28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4697-4C05-47FD-83A4-33FC62DC8965}">
  <sheetPr>
    <tabColor theme="8" tint="0.39997558519241921"/>
  </sheetPr>
  <dimension ref="A1:AO26"/>
  <sheetViews>
    <sheetView workbookViewId="0">
      <selection activeCell="L8" sqref="L8"/>
    </sheetView>
  </sheetViews>
  <sheetFormatPr defaultRowHeight="16.5"/>
  <cols>
    <col min="1" max="1" width="9" style="3" customWidth="1"/>
    <col min="2" max="2" width="12.25" style="3" bestFit="1" customWidth="1"/>
    <col min="3" max="6" width="9" style="3"/>
    <col min="7" max="7" width="12.75" style="3" bestFit="1" customWidth="1"/>
    <col min="8" max="16384" width="9" style="3"/>
  </cols>
  <sheetData>
    <row r="1" spans="1:41">
      <c r="A1" s="6" t="s">
        <v>25</v>
      </c>
      <c r="B1" s="16" t="s">
        <v>14</v>
      </c>
      <c r="C1" s="17" t="s">
        <v>16</v>
      </c>
      <c r="D1" s="16" t="s">
        <v>17</v>
      </c>
      <c r="E1" s="17" t="s">
        <v>15</v>
      </c>
      <c r="F1" s="16" t="s">
        <v>18</v>
      </c>
      <c r="G1" s="17" t="s">
        <v>19</v>
      </c>
      <c r="H1" s="16" t="s">
        <v>20</v>
      </c>
    </row>
    <row r="2" spans="1:41">
      <c r="A2" s="3" t="s">
        <v>31</v>
      </c>
      <c r="B2" s="3">
        <f ca="1">OFFSET(模型构建!$F$18,MATCH(B$1,模型构建!$A$19:$A$25,0),MATCH($A$1,模型构建!$G$17:$AI$17,0)+_xlfn.IFS($A2=$A$3,3,TRUE,1))
*OFFSET(模型构建!$A$39,MATCH(B$1,模型构建!$A$40:$A$46,0),MATCH($A$1,模型构建!$B$38:$AE$38,0)+_xlfn.IFS($A2=$A$3,3,TRUE,1))
*模型构建!$J$1*模型构建!$D$3
*_xlfn.IFS(MATCH($A2,$A$2:$A$3,0)=1,1/(1+OFFSET(模型构建!$B$50,MATCH(B$1,模型构建!$J$51:$J$57,0),)),TRUE,OFFSET(模型构建!$I$50,MATCH(B$1,模型构建!$J$51:$J$57,0),))</f>
        <v>1.7921146953405014</v>
      </c>
      <c r="C2" s="3">
        <f ca="1">OFFSET(模型构建!$F$18,MATCH(C$1,模型构建!$A$19:$A$25,0),MATCH($A$1,模型构建!$G$17:$AI$17,0)+_xlfn.IFS($A2=$A$3,3,TRUE,1))
*OFFSET(模型构建!$A$39,MATCH(C$1,模型构建!$A$40:$A$46,0),MATCH($A$1,模型构建!$B$38:$AE$38,0)+_xlfn.IFS($A2=$A$3,3,TRUE,1))
*模型构建!$J$1*模型构建!$D$3
*_xlfn.IFS(MATCH($A2,$A$2:$A$3,0)=1,1/(1+OFFSET(模型构建!$B$50,MATCH(C$1,模型构建!$J$51:$J$57,0),)),TRUE,OFFSET(模型构建!$I$50,MATCH(C$1,模型构建!$J$51:$J$57,0),))</f>
        <v>3.0033370411568412</v>
      </c>
      <c r="D2" s="3">
        <f ca="1">OFFSET(模型构建!$F$18,MATCH(D$1,模型构建!$A$19:$A$25,0),MATCH($A$1,模型构建!$G$17:$AI$17,0)+_xlfn.IFS($A2=$A$3,3,TRUE,1))
*OFFSET(模型构建!$A$39,MATCH(D$1,模型构建!$A$40:$A$46,0),MATCH($A$1,模型构建!$B$38:$AE$38,0)+_xlfn.IFS($A2=$A$3,3,TRUE,1))
*模型构建!$J$1*模型构建!$D$3
*_xlfn.IFS(MATCH($A2,$A$2:$A$3,0)=1,1/(1+OFFSET(模型构建!$B$50,MATCH(D$1,模型构建!$J$51:$J$57,0),)),TRUE,OFFSET(模型构建!$I$50,MATCH(D$1,模型构建!$J$51:$J$57,0),))</f>
        <v>3.5732009925558312</v>
      </c>
      <c r="E2" s="3">
        <f ca="1">OFFSET(模型构建!$F$18,MATCH(E$1,模型构建!$A$19:$A$25,0),MATCH($A$1,模型构建!$G$17:$AI$17,0)+_xlfn.IFS($A2=$A$3,3,TRUE,1))
*OFFSET(模型构建!$A$39,MATCH(E$1,模型构建!$A$40:$A$46,0),MATCH($A$1,模型构建!$B$38:$AE$38,0)+_xlfn.IFS($A2=$A$3,3,TRUE,1))
*模型构建!$J$1*模型构建!$D$3
*_xlfn.IFS(MATCH($A2,$A$2:$A$3,0)=1,1/(1+OFFSET(模型构建!$B$50,MATCH(E$1,模型构建!$J$51:$J$57,0),)),TRUE,OFFSET(模型构建!$I$50,MATCH(E$1,模型构建!$J$51:$J$57,0),))</f>
        <v>3.4562211981566815</v>
      </c>
      <c r="F2" s="3">
        <f ca="1">OFFSET(模型构建!$F$18,MATCH(F$1,模型构建!$A$19:$A$25,0),MATCH($A$1,模型构建!$G$17:$AI$17,0)+_xlfn.IFS($A2=$A$3,3,TRUE,1))
*OFFSET(模型构建!$A$39,MATCH(F$1,模型构建!$A$40:$A$46,0),MATCH($A$1,模型构建!$B$38:$AE$38,0)+_xlfn.IFS($A2=$A$3,3,TRUE,1))
*模型构建!$J$1*模型构建!$D$3
*_xlfn.IFS(MATCH($A2,$A$2:$A$3,0)=1,1/(1+OFFSET(模型构建!$B$50,MATCH(F$1,模型构建!$J$51:$J$57,0),)),TRUE,OFFSET(模型构建!$I$50,MATCH(F$1,模型构建!$J$51:$J$57,0),))</f>
        <v>2.6361009138483169</v>
      </c>
      <c r="G2" s="3">
        <f ca="1">OFFSET(模型构建!$F$18,MATCH(G$1,模型构建!$A$19:$A$25,0),MATCH($A$1,模型构建!$G$17:$AI$17,0)+_xlfn.IFS($A2=$A$3,3,TRUE,1))
*OFFSET(模型构建!$A$39,MATCH(G$1,模型构建!$A$40:$A$46,0),MATCH($A$1,模型构建!$B$38:$AE$38,0)+_xlfn.IFS($A2=$A$3,3,TRUE,1))
*模型构建!$J$1*模型构建!$D$3
*_xlfn.IFS(MATCH($A2,$A$2:$A$3,0)=1,1/(1+OFFSET(模型构建!$B$50,MATCH(G$1,模型构建!$J$51:$J$57,0),)),TRUE,OFFSET(模型构建!$I$50,MATCH(G$1,模型构建!$J$51:$J$57,0),))</f>
        <v>2.4086497288038826</v>
      </c>
      <c r="H2" s="3">
        <f ca="1">OFFSET(模型构建!$F$18,MATCH(H$1,模型构建!$A$19:$A$25,0),MATCH($A$1,模型构建!$G$17:$AI$17,0)+_xlfn.IFS($A2=$A$3,3,TRUE,1))
*OFFSET(模型构建!$A$39,MATCH(H$1,模型构建!$A$40:$A$46,0),MATCH($A$1,模型构建!$B$38:$AE$38,0)+_xlfn.IFS($A2=$A$3,3,TRUE,1))
*模型构建!$J$1*模型构建!$D$3
*_xlfn.IFS(MATCH($A2,$A$2:$A$3,0)=1,1/(1+OFFSET(模型构建!$B$50,MATCH(H$1,模型构建!$J$51:$J$57,0),)),TRUE,OFFSET(模型构建!$I$50,MATCH(H$1,模型构建!$J$51:$J$57,0),))</f>
        <v>3.4425602448042834</v>
      </c>
    </row>
    <row r="3" spans="1:41">
      <c r="A3" s="3" t="s">
        <v>33</v>
      </c>
      <c r="B3" s="3">
        <f ca="1">OFFSET(模型构建!$F$18,MATCH(B$1,模型构建!$A$19:$A$25,0),MATCH($A$1,模型构建!$G$17:$AI$17,0)+_xlfn.IFS($A3=$A$3,3,TRUE,1))
*OFFSET(模型构建!$A$39,MATCH(B$1,模型构建!$A$40:$A$46,0),MATCH($A$1,模型构建!$B$38:$AE$38,0)+_xlfn.IFS($A3=$A$3,3,TRUE,1))
*模型构建!$J$1*模型构建!$D$3
*_xlfn.IFS(MATCH($A3,$A$2:$A$3,0)=1,1/(1+OFFSET(模型构建!$B$50,MATCH(B$1,模型构建!$J$51:$J$57,0),)),TRUE,OFFSET(模型构建!$I$50,MATCH(B$1,模型构建!$J$51:$J$57,0),))</f>
        <v>1.7140846153846152</v>
      </c>
      <c r="C3" s="3">
        <f ca="1">OFFSET(模型构建!$F$18,MATCH(C$1,模型构建!$A$19:$A$25,0),MATCH($A$1,模型构建!$G$17:$AI$17,0)+_xlfn.IFS($A3=$A$3,3,TRUE,1))
*OFFSET(模型构建!$A$39,MATCH(C$1,模型构建!$A$40:$A$46,0),MATCH($A$1,模型构建!$B$38:$AE$38,0)+_xlfn.IFS($A3=$A$3,3,TRUE,1))
*模型构建!$J$1*模型构建!$D$3
*_xlfn.IFS(MATCH($A3,$A$2:$A$3,0)=1,1/(1+OFFSET(模型构建!$B$50,MATCH(C$1,模型构建!$J$51:$J$57,0),)),TRUE,OFFSET(模型构建!$I$50,MATCH(C$1,模型构建!$J$51:$J$57,0),))</f>
        <v>1.669846153846154</v>
      </c>
      <c r="D3" s="3">
        <f ca="1">OFFSET(模型构建!$F$18,MATCH(D$1,模型构建!$A$19:$A$25,0),MATCH($A$1,模型构建!$G$17:$AI$17,0)+_xlfn.IFS($A3=$A$3,3,TRUE,1))
*OFFSET(模型构建!$A$39,MATCH(D$1,模型构建!$A$40:$A$46,0),MATCH($A$1,模型构建!$B$38:$AE$38,0)+_xlfn.IFS($A3=$A$3,3,TRUE,1))
*模型构建!$J$1*模型构建!$D$3
*_xlfn.IFS(MATCH($A3,$A$2:$A$3,0)=1,1/(1+OFFSET(模型构建!$B$50,MATCH(D$1,模型构建!$J$51:$J$57,0),)),TRUE,OFFSET(模型构建!$I$50,MATCH(D$1,模型构建!$J$51:$J$57,0),))</f>
        <v>0.75816000000000006</v>
      </c>
      <c r="E3" s="3">
        <f ca="1">OFFSET(模型构建!$F$18,MATCH(E$1,模型构建!$A$19:$A$25,0),MATCH($A$1,模型构建!$G$17:$AI$17,0)+_xlfn.IFS($A3=$A$3,3,TRUE,1))
*OFFSET(模型构建!$A$39,MATCH(E$1,模型构建!$A$40:$A$46,0),MATCH($A$1,模型构建!$B$38:$AE$38,0)+_xlfn.IFS($A3=$A$3,3,TRUE,1))
*模型构建!$J$1*模型构建!$D$3
*_xlfn.IFS(MATCH($A3,$A$2:$A$3,0)=1,1/(1+OFFSET(模型构建!$B$50,MATCH(E$1,模型构建!$J$51:$J$57,0),)),TRUE,OFFSET(模型构建!$I$50,MATCH(E$1,模型构建!$J$51:$J$57,0),))</f>
        <v>1.130510769230769</v>
      </c>
      <c r="F3" s="3">
        <f ca="1">OFFSET(模型构建!$F$18,MATCH(F$1,模型构建!$A$19:$A$25,0),MATCH($A$1,模型构建!$G$17:$AI$17,0)+_xlfn.IFS($A3=$A$3,3,TRUE,1))
*OFFSET(模型构建!$A$39,MATCH(F$1,模型构建!$A$40:$A$46,0),MATCH($A$1,模型构建!$B$38:$AE$38,0)+_xlfn.IFS($A3=$A$3,3,TRUE,1))
*模型构建!$J$1*模型构建!$D$3
*_xlfn.IFS(MATCH($A3,$A$2:$A$3,0)=1,1/(1+OFFSET(模型构建!$B$50,MATCH(F$1,模型构建!$J$51:$J$57,0),)),TRUE,OFFSET(模型构建!$I$50,MATCH(F$1,模型构建!$J$51:$J$57,0),))</f>
        <v>3.979584</v>
      </c>
      <c r="G3" s="3">
        <f ca="1">OFFSET(模型构建!$F$18,MATCH(G$1,模型构建!$A$19:$A$25,0),MATCH($A$1,模型构建!$G$17:$AI$17,0)+_xlfn.IFS($A3=$A$3,3,TRUE,1))
*OFFSET(模型构建!$A$39,MATCH(G$1,模型构建!$A$40:$A$46,0),MATCH($A$1,模型构建!$B$38:$AE$38,0)+_xlfn.IFS($A3=$A$3,3,TRUE,1))
*模型构建!$J$1*模型构建!$D$3
*_xlfn.IFS(MATCH($A3,$A$2:$A$3,0)=1,1/(1+OFFSET(模型构建!$B$50,MATCH(G$1,模型构建!$J$51:$J$57,0),)),TRUE,OFFSET(模型构建!$I$50,MATCH(G$1,模型构建!$J$51:$J$57,0),))</f>
        <v>2.2224738461538465</v>
      </c>
      <c r="H3" s="3">
        <f ca="1">OFFSET(模型构建!$F$18,MATCH(H$1,模型构建!$A$19:$A$25,0),MATCH($A$1,模型构建!$G$17:$AI$17,0)+_xlfn.IFS($A3=$A$3,3,TRUE,1))
*OFFSET(模型构建!$A$39,MATCH(H$1,模型构建!$A$40:$A$46,0),MATCH($A$1,模型构建!$B$38:$AE$38,0)+_xlfn.IFS($A3=$A$3,3,TRUE,1))
*模型构建!$J$1*模型构建!$D$3
*_xlfn.IFS(MATCH($A3,$A$2:$A$3,0)=1,1/(1+OFFSET(模型构建!$B$50,MATCH(H$1,模型构建!$J$51:$J$57,0),)),TRUE,OFFSET(模型构建!$I$50,MATCH(H$1,模型构建!$J$51:$J$57,0),))</f>
        <v>3.4126338461538457</v>
      </c>
    </row>
    <row r="4" spans="1:41">
      <c r="A4" s="22" t="s">
        <v>121</v>
      </c>
    </row>
    <row r="5" spans="1:41">
      <c r="A5" s="3" t="s">
        <v>110</v>
      </c>
      <c r="B5" s="3">
        <f ca="1">OFFSET(其他属性!$J$17,MATCH(B$1,其他属性!$C$18:$C$24,0),(MATCH($A5,$A$5:$A$9,0)-1)*2+MATCH($A$1,其他属性!$J$16:$BV$16,0))
*OFFSET(其他属性!$B$2,,(MATCH($A5,$A$5:$A$9,0)-1)*2)</f>
        <v>11.25</v>
      </c>
      <c r="C5" s="3">
        <f ca="1">OFFSET(其他属性!$J$17,MATCH(C$1,其他属性!$C$18:$C$24,0),(MATCH($A5,$A$5:$A$9,0)-1)*2+MATCH($A$1,其他属性!$J$16:$BV$16,0))
*OFFSET(其他属性!$B$2,,(MATCH($A5,$A$5:$A$9,0)-1)*2)</f>
        <v>11.25</v>
      </c>
      <c r="D5" s="3">
        <f ca="1">OFFSET(其他属性!$J$17,MATCH(D$1,其他属性!$C$18:$C$24,0),(MATCH($A5,$A$5:$A$9,0)-1)*2+MATCH($A$1,其他属性!$J$16:$BV$16,0))
*OFFSET(其他属性!$B$2,,(MATCH($A5,$A$5:$A$9,0)-1)*2)</f>
        <v>11.25</v>
      </c>
      <c r="E5" s="3">
        <f ca="1">OFFSET(其他属性!$J$17,MATCH(E$1,其他属性!$C$18:$C$24,0),(MATCH($A5,$A$5:$A$9,0)-1)*2+MATCH($A$1,其他属性!$J$16:$BV$16,0))
*OFFSET(其他属性!$B$2,,(MATCH($A5,$A$5:$A$9,0)-1)*2)</f>
        <v>11.25</v>
      </c>
      <c r="F5" s="3">
        <f ca="1">OFFSET(其他属性!$J$17,MATCH(F$1,其他属性!$C$18:$C$24,0),(MATCH($A5,$A$5:$A$9,0)-1)*2+MATCH($A$1,其他属性!$J$16:$BV$16,0))
*OFFSET(其他属性!$B$2,,(MATCH($A5,$A$5:$A$9,0)-1)*2)</f>
        <v>11.25</v>
      </c>
      <c r="G5" s="3">
        <f ca="1">OFFSET(其他属性!$J$17,MATCH(G$1,其他属性!$C$18:$C$24,0),(MATCH($A5,$A$5:$A$9,0)-1)*2+MATCH($A$1,其他属性!$J$16:$BV$16,0))
*OFFSET(其他属性!$B$2,,(MATCH($A5,$A$5:$A$9,0)-1)*2)</f>
        <v>11.25</v>
      </c>
      <c r="H5" s="3">
        <f ca="1">OFFSET(其他属性!$J$17,MATCH(H$1,其他属性!$C$18:$C$24,0),(MATCH($A5,$A$5:$A$9,0)-1)*2+MATCH($A$1,其他属性!$J$16:$BV$16,0))
*OFFSET(其他属性!$B$2,,(MATCH($A5,$A$5:$A$9,0)-1)*2)</f>
        <v>11.25</v>
      </c>
    </row>
    <row r="6" spans="1:41">
      <c r="A6" s="3" t="s">
        <v>113</v>
      </c>
      <c r="B6" s="3">
        <f ca="1">OFFSET(其他属性!$J$17,MATCH(B$1,其他属性!$C$18:$C$24,0),(MATCH($A6,$A$5:$A$9,0)-1)*2+MATCH($A$1,其他属性!$J$16:$BV$16,0))
*OFFSET(其他属性!$B$2,,(MATCH($A6,$A$5:$A$9,0)-1)*2)</f>
        <v>28.125</v>
      </c>
      <c r="C6" s="3">
        <f ca="1">OFFSET(其他属性!$J$17,MATCH(C$1,其他属性!$C$18:$C$24,0),(MATCH($A6,$A$5:$A$9,0)-1)*2+MATCH($A$1,其他属性!$J$16:$BV$16,0))
*OFFSET(其他属性!$B$2,,(MATCH($A6,$A$5:$A$9,0)-1)*2)</f>
        <v>28.125</v>
      </c>
      <c r="D6" s="3">
        <f ca="1">OFFSET(其他属性!$J$17,MATCH(D$1,其他属性!$C$18:$C$24,0),(MATCH($A6,$A$5:$A$9,0)-1)*2+MATCH($A$1,其他属性!$J$16:$BV$16,0))
*OFFSET(其他属性!$B$2,,(MATCH($A6,$A$5:$A$9,0)-1)*2)</f>
        <v>28.125</v>
      </c>
      <c r="E6" s="3">
        <f ca="1">OFFSET(其他属性!$J$17,MATCH(E$1,其他属性!$C$18:$C$24,0),(MATCH($A6,$A$5:$A$9,0)-1)*2+MATCH($A$1,其他属性!$J$16:$BV$16,0))
*OFFSET(其他属性!$B$2,,(MATCH($A6,$A$5:$A$9,0)-1)*2)</f>
        <v>28.125</v>
      </c>
      <c r="F6" s="3">
        <f ca="1">OFFSET(其他属性!$J$17,MATCH(F$1,其他属性!$C$18:$C$24,0),(MATCH($A6,$A$5:$A$9,0)-1)*2+MATCH($A$1,其他属性!$J$16:$BV$16,0))
*OFFSET(其他属性!$B$2,,(MATCH($A6,$A$5:$A$9,0)-1)*2)</f>
        <v>28.125</v>
      </c>
      <c r="G6" s="3">
        <f ca="1">OFFSET(其他属性!$J$17,MATCH(G$1,其他属性!$C$18:$C$24,0),(MATCH($A6,$A$5:$A$9,0)-1)*2+MATCH($A$1,其他属性!$J$16:$BV$16,0))
*OFFSET(其他属性!$B$2,,(MATCH($A6,$A$5:$A$9,0)-1)*2)</f>
        <v>28.125</v>
      </c>
      <c r="H6" s="3">
        <f ca="1">OFFSET(其他属性!$J$17,MATCH(H$1,其他属性!$C$18:$C$24,0),(MATCH($A6,$A$5:$A$9,0)-1)*2+MATCH($A$1,其他属性!$J$16:$BV$16,0))
*OFFSET(其他属性!$B$2,,(MATCH($A6,$A$5:$A$9,0)-1)*2)</f>
        <v>28.125</v>
      </c>
    </row>
    <row r="7" spans="1:41">
      <c r="A7" s="3" t="s">
        <v>111</v>
      </c>
      <c r="B7" s="3">
        <f ca="1">OFFSET(其他属性!$J$17,MATCH(B$1,其他属性!$C$18:$C$24,0),(MATCH($A7,$A$5:$A$9,0)-1)*2+MATCH($A$1,其他属性!$J$16:$BV$16,0))
*OFFSET(其他属性!$B$2,,(MATCH($A7,$A$5:$A$9,0)-1)*2)</f>
        <v>11.25</v>
      </c>
      <c r="C7" s="3">
        <f ca="1">OFFSET(其他属性!$J$17,MATCH(C$1,其他属性!$C$18:$C$24,0),(MATCH($A7,$A$5:$A$9,0)-1)*2+MATCH($A$1,其他属性!$J$16:$BV$16,0))
*OFFSET(其他属性!$B$2,,(MATCH($A7,$A$5:$A$9,0)-1)*2)</f>
        <v>11.25</v>
      </c>
      <c r="D7" s="3">
        <f ca="1">OFFSET(其他属性!$J$17,MATCH(D$1,其他属性!$C$18:$C$24,0),(MATCH($A7,$A$5:$A$9,0)-1)*2+MATCH($A$1,其他属性!$J$16:$BV$16,0))
*OFFSET(其他属性!$B$2,,(MATCH($A7,$A$5:$A$9,0)-1)*2)</f>
        <v>11.25</v>
      </c>
      <c r="E7" s="3">
        <f ca="1">OFFSET(其他属性!$J$17,MATCH(E$1,其他属性!$C$18:$C$24,0),(MATCH($A7,$A$5:$A$9,0)-1)*2+MATCH($A$1,其他属性!$J$16:$BV$16,0))
*OFFSET(其他属性!$B$2,,(MATCH($A7,$A$5:$A$9,0)-1)*2)</f>
        <v>11.25</v>
      </c>
      <c r="F7" s="3">
        <f ca="1">OFFSET(其他属性!$J$17,MATCH(F$1,其他属性!$C$18:$C$24,0),(MATCH($A7,$A$5:$A$9,0)-1)*2+MATCH($A$1,其他属性!$J$16:$BV$16,0))
*OFFSET(其他属性!$B$2,,(MATCH($A7,$A$5:$A$9,0)-1)*2)</f>
        <v>11.25</v>
      </c>
      <c r="G7" s="3">
        <f ca="1">OFFSET(其他属性!$J$17,MATCH(G$1,其他属性!$C$18:$C$24,0),(MATCH($A7,$A$5:$A$9,0)-1)*2+MATCH($A$1,其他属性!$J$16:$BV$16,0))
*OFFSET(其他属性!$B$2,,(MATCH($A7,$A$5:$A$9,0)-1)*2)</f>
        <v>11.25</v>
      </c>
      <c r="H7" s="3">
        <f ca="1">OFFSET(其他属性!$J$17,MATCH(H$1,其他属性!$C$18:$C$24,0),(MATCH($A7,$A$5:$A$9,0)-1)*2+MATCH($A$1,其他属性!$J$16:$BV$16,0))
*OFFSET(其他属性!$B$2,,(MATCH($A7,$A$5:$A$9,0)-1)*2)</f>
        <v>11.25</v>
      </c>
    </row>
    <row r="8" spans="1:41">
      <c r="A8" s="3" t="s">
        <v>114</v>
      </c>
      <c r="B8" s="3">
        <f ca="1">OFFSET(其他属性!$J$17,MATCH(B$1,其他属性!$C$18:$C$24,0),(MATCH($A8,$A$5:$A$9,0)-1)*2+MATCH($A$1,其他属性!$J$16:$BV$16,0))
*OFFSET(其他属性!$B$2,,(MATCH($A8,$A$5:$A$9,0)-1)*2)</f>
        <v>0</v>
      </c>
      <c r="C8" s="3">
        <f ca="1">OFFSET(其他属性!$J$17,MATCH(C$1,其他属性!$C$18:$C$24,0),(MATCH($A8,$A$5:$A$9,0)-1)*2+MATCH($A$1,其他属性!$J$16:$BV$16,0))
*OFFSET(其他属性!$B$2,,(MATCH($A8,$A$5:$A$9,0)-1)*2)</f>
        <v>0</v>
      </c>
      <c r="D8" s="3">
        <f ca="1">OFFSET(其他属性!$J$17,MATCH(D$1,其他属性!$C$18:$C$24,0),(MATCH($A8,$A$5:$A$9,0)-1)*2+MATCH($A$1,其他属性!$J$16:$BV$16,0))
*OFFSET(其他属性!$B$2,,(MATCH($A8,$A$5:$A$9,0)-1)*2)</f>
        <v>0</v>
      </c>
      <c r="E8" s="3">
        <f ca="1">OFFSET(其他属性!$J$17,MATCH(E$1,其他属性!$C$18:$C$24,0),(MATCH($A8,$A$5:$A$9,0)-1)*2+MATCH($A$1,其他属性!$J$16:$BV$16,0))
*OFFSET(其他属性!$B$2,,(MATCH($A8,$A$5:$A$9,0)-1)*2)</f>
        <v>0</v>
      </c>
      <c r="F8" s="3">
        <f ca="1">OFFSET(其他属性!$J$17,MATCH(F$1,其他属性!$C$18:$C$24,0),(MATCH($A8,$A$5:$A$9,0)-1)*2+MATCH($A$1,其他属性!$J$16:$BV$16,0))
*OFFSET(其他属性!$B$2,,(MATCH($A8,$A$5:$A$9,0)-1)*2)</f>
        <v>0</v>
      </c>
      <c r="G8" s="3">
        <f ca="1">OFFSET(其他属性!$J$17,MATCH(G$1,其他属性!$C$18:$C$24,0),(MATCH($A8,$A$5:$A$9,0)-1)*2+MATCH($A$1,其他属性!$J$16:$BV$16,0))
*OFFSET(其他属性!$B$2,,(MATCH($A8,$A$5:$A$9,0)-1)*2)</f>
        <v>0</v>
      </c>
      <c r="H8" s="3">
        <f ca="1">OFFSET(其他属性!$J$17,MATCH(H$1,其他属性!$C$18:$C$24,0),(MATCH($A8,$A$5:$A$9,0)-1)*2+MATCH($A$1,其他属性!$J$16:$BV$16,0))
*OFFSET(其他属性!$B$2,,(MATCH($A8,$A$5:$A$9,0)-1)*2)</f>
        <v>0</v>
      </c>
    </row>
    <row r="9" spans="1:41">
      <c r="A9" s="3" t="s">
        <v>112</v>
      </c>
      <c r="B9" s="3">
        <f ca="1">OFFSET(其他属性!$J$17,MATCH(B$1,其他属性!$C$18:$C$24,0),(MATCH($A9,$A$5:$A$9,0)-1)*2+MATCH($A$1,其他属性!$J$16:$BV$16,0))
*OFFSET(其他属性!$B$2,,(MATCH($A9,$A$5:$A$9,0)-1)*2)</f>
        <v>0</v>
      </c>
      <c r="C9" s="3">
        <f ca="1">OFFSET(其他属性!$J$17,MATCH(C$1,其他属性!$C$18:$C$24,0),(MATCH($A9,$A$5:$A$9,0)-1)*2+MATCH($A$1,其他属性!$J$16:$BV$16,0))
*OFFSET(其他属性!$B$2,,(MATCH($A9,$A$5:$A$9,0)-1)*2)</f>
        <v>0</v>
      </c>
      <c r="D9" s="3">
        <f ca="1">OFFSET(其他属性!$J$17,MATCH(D$1,其他属性!$C$18:$C$24,0),(MATCH($A9,$A$5:$A$9,0)-1)*2+MATCH($A$1,其他属性!$J$16:$BV$16,0))
*OFFSET(其他属性!$B$2,,(MATCH($A9,$A$5:$A$9,0)-1)*2)</f>
        <v>0</v>
      </c>
      <c r="E9" s="3">
        <f ca="1">OFFSET(其他属性!$J$17,MATCH(E$1,其他属性!$C$18:$C$24,0),(MATCH($A9,$A$5:$A$9,0)-1)*2+MATCH($A$1,其他属性!$J$16:$BV$16,0))
*OFFSET(其他属性!$B$2,,(MATCH($A9,$A$5:$A$9,0)-1)*2)</f>
        <v>0</v>
      </c>
      <c r="F9" s="3">
        <f ca="1">OFFSET(其他属性!$J$17,MATCH(F$1,其他属性!$C$18:$C$24,0),(MATCH($A9,$A$5:$A$9,0)-1)*2+MATCH($A$1,其他属性!$J$16:$BV$16,0))
*OFFSET(其他属性!$B$2,,(MATCH($A9,$A$5:$A$9,0)-1)*2)</f>
        <v>0</v>
      </c>
      <c r="G9" s="3">
        <f ca="1">OFFSET(其他属性!$J$17,MATCH(G$1,其他属性!$C$18:$C$24,0),(MATCH($A9,$A$5:$A$9,0)-1)*2+MATCH($A$1,其他属性!$J$16:$BV$16,0))
*OFFSET(其他属性!$B$2,,(MATCH($A9,$A$5:$A$9,0)-1)*2)</f>
        <v>0</v>
      </c>
      <c r="H9" s="3">
        <f ca="1">OFFSET(其他属性!$J$17,MATCH(H$1,其他属性!$C$18:$C$24,0),(MATCH($A9,$A$5:$A$9,0)-1)*2+MATCH($A$1,其他属性!$J$16:$BV$16,0))
*OFFSET(其他属性!$B$2,,(MATCH($A9,$A$5:$A$9,0)-1)*2)</f>
        <v>0</v>
      </c>
    </row>
    <row r="11" spans="1:41">
      <c r="A11" s="1"/>
    </row>
    <row r="12" spans="1:41">
      <c r="A12" s="1"/>
      <c r="D12" s="3">
        <v>1</v>
      </c>
      <c r="H12" s="3">
        <f ca="1">OFFSET(模型构建!$P$18,MATCH(G$13,模型构建!$A$19:$A$25,0),)</f>
        <v>1</v>
      </c>
      <c r="Q12" s="3">
        <f ca="1">OFFSET(模型构建!$P$18,MATCH(P$13,模型构建!$A$19:$A$25,0),)</f>
        <v>2</v>
      </c>
      <c r="Z12" s="3">
        <f ca="1">OFFSET(模型构建!$P$18,MATCH(Y$13,模型构建!$A$19:$A$25,0),)</f>
        <v>1</v>
      </c>
      <c r="AI12" s="3">
        <f ca="1">OFFSET(模型构建!$P$18,MATCH(AH$13,模型构建!$A$19:$A$25,0),)</f>
        <v>1</v>
      </c>
    </row>
    <row r="13" spans="1:41">
      <c r="A13" s="5" t="s">
        <v>25</v>
      </c>
      <c r="B13" s="18" t="s">
        <v>75</v>
      </c>
      <c r="C13" s="19" t="s">
        <v>76</v>
      </c>
      <c r="D13" s="20" t="s">
        <v>77</v>
      </c>
      <c r="G13" s="5" t="s">
        <v>14</v>
      </c>
      <c r="H13" s="10" t="s">
        <v>78</v>
      </c>
      <c r="I13" s="9" t="s">
        <v>79</v>
      </c>
      <c r="J13" s="12" t="s">
        <v>118</v>
      </c>
      <c r="K13" s="11" t="s">
        <v>119</v>
      </c>
      <c r="L13" s="13" t="s">
        <v>111</v>
      </c>
      <c r="M13" s="11" t="s">
        <v>120</v>
      </c>
      <c r="N13" s="13" t="s">
        <v>122</v>
      </c>
      <c r="P13" s="5" t="s">
        <v>16</v>
      </c>
      <c r="Q13" s="10" t="s">
        <v>78</v>
      </c>
      <c r="R13" s="9" t="s">
        <v>79</v>
      </c>
      <c r="S13" s="12" t="s">
        <v>118</v>
      </c>
      <c r="T13" s="11" t="s">
        <v>119</v>
      </c>
      <c r="U13" s="13" t="s">
        <v>111</v>
      </c>
      <c r="V13" s="11" t="s">
        <v>120</v>
      </c>
      <c r="W13" s="13" t="s">
        <v>122</v>
      </c>
      <c r="Y13" s="5" t="s">
        <v>17</v>
      </c>
      <c r="Z13" s="10" t="s">
        <v>78</v>
      </c>
      <c r="AA13" s="9" t="s">
        <v>79</v>
      </c>
      <c r="AB13" s="12" t="s">
        <v>118</v>
      </c>
      <c r="AC13" s="11" t="s">
        <v>119</v>
      </c>
      <c r="AD13" s="13" t="s">
        <v>111</v>
      </c>
      <c r="AE13" s="11" t="s">
        <v>120</v>
      </c>
      <c r="AF13" s="13" t="s">
        <v>122</v>
      </c>
      <c r="AH13" s="5" t="s">
        <v>15</v>
      </c>
      <c r="AI13" s="10" t="s">
        <v>78</v>
      </c>
      <c r="AJ13" s="9" t="s">
        <v>79</v>
      </c>
      <c r="AK13" s="12" t="s">
        <v>118</v>
      </c>
      <c r="AL13" s="11" t="s">
        <v>119</v>
      </c>
      <c r="AM13" s="13" t="s">
        <v>111</v>
      </c>
      <c r="AN13" s="11" t="s">
        <v>120</v>
      </c>
      <c r="AO13" s="13" t="s">
        <v>122</v>
      </c>
    </row>
    <row r="14" spans="1:41">
      <c r="A14" s="1">
        <v>1</v>
      </c>
      <c r="B14" s="3">
        <v>2</v>
      </c>
      <c r="C14" s="3">
        <f>SUM($B$14:B14)</f>
        <v>2</v>
      </c>
      <c r="D14" s="3">
        <f>LN(B14)</f>
        <v>0.69314718055994529</v>
      </c>
      <c r="G14" s="3">
        <v>1</v>
      </c>
      <c r="H14" s="3">
        <f ca="1">OFFSET($A$1,MATCH(H$13,$H$13:$I$13,0),MATCH($G$13,$B$1:$H$1,0))
*OFFSET($A$13,$G14,$D$12)/OFFSET($A$18,,$D$12)
*_xlfn.IFS(H$13="生命",SUMIFS(模型构建!$B$8:$B$14,模型构建!$C$8:$C$14,1),TRUE,1)</f>
        <v>1.1947431302270008</v>
      </c>
      <c r="I14" s="3">
        <f ca="1">OFFSET($A$1,MATCH(I$13,$H$13:$I$13,0),MATCH($G$13,$B$1:$H$1,0))
*OFFSET($A$13,$G14,$D$12)/OFFSET($A$18,,$D$12)
*_xlfn.IFS(I$13="生命",SUMIFS(模型构建!$B$8:$B$14,模型构建!$C$8:$C$14,1),TRUE,1)
*模型构建!$L$1</f>
        <v>85.704230769230762</v>
      </c>
      <c r="J14" s="3">
        <f ca="1">OFFSET($A$13,$G14,$D$12)/OFFSET($A$18,,$D$12)
*OFFSET($A$4,MATCH(J$13,$J$13:$N$13,0),MATCH($G$13,$B$1:$H$1,0))</f>
        <v>7.5</v>
      </c>
      <c r="K14" s="3">
        <f t="array" aca="1" ref="K14" ca="1">MEDIAN(_xlfn.IFS(模型构建!$P$20:$P$25=$H$12,模型构建!$C$52:$C$57,TRUE,""))/其他属性!$D$3
*OFFSET($A$13,$G14,$D$12)/OFFSET($A$18,,$D$12)
*OFFSET($A$4,MATCH(K$13,$J$13:$N$13,0),MATCH($G$13,$B$1:$H$1,0))</f>
        <v>10.416666666666668</v>
      </c>
      <c r="L14" s="3">
        <f t="shared" ref="L14:N18" ca="1" si="0">OFFSET($A$13,$G14,$D$12)/OFFSET($A$18,,$D$12)
*OFFSET($A$4,MATCH(L$13,$J$13:$N$13,0),MATCH($G$13,$B$1:$H$1,0))</f>
        <v>7.5</v>
      </c>
      <c r="M14" s="3">
        <f t="shared" ca="1" si="0"/>
        <v>0</v>
      </c>
      <c r="N14" s="3">
        <f t="shared" ca="1" si="0"/>
        <v>0</v>
      </c>
      <c r="P14" s="3">
        <v>1</v>
      </c>
      <c r="Q14" s="3">
        <f ca="1">OFFSET($A$1,MATCH(Q$13,$H$13:$I$13,0),MATCH($P$13,$B$1:$H$1,0))
*OFFSET($A$13,$G14,$D$12)/OFFSET($A$18,,$D$12)
*_xlfn.IFS(Q$13="生命",SUMIFS(模型构建!$B$8:$B$14,模型构建!$C$8:$C$14,1),TRUE,1)</f>
        <v>2.0022246941045609</v>
      </c>
      <c r="R14" s="3">
        <f ca="1">OFFSET($A$1,MATCH(R$13,$H$13:$I$13,0),MATCH($P$13,$B$1:$H$1,0))
*OFFSET($A$13,$G14,$D$12)/OFFSET($A$18,,$D$12)
*_xlfn.IFS(R$13="生命",SUMIFS(模型构建!$B$8:$B$14,模型构建!$C$8:$C$14,1),TRUE,1)
*模型构建!$L$1</f>
        <v>83.492307692307691</v>
      </c>
      <c r="S14" s="3">
        <f ca="1">OFFSET($A$13,$G14,$D$12)/OFFSET($A$18,,$D$12)
*OFFSET($A$4,MATCH(S$13,$J$13:$N$13,0),MATCH($P$13,$B$1:$H$1,0))</f>
        <v>7.5</v>
      </c>
      <c r="T14" s="3">
        <f t="array" aca="1" ref="T14" ca="1">MEDIAN(_xlfn.IFS(模型构建!$P$20:$P$25=$Q$12,模型构建!$C$52:$C$57,TRUE,""))/其他属性!$D$3
*OFFSET($A$13,$G14,$D$12)/OFFSET($A$18,,$D$12)
*OFFSET($A$4,MATCH(T$13,$J$13:$N$13,0),MATCH($G$13,$B$1:$H$1,0))</f>
        <v>17.708333333333332</v>
      </c>
      <c r="U14" s="3">
        <f t="shared" ref="U14:W18" ca="1" si="1">OFFSET($A$13,$G14,$D$12)/OFFSET($A$18,,$D$12)
*OFFSET($A$4,MATCH(U$13,$J$13:$N$13,0),MATCH($P$13,$B$1:$H$1,0))</f>
        <v>7.5</v>
      </c>
      <c r="V14" s="3">
        <f t="shared" ca="1" si="1"/>
        <v>0</v>
      </c>
      <c r="W14" s="3">
        <f t="shared" ca="1" si="1"/>
        <v>0</v>
      </c>
      <c r="Y14" s="3">
        <v>1</v>
      </c>
      <c r="Z14" s="3">
        <f ca="1">OFFSET($A$1,MATCH(Z$13,$H$13:$I$13,0),MATCH($Y$13,$B$1:$H$1,0))
*OFFSET($A$13,$G14,$D$12)/OFFSET($A$18,,$D$12)
*_xlfn.IFS(Z$13="生命",SUMIFS(模型构建!$B$8:$B$14,模型构建!$C$8:$C$14,1),TRUE,1)</f>
        <v>2.3821339950372207</v>
      </c>
      <c r="AA14" s="3">
        <f ca="1">OFFSET($A$1,MATCH(AA$13,$H$13:$I$13,0),MATCH($Y$13,$B$1:$H$1,0))
*OFFSET($A$13,$G14,$D$12)/OFFSET($A$18,,$D$12)
*_xlfn.IFS(AA$13="生命",SUMIFS(模型构建!$B$8:$B$14,模型构建!$C$8:$C$14,1),TRUE,1)
*模型构建!$L$1</f>
        <v>37.908000000000001</v>
      </c>
      <c r="AB14" s="3">
        <f ca="1">OFFSET($A$13,$G14,$D$12)/OFFSET($A$18,,$D$12)
*OFFSET($A$4,MATCH(AB$13,$J$13:$N$13,0),MATCH($Y$13,$B$1:$H$1,0))</f>
        <v>7.5</v>
      </c>
      <c r="AC14" s="3">
        <f t="array" aca="1" ref="AC14" ca="1">MEDIAN(_xlfn.IFS(模型构建!$P$20:$P$25=$Z$12,模型构建!$C$52:$C$57,TRUE,""))/其他属性!$D$3
*OFFSET($A$13,$G14,$D$12)/OFFSET($A$18,,$D$12)
*OFFSET($A$4,MATCH(AC$13,$J$13:$N$13,0),MATCH($G$13,$B$1:$H$1,0))</f>
        <v>10.416666666666668</v>
      </c>
      <c r="AD14" s="3">
        <f t="shared" ref="AD14:AF18" ca="1" si="2">OFFSET($A$13,$G14,$D$12)/OFFSET($A$18,,$D$12)
*OFFSET($A$4,MATCH(AD$13,$J$13:$N$13,0),MATCH($Y$13,$B$1:$H$1,0))</f>
        <v>7.5</v>
      </c>
      <c r="AE14" s="3">
        <f t="shared" ca="1" si="2"/>
        <v>0</v>
      </c>
      <c r="AF14" s="3">
        <f t="shared" ca="1" si="2"/>
        <v>0</v>
      </c>
      <c r="AH14" s="3">
        <v>1</v>
      </c>
      <c r="AI14" s="3">
        <f ca="1">OFFSET($A$1,MATCH(AI$13,$H$13:$I$13,0),MATCH($AH$13,$B$1:$H$1,0))
*OFFSET($A$13,$G14,$D$12)/OFFSET($A$18,,$D$12)
*_xlfn.IFS(AI$13="生命",SUMIFS(模型构建!$B$8:$B$14,模型构建!$C$8:$C$14,1),TRUE,1)</f>
        <v>2.3041474654377878</v>
      </c>
      <c r="AJ14" s="3">
        <f ca="1">OFFSET($A$1,MATCH(AJ$13,$H$13:$I$13,0),MATCH($AH$13,$B$1:$H$1,0))
*OFFSET($A$13,$G14,$D$12)/OFFSET($A$18,,$D$12)
*_xlfn.IFS(AJ$13="生命",SUMIFS(模型构建!$B$8:$B$14,模型构建!$C$8:$C$14,1),TRUE,1)
*模型构建!$L$1</f>
        <v>56.52553846153846</v>
      </c>
      <c r="AK14" s="3">
        <f ca="1">OFFSET($A$13,$G14,$D$12)/OFFSET($A$18,,$D$12)
*OFFSET($A$4,MATCH(AK$13,$J$13:$N$13,0),MATCH($AH$13,$B$1:$H$1,0))</f>
        <v>7.5</v>
      </c>
      <c r="AL14" s="3">
        <f t="array" aca="1" ref="AL14" ca="1">MEDIAN(_xlfn.IFS(模型构建!$P$20:$P$25=$AI$12,模型构建!$C$52:$C$57,TRUE,""))/其他属性!$D$3
*OFFSET($A$13,$G14,$D$12)/OFFSET($A$18,,$D$12)
*OFFSET($A$4,MATCH(AL$13,$J$13:$N$13,0),MATCH($G$13,$B$1:$H$1,0))</f>
        <v>10.416666666666668</v>
      </c>
      <c r="AM14" s="3">
        <f t="shared" ref="AM14:AO18" ca="1" si="3">OFFSET($A$13,$G14,$D$12)/OFFSET($A$18,,$D$12)
*OFFSET($A$4,MATCH(AM$13,$J$13:$N$13,0),MATCH($AH$13,$B$1:$H$1,0))</f>
        <v>7.5</v>
      </c>
      <c r="AN14" s="3">
        <f t="shared" ca="1" si="3"/>
        <v>0</v>
      </c>
      <c r="AO14" s="3">
        <f t="shared" ca="1" si="3"/>
        <v>0</v>
      </c>
    </row>
    <row r="15" spans="1:41">
      <c r="A15" s="3">
        <v>2</v>
      </c>
      <c r="B15" s="3">
        <f>($B$18-$B$14)/COUNTA($A$15:$A$18)+B14</f>
        <v>2.25</v>
      </c>
      <c r="C15" s="3">
        <f>SUM($B$14:B15)</f>
        <v>4.25</v>
      </c>
      <c r="D15" s="3">
        <f t="shared" ref="D15:D18" si="4">LN(B15)</f>
        <v>0.81093021621632877</v>
      </c>
      <c r="G15" s="3">
        <v>2</v>
      </c>
      <c r="H15" s="3">
        <f ca="1">OFFSET($A$1,MATCH(H$13,$H$13:$I$13,0),MATCH($G$13,$B$1:$H$1,0))
*OFFSET($A$13,$G15,$D$12)/OFFSET($A$18,,$D$12)
*_xlfn.IFS(H$13="生命",SUMIFS(模型构建!$B$8:$B$14,模型构建!$C$8:$C$14,1),TRUE,1)</f>
        <v>1.344086021505376</v>
      </c>
      <c r="I15" s="3">
        <f ca="1">OFFSET($A$1,MATCH(I$13,$H$13:$I$13,0),MATCH($G$13,$B$1:$H$1,0))
*OFFSET($A$13,$G15,$D$12)/OFFSET($A$18,,$D$12)
*_xlfn.IFS(I$13="生命",SUMIFS(模型构建!$B$8:$B$14,模型构建!$C$8:$C$14,1),TRUE,1)
*模型构建!$L$1</f>
        <v>96.417259615384609</v>
      </c>
      <c r="J15" s="3">
        <f t="shared" ref="J15:J18" ca="1" si="5">OFFSET($A$13,$G15,$D$12)/OFFSET($A$18,,$D$12)
*OFFSET($A$4,MATCH(J$13,$J$13:$N$13,0),MATCH($G$13,$B$1:$H$1,0))</f>
        <v>8.4375</v>
      </c>
      <c r="K15" s="3">
        <f t="array" aca="1" ref="K15" ca="1">MEDIAN(_xlfn.IFS(模型构建!$P$20:$P$25=$H$12,模型构建!$C$52:$C$57,TRUE,""))/其他属性!$D$3
*OFFSET($A$13,$G15,$D$12)/OFFSET($A$18,,$D$12)
*OFFSET($A$4,MATCH(K$13,$J$13:$N$13,0),MATCH($G$13,$B$1:$H$1,0))</f>
        <v>11.71875</v>
      </c>
      <c r="L15" s="3">
        <f t="shared" ca="1" si="0"/>
        <v>8.4375</v>
      </c>
      <c r="M15" s="3">
        <f t="shared" ca="1" si="0"/>
        <v>0</v>
      </c>
      <c r="N15" s="3">
        <f t="shared" ca="1" si="0"/>
        <v>0</v>
      </c>
      <c r="P15" s="3">
        <v>2</v>
      </c>
      <c r="Q15" s="3">
        <f ca="1">OFFSET($A$1,MATCH(Q$13,$H$13:$I$13,0),MATCH($P$13,$B$1:$H$1,0))
*OFFSET($A$13,$G15,$D$12)/OFFSET($A$18,,$D$12)
*_xlfn.IFS(Q$13="生命",SUMIFS(模型构建!$B$8:$B$14,模型构建!$C$8:$C$14,1),TRUE,1)</f>
        <v>2.2525027808676308</v>
      </c>
      <c r="R15" s="3">
        <f ca="1">OFFSET($A$1,MATCH(R$13,$H$13:$I$13,0),MATCH($P$13,$B$1:$H$1,0))
*OFFSET($A$13,$G15,$D$12)/OFFSET($A$18,,$D$12)
*_xlfn.IFS(R$13="生命",SUMIFS(模型构建!$B$8:$B$14,模型构建!$C$8:$C$14,1),TRUE,1)
*模型构建!$L$1</f>
        <v>93.928846153846152</v>
      </c>
      <c r="S15" s="3">
        <f t="shared" ref="S15:S18" ca="1" si="6">OFFSET($A$13,$G15,$D$12)/OFFSET($A$18,,$D$12)
*OFFSET($A$4,MATCH(S$13,$J$13:$N$13,0),MATCH($P$13,$B$1:$H$1,0))</f>
        <v>8.4375</v>
      </c>
      <c r="T15" s="3">
        <f t="array" aca="1" ref="T15" ca="1">MEDIAN(_xlfn.IFS(模型构建!$P$20:$P$25=$Q$12,模型构建!$C$52:$C$57,TRUE,""))/其他属性!$D$3
*OFFSET($A$13,$G15,$D$12)/OFFSET($A$18,,$D$12)
*OFFSET($A$4,MATCH(T$13,$J$13:$N$13,0),MATCH($G$13,$B$1:$H$1,0))</f>
        <v>19.921875</v>
      </c>
      <c r="U15" s="3">
        <f t="shared" ca="1" si="1"/>
        <v>8.4375</v>
      </c>
      <c r="V15" s="3">
        <f t="shared" ca="1" si="1"/>
        <v>0</v>
      </c>
      <c r="W15" s="3">
        <f t="shared" ca="1" si="1"/>
        <v>0</v>
      </c>
      <c r="Y15" s="3">
        <v>2</v>
      </c>
      <c r="Z15" s="3">
        <f ca="1">OFFSET($A$1,MATCH(Z$13,$H$13:$I$13,0),MATCH($Y$13,$B$1:$H$1,0))
*OFFSET($A$13,$G15,$D$12)/OFFSET($A$18,,$D$12)
*_xlfn.IFS(Z$13="生命",SUMIFS(模型构建!$B$8:$B$14,模型构建!$C$8:$C$14,1),TRUE,1)</f>
        <v>2.6799007444168734</v>
      </c>
      <c r="AA15" s="3">
        <f ca="1">OFFSET($A$1,MATCH(AA$13,$H$13:$I$13,0),MATCH($Y$13,$B$1:$H$1,0))
*OFFSET($A$13,$G15,$D$12)/OFFSET($A$18,,$D$12)
*_xlfn.IFS(AA$13="生命",SUMIFS(模型构建!$B$8:$B$14,模型构建!$C$8:$C$14,1),TRUE,1)
*模型构建!$L$1</f>
        <v>42.646500000000003</v>
      </c>
      <c r="AB15" s="3">
        <f t="shared" ref="AB15:AB18" ca="1" si="7">OFFSET($A$13,$G15,$D$12)/OFFSET($A$18,,$D$12)
*OFFSET($A$4,MATCH(AB$13,$J$13:$N$13,0),MATCH($Y$13,$B$1:$H$1,0))</f>
        <v>8.4375</v>
      </c>
      <c r="AC15" s="3">
        <f t="array" aca="1" ref="AC15" ca="1">MEDIAN(_xlfn.IFS(模型构建!$P$20:$P$25=$Z$12,模型构建!$C$52:$C$57,TRUE,""))/其他属性!$D$3
*OFFSET($A$13,$G15,$D$12)/OFFSET($A$18,,$D$12)
*OFFSET($A$4,MATCH(AC$13,$J$13:$N$13,0),MATCH($G$13,$B$1:$H$1,0))</f>
        <v>11.71875</v>
      </c>
      <c r="AD15" s="3">
        <f t="shared" ca="1" si="2"/>
        <v>8.4375</v>
      </c>
      <c r="AE15" s="3">
        <f t="shared" ca="1" si="2"/>
        <v>0</v>
      </c>
      <c r="AF15" s="3">
        <f t="shared" ca="1" si="2"/>
        <v>0</v>
      </c>
      <c r="AH15" s="3">
        <v>2</v>
      </c>
      <c r="AI15" s="3">
        <f ca="1">OFFSET($A$1,MATCH(AI$13,$H$13:$I$13,0),MATCH($AH$13,$B$1:$H$1,0))
*OFFSET($A$13,$G15,$D$12)/OFFSET($A$18,,$D$12)
*_xlfn.IFS(AI$13="生命",SUMIFS(模型构建!$B$8:$B$14,模型构建!$C$8:$C$14,1),TRUE,1)</f>
        <v>2.5921658986175111</v>
      </c>
      <c r="AJ15" s="3">
        <f ca="1">OFFSET($A$1,MATCH(AJ$13,$H$13:$I$13,0),MATCH($AH$13,$B$1:$H$1,0))
*OFFSET($A$13,$G15,$D$12)/OFFSET($A$18,,$D$12)
*_xlfn.IFS(AJ$13="生命",SUMIFS(模型构建!$B$8:$B$14,模型构建!$C$8:$C$14,1),TRUE,1)
*模型构建!$L$1</f>
        <v>63.591230769230748</v>
      </c>
      <c r="AK15" s="3">
        <f t="shared" ref="AK15:AK18" ca="1" si="8">OFFSET($A$13,$G15,$D$12)/OFFSET($A$18,,$D$12)
*OFFSET($A$4,MATCH(AK$13,$J$13:$N$13,0),MATCH($AH$13,$B$1:$H$1,0))</f>
        <v>8.4375</v>
      </c>
      <c r="AL15" s="3">
        <f t="array" aca="1" ref="AL15" ca="1">MEDIAN(_xlfn.IFS(模型构建!$P$20:$P$25=$AI$12,模型构建!$C$52:$C$57,TRUE,""))/其他属性!$D$3
*OFFSET($A$13,$G15,$D$12)/OFFSET($A$18,,$D$12)
*OFFSET($A$4,MATCH(AL$13,$J$13:$N$13,0),MATCH($G$13,$B$1:$H$1,0))</f>
        <v>11.71875</v>
      </c>
      <c r="AM15" s="3">
        <f t="shared" ca="1" si="3"/>
        <v>8.4375</v>
      </c>
      <c r="AN15" s="3">
        <f t="shared" ca="1" si="3"/>
        <v>0</v>
      </c>
      <c r="AO15" s="3">
        <f t="shared" ca="1" si="3"/>
        <v>0</v>
      </c>
    </row>
    <row r="16" spans="1:41">
      <c r="A16" s="3">
        <v>3</v>
      </c>
      <c r="B16" s="3">
        <f t="shared" ref="B16:B17" si="9">($B$18-$B$14)/COUNTA($A$15:$A$18)+B15</f>
        <v>2.5</v>
      </c>
      <c r="C16" s="3">
        <f>SUM($B$14:B16)</f>
        <v>6.75</v>
      </c>
      <c r="D16" s="3">
        <f t="shared" si="4"/>
        <v>0.91629073187415511</v>
      </c>
      <c r="G16" s="3">
        <v>3</v>
      </c>
      <c r="H16" s="3">
        <f ca="1">OFFSET($A$1,MATCH(H$13,$H$13:$I$13,0),MATCH($G$13,$B$1:$H$1,0))
*OFFSET($A$13,$G16,$D$12)/OFFSET($A$18,,$D$12)
*_xlfn.IFS(H$13="生命",SUMIFS(模型构建!$B$8:$B$14,模型构建!$C$8:$C$14,1),TRUE,1)</f>
        <v>1.4934289127837512</v>
      </c>
      <c r="I16" s="3">
        <f ca="1">OFFSET($A$1,MATCH(I$13,$H$13:$I$13,0),MATCH($G$13,$B$1:$H$1,0))
*OFFSET($A$13,$G16,$D$12)/OFFSET($A$18,,$D$12)
*_xlfn.IFS(I$13="生命",SUMIFS(模型构建!$B$8:$B$14,模型构建!$C$8:$C$14,1),TRUE,1)
*模型构建!$L$1</f>
        <v>107.13028846153846</v>
      </c>
      <c r="J16" s="3">
        <f t="shared" ca="1" si="5"/>
        <v>9.375</v>
      </c>
      <c r="K16" s="3">
        <f t="array" aca="1" ref="K16" ca="1">MEDIAN(_xlfn.IFS(模型构建!$P$20:$P$25=$H$12,模型构建!$C$52:$C$57,TRUE,""))/其他属性!$D$3
*OFFSET($A$13,$G16,$D$12)/OFFSET($A$18,,$D$12)
*OFFSET($A$4,MATCH(K$13,$J$13:$N$13,0),MATCH($G$13,$B$1:$H$1,0))</f>
        <v>13.020833333333334</v>
      </c>
      <c r="L16" s="3">
        <f t="shared" ca="1" si="0"/>
        <v>9.375</v>
      </c>
      <c r="M16" s="3">
        <f t="shared" ca="1" si="0"/>
        <v>0</v>
      </c>
      <c r="N16" s="3">
        <f t="shared" ca="1" si="0"/>
        <v>0</v>
      </c>
      <c r="P16" s="3">
        <v>3</v>
      </c>
      <c r="Q16" s="3">
        <f ca="1">OFFSET($A$1,MATCH(Q$13,$H$13:$I$13,0),MATCH($P$13,$B$1:$H$1,0))
*OFFSET($A$13,$G16,$D$12)/OFFSET($A$18,,$D$12)
*_xlfn.IFS(Q$13="生命",SUMIFS(模型构建!$B$8:$B$14,模型构建!$C$8:$C$14,1),TRUE,1)</f>
        <v>2.5027808676307011</v>
      </c>
      <c r="R16" s="3">
        <f ca="1">OFFSET($A$1,MATCH(R$13,$H$13:$I$13,0),MATCH($P$13,$B$1:$H$1,0))
*OFFSET($A$13,$G16,$D$12)/OFFSET($A$18,,$D$12)
*_xlfn.IFS(R$13="生命",SUMIFS(模型构建!$B$8:$B$14,模型构建!$C$8:$C$14,1),TRUE,1)
*模型构建!$L$1</f>
        <v>104.36538461538461</v>
      </c>
      <c r="S16" s="3">
        <f t="shared" ca="1" si="6"/>
        <v>9.375</v>
      </c>
      <c r="T16" s="3">
        <f t="array" aca="1" ref="T16" ca="1">MEDIAN(_xlfn.IFS(模型构建!$P$20:$P$25=$Q$12,模型构建!$C$52:$C$57,TRUE,""))/其他属性!$D$3
*OFFSET($A$13,$G16,$D$12)/OFFSET($A$18,,$D$12)
*OFFSET($A$4,MATCH(T$13,$J$13:$N$13,0),MATCH($G$13,$B$1:$H$1,0))</f>
        <v>22.135416666666668</v>
      </c>
      <c r="U16" s="3">
        <f t="shared" ca="1" si="1"/>
        <v>9.375</v>
      </c>
      <c r="V16" s="3">
        <f t="shared" ca="1" si="1"/>
        <v>0</v>
      </c>
      <c r="W16" s="3">
        <f t="shared" ca="1" si="1"/>
        <v>0</v>
      </c>
      <c r="Y16" s="3">
        <v>3</v>
      </c>
      <c r="Z16" s="3">
        <f ca="1">OFFSET($A$1,MATCH(Z$13,$H$13:$I$13,0),MATCH($Y$13,$B$1:$H$1,0))
*OFFSET($A$13,$G16,$D$12)/OFFSET($A$18,,$D$12)
*_xlfn.IFS(Z$13="生命",SUMIFS(模型构建!$B$8:$B$14,模型构建!$C$8:$C$14,1),TRUE,1)</f>
        <v>2.9776674937965262</v>
      </c>
      <c r="AA16" s="3">
        <f ca="1">OFFSET($A$1,MATCH(AA$13,$H$13:$I$13,0),MATCH($Y$13,$B$1:$H$1,0))
*OFFSET($A$13,$G16,$D$12)/OFFSET($A$18,,$D$12)
*_xlfn.IFS(AA$13="生命",SUMIFS(模型构建!$B$8:$B$14,模型构建!$C$8:$C$14,1),TRUE,1)
*模型构建!$L$1</f>
        <v>47.384999999999998</v>
      </c>
      <c r="AB16" s="3">
        <f t="shared" ca="1" si="7"/>
        <v>9.375</v>
      </c>
      <c r="AC16" s="3">
        <f t="array" aca="1" ref="AC16" ca="1">MEDIAN(_xlfn.IFS(模型构建!$P$20:$P$25=$Z$12,模型构建!$C$52:$C$57,TRUE,""))/其他属性!$D$3
*OFFSET($A$13,$G16,$D$12)/OFFSET($A$18,,$D$12)
*OFFSET($A$4,MATCH(AC$13,$J$13:$N$13,0),MATCH($G$13,$B$1:$H$1,0))</f>
        <v>13.020833333333334</v>
      </c>
      <c r="AD16" s="3">
        <f t="shared" ca="1" si="2"/>
        <v>9.375</v>
      </c>
      <c r="AE16" s="3">
        <f t="shared" ca="1" si="2"/>
        <v>0</v>
      </c>
      <c r="AF16" s="3">
        <f t="shared" ca="1" si="2"/>
        <v>0</v>
      </c>
      <c r="AH16" s="3">
        <v>3</v>
      </c>
      <c r="AI16" s="3">
        <f ca="1">OFFSET($A$1,MATCH(AI$13,$H$13:$I$13,0),MATCH($AH$13,$B$1:$H$1,0))
*OFFSET($A$13,$G16,$D$12)/OFFSET($A$18,,$D$12)
*_xlfn.IFS(AI$13="生命",SUMIFS(模型构建!$B$8:$B$14,模型构建!$C$8:$C$14,1),TRUE,1)</f>
        <v>2.8801843317972349</v>
      </c>
      <c r="AJ16" s="3">
        <f ca="1">OFFSET($A$1,MATCH(AJ$13,$H$13:$I$13,0),MATCH($AH$13,$B$1:$H$1,0))
*OFFSET($A$13,$G16,$D$12)/OFFSET($A$18,,$D$12)
*_xlfn.IFS(AJ$13="生命",SUMIFS(模型构建!$B$8:$B$14,模型构建!$C$8:$C$14,1),TRUE,1)
*模型构建!$L$1</f>
        <v>70.65692307692305</v>
      </c>
      <c r="AK16" s="3">
        <f t="shared" ca="1" si="8"/>
        <v>9.375</v>
      </c>
      <c r="AL16" s="3">
        <f t="array" aca="1" ref="AL16" ca="1">MEDIAN(_xlfn.IFS(模型构建!$P$20:$P$25=$AI$12,模型构建!$C$52:$C$57,TRUE,""))/其他属性!$D$3
*OFFSET($A$13,$G16,$D$12)/OFFSET($A$18,,$D$12)
*OFFSET($A$4,MATCH(AL$13,$J$13:$N$13,0),MATCH($G$13,$B$1:$H$1,0))</f>
        <v>13.020833333333334</v>
      </c>
      <c r="AM16" s="3">
        <f t="shared" ca="1" si="3"/>
        <v>9.375</v>
      </c>
      <c r="AN16" s="3">
        <f t="shared" ca="1" si="3"/>
        <v>0</v>
      </c>
      <c r="AO16" s="3">
        <f t="shared" ca="1" si="3"/>
        <v>0</v>
      </c>
    </row>
    <row r="17" spans="1:41">
      <c r="A17" s="3">
        <v>4</v>
      </c>
      <c r="B17" s="3">
        <f t="shared" si="9"/>
        <v>2.75</v>
      </c>
      <c r="C17" s="3">
        <f>SUM($B$14:B17)</f>
        <v>9.5</v>
      </c>
      <c r="D17" s="3">
        <f t="shared" si="4"/>
        <v>1.0116009116784799</v>
      </c>
      <c r="G17" s="3">
        <v>4</v>
      </c>
      <c r="H17" s="3">
        <f ca="1">OFFSET($A$1,MATCH(H$13,$H$13:$I$13,0),MATCH($G$13,$B$1:$H$1,0))
*OFFSET($A$13,$G17,$D$12)/OFFSET($A$18,,$D$12)
*_xlfn.IFS(H$13="生命",SUMIFS(模型构建!$B$8:$B$14,模型构建!$C$8:$C$14,1),TRUE,1)</f>
        <v>1.6427718040621262</v>
      </c>
      <c r="I17" s="3">
        <f ca="1">OFFSET($A$1,MATCH(I$13,$H$13:$I$13,0),MATCH($G$13,$B$1:$H$1,0))
*OFFSET($A$13,$G17,$D$12)/OFFSET($A$18,,$D$12)
*_xlfn.IFS(I$13="生命",SUMIFS(模型构建!$B$8:$B$14,模型构建!$C$8:$C$14,1),TRUE,1)
*模型构建!$L$1</f>
        <v>117.84331730769229</v>
      </c>
      <c r="J17" s="3">
        <f t="shared" ca="1" si="5"/>
        <v>10.3125</v>
      </c>
      <c r="K17" s="3">
        <f t="array" aca="1" ref="K17" ca="1">MEDIAN(_xlfn.IFS(模型构建!$P$20:$P$25=$H$12,模型构建!$C$52:$C$57,TRUE,""))/其他属性!$D$3
*OFFSET($A$13,$G17,$D$12)/OFFSET($A$18,,$D$12)
*OFFSET($A$4,MATCH(K$13,$J$13:$N$13,0),MATCH($G$13,$B$1:$H$1,0))</f>
        <v>14.322916666666668</v>
      </c>
      <c r="L17" s="3">
        <f t="shared" ca="1" si="0"/>
        <v>10.3125</v>
      </c>
      <c r="M17" s="3">
        <f t="shared" ca="1" si="0"/>
        <v>0</v>
      </c>
      <c r="N17" s="3">
        <f t="shared" ca="1" si="0"/>
        <v>0</v>
      </c>
      <c r="P17" s="3">
        <v>4</v>
      </c>
      <c r="Q17" s="3">
        <f ca="1">OFFSET($A$1,MATCH(Q$13,$H$13:$I$13,0),MATCH($P$13,$B$1:$H$1,0))
*OFFSET($A$13,$G17,$D$12)/OFFSET($A$18,,$D$12)
*_xlfn.IFS(Q$13="生命",SUMIFS(模型构建!$B$8:$B$14,模型构建!$C$8:$C$14,1),TRUE,1)</f>
        <v>2.7530589543937709</v>
      </c>
      <c r="R17" s="3">
        <f ca="1">OFFSET($A$1,MATCH(R$13,$H$13:$I$13,0),MATCH($P$13,$B$1:$H$1,0))
*OFFSET($A$13,$G17,$D$12)/OFFSET($A$18,,$D$12)
*_xlfn.IFS(R$13="生命",SUMIFS(模型构建!$B$8:$B$14,模型构建!$C$8:$C$14,1),TRUE,1)
*模型构建!$L$1</f>
        <v>114.80192307692312</v>
      </c>
      <c r="S17" s="3">
        <f t="shared" ca="1" si="6"/>
        <v>10.3125</v>
      </c>
      <c r="T17" s="3">
        <f t="array" aca="1" ref="T17" ca="1">MEDIAN(_xlfn.IFS(模型构建!$P$20:$P$25=$Q$12,模型构建!$C$52:$C$57,TRUE,""))/其他属性!$D$3
*OFFSET($A$13,$G17,$D$12)/OFFSET($A$18,,$D$12)
*OFFSET($A$4,MATCH(T$13,$J$13:$N$13,0),MATCH($G$13,$B$1:$H$1,0))</f>
        <v>24.348958333333336</v>
      </c>
      <c r="U17" s="3">
        <f t="shared" ca="1" si="1"/>
        <v>10.3125</v>
      </c>
      <c r="V17" s="3">
        <f t="shared" ca="1" si="1"/>
        <v>0</v>
      </c>
      <c r="W17" s="3">
        <f t="shared" ca="1" si="1"/>
        <v>0</v>
      </c>
      <c r="Y17" s="3">
        <v>4</v>
      </c>
      <c r="Z17" s="3">
        <f ca="1">OFFSET($A$1,MATCH(Z$13,$H$13:$I$13,0),MATCH($Y$13,$B$1:$H$1,0))
*OFFSET($A$13,$G17,$D$12)/OFFSET($A$18,,$D$12)
*_xlfn.IFS(Z$13="生命",SUMIFS(模型构建!$B$8:$B$14,模型构建!$C$8:$C$14,1),TRUE,1)</f>
        <v>3.2754342431761785</v>
      </c>
      <c r="AA17" s="3">
        <f ca="1">OFFSET($A$1,MATCH(AA$13,$H$13:$I$13,0),MATCH($Y$13,$B$1:$H$1,0))
*OFFSET($A$13,$G17,$D$12)/OFFSET($A$18,,$D$12)
*_xlfn.IFS(AA$13="生命",SUMIFS(模型构建!$B$8:$B$14,模型构建!$C$8:$C$14,1),TRUE,1)
*模型构建!$L$1</f>
        <v>52.123500000000007</v>
      </c>
      <c r="AB17" s="3">
        <f t="shared" ca="1" si="7"/>
        <v>10.3125</v>
      </c>
      <c r="AC17" s="3">
        <f t="array" aca="1" ref="AC17" ca="1">MEDIAN(_xlfn.IFS(模型构建!$P$20:$P$25=$Z$12,模型构建!$C$52:$C$57,TRUE,""))/其他属性!$D$3
*OFFSET($A$13,$G17,$D$12)/OFFSET($A$18,,$D$12)
*OFFSET($A$4,MATCH(AC$13,$J$13:$N$13,0),MATCH($G$13,$B$1:$H$1,0))</f>
        <v>14.322916666666668</v>
      </c>
      <c r="AD17" s="3">
        <f t="shared" ca="1" si="2"/>
        <v>10.3125</v>
      </c>
      <c r="AE17" s="3">
        <f t="shared" ca="1" si="2"/>
        <v>0</v>
      </c>
      <c r="AF17" s="3">
        <f t="shared" ca="1" si="2"/>
        <v>0</v>
      </c>
      <c r="AH17" s="3">
        <v>4</v>
      </c>
      <c r="AI17" s="3">
        <f ca="1">OFFSET($A$1,MATCH(AI$13,$H$13:$I$13,0),MATCH($AH$13,$B$1:$H$1,0))
*OFFSET($A$13,$G17,$D$12)/OFFSET($A$18,,$D$12)
*_xlfn.IFS(AI$13="生命",SUMIFS(模型构建!$B$8:$B$14,模型构建!$C$8:$C$14,1),TRUE,1)</f>
        <v>3.1682027649769577</v>
      </c>
      <c r="AJ17" s="3">
        <f ca="1">OFFSET($A$1,MATCH(AJ$13,$H$13:$I$13,0),MATCH($AH$13,$B$1:$H$1,0))
*OFFSET($A$13,$G17,$D$12)/OFFSET($A$18,,$D$12)
*_xlfn.IFS(AJ$13="生命",SUMIFS(模型构建!$B$8:$B$14,模型构建!$C$8:$C$14,1),TRUE,1)
*模型构建!$L$1</f>
        <v>77.722615384615366</v>
      </c>
      <c r="AK17" s="3">
        <f t="shared" ca="1" si="8"/>
        <v>10.3125</v>
      </c>
      <c r="AL17" s="3">
        <f t="array" aca="1" ref="AL17" ca="1">MEDIAN(_xlfn.IFS(模型构建!$P$20:$P$25=$AI$12,模型构建!$C$52:$C$57,TRUE,""))/其他属性!$D$3
*OFFSET($A$13,$G17,$D$12)/OFFSET($A$18,,$D$12)
*OFFSET($A$4,MATCH(AL$13,$J$13:$N$13,0),MATCH($G$13,$B$1:$H$1,0))</f>
        <v>14.322916666666668</v>
      </c>
      <c r="AM17" s="3">
        <f t="shared" ca="1" si="3"/>
        <v>10.3125</v>
      </c>
      <c r="AN17" s="3">
        <f t="shared" ca="1" si="3"/>
        <v>0</v>
      </c>
      <c r="AO17" s="3">
        <f t="shared" ca="1" si="3"/>
        <v>0</v>
      </c>
    </row>
    <row r="18" spans="1:41">
      <c r="A18" s="3">
        <v>5</v>
      </c>
      <c r="B18" s="3">
        <v>3</v>
      </c>
      <c r="C18" s="3">
        <f>SUM($B$14:B18)</f>
        <v>12.5</v>
      </c>
      <c r="D18" s="3">
        <f t="shared" si="4"/>
        <v>1.0986122886681098</v>
      </c>
      <c r="G18" s="3">
        <v>5</v>
      </c>
      <c r="H18" s="3">
        <f ca="1">OFFSET($A$1,MATCH(H$13,$H$13:$I$13,0),MATCH($G$13,$B$1:$H$1,0))
*OFFSET($A$13,$G18,$D$12)/OFFSET($A$18,,$D$12)
*_xlfn.IFS(H$13="生命",SUMIFS(模型构建!$B$8:$B$14,模型构建!$C$8:$C$14,1),TRUE,1)</f>
        <v>1.7921146953405014</v>
      </c>
      <c r="I18" s="3">
        <f ca="1">OFFSET($A$1,MATCH(I$13,$H$13:$I$13,0),MATCH($G$13,$B$1:$H$1,0))
*OFFSET($A$13,$G18,$D$12)/OFFSET($A$18,,$D$12)
*_xlfn.IFS(I$13="生命",SUMIFS(模型构建!$B$8:$B$14,模型构建!$C$8:$C$14,1),TRUE,1)
*模型构建!$L$1</f>
        <v>128.55634615384614</v>
      </c>
      <c r="J18" s="3">
        <f t="shared" ca="1" si="5"/>
        <v>11.25</v>
      </c>
      <c r="K18" s="3">
        <f t="array" aca="1" ref="K18" ca="1">MEDIAN(_xlfn.IFS(模型构建!$P$20:$P$25=$H$12,模型构建!$C$52:$C$57,TRUE,""))/其他属性!$D$3
*OFFSET($A$13,$G18,$D$12)/OFFSET($A$18,,$D$12)
*OFFSET($A$4,MATCH(K$13,$J$13:$N$13,0),MATCH($G$13,$B$1:$H$1,0))</f>
        <v>15.625</v>
      </c>
      <c r="L18" s="3">
        <f t="shared" ca="1" si="0"/>
        <v>11.25</v>
      </c>
      <c r="M18" s="3">
        <f t="shared" ca="1" si="0"/>
        <v>0</v>
      </c>
      <c r="N18" s="3">
        <f t="shared" ca="1" si="0"/>
        <v>0</v>
      </c>
      <c r="P18" s="3">
        <v>5</v>
      </c>
      <c r="Q18" s="3">
        <f ca="1">OFFSET($A$1,MATCH(Q$13,$H$13:$I$13,0),MATCH($P$13,$B$1:$H$1,0))
*OFFSET($A$13,$G18,$D$12)/OFFSET($A$18,,$D$12)
*_xlfn.IFS(Q$13="生命",SUMIFS(模型构建!$B$8:$B$14,模型构建!$C$8:$C$14,1),TRUE,1)</f>
        <v>3.0033370411568412</v>
      </c>
      <c r="R18" s="3">
        <f ca="1">OFFSET($A$1,MATCH(R$13,$H$13:$I$13,0),MATCH($P$13,$B$1:$H$1,0))
*OFFSET($A$13,$G18,$D$12)/OFFSET($A$18,,$D$12)
*_xlfn.IFS(R$13="生命",SUMIFS(模型构建!$B$8:$B$14,模型构建!$C$8:$C$14,1),TRUE,1)
*模型构建!$L$1</f>
        <v>125.23846153846156</v>
      </c>
      <c r="S18" s="3">
        <f t="shared" ca="1" si="6"/>
        <v>11.25</v>
      </c>
      <c r="T18" s="3">
        <f t="array" aca="1" ref="T18" ca="1">MEDIAN(_xlfn.IFS(模型构建!$P$20:$P$25=$Q$12,模型构建!$C$52:$C$57,TRUE,""))/其他属性!$D$3
*OFFSET($A$13,$G18,$D$12)/OFFSET($A$18,,$D$12)
*OFFSET($A$4,MATCH(T$13,$J$13:$N$13,0),MATCH($G$13,$B$1:$H$1,0))</f>
        <v>26.562500000000004</v>
      </c>
      <c r="U18" s="3">
        <f t="shared" ca="1" si="1"/>
        <v>11.25</v>
      </c>
      <c r="V18" s="3">
        <f t="shared" ca="1" si="1"/>
        <v>0</v>
      </c>
      <c r="W18" s="3">
        <f t="shared" ca="1" si="1"/>
        <v>0</v>
      </c>
      <c r="Y18" s="3">
        <v>5</v>
      </c>
      <c r="Z18" s="3">
        <f ca="1">OFFSET($A$1,MATCH(Z$13,$H$13:$I$13,0),MATCH($Y$13,$B$1:$H$1,0))
*OFFSET($A$13,$G18,$D$12)/OFFSET($A$18,,$D$12)
*_xlfn.IFS(Z$13="生命",SUMIFS(模型构建!$B$8:$B$14,模型构建!$C$8:$C$14,1),TRUE,1)</f>
        <v>3.5732009925558312</v>
      </c>
      <c r="AA18" s="3">
        <f ca="1">OFFSET($A$1,MATCH(AA$13,$H$13:$I$13,0),MATCH($Y$13,$B$1:$H$1,0))
*OFFSET($A$13,$G18,$D$12)/OFFSET($A$18,,$D$12)
*_xlfn.IFS(AA$13="生命",SUMIFS(模型构建!$B$8:$B$14,模型构建!$C$8:$C$14,1),TRUE,1)
*模型构建!$L$1</f>
        <v>56.862000000000002</v>
      </c>
      <c r="AB18" s="3">
        <f t="shared" ca="1" si="7"/>
        <v>11.25</v>
      </c>
      <c r="AC18" s="3">
        <f t="array" aca="1" ref="AC18" ca="1">MEDIAN(_xlfn.IFS(模型构建!$P$20:$P$25=$Z$12,模型构建!$C$52:$C$57,TRUE,""))/其他属性!$D$3
*OFFSET($A$13,$G18,$D$12)/OFFSET($A$18,,$D$12)
*OFFSET($A$4,MATCH(AC$13,$J$13:$N$13,0),MATCH($G$13,$B$1:$H$1,0))</f>
        <v>15.625</v>
      </c>
      <c r="AD18" s="3">
        <f t="shared" ca="1" si="2"/>
        <v>11.25</v>
      </c>
      <c r="AE18" s="3">
        <f t="shared" ca="1" si="2"/>
        <v>0</v>
      </c>
      <c r="AF18" s="3">
        <f t="shared" ca="1" si="2"/>
        <v>0</v>
      </c>
      <c r="AH18" s="3">
        <v>5</v>
      </c>
      <c r="AI18" s="3">
        <f ca="1">OFFSET($A$1,MATCH(AI$13,$H$13:$I$13,0),MATCH($AH$13,$B$1:$H$1,0))
*OFFSET($A$13,$G18,$D$12)/OFFSET($A$18,,$D$12)
*_xlfn.IFS(AI$13="生命",SUMIFS(模型构建!$B$8:$B$14,模型构建!$C$8:$C$14,1),TRUE,1)</f>
        <v>3.4562211981566815</v>
      </c>
      <c r="AJ18" s="3">
        <f ca="1">OFFSET($A$1,MATCH(AJ$13,$H$13:$I$13,0),MATCH($AH$13,$B$1:$H$1,0))
*OFFSET($A$13,$G18,$D$12)/OFFSET($A$18,,$D$12)
*_xlfn.IFS(AJ$13="生命",SUMIFS(模型构建!$B$8:$B$14,模型构建!$C$8:$C$14,1),TRUE,1)
*模型构建!$L$1</f>
        <v>84.788307692307669</v>
      </c>
      <c r="AK18" s="3">
        <f t="shared" ca="1" si="8"/>
        <v>11.25</v>
      </c>
      <c r="AL18" s="3">
        <f t="array" aca="1" ref="AL18" ca="1">MEDIAN(_xlfn.IFS(模型构建!$P$20:$P$25=$AI$12,模型构建!$C$52:$C$57,TRUE,""))/其他属性!$D$3
*OFFSET($A$13,$G18,$D$12)/OFFSET($A$18,,$D$12)
*OFFSET($A$4,MATCH(AL$13,$J$13:$N$13,0),MATCH($G$13,$B$1:$H$1,0))</f>
        <v>15.625</v>
      </c>
      <c r="AM18" s="3">
        <f t="shared" ca="1" si="3"/>
        <v>11.25</v>
      </c>
      <c r="AN18" s="3">
        <f t="shared" ca="1" si="3"/>
        <v>0</v>
      </c>
      <c r="AO18" s="3">
        <f t="shared" ca="1" si="3"/>
        <v>0</v>
      </c>
    </row>
    <row r="20" spans="1:41">
      <c r="H20" s="3">
        <f ca="1">OFFSET(模型构建!$P$18,MATCH(G$21,模型构建!$A$19:$A$25,0),)</f>
        <v>3</v>
      </c>
      <c r="Q20" s="3">
        <f ca="1">OFFSET(模型构建!$P$18,MATCH(P$21,模型构建!$A$19:$A$25,0),)</f>
        <v>2</v>
      </c>
      <c r="Z20" s="3">
        <f ca="1">OFFSET(模型构建!$P$18,MATCH(Y$21,模型构建!$A$19:$A$25,0),)</f>
        <v>3</v>
      </c>
    </row>
    <row r="21" spans="1:41">
      <c r="G21" s="5" t="s">
        <v>18</v>
      </c>
      <c r="H21" s="10" t="s">
        <v>78</v>
      </c>
      <c r="I21" s="9" t="s">
        <v>79</v>
      </c>
      <c r="J21" s="12" t="s">
        <v>118</v>
      </c>
      <c r="K21" s="11" t="s">
        <v>119</v>
      </c>
      <c r="L21" s="13" t="s">
        <v>111</v>
      </c>
      <c r="M21" s="11" t="s">
        <v>120</v>
      </c>
      <c r="N21" s="13" t="s">
        <v>122</v>
      </c>
      <c r="P21" s="5" t="s">
        <v>19</v>
      </c>
      <c r="Q21" s="10" t="s">
        <v>78</v>
      </c>
      <c r="R21" s="9" t="s">
        <v>79</v>
      </c>
      <c r="S21" s="12" t="s">
        <v>118</v>
      </c>
      <c r="T21" s="11" t="s">
        <v>119</v>
      </c>
      <c r="U21" s="13" t="s">
        <v>111</v>
      </c>
      <c r="V21" s="11" t="s">
        <v>120</v>
      </c>
      <c r="W21" s="13" t="s">
        <v>122</v>
      </c>
      <c r="Y21" s="5" t="s">
        <v>20</v>
      </c>
      <c r="Z21" s="10" t="s">
        <v>78</v>
      </c>
      <c r="AA21" s="9" t="s">
        <v>79</v>
      </c>
      <c r="AB21" s="12" t="s">
        <v>118</v>
      </c>
      <c r="AC21" s="11" t="s">
        <v>119</v>
      </c>
      <c r="AD21" s="13" t="s">
        <v>111</v>
      </c>
      <c r="AE21" s="11" t="s">
        <v>120</v>
      </c>
      <c r="AF21" s="13" t="s">
        <v>122</v>
      </c>
    </row>
    <row r="22" spans="1:41">
      <c r="G22" s="3">
        <v>1</v>
      </c>
      <c r="H22" s="3">
        <f ca="1">OFFSET($A$1,MATCH(H$13,$H$13:$I$13,0),MATCH($G$21,$B$1:$H$1,0))
*OFFSET($A$13,$G22,$D$12)/OFFSET($A$18,,$D$12)
*_xlfn.IFS(H$13="生命",SUMIFS(模型构建!$B$8:$B$14,模型构建!$C$8:$C$14,1),TRUE,1)</f>
        <v>1.7574006092322112</v>
      </c>
      <c r="I22" s="3">
        <f ca="1">OFFSET($A$1,MATCH(I$13,$H$13:$I$13,0),MATCH($G$21,$B$1:$H$1,0))
*OFFSET($A$13,$G22,$D$12)/OFFSET($A$18,,$D$12)
*_xlfn.IFS(I$13="生命",SUMIFS(模型构建!$B$8:$B$14,模型构建!$C$8:$C$14,1),TRUE,1)
*模型构建!$L$1</f>
        <v>198.97919999999999</v>
      </c>
      <c r="J22" s="3">
        <f ca="1">OFFSET($A$13,$G22,$D$12)/OFFSET($A$18,,$D$12)
*OFFSET($A$4,MATCH(J$13,$J$13:$N$13,0),MATCH($G$21,$B$1:$H$1,0))</f>
        <v>7.5</v>
      </c>
      <c r="K22" s="3">
        <f t="array" aca="1" ref="K22" ca="1">MEDIAN(_xlfn.IFS(模型构建!$P$20:$P$25=$H$20,模型构建!$C$52:$C$57,TRUE,""))/其他属性!$D$3
*OFFSET($A$13,$G22,$D$12)/OFFSET($A$18,,$D$12)
*OFFSET($A$4,MATCH(K$13,$J$13:$N$13,0),MATCH($G$21,$B$1:$H$1,0))</f>
        <v>2.9166666666666665</v>
      </c>
      <c r="L22" s="3">
        <f t="shared" ref="L22:N26" ca="1" si="10">OFFSET($A$13,$G22,$D$12)/OFFSET($A$18,,$D$12)
*OFFSET($A$4,MATCH(L$13,$J$13:$N$13,0),MATCH($G$21,$B$1:$H$1,0))</f>
        <v>7.5</v>
      </c>
      <c r="M22" s="3">
        <f t="shared" ca="1" si="10"/>
        <v>0</v>
      </c>
      <c r="N22" s="3">
        <f t="shared" ca="1" si="10"/>
        <v>0</v>
      </c>
      <c r="P22" s="3">
        <v>1</v>
      </c>
      <c r="Q22" s="3">
        <f ca="1">OFFSET($A$1,MATCH(Q$13,$H$13:$I$13,0),MATCH($P$21,$B$1:$H$1,0))
*OFFSET($A$13,$G22,$D$12)/OFFSET($A$18,,$D$12)
*_xlfn.IFS(Q$13="生命",SUMIFS(模型构建!$B$8:$B$14,模型构建!$C$8:$C$14,1),TRUE,1)</f>
        <v>1.6057664858692551</v>
      </c>
      <c r="R22" s="3">
        <f ca="1">OFFSET($A$1,MATCH(R$13,$H$13:$I$13,0),MATCH($P$21,$B$1:$H$1,0))
*OFFSET($A$13,$G22,$D$12)/OFFSET($A$18,,$D$12)
*_xlfn.IFS(R$13="生命",SUMIFS(模型构建!$B$8:$B$14,模型构建!$C$8:$C$14,1),TRUE,1)
*模型构建!$L$1</f>
        <v>111.12369230769234</v>
      </c>
      <c r="S22" s="3">
        <f ca="1">OFFSET($A$13,$G22,$D$12)/OFFSET($A$18,,$D$12)
*OFFSET($A$4,MATCH(S$13,$J$13:$N$13,0),MATCH($P$21,$B$1:$H$1,0))</f>
        <v>7.5</v>
      </c>
      <c r="T22" s="3">
        <f t="array" aca="1" ref="T22" ca="1">MEDIAN(_xlfn.IFS(模型构建!$P$20:$P$25=$Q$20,模型构建!$C$52:$C$57,TRUE,""))/其他属性!$D$3
*OFFSET($A$13,$G22,$D$12)/OFFSET($A$18,,$D$12)
*OFFSET($A$4,MATCH(T$13,$J$13:$N$13,0),MATCH($G$21,$B$1:$H$1,0))</f>
        <v>17.708333333333332</v>
      </c>
      <c r="U22" s="3">
        <f t="shared" ref="U22:W26" ca="1" si="11">OFFSET($A$13,$G22,$D$12)/OFFSET($A$18,,$D$12)
*OFFSET($A$4,MATCH(U$13,$J$13:$N$13,0),MATCH($P$21,$B$1:$H$1,0))</f>
        <v>7.5</v>
      </c>
      <c r="V22" s="3">
        <f t="shared" ca="1" si="11"/>
        <v>0</v>
      </c>
      <c r="W22" s="3">
        <f t="shared" ca="1" si="11"/>
        <v>0</v>
      </c>
      <c r="Y22" s="3">
        <v>1</v>
      </c>
      <c r="Z22" s="3">
        <f ca="1">OFFSET($A$1,MATCH(Z$13,$H$13:$I$13,0),MATCH($Y$21,$B$1:$H$1,0))
*OFFSET($A$13,$G22,$D$12)/OFFSET($A$18,,$D$12)
*_xlfn.IFS(Z$13="生命",SUMIFS(模型构建!$B$8:$B$14,模型构建!$C$8:$C$14,1),TRUE,1)</f>
        <v>2.2950401632028554</v>
      </c>
      <c r="AA22" s="3">
        <f ca="1">OFFSET($A$1,MATCH(AA$13,$H$13:$I$13,0),MATCH($Y$21,$B$1:$H$1,0))
*OFFSET($A$13,$G22,$D$12)/OFFSET($A$18,,$D$12)
*_xlfn.IFS(AA$13="生命",SUMIFS(模型构建!$B$8:$B$14,模型构建!$C$8:$C$14,1),TRUE,1)
*模型构建!$L$1</f>
        <v>170.63169230769228</v>
      </c>
      <c r="AB22" s="3">
        <f ca="1">OFFSET($A$13,$G22,$D$12)/OFFSET($A$18,,$D$12)
*OFFSET($A$4,MATCH(AB$13,$J$13:$N$13,0),MATCH($Y$21,$B$1:$H$1,0))</f>
        <v>7.5</v>
      </c>
      <c r="AC22" s="3">
        <f t="array" aca="1" ref="AC22" ca="1">MEDIAN(_xlfn.IFS(模型构建!$P$20:$P$25=$Z$20,模型构建!$C$52:$C$57,TRUE,""))/其他属性!$D$3
*OFFSET($A$13,$G22,$D$12)/OFFSET($A$18,,$D$12)
*OFFSET($A$4,MATCH(AC$13,$J$13:$N$13,0),MATCH($G$21,$B$1:$H$1,0))</f>
        <v>2.9166666666666665</v>
      </c>
      <c r="AD22" s="3">
        <f t="shared" ref="AD22:AF26" ca="1" si="12">OFFSET($A$13,$G22,$D$12)/OFFSET($A$18,,$D$12)
*OFFSET($A$4,MATCH(AD$13,$J$13:$N$13,0),MATCH($Y$21,$B$1:$H$1,0))</f>
        <v>7.5</v>
      </c>
      <c r="AE22" s="3">
        <f t="shared" ca="1" si="12"/>
        <v>0</v>
      </c>
      <c r="AF22" s="3">
        <f t="shared" ca="1" si="12"/>
        <v>0</v>
      </c>
    </row>
    <row r="23" spans="1:41">
      <c r="G23" s="3">
        <v>2</v>
      </c>
      <c r="H23" s="3">
        <f ca="1">OFFSET($A$1,MATCH(H$13,$H$13:$I$13,0),MATCH($G$21,$B$1:$H$1,0))
*OFFSET($A$13,$G23,$D$12)/OFFSET($A$18,,$D$12)
*_xlfn.IFS(H$13="生命",SUMIFS(模型构建!$B$8:$B$14,模型构建!$C$8:$C$14,1),TRUE,1)</f>
        <v>1.9770756853862377</v>
      </c>
      <c r="I23" s="3">
        <f ca="1">OFFSET($A$1,MATCH(I$13,$H$13:$I$13,0),MATCH($G$21,$B$1:$H$1,0))
*OFFSET($A$13,$G23,$D$12)/OFFSET($A$18,,$D$12)
*_xlfn.IFS(I$13="生命",SUMIFS(模型构建!$B$8:$B$14,模型构建!$C$8:$C$14,1),TRUE,1)
*模型构建!$L$1</f>
        <v>223.85160000000002</v>
      </c>
      <c r="J23" s="3">
        <f t="shared" ref="J23:J26" ca="1" si="13">OFFSET($A$13,$G23,$D$12)/OFFSET($A$18,,$D$12)
*OFFSET($A$4,MATCH(J$13,$J$13:$N$13,0),MATCH($G$21,$B$1:$H$1,0))</f>
        <v>8.4375</v>
      </c>
      <c r="K23" s="3">
        <f t="array" aca="1" ref="K23" ca="1">MEDIAN(_xlfn.IFS(模型构建!$P$20:$P$25=$H$20,模型构建!$C$52:$C$57,TRUE,""))/其他属性!$D$3
*OFFSET($A$13,$G23,$D$12)/OFFSET($A$18,,$D$12)
*OFFSET($A$4,MATCH(K$13,$J$13:$N$13,0),MATCH($G$21,$B$1:$H$1,0))</f>
        <v>3.2812499999999996</v>
      </c>
      <c r="L23" s="3">
        <f t="shared" ca="1" si="10"/>
        <v>8.4375</v>
      </c>
      <c r="M23" s="3">
        <f t="shared" ca="1" si="10"/>
        <v>0</v>
      </c>
      <c r="N23" s="3">
        <f t="shared" ca="1" si="10"/>
        <v>0</v>
      </c>
      <c r="P23" s="3">
        <v>2</v>
      </c>
      <c r="Q23" s="3">
        <f ca="1">OFFSET($A$1,MATCH(Q$13,$H$13:$I$13,0),MATCH($P$21,$B$1:$H$1,0))
*OFFSET($A$13,$G23,$D$12)/OFFSET($A$18,,$D$12)
*_xlfn.IFS(Q$13="生命",SUMIFS(模型构建!$B$8:$B$14,模型构建!$C$8:$C$14,1),TRUE,1)</f>
        <v>1.806487296602912</v>
      </c>
      <c r="R23" s="3">
        <f ca="1">OFFSET($A$1,MATCH(R$13,$H$13:$I$13,0),MATCH($P$21,$B$1:$H$1,0))
*OFFSET($A$13,$G23,$D$12)/OFFSET($A$18,,$D$12)
*_xlfn.IFS(R$13="生命",SUMIFS(模型构建!$B$8:$B$14,模型构建!$C$8:$C$14,1),TRUE,1)
*模型构建!$L$1</f>
        <v>125.01415384615387</v>
      </c>
      <c r="S23" s="3">
        <f t="shared" ref="S23:S26" ca="1" si="14">OFFSET($A$13,$G23,$D$12)/OFFSET($A$18,,$D$12)
*OFFSET($A$4,MATCH(S$13,$J$13:$N$13,0),MATCH($P$21,$B$1:$H$1,0))</f>
        <v>8.4375</v>
      </c>
      <c r="T23" s="3">
        <f t="array" aca="1" ref="T23" ca="1">MEDIAN(_xlfn.IFS(模型构建!$P$20:$P$25=$Q$20,模型构建!$C$52:$C$57,TRUE,""))/其他属性!$D$3
*OFFSET($A$13,$G23,$D$12)/OFFSET($A$18,,$D$12)
*OFFSET($A$4,MATCH(T$13,$J$13:$N$13,0),MATCH($G$21,$B$1:$H$1,0))</f>
        <v>19.921875</v>
      </c>
      <c r="U23" s="3">
        <f t="shared" ca="1" si="11"/>
        <v>8.4375</v>
      </c>
      <c r="V23" s="3">
        <f t="shared" ca="1" si="11"/>
        <v>0</v>
      </c>
      <c r="W23" s="3">
        <f t="shared" ca="1" si="11"/>
        <v>0</v>
      </c>
      <c r="Y23" s="3">
        <v>2</v>
      </c>
      <c r="Z23" s="3">
        <f ca="1">OFFSET($A$1,MATCH(Z$13,$H$13:$I$13,0),MATCH($Y$21,$B$1:$H$1,0))
*OFFSET($A$13,$G23,$D$12)/OFFSET($A$18,,$D$12)
*_xlfn.IFS(Z$13="生命",SUMIFS(模型构建!$B$8:$B$14,模型构建!$C$8:$C$14,1),TRUE,1)</f>
        <v>2.5819201836032124</v>
      </c>
      <c r="AA23" s="3">
        <f ca="1">OFFSET($A$1,MATCH(AA$13,$H$13:$I$13,0),MATCH($Y$21,$B$1:$H$1,0))
*OFFSET($A$13,$G23,$D$12)/OFFSET($A$18,,$D$12)
*_xlfn.IFS(AA$13="生命",SUMIFS(模型构建!$B$8:$B$14,模型构建!$C$8:$C$14,1),TRUE,1)
*模型构建!$L$1</f>
        <v>191.96065384615383</v>
      </c>
      <c r="AB23" s="3">
        <f t="shared" ref="AB23:AB26" ca="1" si="15">OFFSET($A$13,$G23,$D$12)/OFFSET($A$18,,$D$12)
*OFFSET($A$4,MATCH(AB$13,$J$13:$N$13,0),MATCH($Y$21,$B$1:$H$1,0))</f>
        <v>8.4375</v>
      </c>
      <c r="AC23" s="3">
        <f t="array" aca="1" ref="AC23" ca="1">MEDIAN(_xlfn.IFS(模型构建!$P$20:$P$25=$Z$20,模型构建!$C$52:$C$57,TRUE,""))/其他属性!$D$3
*OFFSET($A$13,$G23,$D$12)/OFFSET($A$18,,$D$12)
*OFFSET($A$4,MATCH(AC$13,$J$13:$N$13,0),MATCH($G$21,$B$1:$H$1,0))</f>
        <v>3.2812499999999996</v>
      </c>
      <c r="AD23" s="3">
        <f t="shared" ca="1" si="12"/>
        <v>8.4375</v>
      </c>
      <c r="AE23" s="3">
        <f t="shared" ca="1" si="12"/>
        <v>0</v>
      </c>
      <c r="AF23" s="3">
        <f t="shared" ca="1" si="12"/>
        <v>0</v>
      </c>
    </row>
    <row r="24" spans="1:41">
      <c r="G24" s="3">
        <v>3</v>
      </c>
      <c r="H24" s="3">
        <f ca="1">OFFSET($A$1,MATCH(H$13,$H$13:$I$13,0),MATCH($G$21,$B$1:$H$1,0))
*OFFSET($A$13,$G24,$D$12)/OFFSET($A$18,,$D$12)
*_xlfn.IFS(H$13="生命",SUMIFS(模型构建!$B$8:$B$14,模型构建!$C$8:$C$14,1),TRUE,1)</f>
        <v>2.1967507615402639</v>
      </c>
      <c r="I24" s="3">
        <f ca="1">OFFSET($A$1,MATCH(I$13,$H$13:$I$13,0),MATCH($G$21,$B$1:$H$1,0))
*OFFSET($A$13,$G24,$D$12)/OFFSET($A$18,,$D$12)
*_xlfn.IFS(I$13="生命",SUMIFS(模型构建!$B$8:$B$14,模型构建!$C$8:$C$14,1),TRUE,1)
*模型构建!$L$1</f>
        <v>248.72399999999996</v>
      </c>
      <c r="J24" s="3">
        <f t="shared" ca="1" si="13"/>
        <v>9.375</v>
      </c>
      <c r="K24" s="3">
        <f t="array" aca="1" ref="K24" ca="1">MEDIAN(_xlfn.IFS(模型构建!$P$20:$P$25=$H$20,模型构建!$C$52:$C$57,TRUE,""))/其他属性!$D$3
*OFFSET($A$13,$G24,$D$12)/OFFSET($A$18,,$D$12)
*OFFSET($A$4,MATCH(K$13,$J$13:$N$13,0),MATCH($G$21,$B$1:$H$1,0))</f>
        <v>3.645833333333333</v>
      </c>
      <c r="L24" s="3">
        <f t="shared" ca="1" si="10"/>
        <v>9.375</v>
      </c>
      <c r="M24" s="3">
        <f t="shared" ca="1" si="10"/>
        <v>0</v>
      </c>
      <c r="N24" s="3">
        <f t="shared" ca="1" si="10"/>
        <v>0</v>
      </c>
      <c r="P24" s="3">
        <v>3</v>
      </c>
      <c r="Q24" s="3">
        <f ca="1">OFFSET($A$1,MATCH(Q$13,$H$13:$I$13,0),MATCH($P$21,$B$1:$H$1,0))
*OFFSET($A$13,$G24,$D$12)/OFFSET($A$18,,$D$12)
*_xlfn.IFS(Q$13="生命",SUMIFS(模型构建!$B$8:$B$14,模型构建!$C$8:$C$14,1),TRUE,1)</f>
        <v>2.0072081073365688</v>
      </c>
      <c r="R24" s="3">
        <f ca="1">OFFSET($A$1,MATCH(R$13,$H$13:$I$13,0),MATCH($P$21,$B$1:$H$1,0))
*OFFSET($A$13,$G24,$D$12)/OFFSET($A$18,,$D$12)
*_xlfn.IFS(R$13="生命",SUMIFS(模型构建!$B$8:$B$14,模型构建!$C$8:$C$14,1),TRUE,1)
*模型构建!$L$1</f>
        <v>138.9046153846154</v>
      </c>
      <c r="S24" s="3">
        <f t="shared" ca="1" si="14"/>
        <v>9.375</v>
      </c>
      <c r="T24" s="3">
        <f t="array" aca="1" ref="T24" ca="1">MEDIAN(_xlfn.IFS(模型构建!$P$20:$P$25=$Q$20,模型构建!$C$52:$C$57,TRUE,""))/其他属性!$D$3
*OFFSET($A$13,$G24,$D$12)/OFFSET($A$18,,$D$12)
*OFFSET($A$4,MATCH(T$13,$J$13:$N$13,0),MATCH($G$21,$B$1:$H$1,0))</f>
        <v>22.135416666666668</v>
      </c>
      <c r="U24" s="3">
        <f t="shared" ca="1" si="11"/>
        <v>9.375</v>
      </c>
      <c r="V24" s="3">
        <f t="shared" ca="1" si="11"/>
        <v>0</v>
      </c>
      <c r="W24" s="3">
        <f t="shared" ca="1" si="11"/>
        <v>0</v>
      </c>
      <c r="Y24" s="3">
        <v>3</v>
      </c>
      <c r="Z24" s="3">
        <f ca="1">OFFSET($A$1,MATCH(Z$13,$H$13:$I$13,0),MATCH($Y$21,$B$1:$H$1,0))
*OFFSET($A$13,$G24,$D$12)/OFFSET($A$18,,$D$12)
*_xlfn.IFS(Z$13="生命",SUMIFS(模型构建!$B$8:$B$14,模型构建!$C$8:$C$14,1),TRUE,1)</f>
        <v>2.8688002040035694</v>
      </c>
      <c r="AA24" s="3">
        <f ca="1">OFFSET($A$1,MATCH(AA$13,$H$13:$I$13,0),MATCH($Y$21,$B$1:$H$1,0))
*OFFSET($A$13,$G24,$D$12)/OFFSET($A$18,,$D$12)
*_xlfn.IFS(AA$13="生命",SUMIFS(模型构建!$B$8:$B$14,模型构建!$C$8:$C$14,1),TRUE,1)
*模型构建!$L$1</f>
        <v>213.28961538461539</v>
      </c>
      <c r="AB24" s="3">
        <f t="shared" ca="1" si="15"/>
        <v>9.375</v>
      </c>
      <c r="AC24" s="3">
        <f t="array" aca="1" ref="AC24" ca="1">MEDIAN(_xlfn.IFS(模型构建!$P$20:$P$25=$Z$20,模型构建!$C$52:$C$57,TRUE,""))/其他属性!$D$3
*OFFSET($A$13,$G24,$D$12)/OFFSET($A$18,,$D$12)
*OFFSET($A$4,MATCH(AC$13,$J$13:$N$13,0),MATCH($G$21,$B$1:$H$1,0))</f>
        <v>3.645833333333333</v>
      </c>
      <c r="AD24" s="3">
        <f t="shared" ca="1" si="12"/>
        <v>9.375</v>
      </c>
      <c r="AE24" s="3">
        <f t="shared" ca="1" si="12"/>
        <v>0</v>
      </c>
      <c r="AF24" s="3">
        <f t="shared" ca="1" si="12"/>
        <v>0</v>
      </c>
    </row>
    <row r="25" spans="1:41">
      <c r="G25" s="3">
        <v>4</v>
      </c>
      <c r="H25" s="3">
        <f ca="1">OFFSET($A$1,MATCH(H$13,$H$13:$I$13,0),MATCH($G$21,$B$1:$H$1,0))
*OFFSET($A$13,$G25,$D$12)/OFFSET($A$18,,$D$12)
*_xlfn.IFS(H$13="生命",SUMIFS(模型构建!$B$8:$B$14,模型构建!$C$8:$C$14,1),TRUE,1)</f>
        <v>2.4164258376942906</v>
      </c>
      <c r="I25" s="3">
        <f ca="1">OFFSET($A$1,MATCH(I$13,$H$13:$I$13,0),MATCH($G$21,$B$1:$H$1,0))
*OFFSET($A$13,$G25,$D$12)/OFFSET($A$18,,$D$12)
*_xlfn.IFS(I$13="生命",SUMIFS(模型构建!$B$8:$B$14,模型构建!$C$8:$C$14,1),TRUE,1)
*模型构建!$L$1</f>
        <v>273.59640000000002</v>
      </c>
      <c r="J25" s="3">
        <f t="shared" ca="1" si="13"/>
        <v>10.3125</v>
      </c>
      <c r="K25" s="3">
        <f t="array" aca="1" ref="K25" ca="1">MEDIAN(_xlfn.IFS(模型构建!$P$20:$P$25=$H$20,模型构建!$C$52:$C$57,TRUE,""))/其他属性!$D$3
*OFFSET($A$13,$G25,$D$12)/OFFSET($A$18,,$D$12)
*OFFSET($A$4,MATCH(K$13,$J$13:$N$13,0),MATCH($G$21,$B$1:$H$1,0))</f>
        <v>4.010416666666667</v>
      </c>
      <c r="L25" s="3">
        <f t="shared" ca="1" si="10"/>
        <v>10.3125</v>
      </c>
      <c r="M25" s="3">
        <f t="shared" ca="1" si="10"/>
        <v>0</v>
      </c>
      <c r="N25" s="3">
        <f t="shared" ca="1" si="10"/>
        <v>0</v>
      </c>
      <c r="P25" s="3">
        <v>4</v>
      </c>
      <c r="Q25" s="3">
        <f ca="1">OFFSET($A$1,MATCH(Q$13,$H$13:$I$13,0),MATCH($P$21,$B$1:$H$1,0))
*OFFSET($A$13,$G25,$D$12)/OFFSET($A$18,,$D$12)
*_xlfn.IFS(Q$13="生命",SUMIFS(模型构建!$B$8:$B$14,模型构建!$C$8:$C$14,1),TRUE,1)</f>
        <v>2.2079289180702255</v>
      </c>
      <c r="R25" s="3">
        <f ca="1">OFFSET($A$1,MATCH(R$13,$H$13:$I$13,0),MATCH($P$21,$B$1:$H$1,0))
*OFFSET($A$13,$G25,$D$12)/OFFSET($A$18,,$D$12)
*_xlfn.IFS(R$13="生命",SUMIFS(模型构建!$B$8:$B$14,模型构建!$C$8:$C$14,1),TRUE,1)
*模型构建!$L$1</f>
        <v>152.79507692307692</v>
      </c>
      <c r="S25" s="3">
        <f t="shared" ca="1" si="14"/>
        <v>10.3125</v>
      </c>
      <c r="T25" s="3">
        <f t="array" aca="1" ref="T25" ca="1">MEDIAN(_xlfn.IFS(模型构建!$P$20:$P$25=$Q$20,模型构建!$C$52:$C$57,TRUE,""))/其他属性!$D$3
*OFFSET($A$13,$G25,$D$12)/OFFSET($A$18,,$D$12)
*OFFSET($A$4,MATCH(T$13,$J$13:$N$13,0),MATCH($G$21,$B$1:$H$1,0))</f>
        <v>24.348958333333336</v>
      </c>
      <c r="U25" s="3">
        <f t="shared" ca="1" si="11"/>
        <v>10.3125</v>
      </c>
      <c r="V25" s="3">
        <f t="shared" ca="1" si="11"/>
        <v>0</v>
      </c>
      <c r="W25" s="3">
        <f t="shared" ca="1" si="11"/>
        <v>0</v>
      </c>
      <c r="Y25" s="3">
        <v>4</v>
      </c>
      <c r="Z25" s="3">
        <f ca="1">OFFSET($A$1,MATCH(Z$13,$H$13:$I$13,0),MATCH($Y$21,$B$1:$H$1,0))
*OFFSET($A$13,$G25,$D$12)/OFFSET($A$18,,$D$12)
*_xlfn.IFS(Z$13="生命",SUMIFS(模型构建!$B$8:$B$14,模型构建!$C$8:$C$14,1),TRUE,1)</f>
        <v>3.1556802244039264</v>
      </c>
      <c r="AA25" s="3">
        <f ca="1">OFFSET($A$1,MATCH(AA$13,$H$13:$I$13,0),MATCH($Y$21,$B$1:$H$1,0))
*OFFSET($A$13,$G25,$D$12)/OFFSET($A$18,,$D$12)
*_xlfn.IFS(AA$13="生命",SUMIFS(模型构建!$B$8:$B$14,模型构建!$C$8:$C$14,1),TRUE,1)
*模型构建!$L$1</f>
        <v>234.61857692307692</v>
      </c>
      <c r="AB25" s="3">
        <f t="shared" ca="1" si="15"/>
        <v>10.3125</v>
      </c>
      <c r="AC25" s="3">
        <f t="array" aca="1" ref="AC25" ca="1">MEDIAN(_xlfn.IFS(模型构建!$P$20:$P$25=$Z$20,模型构建!$C$52:$C$57,TRUE,""))/其他属性!$D$3
*OFFSET($A$13,$G25,$D$12)/OFFSET($A$18,,$D$12)
*OFFSET($A$4,MATCH(AC$13,$J$13:$N$13,0),MATCH($G$21,$B$1:$H$1,0))</f>
        <v>4.010416666666667</v>
      </c>
      <c r="AD25" s="3">
        <f t="shared" ca="1" si="12"/>
        <v>10.3125</v>
      </c>
      <c r="AE25" s="3">
        <f t="shared" ca="1" si="12"/>
        <v>0</v>
      </c>
      <c r="AF25" s="3">
        <f t="shared" ca="1" si="12"/>
        <v>0</v>
      </c>
    </row>
    <row r="26" spans="1:41">
      <c r="G26" s="3">
        <v>5</v>
      </c>
      <c r="H26" s="3">
        <f ca="1">OFFSET($A$1,MATCH(H$13,$H$13:$I$13,0),MATCH($G$21,$B$1:$H$1,0))
*OFFSET($A$13,$G26,$D$12)/OFFSET($A$18,,$D$12)
*_xlfn.IFS(H$13="生命",SUMIFS(模型构建!$B$8:$B$14,模型构建!$C$8:$C$14,1),TRUE,1)</f>
        <v>2.6361009138483169</v>
      </c>
      <c r="I26" s="3">
        <f ca="1">OFFSET($A$1,MATCH(I$13,$H$13:$I$13,0),MATCH($G$21,$B$1:$H$1,0))
*OFFSET($A$13,$G26,$D$12)/OFFSET($A$18,,$D$12)
*_xlfn.IFS(I$13="生命",SUMIFS(模型构建!$B$8:$B$14,模型构建!$C$8:$C$14,1),TRUE,1)
*模型构建!$L$1</f>
        <v>298.46880000000004</v>
      </c>
      <c r="J26" s="3">
        <f t="shared" ca="1" si="13"/>
        <v>11.25</v>
      </c>
      <c r="K26" s="3">
        <f t="array" aca="1" ref="K26" ca="1">MEDIAN(_xlfn.IFS(模型构建!$P$20:$P$25=$H$20,模型构建!$C$52:$C$57,TRUE,""))/其他属性!$D$3
*OFFSET($A$13,$G26,$D$12)/OFFSET($A$18,,$D$12)
*OFFSET($A$4,MATCH(K$13,$J$13:$N$13,0),MATCH($G$21,$B$1:$H$1,0))</f>
        <v>4.375</v>
      </c>
      <c r="L26" s="3">
        <f t="shared" ca="1" si="10"/>
        <v>11.25</v>
      </c>
      <c r="M26" s="3">
        <f t="shared" ca="1" si="10"/>
        <v>0</v>
      </c>
      <c r="N26" s="3">
        <f t="shared" ca="1" si="10"/>
        <v>0</v>
      </c>
      <c r="P26" s="3">
        <v>5</v>
      </c>
      <c r="Q26" s="3">
        <f ca="1">OFFSET($A$1,MATCH(Q$13,$H$13:$I$13,0),MATCH($P$21,$B$1:$H$1,0))
*OFFSET($A$13,$G26,$D$12)/OFFSET($A$18,,$D$12)
*_xlfn.IFS(Q$13="生命",SUMIFS(模型构建!$B$8:$B$14,模型构建!$C$8:$C$14,1),TRUE,1)</f>
        <v>2.4086497288038826</v>
      </c>
      <c r="R26" s="3">
        <f ca="1">OFFSET($A$1,MATCH(R$13,$H$13:$I$13,0),MATCH($P$21,$B$1:$H$1,0))
*OFFSET($A$13,$G26,$D$12)/OFFSET($A$18,,$D$12)
*_xlfn.IFS(R$13="生命",SUMIFS(模型构建!$B$8:$B$14,模型构建!$C$8:$C$14,1),TRUE,1)
*模型构建!$L$1</f>
        <v>166.6855384615385</v>
      </c>
      <c r="S26" s="3">
        <f t="shared" ca="1" si="14"/>
        <v>11.25</v>
      </c>
      <c r="T26" s="3">
        <f t="array" aca="1" ref="T26" ca="1">MEDIAN(_xlfn.IFS(模型构建!$P$20:$P$25=$Q$20,模型构建!$C$52:$C$57,TRUE,""))/其他属性!$D$3
*OFFSET($A$13,$G26,$D$12)/OFFSET($A$18,,$D$12)
*OFFSET($A$4,MATCH(T$13,$J$13:$N$13,0),MATCH($G$21,$B$1:$H$1,0))</f>
        <v>26.562500000000004</v>
      </c>
      <c r="U26" s="3">
        <f t="shared" ca="1" si="11"/>
        <v>11.25</v>
      </c>
      <c r="V26" s="3">
        <f t="shared" ca="1" si="11"/>
        <v>0</v>
      </c>
      <c r="W26" s="3">
        <f t="shared" ca="1" si="11"/>
        <v>0</v>
      </c>
      <c r="Y26" s="3">
        <v>5</v>
      </c>
      <c r="Z26" s="3">
        <f ca="1">OFFSET($A$1,MATCH(Z$13,$H$13:$I$13,0),MATCH($Y$21,$B$1:$H$1,0))
*OFFSET($A$13,$G26,$D$12)/OFFSET($A$18,,$D$12)
*_xlfn.IFS(Z$13="生命",SUMIFS(模型构建!$B$8:$B$14,模型构建!$C$8:$C$14,1),TRUE,1)</f>
        <v>3.4425602448042834</v>
      </c>
      <c r="AA26" s="3">
        <f ca="1">OFFSET($A$1,MATCH(AA$13,$H$13:$I$13,0),MATCH($Y$21,$B$1:$H$1,0))
*OFFSET($A$13,$G26,$D$12)/OFFSET($A$18,,$D$12)
*_xlfn.IFS(AA$13="生命",SUMIFS(模型构建!$B$8:$B$14,模型构建!$C$8:$C$14,1),TRUE,1)
*模型构建!$L$1</f>
        <v>255.94753846153841</v>
      </c>
      <c r="AB26" s="3">
        <f t="shared" ca="1" si="15"/>
        <v>11.25</v>
      </c>
      <c r="AC26" s="3">
        <f t="array" aca="1" ref="AC26" ca="1">MEDIAN(_xlfn.IFS(模型构建!$P$20:$P$25=$Z$20,模型构建!$C$52:$C$57,TRUE,""))/其他属性!$D$3
*OFFSET($A$13,$G26,$D$12)/OFFSET($A$18,,$D$12)
*OFFSET($A$4,MATCH(AC$13,$J$13:$N$13,0),MATCH($G$21,$B$1:$H$1,0))</f>
        <v>4.375</v>
      </c>
      <c r="AD26" s="3">
        <f t="shared" ca="1" si="12"/>
        <v>11.25</v>
      </c>
      <c r="AE26" s="3">
        <f t="shared" ca="1" si="12"/>
        <v>0</v>
      </c>
      <c r="AF26" s="3">
        <f t="shared" ca="1" si="12"/>
        <v>0</v>
      </c>
    </row>
  </sheetData>
  <phoneticPr fontId="10" type="noConversion"/>
  <conditionalFormatting sqref="B2:H9">
    <cfRule type="cellIs" dxfId="27" priority="14" operator="equal">
      <formula>0</formula>
    </cfRule>
  </conditionalFormatting>
  <conditionalFormatting sqref="H14:N18">
    <cfRule type="cellIs" dxfId="26" priority="13" operator="equal">
      <formula>0</formula>
    </cfRule>
  </conditionalFormatting>
  <conditionalFormatting sqref="J22:N26">
    <cfRule type="cellIs" dxfId="25" priority="8" operator="equal">
      <formula>0</formula>
    </cfRule>
  </conditionalFormatting>
  <conditionalFormatting sqref="Q14:W18">
    <cfRule type="cellIs" dxfId="24" priority="4" operator="equal">
      <formula>0</formula>
    </cfRule>
  </conditionalFormatting>
  <conditionalFormatting sqref="S22:W26">
    <cfRule type="cellIs" dxfId="23" priority="5" operator="equal">
      <formula>0</formula>
    </cfRule>
  </conditionalFormatting>
  <conditionalFormatting sqref="AB14:AF18">
    <cfRule type="cellIs" dxfId="22" priority="3" operator="equal">
      <formula>0</formula>
    </cfRule>
  </conditionalFormatting>
  <conditionalFormatting sqref="AB22:AF26">
    <cfRule type="cellIs" dxfId="21" priority="1" operator="equal">
      <formula>0</formula>
    </cfRule>
  </conditionalFormatting>
  <conditionalFormatting sqref="AK14:AO18">
    <cfRule type="cellIs" dxfId="20" priority="2" operator="equal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C485-DE26-4957-B9F6-75CE5BD8EB12}">
  <dimension ref="A1:Y35"/>
  <sheetViews>
    <sheetView workbookViewId="0">
      <selection activeCell="E11" sqref="E11"/>
    </sheetView>
  </sheetViews>
  <sheetFormatPr defaultRowHeight="16.5"/>
  <cols>
    <col min="1" max="1" width="12.25" style="3" bestFit="1" customWidth="1"/>
    <col min="2" max="2" width="12.75" style="3" bestFit="1" customWidth="1"/>
    <col min="3" max="16384" width="9" style="3"/>
  </cols>
  <sheetData>
    <row r="1" spans="1:25">
      <c r="A1" s="6" t="s">
        <v>26</v>
      </c>
      <c r="B1" s="16" t="s">
        <v>14</v>
      </c>
      <c r="C1" s="17" t="s">
        <v>16</v>
      </c>
      <c r="D1" s="16" t="s">
        <v>17</v>
      </c>
      <c r="E1" s="17" t="s">
        <v>15</v>
      </c>
      <c r="F1" s="16" t="s">
        <v>18</v>
      </c>
      <c r="G1" s="17" t="s">
        <v>19</v>
      </c>
      <c r="H1" s="16" t="s">
        <v>20</v>
      </c>
    </row>
    <row r="2" spans="1:25">
      <c r="A2" s="3" t="s">
        <v>31</v>
      </c>
      <c r="B2" s="3">
        <f ca="1">OFFSET(模型构建!$F$18,MATCH(B$1,模型构建!$A$19:$A$25,0),MATCH($A$1,模型构建!$G$17:$AI$17,0)+_xlfn.IFS($A2=$A$3,3,TRUE,1))
*OFFSET(模型构建!$A$39,MATCH(B$1,模型构建!$A$40:$A$46,0),MATCH($A$1,模型构建!$B$38:$AE$38,0)+_xlfn.IFS($A2=$A$3,3,TRUE,1))
*模型构建!$J$1*模型构建!$D$3
*_xlfn.IFS(MATCH($A2,$A$2:$A$3,0)=1,1/(1+OFFSET(模型构建!$B$50,MATCH(B$1,模型构建!$J$51:$J$57,0),)),TRUE,OFFSET(模型构建!$I$50,MATCH(B$1,模型构建!$J$51:$J$57,0),))</f>
        <v>43.20276497695852</v>
      </c>
      <c r="C2" s="3">
        <f ca="1">OFFSET(模型构建!$F$18,MATCH(C$1,模型构建!$A$19:$A$25,0),MATCH($A$1,模型构建!$G$17:$AI$17,0)+_xlfn.IFS($A2=$A$3,3,TRUE,1))
*OFFSET(模型构建!$A$39,MATCH(C$1,模型构建!$A$40:$A$46,0),MATCH($A$1,模型构建!$B$38:$AE$38,0)+_xlfn.IFS($A2=$A$3,3,TRUE,1))
*模型构建!$J$1*模型构建!$D$3
*_xlfn.IFS(MATCH($A2,$A$2:$A$3,0)=1,1/(1+OFFSET(模型构建!$B$50,MATCH(C$1,模型构建!$J$51:$J$57,0),)),TRUE,OFFSET(模型构建!$I$50,MATCH(C$1,模型构建!$J$51:$J$57,0),))</f>
        <v>40.122705784204676</v>
      </c>
      <c r="D2" s="3">
        <f ca="1">OFFSET(模型构建!$F$18,MATCH(D$1,模型构建!$A$19:$A$25,0),MATCH($A$1,模型构建!$G$17:$AI$17,0)+_xlfn.IFS($A2=$A$3,3,TRUE,1))
*OFFSET(模型构建!$A$39,MATCH(D$1,模型构建!$A$40:$A$46,0),MATCH($A$1,模型构建!$B$38:$AE$38,0)+_xlfn.IFS($A2=$A$3,3,TRUE,1))
*模型构建!$J$1*模型构建!$D$3
*_xlfn.IFS(MATCH($A2,$A$2:$A$3,0)=1,1/(1+OFFSET(模型构建!$B$50,MATCH(D$1,模型构建!$J$51:$J$57,0),)),TRUE,OFFSET(模型构建!$I$50,MATCH(D$1,模型构建!$J$51:$J$57,0),))</f>
        <v>53.598014888337481</v>
      </c>
      <c r="E2" s="3">
        <f ca="1">OFFSET(模型构建!$F$18,MATCH(E$1,模型构建!$A$19:$A$25,0),MATCH($A$1,模型构建!$G$17:$AI$17,0)+_xlfn.IFS($A2=$A$3,3,TRUE,1))
*OFFSET(模型构建!$A$39,MATCH(E$1,模型构建!$A$40:$A$46,0),MATCH($A$1,模型构建!$B$38:$AE$38,0)+_xlfn.IFS($A2=$A$3,3,TRUE,1))
*模型构建!$J$1*模型构建!$D$3
*_xlfn.IFS(MATCH($A2,$A$2:$A$3,0)=1,1/(1+OFFSET(模型构建!$B$50,MATCH(E$1,模型构建!$J$51:$J$57,0),)),TRUE,OFFSET(模型构建!$I$50,MATCH(E$1,模型构建!$J$51:$J$57,0),))</f>
        <v>51.843317972350235</v>
      </c>
      <c r="F2" s="3">
        <f ca="1">OFFSET(模型构建!$F$18,MATCH(F$1,模型构建!$A$19:$A$25,0),MATCH($A$1,模型构建!$G$17:$AI$17,0)+_xlfn.IFS($A2=$A$3,3,TRUE,1))
*OFFSET(模型构建!$A$39,MATCH(F$1,模型构建!$A$40:$A$46,0),MATCH($A$1,模型构建!$B$38:$AE$38,0)+_xlfn.IFS($A2=$A$3,3,TRUE,1))
*模型构建!$J$1*模型构建!$D$3
*_xlfn.IFS(MATCH($A2,$A$2:$A$3,0)=1,1/(1+OFFSET(模型构建!$B$50,MATCH(F$1,模型构建!$J$51:$J$57,0),)),TRUE,OFFSET(模型构建!$I$50,MATCH(F$1,模型构建!$J$51:$J$57,0),))</f>
        <v>39.541513707724761</v>
      </c>
      <c r="G2" s="3">
        <f ca="1">OFFSET(模型构建!$F$18,MATCH(G$1,模型构建!$A$19:$A$25,0),MATCH($A$1,模型构建!$G$17:$AI$17,0)+_xlfn.IFS($A2=$A$3,3,TRUE,1))
*OFFSET(模型构建!$A$39,MATCH(G$1,模型构建!$A$40:$A$46,0),MATCH($A$1,模型构建!$B$38:$AE$38,0)+_xlfn.IFS($A2=$A$3,3,TRUE,1))
*模型构建!$J$1*模型构建!$D$3
*_xlfn.IFS(MATCH($A2,$A$2:$A$3,0)=1,1/(1+OFFSET(模型构建!$B$50,MATCH(G$1,模型构建!$J$51:$J$57,0),)),TRUE,OFFSET(模型构建!$I$50,MATCH(G$1,模型构建!$J$51:$J$57,0),))</f>
        <v>41.187910362546397</v>
      </c>
      <c r="H2" s="3">
        <f ca="1">OFFSET(模型构建!$F$18,MATCH(H$1,模型构建!$A$19:$A$25,0),MATCH($A$1,模型构建!$G$17:$AI$17,0)+_xlfn.IFS($A2=$A$3,3,TRUE,1))
*OFFSET(模型构建!$A$39,MATCH(H$1,模型构建!$A$40:$A$46,0),MATCH($A$1,模型构建!$B$38:$AE$38,0)+_xlfn.IFS($A2=$A$3,3,TRUE,1))
*模型构建!$J$1*模型构建!$D$3
*_xlfn.IFS(MATCH($A2,$A$2:$A$3,0)=1,1/(1+OFFSET(模型构建!$B$50,MATCH(H$1,模型构建!$J$51:$J$57,0),)),TRUE,OFFSET(模型构建!$I$50,MATCH(H$1,模型构建!$J$51:$J$57,0),))</f>
        <v>42.417260159195642</v>
      </c>
    </row>
    <row r="3" spans="1:25">
      <c r="A3" s="3" t="s">
        <v>33</v>
      </c>
      <c r="B3" s="3">
        <f ca="1">OFFSET(模型构建!$F$18,MATCH(B$1,模型构建!$A$19:$A$25,0),MATCH($A$1,模型构建!$G$17:$AI$17,0)+_xlfn.IFS($A3=$A$3,3,TRUE,1))
*OFFSET(模型构建!$A$39,MATCH(B$1,模型构建!$A$40:$A$46,0),MATCH($A$1,模型构建!$B$38:$AE$38,0)+_xlfn.IFS($A3=$A$3,3,TRUE,1))
*模型构建!$J$1*模型构建!$D$3
*_xlfn.IFS(MATCH($A3,$A$2:$A$3,0)=1,1/(1+OFFSET(模型构建!$B$50,MATCH(B$1,模型构建!$J$51:$J$57,0),)),TRUE,OFFSET(模型构建!$I$50,MATCH(B$1,模型构建!$J$51:$J$57,0),))</f>
        <v>0</v>
      </c>
      <c r="C3" s="3">
        <f ca="1">OFFSET(模型构建!$F$18,MATCH(C$1,模型构建!$A$19:$A$25,0),MATCH($A$1,模型构建!$G$17:$AI$17,0)+_xlfn.IFS($A3=$A$3,3,TRUE,1))
*OFFSET(模型构建!$A$39,MATCH(C$1,模型构建!$A$40:$A$46,0),MATCH($A$1,模型构建!$B$38:$AE$38,0)+_xlfn.IFS($A3=$A$3,3,TRUE,1))
*模型构建!$J$1*模型构建!$D$3
*_xlfn.IFS(MATCH($A3,$A$2:$A$3,0)=1,1/(1+OFFSET(模型构建!$B$50,MATCH(C$1,模型构建!$J$51:$J$57,0),)),TRUE,OFFSET(模型构建!$I$50,MATCH(C$1,模型构建!$J$51:$J$57,0),))</f>
        <v>0</v>
      </c>
      <c r="D3" s="3">
        <f ca="1">OFFSET(模型构建!$F$18,MATCH(D$1,模型构建!$A$19:$A$25,0),MATCH($A$1,模型构建!$G$17:$AI$17,0)+_xlfn.IFS($A3=$A$3,3,TRUE,1))
*OFFSET(模型构建!$A$39,MATCH(D$1,模型构建!$A$40:$A$46,0),MATCH($A$1,模型构建!$B$38:$AE$38,0)+_xlfn.IFS($A3=$A$3,3,TRUE,1))
*模型构建!$J$1*模型构建!$D$3
*_xlfn.IFS(MATCH($A3,$A$2:$A$3,0)=1,1/(1+OFFSET(模型构建!$B$50,MATCH(D$1,模型构建!$J$51:$J$57,0),)),TRUE,OFFSET(模型构建!$I$50,MATCH(D$1,模型构建!$J$51:$J$57,0),))</f>
        <v>0</v>
      </c>
      <c r="E3" s="3">
        <f ca="1">OFFSET(模型构建!$F$18,MATCH(E$1,模型构建!$A$19:$A$25,0),MATCH($A$1,模型构建!$G$17:$AI$17,0)+_xlfn.IFS($A3=$A$3,3,TRUE,1))
*OFFSET(模型构建!$A$39,MATCH(E$1,模型构建!$A$40:$A$46,0),MATCH($A$1,模型构建!$B$38:$AE$38,0)+_xlfn.IFS($A3=$A$3,3,TRUE,1))
*模型构建!$J$1*模型构建!$D$3
*_xlfn.IFS(MATCH($A3,$A$2:$A$3,0)=1,1/(1+OFFSET(模型构建!$B$50,MATCH(E$1,模型构建!$J$51:$J$57,0),)),TRUE,OFFSET(模型构建!$I$50,MATCH(E$1,模型构建!$J$51:$J$57,0),))</f>
        <v>0</v>
      </c>
      <c r="F3" s="3">
        <f ca="1">OFFSET(模型构建!$F$18,MATCH(F$1,模型构建!$A$19:$A$25,0),MATCH($A$1,模型构建!$G$17:$AI$17,0)+_xlfn.IFS($A3=$A$3,3,TRUE,1))
*OFFSET(模型构建!$A$39,MATCH(F$1,模型构建!$A$40:$A$46,0),MATCH($A$1,模型构建!$B$38:$AE$38,0)+_xlfn.IFS($A3=$A$3,3,TRUE,1))
*模型构建!$J$1*模型构建!$D$3
*_xlfn.IFS(MATCH($A3,$A$2:$A$3,0)=1,1/(1+OFFSET(模型构建!$B$50,MATCH(F$1,模型构建!$J$51:$J$57,0),)),TRUE,OFFSET(模型构建!$I$50,MATCH(F$1,模型构建!$J$51:$J$57,0),))</f>
        <v>0</v>
      </c>
      <c r="G3" s="3">
        <f ca="1">OFFSET(模型构建!$F$18,MATCH(G$1,模型构建!$A$19:$A$25,0),MATCH($A$1,模型构建!$G$17:$AI$17,0)+_xlfn.IFS($A3=$A$3,3,TRUE,1))
*OFFSET(模型构建!$A$39,MATCH(G$1,模型构建!$A$40:$A$46,0),MATCH($A$1,模型构建!$B$38:$AE$38,0)+_xlfn.IFS($A3=$A$3,3,TRUE,1))
*模型构建!$J$1*模型构建!$D$3
*_xlfn.IFS(MATCH($A3,$A$2:$A$3,0)=1,1/(1+OFFSET(模型构建!$B$50,MATCH(G$1,模型构建!$J$51:$J$57,0),)),TRUE,OFFSET(模型构建!$I$50,MATCH(G$1,模型构建!$J$51:$J$57,0),))</f>
        <v>0</v>
      </c>
      <c r="H3" s="3">
        <f ca="1">OFFSET(模型构建!$F$18,MATCH(H$1,模型构建!$A$19:$A$25,0),MATCH($A$1,模型构建!$G$17:$AI$17,0)+_xlfn.IFS($A3=$A$3,3,TRUE,1))
*OFFSET(模型构建!$A$39,MATCH(H$1,模型构建!$A$40:$A$46,0),MATCH($A$1,模型构建!$B$38:$AE$38,0)+_xlfn.IFS($A3=$A$3,3,TRUE,1))
*模型构建!$J$1*模型构建!$D$3
*_xlfn.IFS(MATCH($A3,$A$2:$A$3,0)=1,1/(1+OFFSET(模型构建!$B$50,MATCH(H$1,模型构建!$J$51:$J$57,0),)),TRUE,OFFSET(模型构建!$I$50,MATCH(H$1,模型构建!$J$51:$J$57,0),))</f>
        <v>0</v>
      </c>
    </row>
    <row r="4" spans="1:25">
      <c r="A4" s="22" t="s">
        <v>121</v>
      </c>
    </row>
    <row r="5" spans="1:25">
      <c r="A5" s="3" t="s">
        <v>110</v>
      </c>
      <c r="B5" s="3">
        <f ca="1">OFFSET(其他属性!$J$17,MATCH(B$1,其他属性!$C$18:$C$24,0),(MATCH($A5,$A$5:$A$9,0)-1)*2+MATCH($A$1,其他属性!$J$16:$BV$16,0))
*OFFSET(其他属性!$B$2,,(MATCH($A5,$A$5:$A$9,0)-1)*2)</f>
        <v>0</v>
      </c>
      <c r="C5" s="3">
        <f ca="1">OFFSET(其他属性!$J$17,MATCH(C$1,其他属性!$C$18:$C$24,0),(MATCH($A5,$A$5:$A$9,0)-1)*2+MATCH($A$1,其他属性!$J$16:$BV$16,0))
*OFFSET(其他属性!$B$2,,(MATCH($A5,$A$5:$A$9,0)-1)*2)</f>
        <v>0</v>
      </c>
      <c r="D5" s="3">
        <f ca="1">OFFSET(其他属性!$J$17,MATCH(D$1,其他属性!$C$18:$C$24,0),(MATCH($A5,$A$5:$A$9,0)-1)*2+MATCH($A$1,其他属性!$J$16:$BV$16,0))
*OFFSET(其他属性!$B$2,,(MATCH($A5,$A$5:$A$9,0)-1)*2)</f>
        <v>0</v>
      </c>
      <c r="E5" s="3">
        <f ca="1">OFFSET(其他属性!$J$17,MATCH(E$1,其他属性!$C$18:$C$24,0),(MATCH($A5,$A$5:$A$9,0)-1)*2+MATCH($A$1,其他属性!$J$16:$BV$16,0))
*OFFSET(其他属性!$B$2,,(MATCH($A5,$A$5:$A$9,0)-1)*2)</f>
        <v>0</v>
      </c>
      <c r="F5" s="3">
        <f ca="1">OFFSET(其他属性!$J$17,MATCH(F$1,其他属性!$C$18:$C$24,0),(MATCH($A5,$A$5:$A$9,0)-1)*2+MATCH($A$1,其他属性!$J$16:$BV$16,0))
*OFFSET(其他属性!$B$2,,(MATCH($A5,$A$5:$A$9,0)-1)*2)</f>
        <v>0</v>
      </c>
      <c r="G5" s="3">
        <f ca="1">OFFSET(其他属性!$J$17,MATCH(G$1,其他属性!$C$18:$C$24,0),(MATCH($A5,$A$5:$A$9,0)-1)*2+MATCH($A$1,其他属性!$J$16:$BV$16,0))
*OFFSET(其他属性!$B$2,,(MATCH($A5,$A$5:$A$9,0)-1)*2)</f>
        <v>0</v>
      </c>
      <c r="H5" s="3">
        <f ca="1">OFFSET(其他属性!$J$17,MATCH(H$1,其他属性!$C$18:$C$24,0),(MATCH($A5,$A$5:$A$9,0)-1)*2+MATCH($A$1,其他属性!$J$16:$BV$16,0))
*OFFSET(其他属性!$B$2,,(MATCH($A5,$A$5:$A$9,0)-1)*2)</f>
        <v>0</v>
      </c>
    </row>
    <row r="6" spans="1:25">
      <c r="A6" s="3" t="s">
        <v>113</v>
      </c>
      <c r="B6" s="3">
        <f ca="1">OFFSET(其他属性!$J$17,MATCH(B$1,其他属性!$C$18:$C$24,0),(MATCH($A6,$A$5:$A$9,0)-1)*2+MATCH($A$1,其他属性!$J$16:$BV$16,0))
*OFFSET(其他属性!$B$2,,(MATCH($A6,$A$5:$A$9,0)-1)*2)</f>
        <v>0</v>
      </c>
      <c r="C6" s="3">
        <f ca="1">OFFSET(其他属性!$J$17,MATCH(C$1,其他属性!$C$18:$C$24,0),(MATCH($A6,$A$5:$A$9,0)-1)*2+MATCH($A$1,其他属性!$J$16:$BV$16,0))
*OFFSET(其他属性!$B$2,,(MATCH($A6,$A$5:$A$9,0)-1)*2)</f>
        <v>0</v>
      </c>
      <c r="D6" s="3">
        <f ca="1">OFFSET(其他属性!$J$17,MATCH(D$1,其他属性!$C$18:$C$24,0),(MATCH($A6,$A$5:$A$9,0)-1)*2+MATCH($A$1,其他属性!$J$16:$BV$16,0))
*OFFSET(其他属性!$B$2,,(MATCH($A6,$A$5:$A$9,0)-1)*2)</f>
        <v>0</v>
      </c>
      <c r="E6" s="3">
        <f ca="1">OFFSET(其他属性!$J$17,MATCH(E$1,其他属性!$C$18:$C$24,0),(MATCH($A6,$A$5:$A$9,0)-1)*2+MATCH($A$1,其他属性!$J$16:$BV$16,0))
*OFFSET(其他属性!$B$2,,(MATCH($A6,$A$5:$A$9,0)-1)*2)</f>
        <v>0</v>
      </c>
      <c r="F6" s="3">
        <f ca="1">OFFSET(其他属性!$J$17,MATCH(F$1,其他属性!$C$18:$C$24,0),(MATCH($A6,$A$5:$A$9,0)-1)*2+MATCH($A$1,其他属性!$J$16:$BV$16,0))
*OFFSET(其他属性!$B$2,,(MATCH($A6,$A$5:$A$9,0)-1)*2)</f>
        <v>0</v>
      </c>
      <c r="G6" s="3">
        <f ca="1">OFFSET(其他属性!$J$17,MATCH(G$1,其他属性!$C$18:$C$24,0),(MATCH($A6,$A$5:$A$9,0)-1)*2+MATCH($A$1,其他属性!$J$16:$BV$16,0))
*OFFSET(其他属性!$B$2,,(MATCH($A6,$A$5:$A$9,0)-1)*2)</f>
        <v>0</v>
      </c>
      <c r="H6" s="3">
        <f ca="1">OFFSET(其他属性!$J$17,MATCH(H$1,其他属性!$C$18:$C$24,0),(MATCH($A6,$A$5:$A$9,0)-1)*2+MATCH($A$1,其他属性!$J$16:$BV$16,0))
*OFFSET(其他属性!$B$2,,(MATCH($A6,$A$5:$A$9,0)-1)*2)</f>
        <v>0</v>
      </c>
    </row>
    <row r="7" spans="1:25">
      <c r="A7" s="3" t="s">
        <v>111</v>
      </c>
      <c r="B7" s="3">
        <f ca="1">OFFSET(其他属性!$J$17,MATCH(B$1,其他属性!$C$18:$C$24,0),(MATCH($A7,$A$5:$A$9,0)-1)*2+MATCH($A$1,其他属性!$J$16:$BV$16,0))
*OFFSET(其他属性!$B$2,,(MATCH($A7,$A$5:$A$9,0)-1)*2)</f>
        <v>0</v>
      </c>
      <c r="C7" s="3">
        <f ca="1">OFFSET(其他属性!$J$17,MATCH(C$1,其他属性!$C$18:$C$24,0),(MATCH($A7,$A$5:$A$9,0)-1)*2+MATCH($A$1,其他属性!$J$16:$BV$16,0))
*OFFSET(其他属性!$B$2,,(MATCH($A7,$A$5:$A$9,0)-1)*2)</f>
        <v>0</v>
      </c>
      <c r="D7" s="3">
        <f ca="1">OFFSET(其他属性!$J$17,MATCH(D$1,其他属性!$C$18:$C$24,0),(MATCH($A7,$A$5:$A$9,0)-1)*2+MATCH($A$1,其他属性!$J$16:$BV$16,0))
*OFFSET(其他属性!$B$2,,(MATCH($A7,$A$5:$A$9,0)-1)*2)</f>
        <v>0</v>
      </c>
      <c r="E7" s="3">
        <f ca="1">OFFSET(其他属性!$J$17,MATCH(E$1,其他属性!$C$18:$C$24,0),(MATCH($A7,$A$5:$A$9,0)-1)*2+MATCH($A$1,其他属性!$J$16:$BV$16,0))
*OFFSET(其他属性!$B$2,,(MATCH($A7,$A$5:$A$9,0)-1)*2)</f>
        <v>0</v>
      </c>
      <c r="F7" s="3">
        <f ca="1">OFFSET(其他属性!$J$17,MATCH(F$1,其他属性!$C$18:$C$24,0),(MATCH($A7,$A$5:$A$9,0)-1)*2+MATCH($A$1,其他属性!$J$16:$BV$16,0))
*OFFSET(其他属性!$B$2,,(MATCH($A7,$A$5:$A$9,0)-1)*2)</f>
        <v>0</v>
      </c>
      <c r="G7" s="3">
        <f ca="1">OFFSET(其他属性!$J$17,MATCH(G$1,其他属性!$C$18:$C$24,0),(MATCH($A7,$A$5:$A$9,0)-1)*2+MATCH($A$1,其他属性!$J$16:$BV$16,0))
*OFFSET(其他属性!$B$2,,(MATCH($A7,$A$5:$A$9,0)-1)*2)</f>
        <v>0</v>
      </c>
      <c r="H7" s="3">
        <f ca="1">OFFSET(其他属性!$J$17,MATCH(H$1,其他属性!$C$18:$C$24,0),(MATCH($A7,$A$5:$A$9,0)-1)*2+MATCH($A$1,其他属性!$J$16:$BV$16,0))
*OFFSET(其他属性!$B$2,,(MATCH($A7,$A$5:$A$9,0)-1)*2)</f>
        <v>0</v>
      </c>
    </row>
    <row r="8" spans="1:25">
      <c r="A8" s="3" t="s">
        <v>114</v>
      </c>
      <c r="B8" s="3">
        <f ca="1">OFFSET(其他属性!$J$17,MATCH(B$1,其他属性!$C$18:$C$24,0),(MATCH($A8,$A$5:$A$9,0)-1)*2+MATCH($A$1,其他属性!$J$16:$BV$16,0))
*OFFSET(其他属性!$B$2,,(MATCH($A8,$A$5:$A$9,0)-1)*2)</f>
        <v>0</v>
      </c>
      <c r="C8" s="3">
        <f ca="1">OFFSET(其他属性!$J$17,MATCH(C$1,其他属性!$C$18:$C$24,0),(MATCH($A8,$A$5:$A$9,0)-1)*2+MATCH($A$1,其他属性!$J$16:$BV$16,0))
*OFFSET(其他属性!$B$2,,(MATCH($A8,$A$5:$A$9,0)-1)*2)</f>
        <v>0</v>
      </c>
      <c r="D8" s="3">
        <f ca="1">OFFSET(其他属性!$J$17,MATCH(D$1,其他属性!$C$18:$C$24,0),(MATCH($A8,$A$5:$A$9,0)-1)*2+MATCH($A$1,其他属性!$J$16:$BV$16,0))
*OFFSET(其他属性!$B$2,,(MATCH($A8,$A$5:$A$9,0)-1)*2)</f>
        <v>0</v>
      </c>
      <c r="E8" s="3">
        <f ca="1">OFFSET(其他属性!$J$17,MATCH(E$1,其他属性!$C$18:$C$24,0),(MATCH($A8,$A$5:$A$9,0)-1)*2+MATCH($A$1,其他属性!$J$16:$BV$16,0))
*OFFSET(其他属性!$B$2,,(MATCH($A8,$A$5:$A$9,0)-1)*2)</f>
        <v>0</v>
      </c>
      <c r="F8" s="3">
        <f ca="1">OFFSET(其他属性!$J$17,MATCH(F$1,其他属性!$C$18:$C$24,0),(MATCH($A8,$A$5:$A$9,0)-1)*2+MATCH($A$1,其他属性!$J$16:$BV$16,0))
*OFFSET(其他属性!$B$2,,(MATCH($A8,$A$5:$A$9,0)-1)*2)</f>
        <v>0</v>
      </c>
      <c r="G8" s="3">
        <f ca="1">OFFSET(其他属性!$J$17,MATCH(G$1,其他属性!$C$18:$C$24,0),(MATCH($A8,$A$5:$A$9,0)-1)*2+MATCH($A$1,其他属性!$J$16:$BV$16,0))
*OFFSET(其他属性!$B$2,,(MATCH($A8,$A$5:$A$9,0)-1)*2)</f>
        <v>0</v>
      </c>
      <c r="H8" s="3">
        <f ca="1">OFFSET(其他属性!$J$17,MATCH(H$1,其他属性!$C$18:$C$24,0),(MATCH($A8,$A$5:$A$9,0)-1)*2+MATCH($A$1,其他属性!$J$16:$BV$16,0))
*OFFSET(其他属性!$B$2,,(MATCH($A8,$A$5:$A$9,0)-1)*2)</f>
        <v>0</v>
      </c>
    </row>
    <row r="9" spans="1:25">
      <c r="A9" s="3" t="s">
        <v>112</v>
      </c>
      <c r="B9" s="3">
        <f ca="1">OFFSET(其他属性!$J$17,MATCH(B$1,其他属性!$C$18:$C$24,0),(MATCH($A9,$A$5:$A$9,0)-1)*2+MATCH($A$1,其他属性!$J$16:$BV$16,0))
*OFFSET(其他属性!$B$2,,(MATCH($A9,$A$5:$A$9,0)-1)*2)</f>
        <v>0</v>
      </c>
      <c r="C9" s="3">
        <f ca="1">OFFSET(其他属性!$J$17,MATCH(C$1,其他属性!$C$18:$C$24,0),(MATCH($A9,$A$5:$A$9,0)-1)*2+MATCH($A$1,其他属性!$J$16:$BV$16,0))
*OFFSET(其他属性!$B$2,,(MATCH($A9,$A$5:$A$9,0)-1)*2)</f>
        <v>0</v>
      </c>
      <c r="D9" s="3">
        <f ca="1">OFFSET(其他属性!$J$17,MATCH(D$1,其他属性!$C$18:$C$24,0),(MATCH($A9,$A$5:$A$9,0)-1)*2+MATCH($A$1,其他属性!$J$16:$BV$16,0))
*OFFSET(其他属性!$B$2,,(MATCH($A9,$A$5:$A$9,0)-1)*2)</f>
        <v>0</v>
      </c>
      <c r="E9" s="3">
        <f ca="1">OFFSET(其他属性!$J$17,MATCH(E$1,其他属性!$C$18:$C$24,0),(MATCH($A9,$A$5:$A$9,0)-1)*2+MATCH($A$1,其他属性!$J$16:$BV$16,0))
*OFFSET(其他属性!$B$2,,(MATCH($A9,$A$5:$A$9,0)-1)*2)</f>
        <v>0</v>
      </c>
      <c r="F9" s="3">
        <f ca="1">OFFSET(其他属性!$J$17,MATCH(F$1,其他属性!$C$18:$C$24,0),(MATCH($A9,$A$5:$A$9,0)-1)*2+MATCH($A$1,其他属性!$J$16:$BV$16,0))
*OFFSET(其他属性!$B$2,,(MATCH($A9,$A$5:$A$9,0)-1)*2)</f>
        <v>0</v>
      </c>
      <c r="G9" s="3">
        <f ca="1">OFFSET(其他属性!$J$17,MATCH(G$1,其他属性!$C$18:$C$24,0),(MATCH($A9,$A$5:$A$9,0)-1)*2+MATCH($A$1,其他属性!$J$16:$BV$16,0))
*OFFSET(其他属性!$B$2,,(MATCH($A9,$A$5:$A$9,0)-1)*2)</f>
        <v>0</v>
      </c>
      <c r="H9" s="3">
        <f ca="1">OFFSET(其他属性!$J$17,MATCH(H$1,其他属性!$C$18:$C$24,0),(MATCH($A9,$A$5:$A$9,0)-1)*2+MATCH($A$1,其他属性!$J$16:$BV$16,0))
*OFFSET(其他属性!$B$2,,(MATCH($A9,$A$5:$A$9,0)-1)*2)</f>
        <v>0</v>
      </c>
    </row>
    <row r="11" spans="1:25">
      <c r="G11" s="25" t="s">
        <v>140</v>
      </c>
    </row>
    <row r="12" spans="1:25">
      <c r="A12" s="1"/>
      <c r="D12" s="3">
        <v>2</v>
      </c>
      <c r="G12" s="25" t="s">
        <v>141</v>
      </c>
    </row>
    <row r="13" spans="1:25">
      <c r="A13" s="5" t="s">
        <v>146</v>
      </c>
      <c r="B13" s="18" t="s">
        <v>75</v>
      </c>
      <c r="C13" s="19" t="s">
        <v>76</v>
      </c>
      <c r="D13" s="20" t="s">
        <v>77</v>
      </c>
      <c r="G13" s="5" t="s">
        <v>82</v>
      </c>
      <c r="H13" s="5" t="s">
        <v>90</v>
      </c>
      <c r="I13" s="10" t="s">
        <v>78</v>
      </c>
      <c r="J13" s="9" t="s">
        <v>79</v>
      </c>
      <c r="L13" s="5" t="s">
        <v>84</v>
      </c>
      <c r="M13" s="5" t="s">
        <v>90</v>
      </c>
      <c r="N13" s="10" t="s">
        <v>78</v>
      </c>
      <c r="O13" s="9" t="s">
        <v>79</v>
      </c>
      <c r="Q13" s="5" t="s">
        <v>87</v>
      </c>
      <c r="R13" s="5" t="s">
        <v>90</v>
      </c>
      <c r="S13" s="10" t="s">
        <v>78</v>
      </c>
      <c r="T13" s="9" t="s">
        <v>79</v>
      </c>
      <c r="V13" s="5" t="s">
        <v>85</v>
      </c>
      <c r="W13" s="5" t="s">
        <v>90</v>
      </c>
      <c r="X13" s="10" t="s">
        <v>78</v>
      </c>
      <c r="Y13" s="9" t="s">
        <v>79</v>
      </c>
    </row>
    <row r="14" spans="1:25">
      <c r="A14" s="1">
        <v>1</v>
      </c>
      <c r="B14" s="3">
        <v>2</v>
      </c>
      <c r="C14" s="3">
        <f>SUM($B$14:B14)</f>
        <v>2</v>
      </c>
      <c r="D14" s="3">
        <f>LN(B14)</f>
        <v>0.69314718055994529</v>
      </c>
      <c r="G14" s="3">
        <v>1</v>
      </c>
      <c r="H14" s="3">
        <f ca="1">I14*_xlfn.IFS(H$13="生命",SUMIFS(模型构建!$B$8:$B$14,模型构建!$C$8:$C$14,1),TRUE,OFFSET($C$31,MATCH($G$13,$A$32:$A$35,0),))</f>
        <v>23.75366568914956</v>
      </c>
      <c r="I14" s="3">
        <f t="array" aca="1" ref="I14" ca="1">MEDIAN(_xlfn.IFS($B$22:$B$28=OFFSET($B$31,MATCH($G$13,$A$32:$A$35,0),),TRANSPOSE(OFFSET($B$1:$H$1,MATCH(H$13,$H$13:$J$13,0),)),TRUE,""))
*OFFSET($A$13,$G14,$D$12)/OFFSET($A$18,,$D$12)</f>
        <v>6.7867616254713026</v>
      </c>
      <c r="J14" s="3">
        <f t="array" aca="1" ref="J14" ca="1">MEDIAN(_xlfn.IFS($B$22:$B$28=OFFSET($B$31,MATCH($G$13,$A$32:$A$35,0),),TRANSPOSE(OFFSET($B$1:$H$1,MATCH(J$13,$H$13:$J$13,0),)),TRUE,""))
*OFFSET($A$13,$G14,$D$12)/OFFSET($A$18,,$D$12)
*_xlfn.IFS(J$13="生命",SUMIFS(模型构建!$B$8:$B$14,模型构建!$C$8:$C$14,1),TRUE,OFFSET($C$31,MATCH($G$13,$A$32:$A$35,0),))
*模型构建!$L$1</f>
        <v>0</v>
      </c>
      <c r="L14" s="3">
        <v>1</v>
      </c>
      <c r="M14" s="3">
        <f ca="1">N14*_xlfn.IFS(M$13="生命",SUMIFS(模型构建!$B$8:$B$14,模型构建!$C$8:$C$14,1),TRUE,OFFSET($C$31,MATCH($L$13,$A$32:$A$35,0),))</f>
        <v>16.262123229350212</v>
      </c>
      <c r="N14" s="3">
        <f t="array" aca="1" ref="N14" ca="1">MEDIAN(_xlfn.IFS($B$22:$B$28=OFFSET($B$31,MATCH($L$13,$A$32:$A$35,0),),TRANSPOSE(OFFSET($B$1:$H$1,MATCH(M$13,$H$13:$J$13,0),)),TRUE,""))
*OFFSET($A$13,$G14,$D$12)/OFFSET($A$18,,$D$12)</f>
        <v>6.5048492917400855</v>
      </c>
      <c r="O14" s="3">
        <f t="array" aca="1" ref="O14" ca="1">MEDIAN(_xlfn.IFS($B$22:$B$28=OFFSET($B$31,MATCH($L$13,$A$32:$A$35,0),),TRANSPOSE(OFFSET($B$1:$H$1,MATCH(O$13,$H$13:$J$13,0),)),TRUE,""))
*OFFSET($A$13,$G14,$D$12)/OFFSET($A$18,,$D$12)
*_xlfn.IFS(O$13="生命",SUMIFS(模型构建!$B$8:$B$14,模型构建!$C$8:$C$14,1),TRUE,OFFSET($C$31,MATCH($L$13,$A$32:$A$35,0),))
*模型构建!$L$1</f>
        <v>0</v>
      </c>
      <c r="Q14" s="3">
        <v>1</v>
      </c>
      <c r="R14" s="3">
        <f ca="1">S14*_xlfn.IFS(R$13="生命",SUMIFS(模型构建!$B$8:$B$14,模型构建!$C$8:$C$14,1),TRUE,OFFSET($C$31,MATCH($Q$13,$A$32:$A$35,0),))</f>
        <v>6.8605459057071982</v>
      </c>
      <c r="S14" s="3">
        <f t="array" aca="1" ref="S14" ca="1">MEDIAN(_xlfn.IFS($B$22:$B$28=OFFSET($B$31,MATCH($Q$13,$A$32:$A$35,0),),TRANSPOSE(OFFSET($B$1:$H$1,MATCH(R$13,$H$13:$J$13,0),)),TRUE,""))
*OFFSET($A$13,$G14,$D$12)/OFFSET($A$18,,$D$12)</f>
        <v>8.5756823821339978</v>
      </c>
      <c r="T14" s="3">
        <f t="array" aca="1" ref="T14" ca="1">MEDIAN(_xlfn.IFS($B$22:$B$28=OFFSET($B$31,MATCH($Q$13,$A$32:$A$35,0),),TRANSPOSE(OFFSET($B$1:$H$1,MATCH(T$13,$H$13:$J$13,0),)),TRUE,""))
*OFFSET($A$13,$G14,$D$12)/OFFSET($A$18,,$D$12)
*_xlfn.IFS(T$13="生命",SUMIFS(模型构建!$B$8:$B$14,模型构建!$C$8:$C$14,1),TRUE,OFFSET($C$31,MATCH($Q$13,$A$32:$A$35,0),))
*模型构建!$L$1</f>
        <v>0</v>
      </c>
      <c r="V14" s="3">
        <v>1</v>
      </c>
      <c r="W14" s="3">
        <f ca="1">X14*_xlfn.IFS(W$13="生命",SUMIFS(模型构建!$B$8:$B$14,模型构建!$C$8:$C$14,1),TRUE,OFFSET($C$31,MATCH($V$13,$A$32:$A$35,0),))</f>
        <v>12.442396313364057</v>
      </c>
      <c r="X14" s="3">
        <f t="array" aca="1" ref="X14" ca="1">MEDIAN(_xlfn.IFS($B$22:$B$28=OFFSET($B$31,MATCH($V$13,$A$32:$A$35,0),),TRANSPOSE(OFFSET($B$1:$H$1,MATCH(W$13,$H$13:$J$13,0),)),TRUE,""))
*OFFSET($A$13,$G14,$D$12)/OFFSET($A$18,,$D$12)</f>
        <v>8.2949308755760374</v>
      </c>
      <c r="Y14" s="3">
        <f t="array" aca="1" ref="Y14" ca="1">MEDIAN(_xlfn.IFS($B$22:$B$28=OFFSET($B$31,MATCH($V$13,$A$32:$A$35,0),),TRANSPOSE(OFFSET($B$1:$H$1,MATCH(Y$13,$H$13:$J$13,0),)),TRUE,""))
*OFFSET($A$13,$G14,$D$12)/OFFSET($A$18,,$D$12)
*_xlfn.IFS(Y$13="生命",SUMIFS(模型构建!$B$8:$B$14,模型构建!$C$8:$C$14,1),TRUE,OFFSET($C$31,MATCH($V$13,$A$32:$A$35,0),))
*模型构建!$L$1</f>
        <v>0</v>
      </c>
    </row>
    <row r="15" spans="1:25">
      <c r="A15" s="3">
        <v>2</v>
      </c>
      <c r="B15" s="3">
        <f>($B$18-$B$14)/COUNTA($A$15:$A$18)+B14</f>
        <v>2.25</v>
      </c>
      <c r="C15" s="3">
        <f>SUM($B$14:B15)</f>
        <v>4.25</v>
      </c>
      <c r="D15" s="3">
        <f t="shared" ref="D15:D18" si="0">LN(B15)</f>
        <v>0.81093021621632877</v>
      </c>
      <c r="G15" s="3">
        <v>2</v>
      </c>
      <c r="H15" s="3">
        <f ca="1">I15*_xlfn.IFS(H$13="生命",SUMIFS(模型构建!$B$8:$B$14,模型构建!$C$8:$C$14,1),TRUE,OFFSET($C$31,MATCH($G$13,$A$32:$A$35,0),))</f>
        <v>50.476539589442808</v>
      </c>
      <c r="I15" s="3">
        <f t="array" aca="1" ref="I15" ca="1">MEDIAN(_xlfn.IFS($B$22:$B$28=OFFSET($B$31,MATCH($G$13,$A$32:$A$35,0),),TRANSPOSE(OFFSET($B$1:$H$1,MATCH(H$13,$H$13:$J$13,0),)),TRUE,""))
*OFFSET($A$13,$G15,$D$12)/OFFSET($A$18,,$D$12)</f>
        <v>14.421868454126518</v>
      </c>
      <c r="J15" s="3">
        <f t="array" aca="1" ref="J15" ca="1">MEDIAN(_xlfn.IFS($B$22:$B$28=OFFSET($B$31,MATCH($G$13,$A$32:$A$35,0),),TRANSPOSE(OFFSET($B$1:$H$1,MATCH(J$13,$H$13:$J$13,0),)),TRUE,""))
*OFFSET($A$13,$G15,$D$12)/OFFSET($A$18,,$D$12)
*_xlfn.IFS(J$13="生命",SUMIFS(模型构建!$B$8:$B$14,模型构建!$C$8:$C$14,1),TRUE,OFFSET($C$31,MATCH($G$13,$A$32:$A$35,0),))
*模型构建!$L$1</f>
        <v>0</v>
      </c>
      <c r="L15" s="3">
        <v>2</v>
      </c>
      <c r="M15" s="3">
        <f ca="1">N15*_xlfn.IFS(M$13="生命",SUMIFS(模型构建!$B$8:$B$14,模型构建!$C$8:$C$14,1),TRUE,OFFSET($C$31,MATCH($L$13,$A$32:$A$35,0),))</f>
        <v>34.557011862369208</v>
      </c>
      <c r="N15" s="3">
        <f t="array" aca="1" ref="N15" ca="1">MEDIAN(_xlfn.IFS($B$22:$B$28=OFFSET($B$31,MATCH($L$13,$A$32:$A$35,0),),TRANSPOSE(OFFSET($B$1:$H$1,MATCH(M$13,$H$13:$J$13,0),)),TRUE,""))
*OFFSET($A$13,$G15,$D$12)/OFFSET($A$18,,$D$12)</f>
        <v>13.822804744947682</v>
      </c>
      <c r="O15" s="3">
        <f t="array" aca="1" ref="O15" ca="1">MEDIAN(_xlfn.IFS($B$22:$B$28=OFFSET($B$31,MATCH($L$13,$A$32:$A$35,0),),TRANSPOSE(OFFSET($B$1:$H$1,MATCH(O$13,$H$13:$J$13,0),)),TRUE,""))
*OFFSET($A$13,$G15,$D$12)/OFFSET($A$18,,$D$12)
*_xlfn.IFS(O$13="生命",SUMIFS(模型构建!$B$8:$B$14,模型构建!$C$8:$C$14,1),TRUE,OFFSET($C$31,MATCH($L$13,$A$32:$A$35,0),))
*模型构建!$L$1</f>
        <v>0</v>
      </c>
      <c r="Q15" s="3">
        <v>2</v>
      </c>
      <c r="R15" s="3">
        <f ca="1">S15*_xlfn.IFS(R$13="生命",SUMIFS(模型构建!$B$8:$B$14,模型构建!$C$8:$C$14,1),TRUE,OFFSET($C$31,MATCH($Q$13,$A$32:$A$35,0),))</f>
        <v>14.578660049627794</v>
      </c>
      <c r="S15" s="3">
        <f t="array" aca="1" ref="S15" ca="1">MEDIAN(_xlfn.IFS($B$22:$B$28=OFFSET($B$31,MATCH($Q$13,$A$32:$A$35,0),),TRANSPOSE(OFFSET($B$1:$H$1,MATCH(R$13,$H$13:$J$13,0),)),TRUE,""))
*OFFSET($A$13,$G15,$D$12)/OFFSET($A$18,,$D$12)</f>
        <v>18.223325062034743</v>
      </c>
      <c r="T15" s="3">
        <f t="array" aca="1" ref="T15" ca="1">MEDIAN(_xlfn.IFS($B$22:$B$28=OFFSET($B$31,MATCH($Q$13,$A$32:$A$35,0),),TRANSPOSE(OFFSET($B$1:$H$1,MATCH(T$13,$H$13:$J$13,0),)),TRUE,""))
*OFFSET($A$13,$G15,$D$12)/OFFSET($A$18,,$D$12)
*_xlfn.IFS(T$13="生命",SUMIFS(模型构建!$B$8:$B$14,模型构建!$C$8:$C$14,1),TRUE,OFFSET($C$31,MATCH($Q$13,$A$32:$A$35,0),))
*模型构建!$L$1</f>
        <v>0</v>
      </c>
      <c r="V15" s="3">
        <v>2</v>
      </c>
      <c r="W15" s="3">
        <f ca="1">X15*_xlfn.IFS(W$13="生命",SUMIFS(模型构建!$B$8:$B$14,模型构建!$C$8:$C$14,1),TRUE,OFFSET($C$31,MATCH($V$13,$A$32:$A$35,0),))</f>
        <v>26.440092165898619</v>
      </c>
      <c r="X15" s="3">
        <f t="array" aca="1" ref="X15" ca="1">MEDIAN(_xlfn.IFS($B$22:$B$28=OFFSET($B$31,MATCH($V$13,$A$32:$A$35,0),),TRANSPOSE(OFFSET($B$1:$H$1,MATCH(W$13,$H$13:$J$13,0),)),TRUE,""))
*OFFSET($A$13,$G15,$D$12)/OFFSET($A$18,,$D$12)</f>
        <v>17.626728110599078</v>
      </c>
      <c r="Y15" s="3">
        <f t="array" aca="1" ref="Y15" ca="1">MEDIAN(_xlfn.IFS($B$22:$B$28=OFFSET($B$31,MATCH($V$13,$A$32:$A$35,0),),TRANSPOSE(OFFSET($B$1:$H$1,MATCH(Y$13,$H$13:$J$13,0),)),TRUE,""))
*OFFSET($A$13,$G15,$D$12)/OFFSET($A$18,,$D$12)
*_xlfn.IFS(Y$13="生命",SUMIFS(模型构建!$B$8:$B$14,模型构建!$C$8:$C$14,1),TRUE,OFFSET($C$31,MATCH($V$13,$A$32:$A$35,0),))
*模型构建!$L$1</f>
        <v>0</v>
      </c>
    </row>
    <row r="16" spans="1:25">
      <c r="A16" s="3">
        <v>3</v>
      </c>
      <c r="B16" s="3">
        <f t="shared" ref="B16:B17" si="1">($B$18-$B$14)/COUNTA($A$15:$A$18)+B15</f>
        <v>2.5</v>
      </c>
      <c r="C16" s="3">
        <f>SUM($B$14:B16)</f>
        <v>6.75</v>
      </c>
      <c r="D16" s="3">
        <f t="shared" si="0"/>
        <v>0.91629073187415511</v>
      </c>
      <c r="G16" s="3">
        <v>3</v>
      </c>
      <c r="H16" s="3">
        <f ca="1">I16*_xlfn.IFS(H$13="生命",SUMIFS(模型构建!$B$8:$B$14,模型构建!$C$8:$C$14,1),TRUE,OFFSET($C$31,MATCH($G$13,$A$32:$A$35,0),))</f>
        <v>80.168621700879768</v>
      </c>
      <c r="I16" s="3">
        <f t="array" aca="1" ref="I16" ca="1">MEDIAN(_xlfn.IFS($B$22:$B$28=OFFSET($B$31,MATCH($G$13,$A$32:$A$35,0),),TRANSPOSE(OFFSET($B$1:$H$1,MATCH(H$13,$H$13:$J$13,0),)),TRUE,""))
*OFFSET($A$13,$G16,$D$12)/OFFSET($A$18,,$D$12)</f>
        <v>22.90532048596565</v>
      </c>
      <c r="J16" s="3">
        <f t="array" aca="1" ref="J16" ca="1">MEDIAN(_xlfn.IFS($B$22:$B$28=OFFSET($B$31,MATCH($G$13,$A$32:$A$35,0),),TRANSPOSE(OFFSET($B$1:$H$1,MATCH(J$13,$H$13:$J$13,0),)),TRUE,""))
*OFFSET($A$13,$G16,$D$12)/OFFSET($A$18,,$D$12)
*_xlfn.IFS(J$13="生命",SUMIFS(模型构建!$B$8:$B$14,模型构建!$C$8:$C$14,1),TRUE,OFFSET($C$31,MATCH($G$13,$A$32:$A$35,0),))
*模型构建!$L$1</f>
        <v>0</v>
      </c>
      <c r="L16" s="3">
        <v>3</v>
      </c>
      <c r="M16" s="3">
        <f ca="1">N16*_xlfn.IFS(M$13="生命",SUMIFS(模型构建!$B$8:$B$14,模型构建!$C$8:$C$14,1),TRUE,OFFSET($C$31,MATCH($L$13,$A$32:$A$35,0),))</f>
        <v>54.884665899056976</v>
      </c>
      <c r="N16" s="3">
        <f t="array" aca="1" ref="N16" ca="1">MEDIAN(_xlfn.IFS($B$22:$B$28=OFFSET($B$31,MATCH($L$13,$A$32:$A$35,0),),TRANSPOSE(OFFSET($B$1:$H$1,MATCH(M$13,$H$13:$J$13,0),)),TRUE,""))
*OFFSET($A$13,$G16,$D$12)/OFFSET($A$18,,$D$12)</f>
        <v>21.95386635962279</v>
      </c>
      <c r="O16" s="3">
        <f t="array" aca="1" ref="O16" ca="1">MEDIAN(_xlfn.IFS($B$22:$B$28=OFFSET($B$31,MATCH($L$13,$A$32:$A$35,0),),TRANSPOSE(OFFSET($B$1:$H$1,MATCH(O$13,$H$13:$J$13,0),)),TRUE,""))
*OFFSET($A$13,$G16,$D$12)/OFFSET($A$18,,$D$12)
*_xlfn.IFS(O$13="生命",SUMIFS(模型构建!$B$8:$B$14,模型构建!$C$8:$C$14,1),TRUE,OFFSET($C$31,MATCH($L$13,$A$32:$A$35,0),))
*模型构建!$L$1</f>
        <v>0</v>
      </c>
      <c r="Q16" s="3">
        <v>3</v>
      </c>
      <c r="R16" s="3">
        <f ca="1">S16*_xlfn.IFS(R$13="生命",SUMIFS(模型构建!$B$8:$B$14,模型构建!$C$8:$C$14,1),TRUE,OFFSET($C$31,MATCH($Q$13,$A$32:$A$35,0),))</f>
        <v>23.154342431761791</v>
      </c>
      <c r="S16" s="3">
        <f t="array" aca="1" ref="S16" ca="1">MEDIAN(_xlfn.IFS($B$22:$B$28=OFFSET($B$31,MATCH($Q$13,$A$32:$A$35,0),),TRANSPOSE(OFFSET($B$1:$H$1,MATCH(R$13,$H$13:$J$13,0),)),TRUE,""))
*OFFSET($A$13,$G16,$D$12)/OFFSET($A$18,,$D$12)</f>
        <v>28.942928039702238</v>
      </c>
      <c r="T16" s="3">
        <f t="array" aca="1" ref="T16" ca="1">MEDIAN(_xlfn.IFS($B$22:$B$28=OFFSET($B$31,MATCH($Q$13,$A$32:$A$35,0),),TRANSPOSE(OFFSET($B$1:$H$1,MATCH(T$13,$H$13:$J$13,0),)),TRUE,""))
*OFFSET($A$13,$G16,$D$12)/OFFSET($A$18,,$D$12)
*_xlfn.IFS(T$13="生命",SUMIFS(模型构建!$B$8:$B$14,模型构建!$C$8:$C$14,1),TRUE,OFFSET($C$31,MATCH($Q$13,$A$32:$A$35,0),))
*模型构建!$L$1</f>
        <v>0</v>
      </c>
      <c r="V16" s="3">
        <v>3</v>
      </c>
      <c r="W16" s="3">
        <f ca="1">X16*_xlfn.IFS(W$13="生命",SUMIFS(模型构建!$B$8:$B$14,模型构建!$C$8:$C$14,1),TRUE,OFFSET($C$31,MATCH($V$13,$A$32:$A$35,0),))</f>
        <v>41.993087557603694</v>
      </c>
      <c r="X16" s="3">
        <f t="array" aca="1" ref="X16" ca="1">MEDIAN(_xlfn.IFS($B$22:$B$28=OFFSET($B$31,MATCH($V$13,$A$32:$A$35,0),),TRANSPOSE(OFFSET($B$1:$H$1,MATCH(W$13,$H$13:$J$13,0),)),TRUE,""))
*OFFSET($A$13,$G16,$D$12)/OFFSET($A$18,,$D$12)</f>
        <v>27.995391705069128</v>
      </c>
      <c r="Y16" s="3">
        <f t="array" aca="1" ref="Y16" ca="1">MEDIAN(_xlfn.IFS($B$22:$B$28=OFFSET($B$31,MATCH($V$13,$A$32:$A$35,0),),TRANSPOSE(OFFSET($B$1:$H$1,MATCH(Y$13,$H$13:$J$13,0),)),TRUE,""))
*OFFSET($A$13,$G16,$D$12)/OFFSET($A$18,,$D$12)
*_xlfn.IFS(Y$13="生命",SUMIFS(模型构建!$B$8:$B$14,模型构建!$C$8:$C$14,1),TRUE,OFFSET($C$31,MATCH($V$13,$A$32:$A$35,0),))
*模型构建!$L$1</f>
        <v>0</v>
      </c>
    </row>
    <row r="17" spans="1:25">
      <c r="A17" s="3">
        <v>4</v>
      </c>
      <c r="B17" s="3">
        <f t="shared" si="1"/>
        <v>2.75</v>
      </c>
      <c r="C17" s="3">
        <f>SUM($B$14:B17)</f>
        <v>9.5</v>
      </c>
      <c r="D17" s="3">
        <f t="shared" si="0"/>
        <v>1.0116009116784799</v>
      </c>
      <c r="G17" s="3">
        <v>4</v>
      </c>
      <c r="H17" s="3">
        <f ca="1">I17*_xlfn.IFS(H$13="生命",SUMIFS(模型构建!$B$8:$B$14,模型构建!$C$8:$C$14,1),TRUE,OFFSET($C$31,MATCH($G$13,$A$32:$A$35,0),))</f>
        <v>112.82991202346042</v>
      </c>
      <c r="I17" s="3">
        <f t="array" aca="1" ref="I17" ca="1">MEDIAN(_xlfn.IFS($B$22:$B$28=OFFSET($B$31,MATCH($G$13,$A$32:$A$35,0),),TRANSPOSE(OFFSET($B$1:$H$1,MATCH(H$13,$H$13:$J$13,0),)),TRUE,""))
*OFFSET($A$13,$G17,$D$12)/OFFSET($A$18,,$D$12)</f>
        <v>32.237117720988692</v>
      </c>
      <c r="J17" s="3">
        <f t="array" aca="1" ref="J17" ca="1">MEDIAN(_xlfn.IFS($B$22:$B$28=OFFSET($B$31,MATCH($G$13,$A$32:$A$35,0),),TRANSPOSE(OFFSET($B$1:$H$1,MATCH(J$13,$H$13:$J$13,0),)),TRUE,""))
*OFFSET($A$13,$G17,$D$12)/OFFSET($A$18,,$D$12)
*_xlfn.IFS(J$13="生命",SUMIFS(模型构建!$B$8:$B$14,模型构建!$C$8:$C$14,1),TRUE,OFFSET($C$31,MATCH($G$13,$A$32:$A$35,0),))
*模型构建!$L$1</f>
        <v>0</v>
      </c>
      <c r="L17" s="3">
        <v>4</v>
      </c>
      <c r="M17" s="3">
        <f ca="1">N17*_xlfn.IFS(M$13="生命",SUMIFS(模型构建!$B$8:$B$14,模型构建!$C$8:$C$14,1),TRUE,OFFSET($C$31,MATCH($L$13,$A$32:$A$35,0),))</f>
        <v>77.245085339413521</v>
      </c>
      <c r="N17" s="3">
        <f t="array" aca="1" ref="N17" ca="1">MEDIAN(_xlfn.IFS($B$22:$B$28=OFFSET($B$31,MATCH($L$13,$A$32:$A$35,0),),TRANSPOSE(OFFSET($B$1:$H$1,MATCH(M$13,$H$13:$J$13,0),)),TRUE,""))
*OFFSET($A$13,$G17,$D$12)/OFFSET($A$18,,$D$12)</f>
        <v>30.898034135765407</v>
      </c>
      <c r="O17" s="3">
        <f t="array" aca="1" ref="O17" ca="1">MEDIAN(_xlfn.IFS($B$22:$B$28=OFFSET($B$31,MATCH($L$13,$A$32:$A$35,0),),TRANSPOSE(OFFSET($B$1:$H$1,MATCH(O$13,$H$13:$J$13,0),)),TRUE,""))
*OFFSET($A$13,$G17,$D$12)/OFFSET($A$18,,$D$12)
*_xlfn.IFS(O$13="生命",SUMIFS(模型构建!$B$8:$B$14,模型构建!$C$8:$C$14,1),TRUE,OFFSET($C$31,MATCH($L$13,$A$32:$A$35,0),))
*模型构建!$L$1</f>
        <v>0</v>
      </c>
      <c r="Q17" s="3">
        <v>4</v>
      </c>
      <c r="R17" s="3">
        <f ca="1">S17*_xlfn.IFS(R$13="生命",SUMIFS(模型构建!$B$8:$B$14,模型构建!$C$8:$C$14,1),TRUE,OFFSET($C$31,MATCH($Q$13,$A$32:$A$35,0),))</f>
        <v>32.587593052109185</v>
      </c>
      <c r="S17" s="3">
        <f t="array" aca="1" ref="S17" ca="1">MEDIAN(_xlfn.IFS($B$22:$B$28=OFFSET($B$31,MATCH($Q$13,$A$32:$A$35,0),),TRANSPOSE(OFFSET($B$1:$H$1,MATCH(R$13,$H$13:$J$13,0),)),TRUE,""))
*OFFSET($A$13,$G17,$D$12)/OFFSET($A$18,,$D$12)</f>
        <v>40.734491315136481</v>
      </c>
      <c r="T17" s="3">
        <f t="array" aca="1" ref="T17" ca="1">MEDIAN(_xlfn.IFS($B$22:$B$28=OFFSET($B$31,MATCH($Q$13,$A$32:$A$35,0),),TRANSPOSE(OFFSET($B$1:$H$1,MATCH(T$13,$H$13:$J$13,0),)),TRUE,""))
*OFFSET($A$13,$G17,$D$12)/OFFSET($A$18,,$D$12)
*_xlfn.IFS(T$13="生命",SUMIFS(模型构建!$B$8:$B$14,模型构建!$C$8:$C$14,1),TRUE,OFFSET($C$31,MATCH($Q$13,$A$32:$A$35,0),))
*模型构建!$L$1</f>
        <v>0</v>
      </c>
      <c r="V17" s="3">
        <v>4</v>
      </c>
      <c r="W17" s="3">
        <f ca="1">X17*_xlfn.IFS(W$13="生命",SUMIFS(模型构建!$B$8:$B$14,模型构建!$C$8:$C$14,1),TRUE,OFFSET($C$31,MATCH($V$13,$A$32:$A$35,0),))</f>
        <v>59.101382488479267</v>
      </c>
      <c r="X17" s="3">
        <f t="array" aca="1" ref="X17" ca="1">MEDIAN(_xlfn.IFS($B$22:$B$28=OFFSET($B$31,MATCH($V$13,$A$32:$A$35,0),),TRANSPOSE(OFFSET($B$1:$H$1,MATCH(W$13,$H$13:$J$13,0),)),TRUE,""))
*OFFSET($A$13,$G17,$D$12)/OFFSET($A$18,,$D$12)</f>
        <v>39.400921658986178</v>
      </c>
      <c r="Y17" s="3">
        <f t="array" aca="1" ref="Y17" ca="1">MEDIAN(_xlfn.IFS($B$22:$B$28=OFFSET($B$31,MATCH($V$13,$A$32:$A$35,0),),TRANSPOSE(OFFSET($B$1:$H$1,MATCH(Y$13,$H$13:$J$13,0),)),TRUE,""))
*OFFSET($A$13,$G17,$D$12)/OFFSET($A$18,,$D$12)
*_xlfn.IFS(Y$13="生命",SUMIFS(模型构建!$B$8:$B$14,模型构建!$C$8:$C$14,1),TRUE,OFFSET($C$31,MATCH($V$13,$A$32:$A$35,0),))
*模型构建!$L$1</f>
        <v>0</v>
      </c>
    </row>
    <row r="18" spans="1:25">
      <c r="A18" s="3">
        <v>5</v>
      </c>
      <c r="B18" s="3">
        <v>3</v>
      </c>
      <c r="C18" s="3">
        <f>SUM($B$14:B18)</f>
        <v>12.5</v>
      </c>
      <c r="D18" s="3">
        <f t="shared" si="0"/>
        <v>1.0986122886681098</v>
      </c>
      <c r="G18" s="3">
        <v>5</v>
      </c>
      <c r="H18" s="3">
        <f ca="1">I18*_xlfn.IFS(H$13="生命",SUMIFS(模型构建!$B$8:$B$14,模型构建!$C$8:$C$14,1),TRUE,OFFSET($C$31,MATCH($G$13,$A$32:$A$35,0),))</f>
        <v>148.46041055718476</v>
      </c>
      <c r="I18" s="3">
        <f t="array" aca="1" ref="I18" ca="1">MEDIAN(_xlfn.IFS($B$22:$B$28=OFFSET($B$31,MATCH($G$13,$A$32:$A$35,0),),TRANSPOSE(OFFSET($B$1:$H$1,MATCH(H$13,$H$13:$J$13,0),)),TRUE,""))
*OFFSET($A$13,$G18,$D$12)/OFFSET($A$18,,$D$12)</f>
        <v>42.417260159195642</v>
      </c>
      <c r="J18" s="3">
        <f t="array" aca="1" ref="J18" ca="1">MEDIAN(_xlfn.IFS($B$22:$B$28=OFFSET($B$31,MATCH($G$13,$A$32:$A$35,0),),TRANSPOSE(OFFSET($B$1:$H$1,MATCH(J$13,$H$13:$J$13,0),)),TRUE,""))
*OFFSET($A$13,$G18,$D$12)/OFFSET($A$18,,$D$12)
*_xlfn.IFS(J$13="生命",SUMIFS(模型构建!$B$8:$B$14,模型构建!$C$8:$C$14,1),TRUE,OFFSET($C$31,MATCH($G$13,$A$32:$A$35,0),))
*模型构建!$L$1</f>
        <v>0</v>
      </c>
      <c r="L18" s="3">
        <v>5</v>
      </c>
      <c r="M18" s="3">
        <f ca="1">N18*_xlfn.IFS(M$13="生命",SUMIFS(模型构建!$B$8:$B$14,模型构建!$C$8:$C$14,1),TRUE,OFFSET($C$31,MATCH($L$13,$A$32:$A$35,0),))</f>
        <v>101.63827018343883</v>
      </c>
      <c r="N18" s="3">
        <f t="array" aca="1" ref="N18" ca="1">MEDIAN(_xlfn.IFS($B$22:$B$28=OFFSET($B$31,MATCH($L$13,$A$32:$A$35,0),),TRANSPOSE(OFFSET($B$1:$H$1,MATCH(M$13,$H$13:$J$13,0),)),TRUE,""))
*OFFSET($A$13,$G18,$D$12)/OFFSET($A$18,,$D$12)</f>
        <v>40.655308073375537</v>
      </c>
      <c r="O18" s="3">
        <f t="array" aca="1" ref="O18" ca="1">MEDIAN(_xlfn.IFS($B$22:$B$28=OFFSET($B$31,MATCH($L$13,$A$32:$A$35,0),),TRANSPOSE(OFFSET($B$1:$H$1,MATCH(O$13,$H$13:$J$13,0),)),TRUE,""))
*OFFSET($A$13,$G18,$D$12)/OFFSET($A$18,,$D$12)
*_xlfn.IFS(O$13="生命",SUMIFS(模型构建!$B$8:$B$14,模型构建!$C$8:$C$14,1),TRUE,OFFSET($C$31,MATCH($L$13,$A$32:$A$35,0),))
*模型构建!$L$1</f>
        <v>0</v>
      </c>
      <c r="Q18" s="3">
        <v>5</v>
      </c>
      <c r="R18" s="3">
        <f ca="1">S18*_xlfn.IFS(R$13="生命",SUMIFS(模型构建!$B$8:$B$14,模型构建!$C$8:$C$14,1),TRUE,OFFSET($C$31,MATCH($Q$13,$A$32:$A$35,0),))</f>
        <v>42.878411910669989</v>
      </c>
      <c r="S18" s="3">
        <f t="array" aca="1" ref="S18" ca="1">MEDIAN(_xlfn.IFS($B$22:$B$28=OFFSET($B$31,MATCH($Q$13,$A$32:$A$35,0),),TRANSPOSE(OFFSET($B$1:$H$1,MATCH(R$13,$H$13:$J$13,0),)),TRUE,""))
*OFFSET($A$13,$G18,$D$12)/OFFSET($A$18,,$D$12)</f>
        <v>53.598014888337481</v>
      </c>
      <c r="T18" s="3">
        <f t="array" aca="1" ref="T18" ca="1">MEDIAN(_xlfn.IFS($B$22:$B$28=OFFSET($B$31,MATCH($Q$13,$A$32:$A$35,0),),TRANSPOSE(OFFSET($B$1:$H$1,MATCH(T$13,$H$13:$J$13,0),)),TRUE,""))
*OFFSET($A$13,$G18,$D$12)/OFFSET($A$18,,$D$12)
*_xlfn.IFS(T$13="生命",SUMIFS(模型构建!$B$8:$B$14,模型构建!$C$8:$C$14,1),TRUE,OFFSET($C$31,MATCH($Q$13,$A$32:$A$35,0),))
*模型构建!$L$1</f>
        <v>0</v>
      </c>
      <c r="V18" s="3">
        <v>5</v>
      </c>
      <c r="W18" s="3">
        <f ca="1">X18*_xlfn.IFS(W$13="生命",SUMIFS(模型构建!$B$8:$B$14,模型构建!$C$8:$C$14,1),TRUE,OFFSET($C$31,MATCH($V$13,$A$32:$A$35,0),))</f>
        <v>77.764976958525352</v>
      </c>
      <c r="X18" s="3">
        <f t="array" aca="1" ref="X18" ca="1">MEDIAN(_xlfn.IFS($B$22:$B$28=OFFSET($B$31,MATCH($V$13,$A$32:$A$35,0),),TRANSPOSE(OFFSET($B$1:$H$1,MATCH(W$13,$H$13:$J$13,0),)),TRUE,""))
*OFFSET($A$13,$G18,$D$12)/OFFSET($A$18,,$D$12)</f>
        <v>51.843317972350235</v>
      </c>
      <c r="Y18" s="3">
        <f t="array" aca="1" ref="Y18" ca="1">MEDIAN(_xlfn.IFS($B$22:$B$28=OFFSET($B$31,MATCH($V$13,$A$32:$A$35,0),),TRANSPOSE(OFFSET($B$1:$H$1,MATCH(Y$13,$H$13:$J$13,0),)),TRUE,""))
*OFFSET($A$13,$G18,$D$12)/OFFSET($A$18,,$D$12)
*_xlfn.IFS(Y$13="生命",SUMIFS(模型构建!$B$8:$B$14,模型构建!$C$8:$C$14,1),TRUE,OFFSET($C$31,MATCH($V$13,$A$32:$A$35,0),))
*模型构建!$L$1</f>
        <v>0</v>
      </c>
    </row>
    <row r="20" spans="1:25">
      <c r="A20" s="3" t="s">
        <v>102</v>
      </c>
    </row>
    <row r="21" spans="1:25">
      <c r="A21" s="5" t="s">
        <v>13</v>
      </c>
      <c r="B21" s="5" t="s">
        <v>48</v>
      </c>
    </row>
    <row r="22" spans="1:25">
      <c r="A22" s="3" t="s">
        <v>64</v>
      </c>
      <c r="B22" s="3">
        <f>模型构建!$K19</f>
        <v>1</v>
      </c>
    </row>
    <row r="23" spans="1:25">
      <c r="A23" s="3" t="s">
        <v>65</v>
      </c>
      <c r="B23" s="3">
        <f>模型构建!$K20</f>
        <v>2</v>
      </c>
    </row>
    <row r="24" spans="1:25">
      <c r="A24" s="3" t="s">
        <v>66</v>
      </c>
      <c r="B24" s="3">
        <f>模型构建!$K21</f>
        <v>3</v>
      </c>
    </row>
    <row r="25" spans="1:25">
      <c r="A25" s="3" t="s">
        <v>67</v>
      </c>
      <c r="B25" s="3">
        <f>模型构建!$K22</f>
        <v>4</v>
      </c>
    </row>
    <row r="26" spans="1:25">
      <c r="A26" s="3" t="s">
        <v>68</v>
      </c>
      <c r="B26" s="3">
        <f>模型构建!$K23</f>
        <v>1</v>
      </c>
    </row>
    <row r="27" spans="1:25">
      <c r="A27" s="3" t="s">
        <v>69</v>
      </c>
      <c r="B27" s="3">
        <f>模型构建!$K24</f>
        <v>2</v>
      </c>
    </row>
    <row r="28" spans="1:25">
      <c r="A28" s="3" t="s">
        <v>70</v>
      </c>
      <c r="B28" s="3">
        <f>模型构建!$K25</f>
        <v>1</v>
      </c>
    </row>
    <row r="31" spans="1:25">
      <c r="A31" s="5" t="s">
        <v>80</v>
      </c>
      <c r="B31" s="5" t="s">
        <v>88</v>
      </c>
      <c r="C31" s="17" t="s">
        <v>89</v>
      </c>
    </row>
    <row r="32" spans="1:25">
      <c r="A32" s="3" t="s">
        <v>82</v>
      </c>
      <c r="B32" s="3">
        <f>$B$26</f>
        <v>1</v>
      </c>
      <c r="C32" s="3">
        <v>3.5</v>
      </c>
    </row>
    <row r="33" spans="1:3">
      <c r="A33" s="3" t="s">
        <v>84</v>
      </c>
      <c r="B33" s="3">
        <f>$B$23</f>
        <v>2</v>
      </c>
      <c r="C33" s="3">
        <v>2.5</v>
      </c>
    </row>
    <row r="34" spans="1:3">
      <c r="A34" s="3" t="s">
        <v>87</v>
      </c>
      <c r="B34" s="3">
        <f>$B$24</f>
        <v>3</v>
      </c>
      <c r="C34" s="3">
        <v>0.8</v>
      </c>
    </row>
    <row r="35" spans="1:3">
      <c r="A35" s="3" t="s">
        <v>85</v>
      </c>
      <c r="B35" s="3">
        <f>$B$25</f>
        <v>4</v>
      </c>
      <c r="C35" s="3">
        <v>1.5</v>
      </c>
    </row>
  </sheetData>
  <phoneticPr fontId="10" type="noConversion"/>
  <conditionalFormatting sqref="B2:I9">
    <cfRule type="cellIs" dxfId="19" priority="1" operator="equal">
      <formula>0</formula>
    </cfRule>
  </conditionalFormatting>
  <conditionalFormatting sqref="I14:J18 N14:O18 S14:T18 X14:Y18">
    <cfRule type="cellIs" dxfId="18" priority="7" operator="equal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D52-2C2B-47AA-9F06-C52448B49387}">
  <sheetPr>
    <tabColor theme="8" tint="0.39997558519241921"/>
  </sheetPr>
  <dimension ref="A1:AO62"/>
  <sheetViews>
    <sheetView workbookViewId="0">
      <selection activeCell="F11" sqref="F11"/>
    </sheetView>
  </sheetViews>
  <sheetFormatPr defaultRowHeight="16.5"/>
  <cols>
    <col min="1" max="1" width="12.25" style="3" bestFit="1" customWidth="1"/>
    <col min="2" max="2" width="12.75" style="3" bestFit="1" customWidth="1"/>
    <col min="3" max="16384" width="9" style="3"/>
  </cols>
  <sheetData>
    <row r="1" spans="1:22">
      <c r="A1" s="6" t="s">
        <v>28</v>
      </c>
      <c r="B1" s="16" t="s">
        <v>14</v>
      </c>
      <c r="C1" s="17" t="s">
        <v>16</v>
      </c>
      <c r="D1" s="16" t="s">
        <v>17</v>
      </c>
      <c r="E1" s="17" t="s">
        <v>15</v>
      </c>
      <c r="F1" s="16" t="s">
        <v>18</v>
      </c>
      <c r="G1" s="17" t="s">
        <v>19</v>
      </c>
      <c r="H1" s="16" t="s">
        <v>20</v>
      </c>
    </row>
    <row r="2" spans="1:22">
      <c r="A2" s="3" t="s">
        <v>31</v>
      </c>
      <c r="B2" s="3">
        <f ca="1">OFFSET(模型构建!$F$18,MATCH(B$1,模型构建!$A$19:$A$25,0),MATCH($A$1,模型构建!$G$17:$AI$17,0)+_xlfn.IFS($A2=$A$3,3,TRUE,1))
*OFFSET(模型构建!$A$39,MATCH(B$1,模型构建!$A$40:$A$46,0),MATCH($A$1,模型构建!$B$38:$AE$38,0)+_xlfn.IFS($A2=$A$3,3,TRUE,1))
*模型构建!$J$1*模型构建!$D$3
*_xlfn.IFS(MATCH($A2,$A$2:$A$3,0)=1,1/(1+OFFSET(模型构建!$B$50,MATCH(B$1,模型构建!$J$51:$J$57,0),)),TRUE,OFFSET(模型构建!$I$50,MATCH(B$1,模型构建!$J$51:$J$57,0),))</f>
        <v>57.603686635944698</v>
      </c>
      <c r="C2" s="3">
        <f ca="1">OFFSET(模型构建!$F$18,MATCH(C$1,模型构建!$A$19:$A$25,0),MATCH($A$1,模型构建!$G$17:$AI$17,0)+_xlfn.IFS($A2=$A$3,3,TRUE,1))
*OFFSET(模型构建!$A$39,MATCH(C$1,模型构建!$A$40:$A$46,0),MATCH($A$1,模型构建!$B$38:$AE$38,0)+_xlfn.IFS($A2=$A$3,3,TRUE,1))
*模型构建!$J$1*模型构建!$D$3
*_xlfn.IFS(MATCH($A2,$A$2:$A$3,0)=1,1/(1+OFFSET(模型构建!$B$50,MATCH(C$1,模型构建!$J$51:$J$57,0),)),TRUE,OFFSET(模型构建!$I$50,MATCH(C$1,模型构建!$J$51:$J$57,0),))</f>
        <v>40.122705784204676</v>
      </c>
      <c r="D2" s="3">
        <f ca="1">OFFSET(模型构建!$F$18,MATCH(D$1,模型构建!$A$19:$A$25,0),MATCH($A$1,模型构建!$G$17:$AI$17,0)+_xlfn.IFS($A2=$A$3,3,TRUE,1))
*OFFSET(模型构建!$A$39,MATCH(D$1,模型构建!$A$40:$A$46,0),MATCH($A$1,模型构建!$B$38:$AE$38,0)+_xlfn.IFS($A2=$A$3,3,TRUE,1))
*模型构建!$J$1*模型构建!$D$3
*_xlfn.IFS(MATCH($A2,$A$2:$A$3,0)=1,1/(1+OFFSET(模型构建!$B$50,MATCH(D$1,模型构建!$J$51:$J$57,0),)),TRUE,OFFSET(模型构建!$I$50,MATCH(D$1,模型构建!$J$51:$J$57,0),))</f>
        <v>49.769585253456228</v>
      </c>
      <c r="E2" s="3">
        <f ca="1">OFFSET(模型构建!$F$18,MATCH(E$1,模型构建!$A$19:$A$25,0),MATCH($A$1,模型构建!$G$17:$AI$17,0)+_xlfn.IFS($A2=$A$3,3,TRUE,1))
*OFFSET(模型构建!$A$39,MATCH(E$1,模型构建!$A$40:$A$46,0),MATCH($A$1,模型构建!$B$38:$AE$38,0)+_xlfn.IFS($A2=$A$3,3,TRUE,1))
*模型构建!$J$1*模型构建!$D$3
*_xlfn.IFS(MATCH($A2,$A$2:$A$3,0)=1,1/(1+OFFSET(模型构建!$B$50,MATCH(E$1,模型构建!$J$51:$J$57,0),)),TRUE,OFFSET(模型构建!$I$50,MATCH(E$1,模型构建!$J$51:$J$57,0),))</f>
        <v>51.843317972350235</v>
      </c>
      <c r="F2" s="3">
        <f ca="1">OFFSET(模型构建!$F$18,MATCH(F$1,模型构建!$A$19:$A$25,0),MATCH($A$1,模型构建!$G$17:$AI$17,0)+_xlfn.IFS($A2=$A$3,3,TRUE,1))
*OFFSET(模型构建!$A$39,MATCH(F$1,模型构建!$A$40:$A$46,0),MATCH($A$1,模型构建!$B$38:$AE$38,0)+_xlfn.IFS($A2=$A$3,3,TRUE,1))
*模型构建!$J$1*模型构建!$D$3
*_xlfn.IFS(MATCH($A2,$A$2:$A$3,0)=1,1/(1+OFFSET(模型构建!$B$50,MATCH(F$1,模型构建!$J$51:$J$57,0),)),TRUE,OFFSET(模型构建!$I$50,MATCH(F$1,模型构建!$J$51:$J$57,0),))</f>
        <v>43.839504328129621</v>
      </c>
      <c r="G2" s="3">
        <f ca="1">OFFSET(模型构建!$F$18,MATCH(G$1,模型构建!$A$19:$A$25,0),MATCH($A$1,模型构建!$G$17:$AI$17,0)+_xlfn.IFS($A2=$A$3,3,TRUE,1))
*OFFSET(模型构建!$A$39,MATCH(G$1,模型构建!$A$40:$A$46,0),MATCH($A$1,模型构建!$B$38:$AE$38,0)+_xlfn.IFS($A2=$A$3,3,TRUE,1))
*模型构建!$J$1*模型构建!$D$3
*_xlfn.IFS(MATCH($A2,$A$2:$A$3,0)=1,1/(1+OFFSET(模型构建!$B$50,MATCH(G$1,模型构建!$J$51:$J$57,0),)),TRUE,OFFSET(模型构建!$I$50,MATCH(G$1,模型构建!$J$51:$J$57,0),))</f>
        <v>41.187910362546397</v>
      </c>
      <c r="H2" s="3">
        <f ca="1">OFFSET(模型构建!$F$18,MATCH(H$1,模型构建!$A$19:$A$25,0),MATCH($A$1,模型构建!$G$17:$AI$17,0)+_xlfn.IFS($A2=$A$3,3,TRUE,1))
*OFFSET(模型构建!$A$39,MATCH(H$1,模型构建!$A$40:$A$46,0),MATCH($A$1,模型构建!$B$38:$AE$38,0)+_xlfn.IFS($A2=$A$3,3,TRUE,1))
*模型构建!$J$1*模型构建!$D$3
*_xlfn.IFS(MATCH($A2,$A$2:$A$3,0)=1,1/(1+OFFSET(模型构建!$B$50,MATCH(H$1,模型构建!$J$51:$J$57,0),)),TRUE,OFFSET(模型构建!$I$50,MATCH(H$1,模型构建!$J$51:$J$57,0),))</f>
        <v>47.027831915629953</v>
      </c>
    </row>
    <row r="3" spans="1:22">
      <c r="A3" s="3" t="s">
        <v>33</v>
      </c>
      <c r="B3" s="3">
        <f ca="1">OFFSET(模型构建!$F$18,MATCH(B$1,模型构建!$A$19:$A$25,0),MATCH($A$1,模型构建!$G$17:$AI$17,0)+_xlfn.IFS($A3=$A$3,3,TRUE,1))
*OFFSET(模型构建!$A$39,MATCH(B$1,模型构建!$A$40:$A$46,0),MATCH($A$1,模型构建!$B$38:$AE$38,0)+_xlfn.IFS($A3=$A$3,3,TRUE,1))
*模型构建!$J$1*模型构建!$D$3
*_xlfn.IFS(MATCH($A3,$A$2:$A$3,0)=1,1/(1+OFFSET(模型构建!$B$50,MATCH(B$1,模型构建!$J$51:$J$57,0),)),TRUE,OFFSET(模型构建!$I$50,MATCH(B$1,模型构建!$J$51:$J$57,0),))</f>
        <v>19.997653846153842</v>
      </c>
      <c r="C3" s="3">
        <f ca="1">OFFSET(模型构建!$F$18,MATCH(C$1,模型构建!$A$19:$A$25,0),MATCH($A$1,模型构建!$G$17:$AI$17,0)+_xlfn.IFS($A3=$A$3,3,TRUE,1))
*OFFSET(模型构建!$A$39,MATCH(C$1,模型构建!$A$40:$A$46,0),MATCH($A$1,模型构建!$B$38:$AE$38,0)+_xlfn.IFS($A3=$A$3,3,TRUE,1))
*模型构建!$J$1*模型构建!$D$3
*_xlfn.IFS(MATCH($A3,$A$2:$A$3,0)=1,1/(1+OFFSET(模型构建!$B$50,MATCH(C$1,模型构建!$J$51:$J$57,0),)),TRUE,OFFSET(模型构建!$I$50,MATCH(C$1,模型构建!$J$51:$J$57,0),))</f>
        <v>47.59061538461539</v>
      </c>
      <c r="D3" s="3">
        <f ca="1">OFFSET(模型构建!$F$18,MATCH(D$1,模型构建!$A$19:$A$25,0),MATCH($A$1,模型构建!$G$17:$AI$17,0)+_xlfn.IFS($A3=$A$3,3,TRUE,1))
*OFFSET(模型构建!$A$39,MATCH(D$1,模型构建!$A$40:$A$46,0),MATCH($A$1,模型构建!$B$38:$AE$38,0)+_xlfn.IFS($A3=$A$3,3,TRUE,1))
*模型构建!$J$1*模型构建!$D$3
*_xlfn.IFS(MATCH($A3,$A$2:$A$3,0)=1,1/(1+OFFSET(模型构建!$B$50,MATCH(D$1,模型构建!$J$51:$J$57,0),)),TRUE,OFFSET(模型构建!$I$50,MATCH(D$1,模型构建!$J$51:$J$57,0),))</f>
        <v>20.412000000000003</v>
      </c>
      <c r="E3" s="3">
        <f ca="1">OFFSET(模型构建!$F$18,MATCH(E$1,模型构建!$A$19:$A$25,0),MATCH($A$1,模型构建!$G$17:$AI$17,0)+_xlfn.IFS($A3=$A$3,3,TRUE,1))
*OFFSET(模型构建!$A$39,MATCH(E$1,模型构建!$A$40:$A$46,0),MATCH($A$1,模型构建!$B$38:$AE$38,0)+_xlfn.IFS($A3=$A$3,3,TRUE,1))
*模型构建!$J$1*模型构建!$D$3
*_xlfn.IFS(MATCH($A3,$A$2:$A$3,0)=1,1/(1+OFFSET(模型构建!$B$50,MATCH(E$1,模型构建!$J$51:$J$57,0),)),TRUE,OFFSET(模型构建!$I$50,MATCH(E$1,模型构建!$J$51:$J$57,0),))</f>
        <v>28.262769230769226</v>
      </c>
      <c r="F3" s="3">
        <f ca="1">OFFSET(模型构建!$F$18,MATCH(F$1,模型构建!$A$19:$A$25,0),MATCH($A$1,模型构建!$G$17:$AI$17,0)+_xlfn.IFS($A3=$A$3,3,TRUE,1))
*OFFSET(模型构建!$A$39,MATCH(F$1,模型构建!$A$40:$A$46,0),MATCH($A$1,模型构建!$B$38:$AE$38,0)+_xlfn.IFS($A3=$A$3,3,TRUE,1))
*模型构建!$J$1*模型构建!$D$3
*_xlfn.IFS(MATCH($A3,$A$2:$A$3,0)=1,1/(1+OFFSET(模型构建!$B$50,MATCH(F$1,模型构建!$J$51:$J$57,0),)),TRUE,OFFSET(模型构建!$I$50,MATCH(F$1,模型构建!$J$51:$J$57,0),))</f>
        <v>90.606599999999986</v>
      </c>
      <c r="G3" s="3">
        <f ca="1">OFFSET(模型构建!$F$18,MATCH(G$1,模型构建!$A$19:$A$25,0),MATCH($A$1,模型构建!$G$17:$AI$17,0)+_xlfn.IFS($A3=$A$3,3,TRUE,1))
*OFFSET(模型构建!$A$39,MATCH(G$1,模型构建!$A$40:$A$46,0),MATCH($A$1,模型构建!$B$38:$AE$38,0)+_xlfn.IFS($A3=$A$3,3,TRUE,1))
*模型构建!$J$1*模型构建!$D$3
*_xlfn.IFS(MATCH($A3,$A$2:$A$3,0)=1,1/(1+OFFSET(模型构建!$B$50,MATCH(G$1,模型构建!$J$51:$J$57,0),)),TRUE,OFFSET(模型构建!$I$50,MATCH(G$1,模型构建!$J$51:$J$57,0),))</f>
        <v>49.484769230769238</v>
      </c>
      <c r="H3" s="3">
        <f ca="1">OFFSET(模型构建!$F$18,MATCH(H$1,模型构建!$A$19:$A$25,0),MATCH($A$1,模型构建!$G$17:$AI$17,0)+_xlfn.IFS($A3=$A$3,3,TRUE,1))
*OFFSET(模型构建!$A$39,MATCH(H$1,模型构建!$A$40:$A$46,0),MATCH($A$1,模型构建!$B$38:$AE$38,0)+_xlfn.IFS($A3=$A$3,3,TRUE,1))
*模型构建!$J$1*模型构建!$D$3
*_xlfn.IFS(MATCH($A3,$A$2:$A$3,0)=1,1/(1+OFFSET(模型构建!$B$50,MATCH(H$1,模型构建!$J$51:$J$57,0),)),TRUE,OFFSET(模型构建!$I$50,MATCH(H$1,模型构建!$J$51:$J$57,0),))</f>
        <v>94.589307692307685</v>
      </c>
    </row>
    <row r="4" spans="1:22">
      <c r="A4" s="22" t="s">
        <v>121</v>
      </c>
    </row>
    <row r="5" spans="1:22">
      <c r="A5" s="3" t="s">
        <v>110</v>
      </c>
      <c r="B5" s="3">
        <f ca="1">OFFSET(其他属性!$J$17,MATCH(B$1,其他属性!$C$18:$C$24,0),(MATCH($A5,$A$5:$A$9,0)-1)*2+MATCH($A$1,其他属性!$J$16:$BV$16,0))
*OFFSET(其他属性!$B$2,,(MATCH($A5,$A$5:$A$9,0)-1)*2)</f>
        <v>168.75</v>
      </c>
      <c r="C5" s="3">
        <f ca="1">OFFSET(其他属性!$J$17,MATCH(C$1,其他属性!$C$18:$C$24,0),(MATCH($A5,$A$5:$A$9,0)-1)*2+MATCH($A$1,其他属性!$J$16:$BV$16,0))
*OFFSET(其他属性!$B$2,,(MATCH($A5,$A$5:$A$9,0)-1)*2)</f>
        <v>168.75</v>
      </c>
      <c r="D5" s="3">
        <f ca="1">OFFSET(其他属性!$J$17,MATCH(D$1,其他属性!$C$18:$C$24,0),(MATCH($A5,$A$5:$A$9,0)-1)*2+MATCH($A$1,其他属性!$J$16:$BV$16,0))
*OFFSET(其他属性!$B$2,,(MATCH($A5,$A$5:$A$9,0)-1)*2)</f>
        <v>168.75</v>
      </c>
      <c r="E5" s="3">
        <f ca="1">OFFSET(其他属性!$J$17,MATCH(E$1,其他属性!$C$18:$C$24,0),(MATCH($A5,$A$5:$A$9,0)-1)*2+MATCH($A$1,其他属性!$J$16:$BV$16,0))
*OFFSET(其他属性!$B$2,,(MATCH($A5,$A$5:$A$9,0)-1)*2)</f>
        <v>168.75</v>
      </c>
      <c r="F5" s="3">
        <f ca="1">OFFSET(其他属性!$J$17,MATCH(F$1,其他属性!$C$18:$C$24,0),(MATCH($A5,$A$5:$A$9,0)-1)*2+MATCH($A$1,其他属性!$J$16:$BV$16,0))
*OFFSET(其他属性!$B$2,,(MATCH($A5,$A$5:$A$9,0)-1)*2)</f>
        <v>168.75</v>
      </c>
      <c r="G5" s="3">
        <f ca="1">OFFSET(其他属性!$J$17,MATCH(G$1,其他属性!$C$18:$C$24,0),(MATCH($A5,$A$5:$A$9,0)-1)*2+MATCH($A$1,其他属性!$J$16:$BV$16,0))
*OFFSET(其他属性!$B$2,,(MATCH($A5,$A$5:$A$9,0)-1)*2)</f>
        <v>168.75</v>
      </c>
      <c r="H5" s="3">
        <f ca="1">OFFSET(其他属性!$J$17,MATCH(H$1,其他属性!$C$18:$C$24,0),(MATCH($A5,$A$5:$A$9,0)-1)*2+MATCH($A$1,其他属性!$J$16:$BV$16,0))
*OFFSET(其他属性!$B$2,,(MATCH($A5,$A$5:$A$9,0)-1)*2)</f>
        <v>168.75</v>
      </c>
    </row>
    <row r="6" spans="1:22">
      <c r="A6" s="3" t="s">
        <v>113</v>
      </c>
      <c r="B6" s="3">
        <f ca="1">OFFSET(其他属性!$J$17,MATCH(B$1,其他属性!$C$18:$C$24,0),(MATCH($A6,$A$5:$A$9,0)-1)*2+MATCH($A$1,其他属性!$J$16:$BV$16,0))
*OFFSET(其他属性!$B$2,,(MATCH($A6,$A$5:$A$9,0)-1)*2)</f>
        <v>421.875</v>
      </c>
      <c r="C6" s="3">
        <f ca="1">OFFSET(其他属性!$J$17,MATCH(C$1,其他属性!$C$18:$C$24,0),(MATCH($A6,$A$5:$A$9,0)-1)*2+MATCH($A$1,其他属性!$J$16:$BV$16,0))
*OFFSET(其他属性!$B$2,,(MATCH($A6,$A$5:$A$9,0)-1)*2)</f>
        <v>421.875</v>
      </c>
      <c r="D6" s="3">
        <f ca="1">OFFSET(其他属性!$J$17,MATCH(D$1,其他属性!$C$18:$C$24,0),(MATCH($A6,$A$5:$A$9,0)-1)*2+MATCH($A$1,其他属性!$J$16:$BV$16,0))
*OFFSET(其他属性!$B$2,,(MATCH($A6,$A$5:$A$9,0)-1)*2)</f>
        <v>421.875</v>
      </c>
      <c r="E6" s="3">
        <f ca="1">OFFSET(其他属性!$J$17,MATCH(E$1,其他属性!$C$18:$C$24,0),(MATCH($A6,$A$5:$A$9,0)-1)*2+MATCH($A$1,其他属性!$J$16:$BV$16,0))
*OFFSET(其他属性!$B$2,,(MATCH($A6,$A$5:$A$9,0)-1)*2)</f>
        <v>421.875</v>
      </c>
      <c r="F6" s="3">
        <f ca="1">OFFSET(其他属性!$J$17,MATCH(F$1,其他属性!$C$18:$C$24,0),(MATCH($A6,$A$5:$A$9,0)-1)*2+MATCH($A$1,其他属性!$J$16:$BV$16,0))
*OFFSET(其他属性!$B$2,,(MATCH($A6,$A$5:$A$9,0)-1)*2)</f>
        <v>421.875</v>
      </c>
      <c r="G6" s="3">
        <f ca="1">OFFSET(其他属性!$J$17,MATCH(G$1,其他属性!$C$18:$C$24,0),(MATCH($A6,$A$5:$A$9,0)-1)*2+MATCH($A$1,其他属性!$J$16:$BV$16,0))
*OFFSET(其他属性!$B$2,,(MATCH($A6,$A$5:$A$9,0)-1)*2)</f>
        <v>421.875</v>
      </c>
      <c r="H6" s="3">
        <f ca="1">OFFSET(其他属性!$J$17,MATCH(H$1,其他属性!$C$18:$C$24,0),(MATCH($A6,$A$5:$A$9,0)-1)*2+MATCH($A$1,其他属性!$J$16:$BV$16,0))
*OFFSET(其他属性!$B$2,,(MATCH($A6,$A$5:$A$9,0)-1)*2)</f>
        <v>421.875</v>
      </c>
    </row>
    <row r="7" spans="1:22">
      <c r="A7" s="3" t="s">
        <v>111</v>
      </c>
      <c r="B7" s="3">
        <f ca="1">OFFSET(其他属性!$J$17,MATCH(B$1,其他属性!$C$18:$C$24,0),(MATCH($A7,$A$5:$A$9,0)-1)*2+MATCH($A$1,其他属性!$J$16:$BV$16,0))
*OFFSET(其他属性!$B$2,,(MATCH($A7,$A$5:$A$9,0)-1)*2)</f>
        <v>168.75</v>
      </c>
      <c r="C7" s="3">
        <f ca="1">OFFSET(其他属性!$J$17,MATCH(C$1,其他属性!$C$18:$C$24,0),(MATCH($A7,$A$5:$A$9,0)-1)*2+MATCH($A$1,其他属性!$J$16:$BV$16,0))
*OFFSET(其他属性!$B$2,,(MATCH($A7,$A$5:$A$9,0)-1)*2)</f>
        <v>168.75</v>
      </c>
      <c r="D7" s="3">
        <f ca="1">OFFSET(其他属性!$J$17,MATCH(D$1,其他属性!$C$18:$C$24,0),(MATCH($A7,$A$5:$A$9,0)-1)*2+MATCH($A$1,其他属性!$J$16:$BV$16,0))
*OFFSET(其他属性!$B$2,,(MATCH($A7,$A$5:$A$9,0)-1)*2)</f>
        <v>168.75</v>
      </c>
      <c r="E7" s="3">
        <f ca="1">OFFSET(其他属性!$J$17,MATCH(E$1,其他属性!$C$18:$C$24,0),(MATCH($A7,$A$5:$A$9,0)-1)*2+MATCH($A$1,其他属性!$J$16:$BV$16,0))
*OFFSET(其他属性!$B$2,,(MATCH($A7,$A$5:$A$9,0)-1)*2)</f>
        <v>168.75</v>
      </c>
      <c r="F7" s="3">
        <f ca="1">OFFSET(其他属性!$J$17,MATCH(F$1,其他属性!$C$18:$C$24,0),(MATCH($A7,$A$5:$A$9,0)-1)*2+MATCH($A$1,其他属性!$J$16:$BV$16,0))
*OFFSET(其他属性!$B$2,,(MATCH($A7,$A$5:$A$9,0)-1)*2)</f>
        <v>168.75</v>
      </c>
      <c r="G7" s="3">
        <f ca="1">OFFSET(其他属性!$J$17,MATCH(G$1,其他属性!$C$18:$C$24,0),(MATCH($A7,$A$5:$A$9,0)-1)*2+MATCH($A$1,其他属性!$J$16:$BV$16,0))
*OFFSET(其他属性!$B$2,,(MATCH($A7,$A$5:$A$9,0)-1)*2)</f>
        <v>168.75</v>
      </c>
      <c r="H7" s="3">
        <f ca="1">OFFSET(其他属性!$J$17,MATCH(H$1,其他属性!$C$18:$C$24,0),(MATCH($A7,$A$5:$A$9,0)-1)*2+MATCH($A$1,其他属性!$J$16:$BV$16,0))
*OFFSET(其他属性!$B$2,,(MATCH($A7,$A$5:$A$9,0)-1)*2)</f>
        <v>168.75</v>
      </c>
    </row>
    <row r="8" spans="1:22">
      <c r="A8" s="3" t="s">
        <v>114</v>
      </c>
      <c r="B8" s="3">
        <f ca="1">OFFSET(其他属性!$J$17,MATCH(B$1,其他属性!$C$18:$C$24,0),(MATCH($A8,$A$5:$A$9,0)-1)*2+MATCH($A$1,其他属性!$J$16:$BV$16,0))
*OFFSET(其他属性!$B$2,,(MATCH($A8,$A$5:$A$9,0)-1)*2)</f>
        <v>180</v>
      </c>
      <c r="C8" s="3">
        <f ca="1">OFFSET(其他属性!$J$17,MATCH(C$1,其他属性!$C$18:$C$24,0),(MATCH($A8,$A$5:$A$9,0)-1)*2+MATCH($A$1,其他属性!$J$16:$BV$16,0))
*OFFSET(其他属性!$B$2,,(MATCH($A8,$A$5:$A$9,0)-1)*2)</f>
        <v>180</v>
      </c>
      <c r="D8" s="3">
        <f ca="1">OFFSET(其他属性!$J$17,MATCH(D$1,其他属性!$C$18:$C$24,0),(MATCH($A8,$A$5:$A$9,0)-1)*2+MATCH($A$1,其他属性!$J$16:$BV$16,0))
*OFFSET(其他属性!$B$2,,(MATCH($A8,$A$5:$A$9,0)-1)*2)</f>
        <v>180</v>
      </c>
      <c r="E8" s="3">
        <f ca="1">OFFSET(其他属性!$J$17,MATCH(E$1,其他属性!$C$18:$C$24,0),(MATCH($A8,$A$5:$A$9,0)-1)*2+MATCH($A$1,其他属性!$J$16:$BV$16,0))
*OFFSET(其他属性!$B$2,,(MATCH($A8,$A$5:$A$9,0)-1)*2)</f>
        <v>180</v>
      </c>
      <c r="F8" s="3">
        <f ca="1">OFFSET(其他属性!$J$17,MATCH(F$1,其他属性!$C$18:$C$24,0),(MATCH($A8,$A$5:$A$9,0)-1)*2+MATCH($A$1,其他属性!$J$16:$BV$16,0))
*OFFSET(其他属性!$B$2,,(MATCH($A8,$A$5:$A$9,0)-1)*2)</f>
        <v>180</v>
      </c>
      <c r="G8" s="3">
        <f ca="1">OFFSET(其他属性!$J$17,MATCH(G$1,其他属性!$C$18:$C$24,0),(MATCH($A8,$A$5:$A$9,0)-1)*2+MATCH($A$1,其他属性!$J$16:$BV$16,0))
*OFFSET(其他属性!$B$2,,(MATCH($A8,$A$5:$A$9,0)-1)*2)</f>
        <v>180</v>
      </c>
      <c r="H8" s="3">
        <f ca="1">OFFSET(其他属性!$J$17,MATCH(H$1,其他属性!$C$18:$C$24,0),(MATCH($A8,$A$5:$A$9,0)-1)*2+MATCH($A$1,其他属性!$J$16:$BV$16,0))
*OFFSET(其他属性!$B$2,,(MATCH($A8,$A$5:$A$9,0)-1)*2)</f>
        <v>180</v>
      </c>
    </row>
    <row r="9" spans="1:22">
      <c r="A9" s="3" t="s">
        <v>112</v>
      </c>
      <c r="B9" s="3">
        <f ca="1">OFFSET(其他属性!$J$17,MATCH(B$1,其他属性!$C$18:$C$24,0),(MATCH($A9,$A$5:$A$9,0)-1)*2+MATCH($A$1,其他属性!$J$16:$BV$16,0))
*OFFSET(其他属性!$B$2,,(MATCH($A9,$A$5:$A$9,0)-1)*2)</f>
        <v>180</v>
      </c>
      <c r="C9" s="3">
        <f ca="1">OFFSET(其他属性!$J$17,MATCH(C$1,其他属性!$C$18:$C$24,0),(MATCH($A9,$A$5:$A$9,0)-1)*2+MATCH($A$1,其他属性!$J$16:$BV$16,0))
*OFFSET(其他属性!$B$2,,(MATCH($A9,$A$5:$A$9,0)-1)*2)</f>
        <v>180</v>
      </c>
      <c r="D9" s="3">
        <f ca="1">OFFSET(其他属性!$J$17,MATCH(D$1,其他属性!$C$18:$C$24,0),(MATCH($A9,$A$5:$A$9,0)-1)*2+MATCH($A$1,其他属性!$J$16:$BV$16,0))
*OFFSET(其他属性!$B$2,,(MATCH($A9,$A$5:$A$9,0)-1)*2)</f>
        <v>180</v>
      </c>
      <c r="E9" s="3">
        <f ca="1">OFFSET(其他属性!$J$17,MATCH(E$1,其他属性!$C$18:$C$24,0),(MATCH($A9,$A$5:$A$9,0)-1)*2+MATCH($A$1,其他属性!$J$16:$BV$16,0))
*OFFSET(其他属性!$B$2,,(MATCH($A9,$A$5:$A$9,0)-1)*2)</f>
        <v>180</v>
      </c>
      <c r="F9" s="3">
        <f ca="1">OFFSET(其他属性!$J$17,MATCH(F$1,其他属性!$C$18:$C$24,0),(MATCH($A9,$A$5:$A$9,0)-1)*2+MATCH($A$1,其他属性!$J$16:$BV$16,0))
*OFFSET(其他属性!$B$2,,(MATCH($A9,$A$5:$A$9,0)-1)*2)</f>
        <v>180</v>
      </c>
      <c r="G9" s="3">
        <f ca="1">OFFSET(其他属性!$J$17,MATCH(G$1,其他属性!$C$18:$C$24,0),(MATCH($A9,$A$5:$A$9,0)-1)*2+MATCH($A$1,其他属性!$J$16:$BV$16,0))
*OFFSET(其他属性!$B$2,,(MATCH($A9,$A$5:$A$9,0)-1)*2)</f>
        <v>180</v>
      </c>
      <c r="H9" s="3">
        <f ca="1">OFFSET(其他属性!$J$17,MATCH(H$1,其他属性!$C$18:$C$24,0),(MATCH($A9,$A$5:$A$9,0)-1)*2+MATCH($A$1,其他属性!$J$16:$BV$16,0))
*OFFSET(其他属性!$B$2,,(MATCH($A9,$A$5:$A$9,0)-1)*2)</f>
        <v>180</v>
      </c>
    </row>
    <row r="12" spans="1:22">
      <c r="A12" s="1"/>
      <c r="D12" s="3">
        <v>1</v>
      </c>
      <c r="G12" s="3" t="s">
        <v>100</v>
      </c>
      <c r="P12" s="3" t="s">
        <v>108</v>
      </c>
    </row>
    <row r="13" spans="1:22">
      <c r="A13" s="5" t="s">
        <v>146</v>
      </c>
      <c r="B13" s="18" t="s">
        <v>75</v>
      </c>
      <c r="C13" s="19" t="s">
        <v>76</v>
      </c>
      <c r="D13" s="20" t="s">
        <v>77</v>
      </c>
      <c r="G13" s="5" t="s">
        <v>99</v>
      </c>
      <c r="H13" s="5" t="s">
        <v>78</v>
      </c>
      <c r="I13" s="5" t="s">
        <v>79</v>
      </c>
      <c r="J13" s="5" t="s">
        <v>118</v>
      </c>
      <c r="K13" s="5" t="s">
        <v>119</v>
      </c>
      <c r="L13" s="5" t="s">
        <v>123</v>
      </c>
      <c r="M13" s="5" t="s">
        <v>120</v>
      </c>
      <c r="N13" s="5" t="s">
        <v>122</v>
      </c>
      <c r="O13" s="18"/>
      <c r="P13" s="10" t="s">
        <v>78</v>
      </c>
      <c r="Q13" s="9" t="s">
        <v>79</v>
      </c>
      <c r="R13" s="12" t="s">
        <v>118</v>
      </c>
      <c r="S13" s="11" t="s">
        <v>119</v>
      </c>
      <c r="T13" s="13" t="s">
        <v>111</v>
      </c>
      <c r="U13" s="11" t="s">
        <v>120</v>
      </c>
      <c r="V13" s="13" t="s">
        <v>122</v>
      </c>
    </row>
    <row r="14" spans="1:22">
      <c r="A14" s="1">
        <v>1</v>
      </c>
      <c r="B14" s="3">
        <v>2</v>
      </c>
      <c r="C14" s="3">
        <f>SUM($B$14:B14)</f>
        <v>2</v>
      </c>
      <c r="D14" s="3">
        <f>LN(B14)</f>
        <v>0.69314718055994529</v>
      </c>
      <c r="G14" s="3" t="s">
        <v>102</v>
      </c>
      <c r="H14" s="3">
        <v>1</v>
      </c>
      <c r="J14" s="3">
        <v>1</v>
      </c>
      <c r="N14" s="3">
        <v>1</v>
      </c>
      <c r="P14" s="3">
        <v>1</v>
      </c>
      <c r="R14" s="3">
        <v>2.5</v>
      </c>
      <c r="V14" s="3">
        <v>3.5</v>
      </c>
    </row>
    <row r="15" spans="1:22">
      <c r="A15" s="3">
        <v>2</v>
      </c>
      <c r="B15" s="3">
        <f>($B$18-$B$14)/COUNTA($A$15:$A$18)+B14</f>
        <v>2.25</v>
      </c>
      <c r="C15" s="3">
        <f>SUM($B$14:B15)</f>
        <v>4.25</v>
      </c>
      <c r="D15" s="3">
        <f t="shared" ref="D15:D18" si="0">LN(B15)</f>
        <v>0.81093021621632877</v>
      </c>
      <c r="G15" s="3" t="s">
        <v>104</v>
      </c>
      <c r="I15" s="3">
        <v>1</v>
      </c>
      <c r="K15" s="3">
        <v>1</v>
      </c>
      <c r="L15" s="3">
        <v>1</v>
      </c>
      <c r="Q15" s="3">
        <v>2.5</v>
      </c>
      <c r="S15" s="3">
        <v>5</v>
      </c>
      <c r="T15" s="3">
        <v>1</v>
      </c>
    </row>
    <row r="16" spans="1:22">
      <c r="A16" s="3">
        <v>3</v>
      </c>
      <c r="B16" s="3">
        <f t="shared" ref="B16:B17" si="1">($B$18-$B$14)/COUNTA($A$15:$A$18)+B15</f>
        <v>2.5</v>
      </c>
      <c r="C16" s="3">
        <f>SUM($B$14:B16)</f>
        <v>6.75</v>
      </c>
      <c r="D16" s="3">
        <f t="shared" si="0"/>
        <v>0.91629073187415511</v>
      </c>
      <c r="G16" s="3" t="s">
        <v>105</v>
      </c>
      <c r="H16" s="3">
        <v>1</v>
      </c>
      <c r="I16" s="3">
        <v>1</v>
      </c>
      <c r="J16" s="3">
        <v>1</v>
      </c>
      <c r="K16" s="3">
        <v>1</v>
      </c>
      <c r="M16" s="3">
        <v>1</v>
      </c>
      <c r="N16" s="3">
        <v>1</v>
      </c>
      <c r="P16" s="3">
        <v>5</v>
      </c>
      <c r="Q16" s="3">
        <v>1</v>
      </c>
      <c r="R16" s="3">
        <v>1</v>
      </c>
      <c r="S16" s="3">
        <v>1.5</v>
      </c>
      <c r="U16" s="3">
        <v>1.5</v>
      </c>
      <c r="V16" s="3">
        <v>1</v>
      </c>
    </row>
    <row r="17" spans="1:41">
      <c r="A17" s="3">
        <v>4</v>
      </c>
      <c r="B17" s="3">
        <f t="shared" si="1"/>
        <v>2.75</v>
      </c>
      <c r="C17" s="3">
        <f>SUM($B$14:B17)</f>
        <v>9.5</v>
      </c>
      <c r="D17" s="3">
        <f t="shared" si="0"/>
        <v>1.0116009116784799</v>
      </c>
      <c r="G17" s="3" t="s">
        <v>106</v>
      </c>
      <c r="I17" s="3">
        <v>1</v>
      </c>
      <c r="K17" s="3">
        <v>1</v>
      </c>
      <c r="L17" s="3">
        <v>1</v>
      </c>
      <c r="M17" s="3">
        <v>1</v>
      </c>
      <c r="Q17" s="3">
        <v>1.3</v>
      </c>
      <c r="S17" s="3">
        <v>1</v>
      </c>
      <c r="T17" s="3">
        <v>1.5</v>
      </c>
      <c r="U17" s="3">
        <v>1</v>
      </c>
    </row>
    <row r="18" spans="1:41">
      <c r="A18" s="3">
        <v>5</v>
      </c>
      <c r="B18" s="3">
        <v>3</v>
      </c>
      <c r="C18" s="3">
        <f>SUM($B$14:B18)</f>
        <v>12.5</v>
      </c>
      <c r="D18" s="3">
        <f t="shared" si="0"/>
        <v>1.0986122886681098</v>
      </c>
      <c r="G18" s="3" t="s">
        <v>107</v>
      </c>
      <c r="H18" s="3">
        <v>1</v>
      </c>
      <c r="I18" s="3">
        <v>1</v>
      </c>
      <c r="J18" s="3">
        <v>1</v>
      </c>
      <c r="L18" s="3">
        <v>1</v>
      </c>
      <c r="M18" s="3">
        <v>1</v>
      </c>
      <c r="N18" s="3">
        <v>1</v>
      </c>
      <c r="P18" s="3">
        <v>2</v>
      </c>
      <c r="Q18" s="3">
        <v>3.5</v>
      </c>
      <c r="R18" s="3">
        <v>2</v>
      </c>
      <c r="T18" s="3">
        <v>5</v>
      </c>
      <c r="U18" s="3">
        <v>5</v>
      </c>
      <c r="V18" s="3">
        <v>2</v>
      </c>
    </row>
    <row r="20" spans="1:41">
      <c r="A20" s="3" t="s">
        <v>29</v>
      </c>
      <c r="G20" s="3" t="s">
        <v>101</v>
      </c>
      <c r="H20" s="3" t="s">
        <v>81</v>
      </c>
      <c r="P20" s="3" t="s">
        <v>101</v>
      </c>
      <c r="Q20" s="3" t="s">
        <v>83</v>
      </c>
      <c r="Y20" s="3" t="s">
        <v>101</v>
      </c>
      <c r="Z20" s="3" t="s">
        <v>86</v>
      </c>
      <c r="AH20" s="3" t="s">
        <v>101</v>
      </c>
      <c r="AI20" s="3" t="s">
        <v>85</v>
      </c>
    </row>
    <row r="21" spans="1:41">
      <c r="A21" s="5" t="s">
        <v>13</v>
      </c>
      <c r="B21" s="5" t="s">
        <v>48</v>
      </c>
      <c r="G21" s="5" t="s">
        <v>146</v>
      </c>
      <c r="H21" s="10" t="s">
        <v>78</v>
      </c>
      <c r="I21" s="9" t="s">
        <v>79</v>
      </c>
      <c r="J21" s="12" t="s">
        <v>118</v>
      </c>
      <c r="K21" s="11" t="s">
        <v>119</v>
      </c>
      <c r="L21" s="13" t="s">
        <v>111</v>
      </c>
      <c r="M21" s="11" t="s">
        <v>120</v>
      </c>
      <c r="N21" s="13" t="s">
        <v>122</v>
      </c>
      <c r="P21" s="5" t="s">
        <v>146</v>
      </c>
      <c r="Q21" s="10" t="s">
        <v>78</v>
      </c>
      <c r="R21" s="9" t="s">
        <v>79</v>
      </c>
      <c r="S21" s="12" t="s">
        <v>118</v>
      </c>
      <c r="T21" s="11" t="s">
        <v>119</v>
      </c>
      <c r="U21" s="13" t="s">
        <v>111</v>
      </c>
      <c r="V21" s="11" t="s">
        <v>120</v>
      </c>
      <c r="W21" s="13" t="s">
        <v>122</v>
      </c>
      <c r="Y21" s="5" t="s">
        <v>146</v>
      </c>
      <c r="Z21" s="10" t="s">
        <v>78</v>
      </c>
      <c r="AA21" s="9" t="s">
        <v>79</v>
      </c>
      <c r="AB21" s="12" t="s">
        <v>118</v>
      </c>
      <c r="AC21" s="11" t="s">
        <v>119</v>
      </c>
      <c r="AD21" s="13" t="s">
        <v>111</v>
      </c>
      <c r="AE21" s="11" t="s">
        <v>120</v>
      </c>
      <c r="AF21" s="13" t="s">
        <v>122</v>
      </c>
      <c r="AH21" s="5" t="s">
        <v>146</v>
      </c>
      <c r="AI21" s="10" t="s">
        <v>78</v>
      </c>
      <c r="AJ21" s="9" t="s">
        <v>79</v>
      </c>
      <c r="AK21" s="12" t="s">
        <v>118</v>
      </c>
      <c r="AL21" s="11" t="s">
        <v>119</v>
      </c>
      <c r="AM21" s="13" t="s">
        <v>111</v>
      </c>
      <c r="AN21" s="11" t="s">
        <v>120</v>
      </c>
      <c r="AO21" s="13" t="s">
        <v>122</v>
      </c>
    </row>
    <row r="22" spans="1:41">
      <c r="A22" s="3" t="s">
        <v>64</v>
      </c>
      <c r="B22" s="3">
        <f>模型构建!$P19</f>
        <v>1</v>
      </c>
      <c r="G22" s="3">
        <v>1</v>
      </c>
      <c r="H22" s="3">
        <f t="array" aca="1" ref="H22" ca="1">MEDIAN(_xlfn.IFS($B$38:$B$44=OFFSET($B$47,MATCH($H$20,$A$48:$A$51,0),),TRANSPOSE(OFFSET($B$1:$H$1,MATCH(H$21,$H$21:$I$21,0),)),TRUE,""))
*OFFSET($A$13,$G22,$D$12)/OFFSET($A$18,,$D$12)
*OFFSET($G$13,MATCH($G$20,$G$14:$G$18,0),MATCH(H$21,$H$21:$N$21,0))
*OFFSET($O$13,MATCH($G$20,$G$14:$G$18,0),MATCH(H$21,$H$21:$N$21,0))
/SUMIFS(OFFSET($O$14:$O$18,,MATCH(H$21,$H$21:$N$21,0)),OFFSET($G$14:$G$18,,MATCH(H$21,$H$21:$N$21,0)),1)</f>
        <v>3.9189859929691626</v>
      </c>
      <c r="I22" s="3">
        <f t="array" aca="1" ref="I22" ca="1">MEDIAN(_xlfn.IFS($B$38:$B$44=OFFSET($B$47,MATCH($H$20,$A$48:$A$51,0),),TRANSPOSE(OFFSET($B$1:$H$1,MATCH(I$21,$H$21:$I$21,0),)),TRUE,""))
*OFFSET($A$13,$G22,$D$12)/OFFSET($A$18,,$D$12)
*OFFSET($G$13,MATCH($G$20,$G$14:$G$18,0),MATCH(I$21,$H$21:$N$21,0))
*OFFSET($O$13,MATCH($G$20,$G$14:$G$18,0),MATCH(I$21,$H$21:$N$21,0))
/SUMIFS(OFFSET($O$14:$O$18,,MATCH(I$21,$H$21:$N$21,0)),OFFSET($G$14:$G$18,,MATCH(I$21,$H$21:$N$21,0)),1)
*_xlfn.IFS(I$21="生命",SUMIFS(模型构建!$B$8:$B$14,模型构建!$C$8:$C$14,1),TRUE,1)
*模型构建!$L$1</f>
        <v>0</v>
      </c>
      <c r="J22" s="3">
        <f ca="1">OFFSET($A$4,MATCH(J$21,$J$21:$N$21,0),MATCH(OFFSET($A$37,MATCH(SUMIFS($B$48:$B$51,$A$48:$A$51,$H$20),$B$38:$B$44,0),),$B$1:$H$1,0))
*OFFSET($A$13,$G22,$D$12)/OFFSET($A$18,,$D$12)
*OFFSET($G$13,MATCH($G$20,$G$14:$G$18,0),MATCH(J$21,$H$21:$N$21,0))
*OFFSET($O$13,MATCH($G$20,$G$14:$G$18,0),MATCH(J$21,$H$21:$N$21,0))
/SUMIFS(OFFSET($O$14:$O$18,,MATCH(J$21,$H$21:$N$21,0)),OFFSET($G$14:$G$18,,MATCH(J$21,$H$21:$N$21,0)),1)</f>
        <v>51.136363636363633</v>
      </c>
      <c r="K22" s="3">
        <f t="shared" ref="K22:N26" ca="1" si="2">OFFSET($A$4,MATCH(K$21,$J$21:$N$21,0),MATCH(OFFSET($A$37,MATCH(SUMIFS($B$48:$B$51,$A$48:$A$51,$H$20),$B$38:$B$44,0),),$B$1:$H$1,0))
*OFFSET($A$13,$G22,$D$12)/OFFSET($A$18,,$D$12)
*OFFSET($G$13,MATCH($G$20,$G$14:$G$18,0),MATCH(K$21,$H$21:$N$21,0))
*OFFSET($O$13,MATCH($G$20,$G$14:$G$18,0),MATCH(K$21,$H$21:$N$21,0))
/SUMIFS(OFFSET($O$14:$O$18,,MATCH(K$21,$H$21:$N$21,0)),OFFSET($G$14:$G$18,,MATCH(K$21,$H$21:$N$21,0)),1)</f>
        <v>0</v>
      </c>
      <c r="L22" s="3">
        <f t="shared" ca="1" si="2"/>
        <v>0</v>
      </c>
      <c r="M22" s="3">
        <f t="shared" ca="1" si="2"/>
        <v>0</v>
      </c>
      <c r="N22" s="3">
        <f t="shared" ca="1" si="2"/>
        <v>64.615384615384613</v>
      </c>
      <c r="P22" s="3">
        <v>1</v>
      </c>
      <c r="Q22" s="3">
        <f t="array" aca="1" ref="Q22" ca="1">MEDIAN(_xlfn.IFS($B$38:$B$44=OFFSET($B$47,MATCH($Q$20,$A$48:$A$51,0),),TRANSPOSE(OFFSET($B$1:$H$1,MATCH(Q$21,$H$21:$I$21,0),)),TRUE,""))
*OFFSET($A$13,$G22,$D$12)/OFFSET($A$18,,$D$12)
*OFFSET($G$13,MATCH($P$20,$G$14:$G$18,0),MATCH(Q$21,$H$21:$N$21,0))
*OFFSET($O$13,MATCH($P$20,$G$14:$G$18,0),MATCH(Q$21,$H$21:$N$21,0))
/SUMIFS(OFFSET($O$14:$O$18,,MATCH(Q$21,$H$21:$N$21,0)),OFFSET($G$14:$G$18,,MATCH(Q$21,$H$21:$N$21,0)),1)</f>
        <v>3.3879423394479615</v>
      </c>
      <c r="R22" s="3">
        <f t="array" aca="1" ref="R22" ca="1">MEDIAN(_xlfn.IFS($B$38:$B$44=OFFSET($B$47,MATCH($Q$20,$A$48:$A$51,0),),TRANSPOSE(OFFSET($B$1:$H$1,MATCH(R$21,$H$21:$I$21,0),)),TRUE,""))
*OFFSET($A$13,$G22,$D$12)/OFFSET($A$18,,$D$12)
*OFFSET($G$13,MATCH($P$20,$G$14:$G$18,0),MATCH(R$21,$H$21:$N$21,0))
*OFFSET($O$13,MATCH($P$20,$G$14:$G$18,0),MATCH(R$21,$H$21:$N$21,0))
/SUMIFS(OFFSET($O$14:$O$18,,MATCH(R$21,$H$21:$N$21,0)),OFFSET($G$14:$G$18,,MATCH(R$21,$H$21:$N$21,0)),1)
*模型构建!$L$1</f>
        <v>0</v>
      </c>
      <c r="S22" s="3">
        <f ca="1">OFFSET($A$4,MATCH(S$21,$J$21:$N$21,0),MATCH(OFFSET($A$37,MATCH(SUMIFS($B$48:$B$51,$A$48:$A$51,$Q$20),$B$38:$B$44,0),),$B$1:$H$1,0))
*OFFSET($A$13,$G22,$D$12)/OFFSET($A$18,,$D$12)
*OFFSET($G$13,MATCH($P$20,$G$14:$G$18,0),MATCH(S$21,$H$21:$N$21,0))
*OFFSET($O$13,MATCH($P$20,$G$14:$G$18,0),MATCH(S$21,$H$21:$N$21,0))
/SUMIFS(OFFSET($O$14:$O$18,,MATCH(S$21,$H$21:$N$21,0)),OFFSET($G$14:$G$18,,MATCH(S$21,$H$21:$N$21,0)),1)</f>
        <v>51.136363636363633</v>
      </c>
      <c r="T22" s="3">
        <f t="shared" ref="T22:W26" ca="1" si="3">OFFSET($A$4,MATCH(T$21,$J$21:$N$21,0),MATCH(OFFSET($A$37,MATCH(SUMIFS($B$48:$B$51,$A$48:$A$51,$Q$20),$B$38:$B$44,0),),$B$1:$H$1,0))
*OFFSET($A$13,$G22,$D$12)/OFFSET($A$18,,$D$12)
*OFFSET($G$13,MATCH($P$20,$G$14:$G$18,0),MATCH(T$21,$H$21:$N$21,0))
*OFFSET($O$13,MATCH($P$20,$G$14:$G$18,0),MATCH(T$21,$H$21:$N$21,0))
/SUMIFS(OFFSET($O$14:$O$18,,MATCH(T$21,$H$21:$N$21,0)),OFFSET($G$14:$G$18,,MATCH(T$21,$H$21:$N$21,0)),1)</f>
        <v>0</v>
      </c>
      <c r="U22" s="3">
        <f t="shared" ca="1" si="3"/>
        <v>0</v>
      </c>
      <c r="V22" s="3">
        <f t="shared" ca="1" si="3"/>
        <v>0</v>
      </c>
      <c r="W22" s="3">
        <f t="shared" ca="1" si="3"/>
        <v>64.615384615384613</v>
      </c>
      <c r="Y22" s="3">
        <v>1</v>
      </c>
      <c r="Z22" s="3">
        <f t="array" aca="1" ref="Z22" ca="1">MEDIAN(_xlfn.IFS($B$38:$B$44=OFFSET($B$47,MATCH($Z$20,$A$48:$A$51,0),),TRANSPOSE(OFFSET($B$1:$H$1,MATCH(Z$21,$H$21:$I$21,0),)),TRUE,""))
*OFFSET($A$13,$G22,$D$12)/OFFSET($A$18,,$D$12)
*OFFSET($G$13,MATCH($Y$20,$G$14:$G$18,0),MATCH(Z$21,$H$21:$N$21,0))
*OFFSET($O$13,MATCH($Y$20,$G$14:$G$18,0),MATCH(Z$21,$H$21:$N$21,0))
/SUMIFS(OFFSET($O$14:$O$18,,MATCH(Z$21,$H$21:$N$21,0)),OFFSET($G$14:$G$18,,MATCH(Z$21,$H$21:$N$21,0)),1)</f>
        <v>4.1474654377880187</v>
      </c>
      <c r="AA22" s="3">
        <f t="array" aca="1" ref="AA22" ca="1">MEDIAN(_xlfn.IFS($B$38:$B$44=OFFSET($B$47,MATCH($Z$20,$A$48:$A$51,0),),TRANSPOSE(OFFSET($B$1:$H$1,MATCH(AA$21,$H$21:$I$21,0),)),TRUE,""))
*OFFSET($A$13,$G22,$D$12)/OFFSET($A$18,,$D$12)
*OFFSET($G$13,MATCH($Y$20,$G$14:$G$18,0),MATCH(AA$21,$H$21:$N$21,0))
*OFFSET($O$13,MATCH($Y$20,$G$14:$G$18,0),MATCH(AA$21,$H$21:$N$21,0))
/SUMIFS(OFFSET($O$14:$O$18,,MATCH(AA$21,$H$21:$N$21,0)),OFFSET($G$14:$G$18,,MATCH(AA$21,$H$21:$N$21,0)),1)
*模型构建!$L$1</f>
        <v>0</v>
      </c>
      <c r="AB22" s="3">
        <f ca="1">OFFSET($A$4,MATCH(AB$21,$J$21:$N$21,0),MATCH(OFFSET($A$37,MATCH(SUMIFS($B$48:$B$51,$A$48:$A$51,$Z$20),$B$38:$B$44,0),),$B$1:$H$1,0))
*OFFSET($A$13,$G22,$D$12)/OFFSET($A$18,,$D$12)
*OFFSET($G$13,MATCH($Y$20,$G$14:$G$18,0),MATCH(AB$21,$H$21:$N$21,0))
*OFFSET($O$13,MATCH($Y$20,$G$14:$G$18,0),MATCH(AB$21,$H$21:$N$21,0))
/SUMIFS(OFFSET($O$14:$O$18,,MATCH(AB$21,$H$21:$N$21,0)),OFFSET($G$14:$G$18,,MATCH(AB$21,$H$21:$N$21,0)),1)</f>
        <v>51.136363636363633</v>
      </c>
      <c r="AC22" s="3">
        <f t="shared" ref="AC22:AF26" ca="1" si="4">OFFSET($A$4,MATCH(AC$21,$J$21:$N$21,0),MATCH(OFFSET($A$37,MATCH(SUMIFS($B$48:$B$51,$A$48:$A$51,$Z$20),$B$38:$B$44,0),),$B$1:$H$1,0))
*OFFSET($A$13,$G22,$D$12)/OFFSET($A$18,,$D$12)
*OFFSET($G$13,MATCH($Y$20,$G$14:$G$18,0),MATCH(AC$21,$H$21:$N$21,0))
*OFFSET($O$13,MATCH($Y$20,$G$14:$G$18,0),MATCH(AC$21,$H$21:$N$21,0))
/SUMIFS(OFFSET($O$14:$O$18,,MATCH(AC$21,$H$21:$N$21,0)),OFFSET($G$14:$G$18,,MATCH(AC$21,$H$21:$N$21,0)),1)</f>
        <v>0</v>
      </c>
      <c r="AD22" s="3">
        <f t="shared" ca="1" si="4"/>
        <v>0</v>
      </c>
      <c r="AE22" s="3">
        <f t="shared" ca="1" si="4"/>
        <v>0</v>
      </c>
      <c r="AF22" s="3">
        <f t="shared" ca="1" si="4"/>
        <v>64.615384615384613</v>
      </c>
      <c r="AH22" s="3">
        <v>1</v>
      </c>
      <c r="AI22" s="3">
        <f t="array" aca="1" ref="AI22" ca="1">MEDIAN(_xlfn.IFS($B$38:$B$44=OFFSET($B$47,MATCH($AI$20,$A$48:$A$51,0),),TRANSPOSE(OFFSET($B$1:$H$1,MATCH(AI$21,$H$21:$I$21,0),)),TRUE,""))
*OFFSET($A$13,$G22,$D$12)/OFFSET($A$18,,$D$12)
*OFFSET($G$13,MATCH($AH$20,$G$14:$G$18,0),MATCH(AI$21,$H$21:$N$21,0))
*OFFSET($O$13,MATCH($AH$20,$G$14:$G$18,0),MATCH(AI$21,$H$21:$N$21,0))
/SUMIFS(OFFSET($O$14:$O$18,,MATCH(AI$21,$H$21:$N$21,0)),OFFSET($G$14:$G$18,,MATCH(AI$21,$H$21:$N$21,0)),1)</f>
        <v>4.3202764976958532</v>
      </c>
      <c r="AJ22" s="3">
        <f t="array" aca="1" ref="AJ22" ca="1">MEDIAN(_xlfn.IFS($B$38:$B$44=OFFSET($B$47,MATCH($AI$20,$A$48:$A$51,0),),TRANSPOSE(OFFSET($B$1:$H$1,MATCH(AJ$21,$H$21:$I$21,0),)),TRUE,""))
*OFFSET($A$13,$G22,$D$12)/OFFSET($A$18,,$D$12)
*OFFSET($G$13,MATCH($AH$20,$G$14:$G$18,0),MATCH(AJ$21,$H$21:$N$21,0))
*OFFSET($O$13,MATCH($AH$20,$G$14:$G$18,0),MATCH(AJ$21,$H$21:$N$21,0))
/SUMIFS(OFFSET($O$14:$O$18,,MATCH(AJ$21,$H$21:$N$21,0)),OFFSET($G$14:$G$18,,MATCH(AJ$21,$H$21:$N$21,0)),1)
*模型构建!$L$1</f>
        <v>0</v>
      </c>
      <c r="AK22" s="3">
        <f ca="1">OFFSET($A$4,MATCH(AK$21,$J$21:$N$21,0),MATCH(OFFSET($A$37,MATCH(SUMIFS($B$48:$B$51,$A$48:$A$51,$AI$20),$B$38:$B$44,0),),$B$1:$H$1,0))
*OFFSET($A$13,$G22,$D$12)/OFFSET($A$18,,$D$12)
*OFFSET($G$13,MATCH($AH$20,$G$14:$G$18,0),MATCH(AK$21,$H$21:$N$21,0))
*OFFSET($O$13,MATCH($AH$20,$G$14:$G$18,0),MATCH(AK$21,$H$21:$N$21,0))
/SUMIFS(OFFSET($O$14:$O$18,,MATCH(AK$21,$H$21:$N$21,0)),OFFSET($G$14:$G$18,,MATCH(AK$21,$H$21:$N$21,0)),1)</f>
        <v>51.136363636363633</v>
      </c>
      <c r="AL22" s="3">
        <f t="shared" ref="AL22:AO26" ca="1" si="5">OFFSET($A$4,MATCH(AL$21,$J$21:$N$21,0),MATCH(OFFSET($A$37,MATCH(SUMIFS($B$48:$B$51,$A$48:$A$51,$AI$20),$B$38:$B$44,0),),$B$1:$H$1,0))
*OFFSET($A$13,$G22,$D$12)/OFFSET($A$18,,$D$12)
*OFFSET($G$13,MATCH($AH$20,$G$14:$G$18,0),MATCH(AL$21,$H$21:$N$21,0))
*OFFSET($O$13,MATCH($AH$20,$G$14:$G$18,0),MATCH(AL$21,$H$21:$N$21,0))
/SUMIFS(OFFSET($O$14:$O$18,,MATCH(AL$21,$H$21:$N$21,0)),OFFSET($G$14:$G$18,,MATCH(AL$21,$H$21:$N$21,0)),1)</f>
        <v>0</v>
      </c>
      <c r="AM22" s="3">
        <f t="shared" ca="1" si="5"/>
        <v>0</v>
      </c>
      <c r="AN22" s="3">
        <f t="shared" ca="1" si="5"/>
        <v>0</v>
      </c>
      <c r="AO22" s="3">
        <f t="shared" ca="1" si="5"/>
        <v>64.615384615384613</v>
      </c>
    </row>
    <row r="23" spans="1:41">
      <c r="A23" s="3" t="s">
        <v>65</v>
      </c>
      <c r="B23" s="3">
        <f>模型构建!$P20</f>
        <v>2</v>
      </c>
      <c r="G23" s="3">
        <v>2</v>
      </c>
      <c r="H23" s="3">
        <f t="array" aca="1" ref="H23" ca="1">MEDIAN(_xlfn.IFS($B$38:$B$44=OFFSET($B$47,MATCH($H$20,$A$48:$A$51,0),),TRANSPOSE(OFFSET($B$1:$H$1,MATCH(H$21,$H$21:$I$21,0),)),TRUE,""))
*OFFSET($A$13,$G23,$D$12)/OFFSET($A$18,,$D$12)
*OFFSET($G$13,MATCH($G$20,$G$14:$G$18,0),MATCH(H$21,$H$21:$N$21,0))
*OFFSET($O$13,MATCH($G$20,$G$14:$G$18,0),MATCH(H$21,$H$21:$N$21,0))
/SUMIFS(OFFSET($O$14:$O$18,,MATCH(H$21,$H$21:$N$21,0)),OFFSET($G$14:$G$18,,MATCH(H$21,$H$21:$N$21,0)),1)</f>
        <v>4.4088592420903083</v>
      </c>
      <c r="I23" s="3">
        <f t="array" aca="1" ref="I23" ca="1">MEDIAN(_xlfn.IFS($B$38:$B$44=OFFSET($B$47,MATCH($H$20,$A$48:$A$51,0),),TRANSPOSE(OFFSET($B$1:$H$1,MATCH(I$21,$H$21:$I$21,0),)),TRUE,""))
*OFFSET($A$13,$G23,$D$12)/OFFSET($A$18,,$D$12)
*OFFSET($G$13,MATCH($G$20,$G$14:$G$18,0),MATCH(I$21,$H$21:$N$21,0))
*OFFSET($O$13,MATCH($G$20,$G$14:$G$18,0),MATCH(I$21,$H$21:$N$21,0))
/SUMIFS(OFFSET($O$14:$O$18,,MATCH(I$21,$H$21:$N$21,0)),OFFSET($G$14:$G$18,,MATCH(I$21,$H$21:$N$21,0)),1)
*_xlfn.IFS(I$21="生命",SUMIFS(模型构建!$B$8:$B$14,模型构建!$C$8:$C$14,1),TRUE,1)
*模型构建!$L$1</f>
        <v>0</v>
      </c>
      <c r="J23" s="3">
        <f t="shared" ref="J23:J26" ca="1" si="6">OFFSET($A$4,MATCH(J$21,$J$21:$N$21,0),MATCH(OFFSET($A$37,MATCH(SUMIFS($B$48:$B$51,$A$48:$A$51,$H$20),$B$38:$B$44,0),),$B$1:$H$1,0))
*OFFSET($A$13,$G23,$D$12)/OFFSET($A$18,,$D$12)
*OFFSET($G$13,MATCH($G$20,$G$14:$G$18,0),MATCH(J$21,$H$21:$N$21,0))
*OFFSET($O$13,MATCH($G$20,$G$14:$G$18,0),MATCH(J$21,$H$21:$N$21,0))
/SUMIFS(OFFSET($O$14:$O$18,,MATCH(J$21,$H$21:$N$21,0)),OFFSET($G$14:$G$18,,MATCH(J$21,$H$21:$N$21,0)),1)</f>
        <v>57.528409090909093</v>
      </c>
      <c r="K23" s="3">
        <f t="shared" ca="1" si="2"/>
        <v>0</v>
      </c>
      <c r="L23" s="3">
        <f t="shared" ca="1" si="2"/>
        <v>0</v>
      </c>
      <c r="M23" s="3">
        <f t="shared" ca="1" si="2"/>
        <v>0</v>
      </c>
      <c r="N23" s="3">
        <f t="shared" ca="1" si="2"/>
        <v>72.692307692307693</v>
      </c>
      <c r="P23" s="3">
        <v>2</v>
      </c>
      <c r="Q23" s="3">
        <f t="array" aca="1" ref="Q23" ca="1">MEDIAN(_xlfn.IFS($B$38:$B$44=OFFSET($B$47,MATCH($Q$20,$A$48:$A$51,0),),TRANSPOSE(OFFSET($B$1:$H$1,MATCH(Q$21,$H$21:$I$21,0),)),TRUE,""))
*OFFSET($A$13,$G23,$D$12)/OFFSET($A$18,,$D$12)
*OFFSET($G$13,MATCH($P$20,$G$14:$G$18,0),MATCH(Q$21,$H$21:$N$21,0))
*OFFSET($O$13,MATCH($P$20,$G$14:$G$18,0),MATCH(Q$21,$H$21:$N$21,0))
/SUMIFS(OFFSET($O$14:$O$18,,MATCH(Q$21,$H$21:$N$21,0)),OFFSET($G$14:$G$18,,MATCH(Q$21,$H$21:$N$21,0)),1)</f>
        <v>3.8114351318789566</v>
      </c>
      <c r="R23" s="3">
        <f t="array" aca="1" ref="R23" ca="1">MEDIAN(_xlfn.IFS($B$38:$B$44=OFFSET($B$47,MATCH($Q$20,$A$48:$A$51,0),),TRANSPOSE(OFFSET($B$1:$H$1,MATCH(R$21,$H$21:$I$21,0),)),TRUE,""))
*OFFSET($A$13,$G23,$D$12)/OFFSET($A$18,,$D$12)
*OFFSET($G$13,MATCH($P$20,$G$14:$G$18,0),MATCH(R$21,$H$21:$N$21,0))
*OFFSET($O$13,MATCH($P$20,$G$14:$G$18,0),MATCH(R$21,$H$21:$N$21,0))
/SUMIFS(OFFSET($O$14:$O$18,,MATCH(R$21,$H$21:$N$21,0)),OFFSET($G$14:$G$18,,MATCH(R$21,$H$21:$N$21,0)),1)
*模型构建!$L$1</f>
        <v>0</v>
      </c>
      <c r="S23" s="3">
        <f t="shared" ref="S23:S26" ca="1" si="7">OFFSET($A$4,MATCH(S$21,$J$21:$N$21,0),MATCH(OFFSET($A$37,MATCH(SUMIFS($B$48:$B$51,$A$48:$A$51,$Q$20),$B$38:$B$44,0),),$B$1:$H$1,0))
*OFFSET($A$13,$G23,$D$12)/OFFSET($A$18,,$D$12)
*OFFSET($G$13,MATCH($P$20,$G$14:$G$18,0),MATCH(S$21,$H$21:$N$21,0))
*OFFSET($O$13,MATCH($P$20,$G$14:$G$18,0),MATCH(S$21,$H$21:$N$21,0))
/SUMIFS(OFFSET($O$14:$O$18,,MATCH(S$21,$H$21:$N$21,0)),OFFSET($G$14:$G$18,,MATCH(S$21,$H$21:$N$21,0)),1)</f>
        <v>57.528409090909093</v>
      </c>
      <c r="T23" s="3">
        <f t="shared" ca="1" si="3"/>
        <v>0</v>
      </c>
      <c r="U23" s="3">
        <f t="shared" ca="1" si="3"/>
        <v>0</v>
      </c>
      <c r="V23" s="3">
        <f t="shared" ca="1" si="3"/>
        <v>0</v>
      </c>
      <c r="W23" s="3">
        <f t="shared" ca="1" si="3"/>
        <v>72.692307692307693</v>
      </c>
      <c r="Y23" s="3">
        <v>2</v>
      </c>
      <c r="Z23" s="3">
        <f t="array" aca="1" ref="Z23" ca="1">MEDIAN(_xlfn.IFS($B$38:$B$44=OFFSET($B$47,MATCH($Z$20,$A$48:$A$51,0),),TRANSPOSE(OFFSET($B$1:$H$1,MATCH(Z$21,$H$21:$I$21,0),)),TRUE,""))
*OFFSET($A$13,$G23,$D$12)/OFFSET($A$18,,$D$12)
*OFFSET($G$13,MATCH($Y$20,$G$14:$G$18,0),MATCH(Z$21,$H$21:$N$21,0))
*OFFSET($O$13,MATCH($Y$20,$G$14:$G$18,0),MATCH(Z$21,$H$21:$N$21,0))
/SUMIFS(OFFSET($O$14:$O$18,,MATCH(Z$21,$H$21:$N$21,0)),OFFSET($G$14:$G$18,,MATCH(Z$21,$H$21:$N$21,0)),1)</f>
        <v>4.6658986175115214</v>
      </c>
      <c r="AA23" s="3">
        <f t="array" aca="1" ref="AA23" ca="1">MEDIAN(_xlfn.IFS($B$38:$B$44=OFFSET($B$47,MATCH($Z$20,$A$48:$A$51,0),),TRANSPOSE(OFFSET($B$1:$H$1,MATCH(AA$21,$H$21:$I$21,0),)),TRUE,""))
*OFFSET($A$13,$G23,$D$12)/OFFSET($A$18,,$D$12)
*OFFSET($G$13,MATCH($Y$20,$G$14:$G$18,0),MATCH(AA$21,$H$21:$N$21,0))
*OFFSET($O$13,MATCH($Y$20,$G$14:$G$18,0),MATCH(AA$21,$H$21:$N$21,0))
/SUMIFS(OFFSET($O$14:$O$18,,MATCH(AA$21,$H$21:$N$21,0)),OFFSET($G$14:$G$18,,MATCH(AA$21,$H$21:$N$21,0)),1)
*模型构建!$L$1</f>
        <v>0</v>
      </c>
      <c r="AB23" s="3">
        <f t="shared" ref="AB23:AB26" ca="1" si="8">OFFSET($A$4,MATCH(AB$21,$J$21:$N$21,0),MATCH(OFFSET($A$37,MATCH(SUMIFS($B$48:$B$51,$A$48:$A$51,$Z$20),$B$38:$B$44,0),),$B$1:$H$1,0))
*OFFSET($A$13,$G23,$D$12)/OFFSET($A$18,,$D$12)
*OFFSET($G$13,MATCH($Y$20,$G$14:$G$18,0),MATCH(AB$21,$H$21:$N$21,0))
*OFFSET($O$13,MATCH($Y$20,$G$14:$G$18,0),MATCH(AB$21,$H$21:$N$21,0))
/SUMIFS(OFFSET($O$14:$O$18,,MATCH(AB$21,$H$21:$N$21,0)),OFFSET($G$14:$G$18,,MATCH(AB$21,$H$21:$N$21,0)),1)</f>
        <v>57.528409090909093</v>
      </c>
      <c r="AC23" s="3">
        <f t="shared" ca="1" si="4"/>
        <v>0</v>
      </c>
      <c r="AD23" s="3">
        <f t="shared" ca="1" si="4"/>
        <v>0</v>
      </c>
      <c r="AE23" s="3">
        <f t="shared" ca="1" si="4"/>
        <v>0</v>
      </c>
      <c r="AF23" s="3">
        <f t="shared" ca="1" si="4"/>
        <v>72.692307692307693</v>
      </c>
      <c r="AH23" s="3">
        <v>2</v>
      </c>
      <c r="AI23" s="3">
        <f t="array" aca="1" ref="AI23" ca="1">MEDIAN(_xlfn.IFS($B$38:$B$44=OFFSET($B$47,MATCH($AI$20,$A$48:$A$51,0),),TRANSPOSE(OFFSET($B$1:$H$1,MATCH(AI$21,$H$21:$I$21,0),)),TRUE,""))
*OFFSET($A$13,$G23,$D$12)/OFFSET($A$18,,$D$12)
*OFFSET($G$13,MATCH($AH$20,$G$14:$G$18,0),MATCH(AI$21,$H$21:$N$21,0))
*OFFSET($O$13,MATCH($AH$20,$G$14:$G$18,0),MATCH(AI$21,$H$21:$N$21,0))
/SUMIFS(OFFSET($O$14:$O$18,,MATCH(AI$21,$H$21:$N$21,0)),OFFSET($G$14:$G$18,,MATCH(AI$21,$H$21:$N$21,0)),1)</f>
        <v>4.8603110599078345</v>
      </c>
      <c r="AJ23" s="3">
        <f t="array" aca="1" ref="AJ23" ca="1">MEDIAN(_xlfn.IFS($B$38:$B$44=OFFSET($B$47,MATCH($AI$20,$A$48:$A$51,0),),TRANSPOSE(OFFSET($B$1:$H$1,MATCH(AJ$21,$H$21:$I$21,0),)),TRUE,""))
*OFFSET($A$13,$G23,$D$12)/OFFSET($A$18,,$D$12)
*OFFSET($G$13,MATCH($AH$20,$G$14:$G$18,0),MATCH(AJ$21,$H$21:$N$21,0))
*OFFSET($O$13,MATCH($AH$20,$G$14:$G$18,0),MATCH(AJ$21,$H$21:$N$21,0))
/SUMIFS(OFFSET($O$14:$O$18,,MATCH(AJ$21,$H$21:$N$21,0)),OFFSET($G$14:$G$18,,MATCH(AJ$21,$H$21:$N$21,0)),1)
*模型构建!$L$1</f>
        <v>0</v>
      </c>
      <c r="AK23" s="3">
        <f t="shared" ref="AK23:AK26" ca="1" si="9">OFFSET($A$4,MATCH(AK$21,$J$21:$N$21,0),MATCH(OFFSET($A$37,MATCH(SUMIFS($B$48:$B$51,$A$48:$A$51,$AI$20),$B$38:$B$44,0),),$B$1:$H$1,0))
*OFFSET($A$13,$G23,$D$12)/OFFSET($A$18,,$D$12)
*OFFSET($G$13,MATCH($AH$20,$G$14:$G$18,0),MATCH(AK$21,$H$21:$N$21,0))
*OFFSET($O$13,MATCH($AH$20,$G$14:$G$18,0),MATCH(AK$21,$H$21:$N$21,0))
/SUMIFS(OFFSET($O$14:$O$18,,MATCH(AK$21,$H$21:$N$21,0)),OFFSET($G$14:$G$18,,MATCH(AK$21,$H$21:$N$21,0)),1)</f>
        <v>57.528409090909093</v>
      </c>
      <c r="AL23" s="3">
        <f t="shared" ca="1" si="5"/>
        <v>0</v>
      </c>
      <c r="AM23" s="3">
        <f t="shared" ca="1" si="5"/>
        <v>0</v>
      </c>
      <c r="AN23" s="3">
        <f t="shared" ca="1" si="5"/>
        <v>0</v>
      </c>
      <c r="AO23" s="3">
        <f t="shared" ca="1" si="5"/>
        <v>72.692307692307693</v>
      </c>
    </row>
    <row r="24" spans="1:41">
      <c r="A24" s="3" t="s">
        <v>66</v>
      </c>
      <c r="B24" s="3">
        <f>模型构建!$P21</f>
        <v>1</v>
      </c>
      <c r="G24" s="3">
        <v>3</v>
      </c>
      <c r="H24" s="3">
        <f t="array" aca="1" ref="H24" ca="1">MEDIAN(_xlfn.IFS($B$38:$B$44=OFFSET($B$47,MATCH($H$20,$A$48:$A$51,0),),TRANSPOSE(OFFSET($B$1:$H$1,MATCH(H$21,$H$21:$I$21,0),)),TRUE,""))
*OFFSET($A$13,$G24,$D$12)/OFFSET($A$18,,$D$12)
*OFFSET($G$13,MATCH($G$20,$G$14:$G$18,0),MATCH(H$21,$H$21:$N$21,0))
*OFFSET($O$13,MATCH($G$20,$G$14:$G$18,0),MATCH(H$21,$H$21:$N$21,0))
/SUMIFS(OFFSET($O$14:$O$18,,MATCH(H$21,$H$21:$N$21,0)),OFFSET($G$14:$G$18,,MATCH(H$21,$H$21:$N$21,0)),1)</f>
        <v>4.8987324912114536</v>
      </c>
      <c r="I24" s="3">
        <f t="array" aca="1" ref="I24" ca="1">MEDIAN(_xlfn.IFS($B$38:$B$44=OFFSET($B$47,MATCH($H$20,$A$48:$A$51,0),),TRANSPOSE(OFFSET($B$1:$H$1,MATCH(I$21,$H$21:$I$21,0),)),TRUE,""))
*OFFSET($A$13,$G24,$D$12)/OFFSET($A$18,,$D$12)
*OFFSET($G$13,MATCH($G$20,$G$14:$G$18,0),MATCH(I$21,$H$21:$N$21,0))
*OFFSET($O$13,MATCH($G$20,$G$14:$G$18,0),MATCH(I$21,$H$21:$N$21,0))
/SUMIFS(OFFSET($O$14:$O$18,,MATCH(I$21,$H$21:$N$21,0)),OFFSET($G$14:$G$18,,MATCH(I$21,$H$21:$N$21,0)),1)
*_xlfn.IFS(I$21="生命",SUMIFS(模型构建!$B$8:$B$14,模型构建!$C$8:$C$14,1),TRUE,1)
*模型构建!$L$1</f>
        <v>0</v>
      </c>
      <c r="J24" s="3">
        <f t="shared" ca="1" si="6"/>
        <v>63.920454545454547</v>
      </c>
      <c r="K24" s="3">
        <f t="shared" ca="1" si="2"/>
        <v>0</v>
      </c>
      <c r="L24" s="3">
        <f t="shared" ca="1" si="2"/>
        <v>0</v>
      </c>
      <c r="M24" s="3">
        <f t="shared" ca="1" si="2"/>
        <v>0</v>
      </c>
      <c r="N24" s="3">
        <f t="shared" ca="1" si="2"/>
        <v>80.769230769230774</v>
      </c>
      <c r="P24" s="3">
        <v>3</v>
      </c>
      <c r="Q24" s="3">
        <f t="array" aca="1" ref="Q24" ca="1">MEDIAN(_xlfn.IFS($B$38:$B$44=OFFSET($B$47,MATCH($Q$20,$A$48:$A$51,0),),TRANSPOSE(OFFSET($B$1:$H$1,MATCH(Q$21,$H$21:$I$21,0),)),TRUE,""))
*OFFSET($A$13,$G24,$D$12)/OFFSET($A$18,,$D$12)
*OFFSET($G$13,MATCH($P$20,$G$14:$G$18,0),MATCH(Q$21,$H$21:$N$21,0))
*OFFSET($O$13,MATCH($P$20,$G$14:$G$18,0),MATCH(Q$21,$H$21:$N$21,0))
/SUMIFS(OFFSET($O$14:$O$18,,MATCH(Q$21,$H$21:$N$21,0)),OFFSET($G$14:$G$18,,MATCH(Q$21,$H$21:$N$21,0)),1)</f>
        <v>4.2349279243099511</v>
      </c>
      <c r="R24" s="3">
        <f t="array" aca="1" ref="R24" ca="1">MEDIAN(_xlfn.IFS($B$38:$B$44=OFFSET($B$47,MATCH($Q$20,$A$48:$A$51,0),),TRANSPOSE(OFFSET($B$1:$H$1,MATCH(R$21,$H$21:$I$21,0),)),TRUE,""))
*OFFSET($A$13,$G24,$D$12)/OFFSET($A$18,,$D$12)
*OFFSET($G$13,MATCH($P$20,$G$14:$G$18,0),MATCH(R$21,$H$21:$N$21,0))
*OFFSET($O$13,MATCH($P$20,$G$14:$G$18,0),MATCH(R$21,$H$21:$N$21,0))
/SUMIFS(OFFSET($O$14:$O$18,,MATCH(R$21,$H$21:$N$21,0)),OFFSET($G$14:$G$18,,MATCH(R$21,$H$21:$N$21,0)),1)
*模型构建!$L$1</f>
        <v>0</v>
      </c>
      <c r="S24" s="3">
        <f t="shared" ca="1" si="7"/>
        <v>63.920454545454547</v>
      </c>
      <c r="T24" s="3">
        <f t="shared" ca="1" si="3"/>
        <v>0</v>
      </c>
      <c r="U24" s="3">
        <f t="shared" ca="1" si="3"/>
        <v>0</v>
      </c>
      <c r="V24" s="3">
        <f t="shared" ca="1" si="3"/>
        <v>0</v>
      </c>
      <c r="W24" s="3">
        <f t="shared" ca="1" si="3"/>
        <v>80.769230769230774</v>
      </c>
      <c r="Y24" s="3">
        <v>3</v>
      </c>
      <c r="Z24" s="3">
        <f t="array" aca="1" ref="Z24" ca="1">MEDIAN(_xlfn.IFS($B$38:$B$44=OFFSET($B$47,MATCH($Z$20,$A$48:$A$51,0),),TRANSPOSE(OFFSET($B$1:$H$1,MATCH(Z$21,$H$21:$I$21,0),)),TRUE,""))
*OFFSET($A$13,$G24,$D$12)/OFFSET($A$18,,$D$12)
*OFFSET($G$13,MATCH($Y$20,$G$14:$G$18,0),MATCH(Z$21,$H$21:$N$21,0))
*OFFSET($O$13,MATCH($Y$20,$G$14:$G$18,0),MATCH(Z$21,$H$21:$N$21,0))
/SUMIFS(OFFSET($O$14:$O$18,,MATCH(Z$21,$H$21:$N$21,0)),OFFSET($G$14:$G$18,,MATCH(Z$21,$H$21:$N$21,0)),1)</f>
        <v>5.184331797235024</v>
      </c>
      <c r="AA24" s="3">
        <f t="array" aca="1" ref="AA24" ca="1">MEDIAN(_xlfn.IFS($B$38:$B$44=OFFSET($B$47,MATCH($Z$20,$A$48:$A$51,0),),TRANSPOSE(OFFSET($B$1:$H$1,MATCH(AA$21,$H$21:$I$21,0),)),TRUE,""))
*OFFSET($A$13,$G24,$D$12)/OFFSET($A$18,,$D$12)
*OFFSET($G$13,MATCH($Y$20,$G$14:$G$18,0),MATCH(AA$21,$H$21:$N$21,0))
*OFFSET($O$13,MATCH($Y$20,$G$14:$G$18,0),MATCH(AA$21,$H$21:$N$21,0))
/SUMIFS(OFFSET($O$14:$O$18,,MATCH(AA$21,$H$21:$N$21,0)),OFFSET($G$14:$G$18,,MATCH(AA$21,$H$21:$N$21,0)),1)
*模型构建!$L$1</f>
        <v>0</v>
      </c>
      <c r="AB24" s="3">
        <f t="shared" ca="1" si="8"/>
        <v>63.920454545454547</v>
      </c>
      <c r="AC24" s="3">
        <f t="shared" ca="1" si="4"/>
        <v>0</v>
      </c>
      <c r="AD24" s="3">
        <f t="shared" ca="1" si="4"/>
        <v>0</v>
      </c>
      <c r="AE24" s="3">
        <f t="shared" ca="1" si="4"/>
        <v>0</v>
      </c>
      <c r="AF24" s="3">
        <f t="shared" ca="1" si="4"/>
        <v>80.769230769230774</v>
      </c>
      <c r="AH24" s="3">
        <v>3</v>
      </c>
      <c r="AI24" s="3">
        <f t="array" aca="1" ref="AI24" ca="1">MEDIAN(_xlfn.IFS($B$38:$B$44=OFFSET($B$47,MATCH($AI$20,$A$48:$A$51,0),),TRANSPOSE(OFFSET($B$1:$H$1,MATCH(AI$21,$H$21:$I$21,0),)),TRUE,""))
*OFFSET($A$13,$G24,$D$12)/OFFSET($A$18,,$D$12)
*OFFSET($G$13,MATCH($AH$20,$G$14:$G$18,0),MATCH(AI$21,$H$21:$N$21,0))
*OFFSET($O$13,MATCH($AH$20,$G$14:$G$18,0),MATCH(AI$21,$H$21:$N$21,0))
/SUMIFS(OFFSET($O$14:$O$18,,MATCH(AI$21,$H$21:$N$21,0)),OFFSET($G$14:$G$18,,MATCH(AI$21,$H$21:$N$21,0)),1)</f>
        <v>5.4003456221198158</v>
      </c>
      <c r="AJ24" s="3">
        <f t="array" aca="1" ref="AJ24" ca="1">MEDIAN(_xlfn.IFS($B$38:$B$44=OFFSET($B$47,MATCH($AI$20,$A$48:$A$51,0),),TRANSPOSE(OFFSET($B$1:$H$1,MATCH(AJ$21,$H$21:$I$21,0),)),TRUE,""))
*OFFSET($A$13,$G24,$D$12)/OFFSET($A$18,,$D$12)
*OFFSET($G$13,MATCH($AH$20,$G$14:$G$18,0),MATCH(AJ$21,$H$21:$N$21,0))
*OFFSET($O$13,MATCH($AH$20,$G$14:$G$18,0),MATCH(AJ$21,$H$21:$N$21,0))
/SUMIFS(OFFSET($O$14:$O$18,,MATCH(AJ$21,$H$21:$N$21,0)),OFFSET($G$14:$G$18,,MATCH(AJ$21,$H$21:$N$21,0)),1)
*模型构建!$L$1</f>
        <v>0</v>
      </c>
      <c r="AK24" s="3">
        <f t="shared" ca="1" si="9"/>
        <v>63.920454545454547</v>
      </c>
      <c r="AL24" s="3">
        <f t="shared" ca="1" si="5"/>
        <v>0</v>
      </c>
      <c r="AM24" s="3">
        <f t="shared" ca="1" si="5"/>
        <v>0</v>
      </c>
      <c r="AN24" s="3">
        <f t="shared" ca="1" si="5"/>
        <v>0</v>
      </c>
      <c r="AO24" s="3">
        <f t="shared" ca="1" si="5"/>
        <v>80.769230769230774</v>
      </c>
    </row>
    <row r="25" spans="1:41">
      <c r="A25" s="3" t="s">
        <v>67</v>
      </c>
      <c r="B25" s="3">
        <f>模型构建!$P22</f>
        <v>1</v>
      </c>
      <c r="G25" s="3">
        <v>4</v>
      </c>
      <c r="H25" s="3">
        <f t="array" aca="1" ref="H25" ca="1">MEDIAN(_xlfn.IFS($B$38:$B$44=OFFSET($B$47,MATCH($H$20,$A$48:$A$51,0),),TRANSPOSE(OFFSET($B$1:$H$1,MATCH(H$21,$H$21:$I$21,0),)),TRUE,""))
*OFFSET($A$13,$G25,$D$12)/OFFSET($A$18,,$D$12)
*OFFSET($G$13,MATCH($G$20,$G$14:$G$18,0),MATCH(H$21,$H$21:$N$21,0))
*OFFSET($O$13,MATCH($G$20,$G$14:$G$18,0),MATCH(H$21,$H$21:$N$21,0))
/SUMIFS(OFFSET($O$14:$O$18,,MATCH(H$21,$H$21:$N$21,0)),OFFSET($G$14:$G$18,,MATCH(H$21,$H$21:$N$21,0)),1)</f>
        <v>5.388605740332598</v>
      </c>
      <c r="I25" s="3">
        <f t="array" aca="1" ref="I25" ca="1">MEDIAN(_xlfn.IFS($B$38:$B$44=OFFSET($B$47,MATCH($H$20,$A$48:$A$51,0),),TRANSPOSE(OFFSET($B$1:$H$1,MATCH(I$21,$H$21:$I$21,0),)),TRUE,""))
*OFFSET($A$13,$G25,$D$12)/OFFSET($A$18,,$D$12)
*OFFSET($G$13,MATCH($G$20,$G$14:$G$18,0),MATCH(I$21,$H$21:$N$21,0))
*OFFSET($O$13,MATCH($G$20,$G$14:$G$18,0),MATCH(I$21,$H$21:$N$21,0))
/SUMIFS(OFFSET($O$14:$O$18,,MATCH(I$21,$H$21:$N$21,0)),OFFSET($G$14:$G$18,,MATCH(I$21,$H$21:$N$21,0)),1)
*_xlfn.IFS(I$21="生命",SUMIFS(模型构建!$B$8:$B$14,模型构建!$C$8:$C$14,1),TRUE,1)
*模型构建!$L$1</f>
        <v>0</v>
      </c>
      <c r="J25" s="3">
        <f t="shared" ca="1" si="6"/>
        <v>70.3125</v>
      </c>
      <c r="K25" s="3">
        <f t="shared" ca="1" si="2"/>
        <v>0</v>
      </c>
      <c r="L25" s="3">
        <f t="shared" ca="1" si="2"/>
        <v>0</v>
      </c>
      <c r="M25" s="3">
        <f t="shared" ca="1" si="2"/>
        <v>0</v>
      </c>
      <c r="N25" s="3">
        <f t="shared" ca="1" si="2"/>
        <v>88.84615384615384</v>
      </c>
      <c r="P25" s="3">
        <v>4</v>
      </c>
      <c r="Q25" s="3">
        <f t="array" aca="1" ref="Q25" ca="1">MEDIAN(_xlfn.IFS($B$38:$B$44=OFFSET($B$47,MATCH($Q$20,$A$48:$A$51,0),),TRANSPOSE(OFFSET($B$1:$H$1,MATCH(Q$21,$H$21:$I$21,0),)),TRUE,""))
*OFFSET($A$13,$G25,$D$12)/OFFSET($A$18,,$D$12)
*OFFSET($G$13,MATCH($P$20,$G$14:$G$18,0),MATCH(Q$21,$H$21:$N$21,0))
*OFFSET($O$13,MATCH($P$20,$G$14:$G$18,0),MATCH(Q$21,$H$21:$N$21,0))
/SUMIFS(OFFSET($O$14:$O$18,,MATCH(Q$21,$H$21:$N$21,0)),OFFSET($G$14:$G$18,,MATCH(Q$21,$H$21:$N$21,0)),1)</f>
        <v>4.658420716740947</v>
      </c>
      <c r="R25" s="3">
        <f t="array" aca="1" ref="R25" ca="1">MEDIAN(_xlfn.IFS($B$38:$B$44=OFFSET($B$47,MATCH($Q$20,$A$48:$A$51,0),),TRANSPOSE(OFFSET($B$1:$H$1,MATCH(R$21,$H$21:$I$21,0),)),TRUE,""))
*OFFSET($A$13,$G25,$D$12)/OFFSET($A$18,,$D$12)
*OFFSET($G$13,MATCH($P$20,$G$14:$G$18,0),MATCH(R$21,$H$21:$N$21,0))
*OFFSET($O$13,MATCH($P$20,$G$14:$G$18,0),MATCH(R$21,$H$21:$N$21,0))
/SUMIFS(OFFSET($O$14:$O$18,,MATCH(R$21,$H$21:$N$21,0)),OFFSET($G$14:$G$18,,MATCH(R$21,$H$21:$N$21,0)),1)
*模型构建!$L$1</f>
        <v>0</v>
      </c>
      <c r="S25" s="3">
        <f t="shared" ca="1" si="7"/>
        <v>70.3125</v>
      </c>
      <c r="T25" s="3">
        <f t="shared" ca="1" si="3"/>
        <v>0</v>
      </c>
      <c r="U25" s="3">
        <f t="shared" ca="1" si="3"/>
        <v>0</v>
      </c>
      <c r="V25" s="3">
        <f t="shared" ca="1" si="3"/>
        <v>0</v>
      </c>
      <c r="W25" s="3">
        <f t="shared" ca="1" si="3"/>
        <v>88.84615384615384</v>
      </c>
      <c r="Y25" s="3">
        <v>4</v>
      </c>
      <c r="Z25" s="3">
        <f t="array" aca="1" ref="Z25" ca="1">MEDIAN(_xlfn.IFS($B$38:$B$44=OFFSET($B$47,MATCH($Z$20,$A$48:$A$51,0),),TRANSPOSE(OFFSET($B$1:$H$1,MATCH(Z$21,$H$21:$I$21,0),)),TRUE,""))
*OFFSET($A$13,$G25,$D$12)/OFFSET($A$18,,$D$12)
*OFFSET($G$13,MATCH($Y$20,$G$14:$G$18,0),MATCH(Z$21,$H$21:$N$21,0))
*OFFSET($O$13,MATCH($Y$20,$G$14:$G$18,0),MATCH(Z$21,$H$21:$N$21,0))
/SUMIFS(OFFSET($O$14:$O$18,,MATCH(Z$21,$H$21:$N$21,0)),OFFSET($G$14:$G$18,,MATCH(Z$21,$H$21:$N$21,0)),1)</f>
        <v>5.7027649769585267</v>
      </c>
      <c r="AA25" s="3">
        <f t="array" aca="1" ref="AA25" ca="1">MEDIAN(_xlfn.IFS($B$38:$B$44=OFFSET($B$47,MATCH($Z$20,$A$48:$A$51,0),),TRANSPOSE(OFFSET($B$1:$H$1,MATCH(AA$21,$H$21:$I$21,0),)),TRUE,""))
*OFFSET($A$13,$G25,$D$12)/OFFSET($A$18,,$D$12)
*OFFSET($G$13,MATCH($Y$20,$G$14:$G$18,0),MATCH(AA$21,$H$21:$N$21,0))
*OFFSET($O$13,MATCH($Y$20,$G$14:$G$18,0),MATCH(AA$21,$H$21:$N$21,0))
/SUMIFS(OFFSET($O$14:$O$18,,MATCH(AA$21,$H$21:$N$21,0)),OFFSET($G$14:$G$18,,MATCH(AA$21,$H$21:$N$21,0)),1)
*模型构建!$L$1</f>
        <v>0</v>
      </c>
      <c r="AB25" s="3">
        <f t="shared" ca="1" si="8"/>
        <v>70.3125</v>
      </c>
      <c r="AC25" s="3">
        <f t="shared" ca="1" si="4"/>
        <v>0</v>
      </c>
      <c r="AD25" s="3">
        <f t="shared" ca="1" si="4"/>
        <v>0</v>
      </c>
      <c r="AE25" s="3">
        <f t="shared" ca="1" si="4"/>
        <v>0</v>
      </c>
      <c r="AF25" s="3">
        <f t="shared" ca="1" si="4"/>
        <v>88.84615384615384</v>
      </c>
      <c r="AH25" s="3">
        <v>4</v>
      </c>
      <c r="AI25" s="3">
        <f t="array" aca="1" ref="AI25" ca="1">MEDIAN(_xlfn.IFS($B$38:$B$44=OFFSET($B$47,MATCH($AI$20,$A$48:$A$51,0),),TRANSPOSE(OFFSET($B$1:$H$1,MATCH(AI$21,$H$21:$I$21,0),)),TRUE,""))
*OFFSET($A$13,$G25,$D$12)/OFFSET($A$18,,$D$12)
*OFFSET($G$13,MATCH($AH$20,$G$14:$G$18,0),MATCH(AI$21,$H$21:$N$21,0))
*OFFSET($O$13,MATCH($AH$20,$G$14:$G$18,0),MATCH(AI$21,$H$21:$N$21,0))
/SUMIFS(OFFSET($O$14:$O$18,,MATCH(AI$21,$H$21:$N$21,0)),OFFSET($G$14:$G$18,,MATCH(AI$21,$H$21:$N$21,0)),1)</f>
        <v>5.940380184331798</v>
      </c>
      <c r="AJ25" s="3">
        <f t="array" aca="1" ref="AJ25" ca="1">MEDIAN(_xlfn.IFS($B$38:$B$44=OFFSET($B$47,MATCH($AI$20,$A$48:$A$51,0),),TRANSPOSE(OFFSET($B$1:$H$1,MATCH(AJ$21,$H$21:$I$21,0),)),TRUE,""))
*OFFSET($A$13,$G25,$D$12)/OFFSET($A$18,,$D$12)
*OFFSET($G$13,MATCH($AH$20,$G$14:$G$18,0),MATCH(AJ$21,$H$21:$N$21,0))
*OFFSET($O$13,MATCH($AH$20,$G$14:$G$18,0),MATCH(AJ$21,$H$21:$N$21,0))
/SUMIFS(OFFSET($O$14:$O$18,,MATCH(AJ$21,$H$21:$N$21,0)),OFFSET($G$14:$G$18,,MATCH(AJ$21,$H$21:$N$21,0)),1)
*模型构建!$L$1</f>
        <v>0</v>
      </c>
      <c r="AK25" s="3">
        <f t="shared" ca="1" si="9"/>
        <v>70.3125</v>
      </c>
      <c r="AL25" s="3">
        <f t="shared" ca="1" si="5"/>
        <v>0</v>
      </c>
      <c r="AM25" s="3">
        <f t="shared" ca="1" si="5"/>
        <v>0</v>
      </c>
      <c r="AN25" s="3">
        <f t="shared" ca="1" si="5"/>
        <v>0</v>
      </c>
      <c r="AO25" s="3">
        <f t="shared" ca="1" si="5"/>
        <v>88.84615384615384</v>
      </c>
    </row>
    <row r="26" spans="1:41">
      <c r="A26" s="3" t="s">
        <v>68</v>
      </c>
      <c r="B26" s="3">
        <f>模型构建!$P23</f>
        <v>3</v>
      </c>
      <c r="G26" s="3">
        <v>5</v>
      </c>
      <c r="H26" s="3">
        <f t="array" aca="1" ref="H26" ca="1">MEDIAN(_xlfn.IFS($B$38:$B$44=OFFSET($B$47,MATCH($H$20,$A$48:$A$51,0),),TRANSPOSE(OFFSET($B$1:$H$1,MATCH(H$21,$H$21:$I$21,0),)),TRUE,""))
*OFFSET($A$13,$G26,$D$12)/OFFSET($A$18,,$D$12)
*OFFSET($G$13,MATCH($G$20,$G$14:$G$18,0),MATCH(H$21,$H$21:$N$21,0))
*OFFSET($O$13,MATCH($G$20,$G$14:$G$18,0),MATCH(H$21,$H$21:$N$21,0))
/SUMIFS(OFFSET($O$14:$O$18,,MATCH(H$21,$H$21:$N$21,0)),OFFSET($G$14:$G$18,,MATCH(H$21,$H$21:$N$21,0)),1)</f>
        <v>5.8784789894537441</v>
      </c>
      <c r="I26" s="3">
        <f t="array" aca="1" ref="I26" ca="1">MEDIAN(_xlfn.IFS($B$38:$B$44=OFFSET($B$47,MATCH($H$20,$A$48:$A$51,0),),TRANSPOSE(OFFSET($B$1:$H$1,MATCH(I$21,$H$21:$I$21,0),)),TRUE,""))
*OFFSET($A$13,$G26,$D$12)/OFFSET($A$18,,$D$12)
*OFFSET($G$13,MATCH($G$20,$G$14:$G$18,0),MATCH(I$21,$H$21:$N$21,0))
*OFFSET($O$13,MATCH($G$20,$G$14:$G$18,0),MATCH(I$21,$H$21:$N$21,0))
/SUMIFS(OFFSET($O$14:$O$18,,MATCH(I$21,$H$21:$N$21,0)),OFFSET($G$14:$G$18,,MATCH(I$21,$H$21:$N$21,0)),1)
*_xlfn.IFS(I$21="生命",SUMIFS(模型构建!$B$8:$B$14,模型构建!$C$8:$C$14,1),TRUE,1)
*模型构建!$L$1</f>
        <v>0</v>
      </c>
      <c r="J26" s="3">
        <f t="shared" ca="1" si="6"/>
        <v>76.704545454545453</v>
      </c>
      <c r="K26" s="3">
        <f t="shared" ca="1" si="2"/>
        <v>0</v>
      </c>
      <c r="L26" s="3">
        <f t="shared" ca="1" si="2"/>
        <v>0</v>
      </c>
      <c r="M26" s="3">
        <f t="shared" ca="1" si="2"/>
        <v>0</v>
      </c>
      <c r="N26" s="3">
        <f t="shared" ca="1" si="2"/>
        <v>96.92307692307692</v>
      </c>
      <c r="P26" s="3">
        <v>5</v>
      </c>
      <c r="Q26" s="3">
        <f t="array" aca="1" ref="Q26" ca="1">MEDIAN(_xlfn.IFS($B$38:$B$44=OFFSET($B$47,MATCH($Q$20,$A$48:$A$51,0),),TRANSPOSE(OFFSET($B$1:$H$1,MATCH(Q$21,$H$21:$I$21,0),)),TRUE,""))
*OFFSET($A$13,$G26,$D$12)/OFFSET($A$18,,$D$12)
*OFFSET($G$13,MATCH($P$20,$G$14:$G$18,0),MATCH(Q$21,$H$21:$N$21,0))
*OFFSET($O$13,MATCH($P$20,$G$14:$G$18,0),MATCH(Q$21,$H$21:$N$21,0))
/SUMIFS(OFFSET($O$14:$O$18,,MATCH(Q$21,$H$21:$N$21,0)),OFFSET($G$14:$G$18,,MATCH(Q$21,$H$21:$N$21,0)),1)</f>
        <v>5.0819135091719421</v>
      </c>
      <c r="R26" s="3">
        <f t="array" aca="1" ref="R26" ca="1">MEDIAN(_xlfn.IFS($B$38:$B$44=OFFSET($B$47,MATCH($Q$20,$A$48:$A$51,0),),TRANSPOSE(OFFSET($B$1:$H$1,MATCH(R$21,$H$21:$I$21,0),)),TRUE,""))
*OFFSET($A$13,$G26,$D$12)/OFFSET($A$18,,$D$12)
*OFFSET($G$13,MATCH($P$20,$G$14:$G$18,0),MATCH(R$21,$H$21:$N$21,0))
*OFFSET($O$13,MATCH($P$20,$G$14:$G$18,0),MATCH(R$21,$H$21:$N$21,0))
/SUMIFS(OFFSET($O$14:$O$18,,MATCH(R$21,$H$21:$N$21,0)),OFFSET($G$14:$G$18,,MATCH(R$21,$H$21:$N$21,0)),1)
*模型构建!$L$1</f>
        <v>0</v>
      </c>
      <c r="S26" s="3">
        <f t="shared" ca="1" si="7"/>
        <v>76.704545454545453</v>
      </c>
      <c r="T26" s="3">
        <f t="shared" ca="1" si="3"/>
        <v>0</v>
      </c>
      <c r="U26" s="3">
        <f t="shared" ca="1" si="3"/>
        <v>0</v>
      </c>
      <c r="V26" s="3">
        <f t="shared" ca="1" si="3"/>
        <v>0</v>
      </c>
      <c r="W26" s="3">
        <f t="shared" ca="1" si="3"/>
        <v>96.92307692307692</v>
      </c>
      <c r="Y26" s="3">
        <v>5</v>
      </c>
      <c r="Z26" s="3">
        <f t="array" aca="1" ref="Z26" ca="1">MEDIAN(_xlfn.IFS($B$38:$B$44=OFFSET($B$47,MATCH($Z$20,$A$48:$A$51,0),),TRANSPOSE(OFFSET($B$1:$H$1,MATCH(Z$21,$H$21:$I$21,0),)),TRUE,""))
*OFFSET($A$13,$G26,$D$12)/OFFSET($A$18,,$D$12)
*OFFSET($G$13,MATCH($Y$20,$G$14:$G$18,0),MATCH(Z$21,$H$21:$N$21,0))
*OFFSET($O$13,MATCH($Y$20,$G$14:$G$18,0),MATCH(Z$21,$H$21:$N$21,0))
/SUMIFS(OFFSET($O$14:$O$18,,MATCH(Z$21,$H$21:$N$21,0)),OFFSET($G$14:$G$18,,MATCH(Z$21,$H$21:$N$21,0)),1)</f>
        <v>6.2211981566820285</v>
      </c>
      <c r="AA26" s="3">
        <f t="array" aca="1" ref="AA26" ca="1">MEDIAN(_xlfn.IFS($B$38:$B$44=OFFSET($B$47,MATCH($Z$20,$A$48:$A$51,0),),TRANSPOSE(OFFSET($B$1:$H$1,MATCH(AA$21,$H$21:$I$21,0),)),TRUE,""))
*OFFSET($A$13,$G26,$D$12)/OFFSET($A$18,,$D$12)
*OFFSET($G$13,MATCH($Y$20,$G$14:$G$18,0),MATCH(AA$21,$H$21:$N$21,0))
*OFFSET($O$13,MATCH($Y$20,$G$14:$G$18,0),MATCH(AA$21,$H$21:$N$21,0))
/SUMIFS(OFFSET($O$14:$O$18,,MATCH(AA$21,$H$21:$N$21,0)),OFFSET($G$14:$G$18,,MATCH(AA$21,$H$21:$N$21,0)),1)
*模型构建!$L$1</f>
        <v>0</v>
      </c>
      <c r="AB26" s="3">
        <f t="shared" ca="1" si="8"/>
        <v>76.704545454545453</v>
      </c>
      <c r="AC26" s="3">
        <f t="shared" ca="1" si="4"/>
        <v>0</v>
      </c>
      <c r="AD26" s="3">
        <f t="shared" ca="1" si="4"/>
        <v>0</v>
      </c>
      <c r="AE26" s="3">
        <f t="shared" ca="1" si="4"/>
        <v>0</v>
      </c>
      <c r="AF26" s="3">
        <f t="shared" ca="1" si="4"/>
        <v>96.92307692307692</v>
      </c>
      <c r="AH26" s="3">
        <v>5</v>
      </c>
      <c r="AI26" s="3">
        <f t="array" aca="1" ref="AI26" ca="1">MEDIAN(_xlfn.IFS($B$38:$B$44=OFFSET($B$47,MATCH($AI$20,$A$48:$A$51,0),),TRANSPOSE(OFFSET($B$1:$H$1,MATCH(AI$21,$H$21:$I$21,0),)),TRUE,""))
*OFFSET($A$13,$G26,$D$12)/OFFSET($A$18,,$D$12)
*OFFSET($G$13,MATCH($AH$20,$G$14:$G$18,0),MATCH(AI$21,$H$21:$N$21,0))
*OFFSET($O$13,MATCH($AH$20,$G$14:$G$18,0),MATCH(AI$21,$H$21:$N$21,0))
/SUMIFS(OFFSET($O$14:$O$18,,MATCH(AI$21,$H$21:$N$21,0)),OFFSET($G$14:$G$18,,MATCH(AI$21,$H$21:$N$21,0)),1)</f>
        <v>6.4804147465437794</v>
      </c>
      <c r="AJ26" s="3">
        <f t="array" aca="1" ref="AJ26" ca="1">MEDIAN(_xlfn.IFS($B$38:$B$44=OFFSET($B$47,MATCH($AI$20,$A$48:$A$51,0),),TRANSPOSE(OFFSET($B$1:$H$1,MATCH(AJ$21,$H$21:$I$21,0),)),TRUE,""))
*OFFSET($A$13,$G26,$D$12)/OFFSET($A$18,,$D$12)
*OFFSET($G$13,MATCH($AH$20,$G$14:$G$18,0),MATCH(AJ$21,$H$21:$N$21,0))
*OFFSET($O$13,MATCH($AH$20,$G$14:$G$18,0),MATCH(AJ$21,$H$21:$N$21,0))
/SUMIFS(OFFSET($O$14:$O$18,,MATCH(AJ$21,$H$21:$N$21,0)),OFFSET($G$14:$G$18,,MATCH(AJ$21,$H$21:$N$21,0)),1)
*模型构建!$L$1</f>
        <v>0</v>
      </c>
      <c r="AK26" s="3">
        <f t="shared" ca="1" si="9"/>
        <v>76.704545454545453</v>
      </c>
      <c r="AL26" s="3">
        <f t="shared" ca="1" si="5"/>
        <v>0</v>
      </c>
      <c r="AM26" s="3">
        <f t="shared" ca="1" si="5"/>
        <v>0</v>
      </c>
      <c r="AN26" s="3">
        <f t="shared" ca="1" si="5"/>
        <v>0</v>
      </c>
      <c r="AO26" s="3">
        <f t="shared" ca="1" si="5"/>
        <v>96.92307692307692</v>
      </c>
    </row>
    <row r="27" spans="1:41">
      <c r="A27" s="3" t="s">
        <v>69</v>
      </c>
      <c r="B27" s="3">
        <f>模型构建!$P24</f>
        <v>2</v>
      </c>
    </row>
    <row r="28" spans="1:41">
      <c r="A28" s="3" t="s">
        <v>70</v>
      </c>
      <c r="B28" s="3">
        <f>模型构建!$P25</f>
        <v>3</v>
      </c>
    </row>
    <row r="29" spans="1:41">
      <c r="G29" s="3" t="s">
        <v>103</v>
      </c>
      <c r="H29" s="3" t="s">
        <v>93</v>
      </c>
      <c r="P29" s="3" t="str">
        <f>G29</f>
        <v>胸部</v>
      </c>
      <c r="Q29" s="3" t="s">
        <v>95</v>
      </c>
      <c r="Y29" s="3" t="str">
        <f>P29</f>
        <v>胸部</v>
      </c>
      <c r="Z29" s="3" t="s">
        <v>97</v>
      </c>
    </row>
    <row r="30" spans="1:41">
      <c r="G30" s="5" t="s">
        <v>146</v>
      </c>
      <c r="H30" s="10" t="s">
        <v>78</v>
      </c>
      <c r="I30" s="9" t="s">
        <v>79</v>
      </c>
      <c r="J30" s="12" t="s">
        <v>118</v>
      </c>
      <c r="K30" s="11" t="s">
        <v>119</v>
      </c>
      <c r="L30" s="13" t="s">
        <v>111</v>
      </c>
      <c r="M30" s="11" t="s">
        <v>120</v>
      </c>
      <c r="N30" s="13" t="s">
        <v>122</v>
      </c>
      <c r="P30" s="5" t="s">
        <v>146</v>
      </c>
      <c r="Q30" s="10" t="s">
        <v>78</v>
      </c>
      <c r="R30" s="9" t="s">
        <v>79</v>
      </c>
      <c r="S30" s="12" t="s">
        <v>118</v>
      </c>
      <c r="T30" s="11" t="s">
        <v>119</v>
      </c>
      <c r="U30" s="13" t="s">
        <v>111</v>
      </c>
      <c r="V30" s="11" t="s">
        <v>120</v>
      </c>
      <c r="W30" s="13" t="s">
        <v>122</v>
      </c>
      <c r="Y30" s="5" t="s">
        <v>146</v>
      </c>
      <c r="Z30" s="10" t="s">
        <v>78</v>
      </c>
      <c r="AA30" s="9" t="s">
        <v>79</v>
      </c>
      <c r="AB30" s="12" t="s">
        <v>118</v>
      </c>
      <c r="AC30" s="11" t="s">
        <v>119</v>
      </c>
      <c r="AD30" s="13" t="s">
        <v>111</v>
      </c>
      <c r="AE30" s="11" t="s">
        <v>120</v>
      </c>
      <c r="AF30" s="13" t="s">
        <v>122</v>
      </c>
    </row>
    <row r="31" spans="1:41">
      <c r="A31" s="5" t="s">
        <v>91</v>
      </c>
      <c r="B31" s="5" t="s">
        <v>92</v>
      </c>
      <c r="G31" s="3">
        <v>1</v>
      </c>
      <c r="H31" s="3">
        <f t="array" aca="1" ref="H31" ca="1">MEDIAN(_xlfn.IFS($B$22:$B$28=OFFSET($B$31,MATCH($H$29,$A$32:$A$34,0),),TRANSPOSE(OFFSET($B$1:$H$1,MATCH(H$21,$H$21:$I$21,0),)),TRUE,""))
*OFFSET($A$13,$G31,$D$12)/OFFSET($A$18,,$D$12)
*OFFSET($G$13,MATCH($G$29,$G$14:$G$18,0),MATCH(H$21,$H$21:$N$21,0))
*OFFSET($O$13,MATCH($G$29,$G$14:$G$18,0),MATCH(H$21,$H$21:$N$21,0))
/SUMIFS(OFFSET($O$14:$O$18,,MATCH(H$21,$H$21:$N$21,0)),OFFSET($G$14:$G$18,,MATCH(H$21,$H$21:$N$21,0)),1)</f>
        <v>0</v>
      </c>
      <c r="I31" s="3">
        <f t="array" aca="1" ref="I31" ca="1">MEDIAN(_xlfn.IFS($B$22:$B$28=OFFSET($B$31,MATCH($H$29,$A$32:$A$34,0),),TRANSPOSE(OFFSET($B$1:$H$1,MATCH(I$21,$H$21:$I$21,0),)),TRUE,""))
*OFFSET($A$13,$G31,$D$12)/OFFSET($A$18,,$D$12)
*OFFSET($G$13,MATCH($G$29,$G$14:$G$18,0),MATCH(I$21,$H$21:$N$21,0))
*OFFSET($O$13,MATCH($G$29,$G$14:$G$18,0),MATCH(I$21,$H$21:$N$21,0))
/SUMIFS(OFFSET($O$14:$O$18,,MATCH(I$21,$H$21:$N$21,0)),OFFSET($G$14:$G$18,,MATCH(I$21,$H$21:$N$21,0)),1)
*_xlfn.IFS(I$21="生命",SUMIFS(模型构建!$B$8:$B$14,模型构建!$C$8:$C$14,1),TRUE,1)
*模型构建!$L$1</f>
        <v>307.40963855421688</v>
      </c>
      <c r="J31" s="3">
        <f ca="1">OFFSET($A$4,MATCH(J$21,$J$21:$N$21,0),MATCH(OFFSET($A$21,MATCH(SUMIFS($B$32:$B$34,$A$32:$A$34,$H$29),$B$22:$B$28,0),),$B$1:$H$1,0))
*OFFSET($A$13,$G31,$D$12)/OFFSET($A$18,,$D$12)
*OFFSET($G$13,MATCH($G$29,$G$14:$G$18,0),MATCH(J$21,$H$21:$N$21,0))
*OFFSET($O$13,MATCH($G$29,$G$14:$G$18,0),MATCH(J$21,$H$21:$N$21,0))
/SUMIFS(OFFSET($O$14:$O$18,,MATCH(J$21,$H$21:$N$21,0)),OFFSET($G$14:$G$18,,MATCH(J$21,$H$21:$N$21,0)),1)</f>
        <v>0</v>
      </c>
      <c r="K31" s="3">
        <f t="array" aca="1" ref="K31" ca="1">MEDIAN(_xlfn.IFS(模型构建!$P$20:$P$25=SUMIFS($B$32:$B$34,$A$32:$A$34,$H$29),模型构建!$C$52:$C$57,TRUE,""))/其他属性!$D$3
*OFFSET($A$4,MATCH(K$21,$J$21:$N$21,0),MATCH(OFFSET($A$21,MATCH(SUMIFS($B$32:$B$34,$A$32:$A$34,$H$29),$B$22:$B$28,0),),$B$1:$H$1,0))
*OFFSET($A$13,$G31,$D$12)/OFFSET($A$18,,$D$12)
*OFFSET($G$13,MATCH($G$29,$G$14:$G$18,0),MATCH(K$21,$H$21:$N$21,0))
*OFFSET($O$13,MATCH($G$29,$G$14:$G$18,0),MATCH(K$21,$H$21:$N$21,0))
/SUMIFS(OFFSET($O$14:$O$18,,MATCH(K$21,$H$21:$N$21,0)),OFFSET($G$14:$G$18,,MATCH(K$21,$H$21:$N$21,0)),1)</f>
        <v>104.16666666666667</v>
      </c>
      <c r="L31" s="3">
        <f t="shared" ref="L31:N35" ca="1" si="10">OFFSET($A$4,MATCH(L$21,$J$21:$N$21,0),MATCH(OFFSET($A$21,MATCH(SUMIFS($B$32:$B$34,$A$32:$A$34,$H$29),$B$22:$B$28,0),),$B$1:$H$1,0))
*OFFSET($A$13,$G31,$D$12)/OFFSET($A$18,,$D$12)
*OFFSET($G$13,MATCH($G$29,$G$14:$G$18,0),MATCH(L$21,$H$21:$N$21,0))
*OFFSET($O$13,MATCH($G$29,$G$14:$G$18,0),MATCH(L$21,$H$21:$N$21,0))
/SUMIFS(OFFSET($O$14:$O$18,,MATCH(L$21,$H$21:$N$21,0)),OFFSET($G$14:$G$18,,MATCH(L$21,$H$21:$N$21,0)),1)</f>
        <v>15</v>
      </c>
      <c r="M31" s="3">
        <f t="shared" ca="1" si="10"/>
        <v>0</v>
      </c>
      <c r="N31" s="3">
        <f t="shared" ca="1" si="10"/>
        <v>0</v>
      </c>
      <c r="P31" s="3">
        <v>1</v>
      </c>
      <c r="Q31" s="3">
        <f t="array" aca="1" ref="Q31" ca="1">MEDIAN(_xlfn.IFS($B$22:$B$28=OFFSET($B$31,MATCH($Q$29,$A$32:$A$34,0),),TRANSPOSE(OFFSET($B$1:$H$1,MATCH(Q$21,$H$21:$I$21,0),)),TRUE,""))
*OFFSET($A$13,$G31,$D$12)/OFFSET($A$18,,$D$12)
*OFFSET($G$13,MATCH($G$29,$G$14:$G$18,0),MATCH(Q$21,$H$21:$N$21,0))
*OFFSET($O$13,MATCH($G$29,$G$14:$G$18,0),MATCH(Q$21,$H$21:$N$21,0))
/SUMIFS(OFFSET($O$14:$O$18,,MATCH(Q$21,$H$21:$N$21,0)),OFFSET($G$14:$G$18,,MATCH(Q$21,$H$21:$N$21,0)),1)</f>
        <v>0</v>
      </c>
      <c r="R31" s="3">
        <f t="array" aca="1" ref="R31" ca="1">MEDIAN(_xlfn.IFS($B$22:$B$28=OFFSET($B$31,MATCH($Q$29,$A$32:$A$34,0),),TRANSPOSE(OFFSET($B$1:$H$1,MATCH(R$21,$H$21:$I$21,0),)),TRUE,""))
*OFFSET($A$13,$G31,$D$12)/OFFSET($A$18,,$D$12)
*OFFSET($G$13,MATCH($G$29,$G$14:$G$18,0),MATCH(R$21,$H$21:$N$21,0))
*OFFSET($O$13,MATCH($G$29,$G$14:$G$18,0),MATCH(R$21,$H$21:$N$21,0))
/SUMIFS(OFFSET($O$14:$O$18,,MATCH(R$21,$H$21:$N$21,0)),OFFSET($G$14:$G$18,,MATCH(R$21,$H$21:$N$21,0)),1)
*_xlfn.IFS(I$21="生命",SUMIFS(模型构建!$B$8:$B$14,模型构建!$C$8:$C$14,1),TRUE,1)
*模型构建!$L$1</f>
        <v>730.98934198331779</v>
      </c>
      <c r="S31" s="3">
        <f ca="1">OFFSET($A$4,MATCH(S$21,$J$21:$N$21,0),MATCH(OFFSET($A$21,MATCH(SUMIFS($B$32:$B$34,$A$32:$A$34,$Q$29),$B$22:$B$28,0),),$B$1:$H$1,0))
*OFFSET($A$13,$G31,$D$12)/OFFSET($A$18,,$D$12)
*OFFSET($G$13,MATCH($G$29,$G$14:$G$18,0),MATCH(S$21,$H$21:$N$21,0))
*OFFSET($O$13,MATCH($G$29,$G$14:$G$18,0),MATCH(S$21,$H$21:$N$21,0))
/SUMIFS(OFFSET($O$14:$O$18,,MATCH(S$21,$H$21:$N$21,0)),OFFSET($G$14:$G$18,,MATCH(S$21,$H$21:$N$21,0)),1)</f>
        <v>0</v>
      </c>
      <c r="T31" s="3">
        <f t="array" aca="1" ref="T31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*OFFSET($A$13,$G31,$D$12)/OFFSET($A$18,,$D$12)
*OFFSET($G$13,MATCH($G$29,$G$14:$G$18,0),MATCH(T$21,$H$21:$N$21,0))
*OFFSET($O$13,MATCH($G$29,$G$14:$G$18,0),MATCH(T$21,$H$21:$N$21,0))
/SUMIFS(OFFSET($O$14:$O$18,,MATCH(T$21,$H$21:$N$21,0)),OFFSET($G$14:$G$18,,MATCH(T$21,$H$21:$N$21,0)),1)</f>
        <v>177.08333333333337</v>
      </c>
      <c r="U31" s="3">
        <f t="shared" ref="U31:W35" ca="1" si="11">OFFSET($A$4,MATCH(U$21,$J$21:$N$21,0),MATCH(OFFSET($A$21,MATCH(SUMIFS($B$32:$B$34,$A$32:$A$34,$Q$29),$B$22:$B$28,0),),$B$1:$H$1,0))
*OFFSET($A$13,$G31,$D$12)/OFFSET($A$18,,$D$12)
*OFFSET($G$13,MATCH($G$29,$G$14:$G$18,0),MATCH(U$21,$H$21:$N$21,0))
*OFFSET($O$13,MATCH($G$29,$G$14:$G$18,0),MATCH(U$21,$H$21:$N$21,0))
/SUMIFS(OFFSET($O$14:$O$18,,MATCH(U$21,$H$21:$N$21,0)),OFFSET($G$14:$G$18,,MATCH(U$21,$H$21:$N$21,0)),1)</f>
        <v>15</v>
      </c>
      <c r="V31" s="3">
        <f t="shared" ca="1" si="11"/>
        <v>0</v>
      </c>
      <c r="W31" s="3">
        <f t="shared" ca="1" si="11"/>
        <v>0</v>
      </c>
      <c r="Y31" s="3">
        <v>1</v>
      </c>
      <c r="Z31" s="3">
        <f t="array" aca="1" ref="Z31" ca="1">MEDIAN(_xlfn.IFS($B$22:$B$28=OFFSET($B$31,MATCH($Z$29,$A$32:$A$34,0),),TRANSPOSE(OFFSET($B$1:$H$1,MATCH(Z$21,$H$21:$I$21,0),)),TRUE,""))
*OFFSET($A$13,$G31,$D$12)/OFFSET($A$18,,$D$12)
*OFFSET($G$13,MATCH($G$29,$G$14:$G$18,0),MATCH(Z$21,$H$21:$N$21,0))
*OFFSET($O$13,MATCH($G$29,$G$14:$G$18,0),MATCH(Z$21,$H$21:$N$21,0))
/SUMIFS(OFFSET($O$14:$O$18,,MATCH(Z$21,$H$21:$N$21,0)),OFFSET($G$14:$G$18,,MATCH(Z$21,$H$21:$N$21,0)),1)</f>
        <v>0</v>
      </c>
      <c r="AA31" s="3">
        <f t="array" aca="1" ref="AA31" ca="1">MEDIAN(_xlfn.IFS($B$22:$B$28=OFFSET($B$31,MATCH($Z$29,$A$32:$A$34,0),),TRANSPOSE(OFFSET($B$1:$H$1,MATCH(AA$21,$H$21:$I$21,0),)),TRUE,""))
*OFFSET($A$13,$G31,$D$12)/OFFSET($A$18,,$D$12)
*OFFSET($G$13,MATCH($G$29,$G$14:$G$18,0),MATCH(AA$21,$H$21:$N$21,0))
*OFFSET($O$13,MATCH($G$29,$G$14:$G$18,0),MATCH(AA$21,$H$21:$N$21,0))
/SUMIFS(OFFSET($O$14:$O$18,,MATCH(AA$21,$H$21:$N$21,0)),OFFSET($G$14:$G$18,,MATCH(AA$21,$H$21:$N$21,0)),1)
*_xlfn.IFS(I$21="生命",SUMIFS(模型构建!$B$8:$B$14,模型构建!$C$8:$C$14,1),TRUE,1)
*模型构建!$L$1</f>
        <v>1394.5474976830396</v>
      </c>
      <c r="AB31" s="3">
        <f ca="1">OFFSET($A$4,MATCH(AB$21,$J$21:$N$21,0),MATCH(OFFSET($A$21,MATCH(SUMIFS($B$32:$B$34,$A$32:$A$34,$Z$29),$B$22:$B$28,0),),$B$1:$H$1,0))
*OFFSET($A$13,$G31,$D$12)/OFFSET($A$18,,$D$12)
*OFFSET($G$13,MATCH($G$29,$G$14:$G$18,0),MATCH(AB$21,$H$21:$N$21,0))
*OFFSET($O$13,MATCH($G$29,$G$14:$G$18,0),MATCH(AB$21,$H$21:$N$21,0))
/SUMIFS(OFFSET($O$14:$O$18,,MATCH(AB$21,$H$21:$N$21,0)),OFFSET($G$14:$G$18,,MATCH(AB$21,$H$21:$N$21,0)),1)</f>
        <v>0</v>
      </c>
      <c r="AC31" s="3">
        <f t="array" aca="1" ref="AC31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*OFFSET($A$13,$G31,$D$12)/OFFSET($A$18,,$D$12)
*OFFSET($G$13,MATCH($G$29,$G$14:$G$18,0),MATCH(AC$21,$H$21:$N$21,0))
*OFFSET($O$13,MATCH($G$29,$G$14:$G$18,0),MATCH(AC$21,$H$21:$N$21,0))
/SUMIFS(OFFSET($O$14:$O$18,,MATCH(AC$21,$H$21:$N$21,0)),OFFSET($G$14:$G$18,,MATCH(AC$21,$H$21:$N$21,0)),1)</f>
        <v>29.166666666666668</v>
      </c>
      <c r="AD31" s="3">
        <f t="shared" ref="AD31:AF35" ca="1" si="12">OFFSET($A$4,MATCH(AD$21,$J$21:$N$21,0),MATCH(OFFSET($A$21,MATCH(SUMIFS($B$32:$B$34,$A$32:$A$34,$Z$29),$B$22:$B$28,0),),$B$1:$H$1,0))
*OFFSET($A$13,$G31,$D$12)/OFFSET($A$18,,$D$12)
*OFFSET($G$13,MATCH($G$29,$G$14:$G$18,0),MATCH(AD$21,$H$21:$N$21,0))
*OFFSET($O$13,MATCH($G$29,$G$14:$G$18,0),MATCH(AD$21,$H$21:$N$21,0))
/SUMIFS(OFFSET($O$14:$O$18,,MATCH(AD$21,$H$21:$N$21,0)),OFFSET($G$14:$G$18,,MATCH(AD$21,$H$21:$N$21,0)),1)</f>
        <v>15</v>
      </c>
      <c r="AE31" s="3">
        <f t="shared" ca="1" si="12"/>
        <v>0</v>
      </c>
      <c r="AF31" s="3">
        <f t="shared" ca="1" si="12"/>
        <v>0</v>
      </c>
    </row>
    <row r="32" spans="1:41">
      <c r="A32" s="3" t="s">
        <v>94</v>
      </c>
      <c r="B32" s="3">
        <f>B22</f>
        <v>1</v>
      </c>
      <c r="G32" s="3">
        <v>2</v>
      </c>
      <c r="H32" s="3">
        <f t="array" aca="1" ref="H32" ca="1">MEDIAN(_xlfn.IFS($B$22:$B$28=OFFSET($B$31,MATCH($H$29,$A$32:$A$34,0),),TRANSPOSE(OFFSET($B$1:$H$1,MATCH(H$21,$H$21:$I$21,0),)),TRUE,""))
*OFFSET($A$13,$G32,$D$12)/OFFSET($A$18,,$D$12)
*OFFSET($G$13,MATCH($G$29,$G$14:$G$18,0),MATCH(H$21,$H$21:$N$21,0))
*OFFSET($O$13,MATCH($G$29,$G$14:$G$18,0),MATCH(H$21,$H$21:$N$21,0))
/SUMIFS(OFFSET($O$14:$O$18,,MATCH(H$21,$H$21:$N$21,0)),OFFSET($G$14:$G$18,,MATCH(H$21,$H$21:$N$21,0)),1)</f>
        <v>0</v>
      </c>
      <c r="I32" s="3">
        <f t="array" aca="1" ref="I32" ca="1">MEDIAN(_xlfn.IFS($B$22:$B$28=OFFSET($B$31,MATCH($H$29,$A$32:$A$34,0),),TRANSPOSE(OFFSET($B$1:$H$1,MATCH(I$21,$H$21:$I$21,0),)),TRUE,""))
*OFFSET($A$13,$G32,$D$12)/OFFSET($A$18,,$D$12)
*OFFSET($G$13,MATCH($G$29,$G$14:$G$18,0),MATCH(I$21,$H$21:$N$21,0))
*OFFSET($O$13,MATCH($G$29,$G$14:$G$18,0),MATCH(I$21,$H$21:$N$21,0))
/SUMIFS(OFFSET($O$14:$O$18,,MATCH(I$21,$H$21:$N$21,0)),OFFSET($G$14:$G$18,,MATCH(I$21,$H$21:$N$21,0)),1)
*_xlfn.IFS(I$21="生命",SUMIFS(模型构建!$B$8:$B$14,模型构建!$C$8:$C$14,1),TRUE,1)
*模型构建!$L$1</f>
        <v>345.83584337349401</v>
      </c>
      <c r="J32" s="3">
        <f t="shared" ref="J32:J35" ca="1" si="13">OFFSET($A$4,MATCH(J$21,$J$21:$N$21,0),MATCH(OFFSET($A$21,MATCH(SUMIFS($B$32:$B$34,$A$32:$A$34,$H$29),$B$22:$B$28,0),),$B$1:$H$1,0))
*OFFSET($A$13,$G32,$D$12)/OFFSET($A$18,,$D$12)
*OFFSET($G$13,MATCH($G$29,$G$14:$G$18,0),MATCH(J$21,$H$21:$N$21,0))
*OFFSET($O$13,MATCH($G$29,$G$14:$G$18,0),MATCH(J$21,$H$21:$N$21,0))
/SUMIFS(OFFSET($O$14:$O$18,,MATCH(J$21,$H$21:$N$21,0)),OFFSET($G$14:$G$18,,MATCH(J$21,$H$21:$N$21,0)),1)</f>
        <v>0</v>
      </c>
      <c r="K32" s="3">
        <f t="array" aca="1" ref="K32" ca="1">MEDIAN(_xlfn.IFS(模型构建!$P$20:$P$25=SUMIFS($B$32:$B$34,$A$32:$A$34,$H$29),模型构建!$C$52:$C$57,TRUE,""))/其他属性!$D$3
*OFFSET($A$4,MATCH(K$21,$J$21:$N$21,0),MATCH(OFFSET($A$21,MATCH(SUMIFS($B$32:$B$34,$A$32:$A$34,$H$29),$B$22:$B$28,0),),$B$1:$H$1,0))
*OFFSET($A$13,$G32,$D$12)/OFFSET($A$18,,$D$12)
*OFFSET($G$13,MATCH($G$29,$G$14:$G$18,0),MATCH(K$21,$H$21:$N$21,0))
*OFFSET($O$13,MATCH($G$29,$G$14:$G$18,0),MATCH(K$21,$H$21:$N$21,0))
/SUMIFS(OFFSET($O$14:$O$18,,MATCH(K$21,$H$21:$N$21,0)),OFFSET($G$14:$G$18,,MATCH(K$21,$H$21:$N$21,0)),1)</f>
        <v>117.1875</v>
      </c>
      <c r="L32" s="3">
        <f t="shared" ca="1" si="10"/>
        <v>16.875</v>
      </c>
      <c r="M32" s="3">
        <f t="shared" ca="1" si="10"/>
        <v>0</v>
      </c>
      <c r="N32" s="3">
        <f t="shared" ca="1" si="10"/>
        <v>0</v>
      </c>
      <c r="P32" s="3">
        <v>2</v>
      </c>
      <c r="Q32" s="3">
        <f t="array" aca="1" ref="Q32" ca="1">MEDIAN(_xlfn.IFS($B$22:$B$28=OFFSET($B$31,MATCH($Q$29,$A$32:$A$34,0),),TRANSPOSE(OFFSET($B$1:$H$1,MATCH(Q$21,$H$21:$I$21,0),)),TRUE,""))
*OFFSET($A$13,$G32,$D$12)/OFFSET($A$18,,$D$12)
*OFFSET($G$13,MATCH($G$29,$G$14:$G$18,0),MATCH(Q$21,$H$21:$N$21,0))
*OFFSET($O$13,MATCH($G$29,$G$14:$G$18,0),MATCH(Q$21,$H$21:$N$21,0))
/SUMIFS(OFFSET($O$14:$O$18,,MATCH(Q$21,$H$21:$N$21,0)),OFFSET($G$14:$G$18,,MATCH(Q$21,$H$21:$N$21,0)),1)</f>
        <v>0</v>
      </c>
      <c r="R32" s="3">
        <f t="array" aca="1" ref="R32" ca="1">MEDIAN(_xlfn.IFS($B$22:$B$28=OFFSET($B$31,MATCH($Q$29,$A$32:$A$34,0),),TRANSPOSE(OFFSET($B$1:$H$1,MATCH(R$21,$H$21:$I$21,0),)),TRUE,""))
*OFFSET($A$13,$G32,$D$12)/OFFSET($A$18,,$D$12)
*OFFSET($G$13,MATCH($G$29,$G$14:$G$18,0),MATCH(R$21,$H$21:$N$21,0))
*OFFSET($O$13,MATCH($G$29,$G$14:$G$18,0),MATCH(R$21,$H$21:$N$21,0))
/SUMIFS(OFFSET($O$14:$O$18,,MATCH(R$21,$H$21:$N$21,0)),OFFSET($G$14:$G$18,,MATCH(R$21,$H$21:$N$21,0)),1)
*_xlfn.IFS(I$21="生命",SUMIFS(模型构建!$B$8:$B$14,模型构建!$C$8:$C$14,1),TRUE,1)
*模型构建!$L$1</f>
        <v>822.36300973123264</v>
      </c>
      <c r="S32" s="3">
        <f t="shared" ref="S32:S35" ca="1" si="14">OFFSET($A$4,MATCH(S$21,$J$21:$N$21,0),MATCH(OFFSET($A$21,MATCH(SUMIFS($B$32:$B$34,$A$32:$A$34,$Q$29),$B$22:$B$28,0),),$B$1:$H$1,0))
*OFFSET($A$13,$G32,$D$12)/OFFSET($A$18,,$D$12)
*OFFSET($G$13,MATCH($G$29,$G$14:$G$18,0),MATCH(S$21,$H$21:$N$21,0))
*OFFSET($O$13,MATCH($G$29,$G$14:$G$18,0),MATCH(S$21,$H$21:$N$21,0))
/SUMIFS(OFFSET($O$14:$O$18,,MATCH(S$21,$H$21:$N$21,0)),OFFSET($G$14:$G$18,,MATCH(S$21,$H$21:$N$21,0)),1)</f>
        <v>0</v>
      </c>
      <c r="T32" s="3">
        <f t="array" aca="1" ref="T32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*OFFSET($A$13,$G32,$D$12)/OFFSET($A$18,,$D$12)
*OFFSET($G$13,MATCH($G$29,$G$14:$G$18,0),MATCH(T$21,$H$21:$N$21,0))
*OFFSET($O$13,MATCH($G$29,$G$14:$G$18,0),MATCH(T$21,$H$21:$N$21,0))
/SUMIFS(OFFSET($O$14:$O$18,,MATCH(T$21,$H$21:$N$21,0)),OFFSET($G$14:$G$18,,MATCH(T$21,$H$21:$N$21,0)),1)</f>
        <v>199.21875000000003</v>
      </c>
      <c r="U32" s="3">
        <f t="shared" ca="1" si="11"/>
        <v>16.875</v>
      </c>
      <c r="V32" s="3">
        <f t="shared" ca="1" si="11"/>
        <v>0</v>
      </c>
      <c r="W32" s="3">
        <f t="shared" ca="1" si="11"/>
        <v>0</v>
      </c>
      <c r="Y32" s="3">
        <v>2</v>
      </c>
      <c r="Z32" s="3">
        <f t="array" aca="1" ref="Z32" ca="1">MEDIAN(_xlfn.IFS($B$22:$B$28=OFFSET($B$31,MATCH($Z$29,$A$32:$A$34,0),),TRANSPOSE(OFFSET($B$1:$H$1,MATCH(Z$21,$H$21:$I$21,0),)),TRUE,""))
*OFFSET($A$13,$G32,$D$12)/OFFSET($A$18,,$D$12)
*OFFSET($G$13,MATCH($G$29,$G$14:$G$18,0),MATCH(Z$21,$H$21:$N$21,0))
*OFFSET($O$13,MATCH($G$29,$G$14:$G$18,0),MATCH(Z$21,$H$21:$N$21,0))
/SUMIFS(OFFSET($O$14:$O$18,,MATCH(Z$21,$H$21:$N$21,0)),OFFSET($G$14:$G$18,,MATCH(Z$21,$H$21:$N$21,0)),1)</f>
        <v>0</v>
      </c>
      <c r="AA32" s="3">
        <f t="array" aca="1" ref="AA32" ca="1">MEDIAN(_xlfn.IFS($B$22:$B$28=OFFSET($B$31,MATCH($Z$29,$A$32:$A$34,0),),TRANSPOSE(OFFSET($B$1:$H$1,MATCH(AA$21,$H$21:$I$21,0),)),TRUE,""))
*OFFSET($A$13,$G32,$D$12)/OFFSET($A$18,,$D$12)
*OFFSET($G$13,MATCH($G$29,$G$14:$G$18,0),MATCH(AA$21,$H$21:$N$21,0))
*OFFSET($O$13,MATCH($G$29,$G$14:$G$18,0),MATCH(AA$21,$H$21:$N$21,0))
/SUMIFS(OFFSET($O$14:$O$18,,MATCH(AA$21,$H$21:$N$21,0)),OFFSET($G$14:$G$18,,MATCH(AA$21,$H$21:$N$21,0)),1)
*_xlfn.IFS(I$21="生命",SUMIFS(模型构建!$B$8:$B$14,模型构建!$C$8:$C$14,1),TRUE,1)
*模型构建!$L$1</f>
        <v>1568.8659348934193</v>
      </c>
      <c r="AB32" s="3">
        <f t="shared" ref="AB32:AB35" ca="1" si="15">OFFSET($A$4,MATCH(AB$21,$J$21:$N$21,0),MATCH(OFFSET($A$21,MATCH(SUMIFS($B$32:$B$34,$A$32:$A$34,$Z$29),$B$22:$B$28,0),),$B$1:$H$1,0))
*OFFSET($A$13,$G32,$D$12)/OFFSET($A$18,,$D$12)
*OFFSET($G$13,MATCH($G$29,$G$14:$G$18,0),MATCH(AB$21,$H$21:$N$21,0))
*OFFSET($O$13,MATCH($G$29,$G$14:$G$18,0),MATCH(AB$21,$H$21:$N$21,0))
/SUMIFS(OFFSET($O$14:$O$18,,MATCH(AB$21,$H$21:$N$21,0)),OFFSET($G$14:$G$18,,MATCH(AB$21,$H$21:$N$21,0)),1)</f>
        <v>0</v>
      </c>
      <c r="AC32" s="3">
        <f t="array" aca="1" ref="AC32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*OFFSET($A$13,$G32,$D$12)/OFFSET($A$18,,$D$12)
*OFFSET($G$13,MATCH($G$29,$G$14:$G$18,0),MATCH(AC$21,$H$21:$N$21,0))
*OFFSET($O$13,MATCH($G$29,$G$14:$G$18,0),MATCH(AC$21,$H$21:$N$21,0))
/SUMIFS(OFFSET($O$14:$O$18,,MATCH(AC$21,$H$21:$N$21,0)),OFFSET($G$14:$G$18,,MATCH(AC$21,$H$21:$N$21,0)),1)</f>
        <v>32.8125</v>
      </c>
      <c r="AD32" s="3">
        <f t="shared" ca="1" si="12"/>
        <v>16.875</v>
      </c>
      <c r="AE32" s="3">
        <f t="shared" ca="1" si="12"/>
        <v>0</v>
      </c>
      <c r="AF32" s="3">
        <f t="shared" ca="1" si="12"/>
        <v>0</v>
      </c>
    </row>
    <row r="33" spans="1:32">
      <c r="A33" s="3" t="s">
        <v>96</v>
      </c>
      <c r="B33" s="3">
        <f>B23</f>
        <v>2</v>
      </c>
      <c r="G33" s="3">
        <v>3</v>
      </c>
      <c r="H33" s="3">
        <f t="array" aca="1" ref="H33" ca="1">MEDIAN(_xlfn.IFS($B$22:$B$28=OFFSET($B$31,MATCH($H$29,$A$32:$A$34,0),),TRANSPOSE(OFFSET($B$1:$H$1,MATCH(H$21,$H$21:$I$21,0),)),TRUE,""))
*OFFSET($A$13,$G33,$D$12)/OFFSET($A$18,,$D$12)
*OFFSET($G$13,MATCH($G$29,$G$14:$G$18,0),MATCH(H$21,$H$21:$N$21,0))
*OFFSET($O$13,MATCH($G$29,$G$14:$G$18,0),MATCH(H$21,$H$21:$N$21,0))
/SUMIFS(OFFSET($O$14:$O$18,,MATCH(H$21,$H$21:$N$21,0)),OFFSET($G$14:$G$18,,MATCH(H$21,$H$21:$N$21,0)),1)</f>
        <v>0</v>
      </c>
      <c r="I33" s="3">
        <f t="array" aca="1" ref="I33" ca="1">MEDIAN(_xlfn.IFS($B$22:$B$28=OFFSET($B$31,MATCH($H$29,$A$32:$A$34,0),),TRANSPOSE(OFFSET($B$1:$H$1,MATCH(I$21,$H$21:$I$21,0),)),TRUE,""))
*OFFSET($A$13,$G33,$D$12)/OFFSET($A$18,,$D$12)
*OFFSET($G$13,MATCH($G$29,$G$14:$G$18,0),MATCH(I$21,$H$21:$N$21,0))
*OFFSET($O$13,MATCH($G$29,$G$14:$G$18,0),MATCH(I$21,$H$21:$N$21,0))
/SUMIFS(OFFSET($O$14:$O$18,,MATCH(I$21,$H$21:$N$21,0)),OFFSET($G$14:$G$18,,MATCH(I$21,$H$21:$N$21,0)),1)
*_xlfn.IFS(I$21="生命",SUMIFS(模型构建!$B$8:$B$14,模型构建!$C$8:$C$14,1),TRUE,1)
*模型构建!$L$1</f>
        <v>384.26204819277109</v>
      </c>
      <c r="J33" s="3">
        <f t="shared" ca="1" si="13"/>
        <v>0</v>
      </c>
      <c r="K33" s="3">
        <f t="array" aca="1" ref="K33" ca="1">MEDIAN(_xlfn.IFS(模型构建!$P$20:$P$25=SUMIFS($B$32:$B$34,$A$32:$A$34,$H$29),模型构建!$C$52:$C$57,TRUE,""))/其他属性!$D$3
*OFFSET($A$4,MATCH(K$21,$J$21:$N$21,0),MATCH(OFFSET($A$21,MATCH(SUMIFS($B$32:$B$34,$A$32:$A$34,$H$29),$B$22:$B$28,0),),$B$1:$H$1,0))
*OFFSET($A$13,$G33,$D$12)/OFFSET($A$18,,$D$12)
*OFFSET($G$13,MATCH($G$29,$G$14:$G$18,0),MATCH(K$21,$H$21:$N$21,0))
*OFFSET($O$13,MATCH($G$29,$G$14:$G$18,0),MATCH(K$21,$H$21:$N$21,0))
/SUMIFS(OFFSET($O$14:$O$18,,MATCH(K$21,$H$21:$N$21,0)),OFFSET($G$14:$G$18,,MATCH(K$21,$H$21:$N$21,0)),1)</f>
        <v>130.20833333333334</v>
      </c>
      <c r="L33" s="3">
        <f t="shared" ca="1" si="10"/>
        <v>18.75</v>
      </c>
      <c r="M33" s="3">
        <f t="shared" ca="1" si="10"/>
        <v>0</v>
      </c>
      <c r="N33" s="3">
        <f t="shared" ca="1" si="10"/>
        <v>0</v>
      </c>
      <c r="P33" s="3">
        <v>3</v>
      </c>
      <c r="Q33" s="3">
        <f t="array" aca="1" ref="Q33" ca="1">MEDIAN(_xlfn.IFS($B$22:$B$28=OFFSET($B$31,MATCH($Q$29,$A$32:$A$34,0),),TRANSPOSE(OFFSET($B$1:$H$1,MATCH(Q$21,$H$21:$I$21,0),)),TRUE,""))
*OFFSET($A$13,$G33,$D$12)/OFFSET($A$18,,$D$12)
*OFFSET($G$13,MATCH($G$29,$G$14:$G$18,0),MATCH(Q$21,$H$21:$N$21,0))
*OFFSET($O$13,MATCH($G$29,$G$14:$G$18,0),MATCH(Q$21,$H$21:$N$21,0))
/SUMIFS(OFFSET($O$14:$O$18,,MATCH(Q$21,$H$21:$N$21,0)),OFFSET($G$14:$G$18,,MATCH(Q$21,$H$21:$N$21,0)),1)</f>
        <v>0</v>
      </c>
      <c r="R33" s="3">
        <f t="array" aca="1" ref="R33" ca="1">MEDIAN(_xlfn.IFS($B$22:$B$28=OFFSET($B$31,MATCH($Q$29,$A$32:$A$34,0),),TRANSPOSE(OFFSET($B$1:$H$1,MATCH(R$21,$H$21:$I$21,0),)),TRUE,""))
*OFFSET($A$13,$G33,$D$12)/OFFSET($A$18,,$D$12)
*OFFSET($G$13,MATCH($G$29,$G$14:$G$18,0),MATCH(R$21,$H$21:$N$21,0))
*OFFSET($O$13,MATCH($G$29,$G$14:$G$18,0),MATCH(R$21,$H$21:$N$21,0))
/SUMIFS(OFFSET($O$14:$O$18,,MATCH(R$21,$H$21:$N$21,0)),OFFSET($G$14:$G$18,,MATCH(R$21,$H$21:$N$21,0)),1)
*_xlfn.IFS(I$21="生命",SUMIFS(模型构建!$B$8:$B$14,模型构建!$C$8:$C$14,1),TRUE,1)
*模型构建!$L$1</f>
        <v>913.73667747914737</v>
      </c>
      <c r="S33" s="3">
        <f t="shared" ca="1" si="14"/>
        <v>0</v>
      </c>
      <c r="T33" s="3">
        <f t="array" aca="1" ref="T33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*OFFSET($A$13,$G33,$D$12)/OFFSET($A$18,,$D$12)
*OFFSET($G$13,MATCH($G$29,$G$14:$G$18,0),MATCH(T$21,$H$21:$N$21,0))
*OFFSET($O$13,MATCH($G$29,$G$14:$G$18,0),MATCH(T$21,$H$21:$N$21,0))
/SUMIFS(OFFSET($O$14:$O$18,,MATCH(T$21,$H$21:$N$21,0)),OFFSET($G$14:$G$18,,MATCH(T$21,$H$21:$N$21,0)),1)</f>
        <v>221.35416666666669</v>
      </c>
      <c r="U33" s="3">
        <f t="shared" ca="1" si="11"/>
        <v>18.75</v>
      </c>
      <c r="V33" s="3">
        <f t="shared" ca="1" si="11"/>
        <v>0</v>
      </c>
      <c r="W33" s="3">
        <f t="shared" ca="1" si="11"/>
        <v>0</v>
      </c>
      <c r="Y33" s="3">
        <v>3</v>
      </c>
      <c r="Z33" s="3">
        <f t="array" aca="1" ref="Z33" ca="1">MEDIAN(_xlfn.IFS($B$22:$B$28=OFFSET($B$31,MATCH($Z$29,$A$32:$A$34,0),),TRANSPOSE(OFFSET($B$1:$H$1,MATCH(Z$21,$H$21:$I$21,0),)),TRUE,""))
*OFFSET($A$13,$G33,$D$12)/OFFSET($A$18,,$D$12)
*OFFSET($G$13,MATCH($G$29,$G$14:$G$18,0),MATCH(Z$21,$H$21:$N$21,0))
*OFFSET($O$13,MATCH($G$29,$G$14:$G$18,0),MATCH(Z$21,$H$21:$N$21,0))
/SUMIFS(OFFSET($O$14:$O$18,,MATCH(Z$21,$H$21:$N$21,0)),OFFSET($G$14:$G$18,,MATCH(Z$21,$H$21:$N$21,0)),1)</f>
        <v>0</v>
      </c>
      <c r="AA33" s="3">
        <f t="array" aca="1" ref="AA33" ca="1">MEDIAN(_xlfn.IFS($B$22:$B$28=OFFSET($B$31,MATCH($Z$29,$A$32:$A$34,0),),TRANSPOSE(OFFSET($B$1:$H$1,MATCH(AA$21,$H$21:$I$21,0),)),TRUE,""))
*OFFSET($A$13,$G33,$D$12)/OFFSET($A$18,,$D$12)
*OFFSET($G$13,MATCH($G$29,$G$14:$G$18,0),MATCH(AA$21,$H$21:$N$21,0))
*OFFSET($O$13,MATCH($G$29,$G$14:$G$18,0),MATCH(AA$21,$H$21:$N$21,0))
/SUMIFS(OFFSET($O$14:$O$18,,MATCH(AA$21,$H$21:$N$21,0)),OFFSET($G$14:$G$18,,MATCH(AA$21,$H$21:$N$21,0)),1)
*_xlfn.IFS(I$21="生命",SUMIFS(模型构建!$B$8:$B$14,模型构建!$C$8:$C$14,1),TRUE,1)
*模型构建!$L$1</f>
        <v>1743.1843721037994</v>
      </c>
      <c r="AB33" s="3">
        <f t="shared" ca="1" si="15"/>
        <v>0</v>
      </c>
      <c r="AC33" s="3">
        <f t="array" aca="1" ref="AC33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*OFFSET($A$13,$G33,$D$12)/OFFSET($A$18,,$D$12)
*OFFSET($G$13,MATCH($G$29,$G$14:$G$18,0),MATCH(AC$21,$H$21:$N$21,0))
*OFFSET($O$13,MATCH($G$29,$G$14:$G$18,0),MATCH(AC$21,$H$21:$N$21,0))
/SUMIFS(OFFSET($O$14:$O$18,,MATCH(AC$21,$H$21:$N$21,0)),OFFSET($G$14:$G$18,,MATCH(AC$21,$H$21:$N$21,0)),1)</f>
        <v>36.458333333333336</v>
      </c>
      <c r="AD33" s="3">
        <f t="shared" ca="1" si="12"/>
        <v>18.75</v>
      </c>
      <c r="AE33" s="3">
        <f t="shared" ca="1" si="12"/>
        <v>0</v>
      </c>
      <c r="AF33" s="3">
        <f t="shared" ca="1" si="12"/>
        <v>0</v>
      </c>
    </row>
    <row r="34" spans="1:32">
      <c r="A34" s="3" t="s">
        <v>98</v>
      </c>
      <c r="B34" s="3">
        <f>B26</f>
        <v>3</v>
      </c>
      <c r="G34" s="3">
        <v>4</v>
      </c>
      <c r="H34" s="3">
        <f t="array" aca="1" ref="H34" ca="1">MEDIAN(_xlfn.IFS($B$22:$B$28=OFFSET($B$31,MATCH($H$29,$A$32:$A$34,0),),TRANSPOSE(OFFSET($B$1:$H$1,MATCH(H$21,$H$21:$I$21,0),)),TRUE,""))
*OFFSET($A$13,$G34,$D$12)/OFFSET($A$18,,$D$12)
*OFFSET($G$13,MATCH($G$29,$G$14:$G$18,0),MATCH(H$21,$H$21:$N$21,0))
*OFFSET($O$13,MATCH($G$29,$G$14:$G$18,0),MATCH(H$21,$H$21:$N$21,0))
/SUMIFS(OFFSET($O$14:$O$18,,MATCH(H$21,$H$21:$N$21,0)),OFFSET($G$14:$G$18,,MATCH(H$21,$H$21:$N$21,0)),1)</f>
        <v>0</v>
      </c>
      <c r="I34" s="3">
        <f t="array" aca="1" ref="I34" ca="1">MEDIAN(_xlfn.IFS($B$22:$B$28=OFFSET($B$31,MATCH($H$29,$A$32:$A$34,0),),TRANSPOSE(OFFSET($B$1:$H$1,MATCH(I$21,$H$21:$I$21,0),)),TRUE,""))
*OFFSET($A$13,$G34,$D$12)/OFFSET($A$18,,$D$12)
*OFFSET($G$13,MATCH($G$29,$G$14:$G$18,0),MATCH(I$21,$H$21:$N$21,0))
*OFFSET($O$13,MATCH($G$29,$G$14:$G$18,0),MATCH(I$21,$H$21:$N$21,0))
/SUMIFS(OFFSET($O$14:$O$18,,MATCH(I$21,$H$21:$N$21,0)),OFFSET($G$14:$G$18,,MATCH(I$21,$H$21:$N$21,0)),1)
*_xlfn.IFS(I$21="生命",SUMIFS(模型构建!$B$8:$B$14,模型构建!$C$8:$C$14,1),TRUE,1)
*模型构建!$L$1</f>
        <v>422.68825301204811</v>
      </c>
      <c r="J34" s="3">
        <f t="shared" ca="1" si="13"/>
        <v>0</v>
      </c>
      <c r="K34" s="3">
        <f t="array" aca="1" ref="K34" ca="1">MEDIAN(_xlfn.IFS(模型构建!$P$20:$P$25=SUMIFS($B$32:$B$34,$A$32:$A$34,$H$29),模型构建!$C$52:$C$57,TRUE,""))/其他属性!$D$3
*OFFSET($A$4,MATCH(K$21,$J$21:$N$21,0),MATCH(OFFSET($A$21,MATCH(SUMIFS($B$32:$B$34,$A$32:$A$34,$H$29),$B$22:$B$28,0),),$B$1:$H$1,0))
*OFFSET($A$13,$G34,$D$12)/OFFSET($A$18,,$D$12)
*OFFSET($G$13,MATCH($G$29,$G$14:$G$18,0),MATCH(K$21,$H$21:$N$21,0))
*OFFSET($O$13,MATCH($G$29,$G$14:$G$18,0),MATCH(K$21,$H$21:$N$21,0))
/SUMIFS(OFFSET($O$14:$O$18,,MATCH(K$21,$H$21:$N$21,0)),OFFSET($G$14:$G$18,,MATCH(K$21,$H$21:$N$21,0)),1)</f>
        <v>143.22916666666666</v>
      </c>
      <c r="L34" s="3">
        <f t="shared" ca="1" si="10"/>
        <v>20.625</v>
      </c>
      <c r="M34" s="3">
        <f t="shared" ca="1" si="10"/>
        <v>0</v>
      </c>
      <c r="N34" s="3">
        <f t="shared" ca="1" si="10"/>
        <v>0</v>
      </c>
      <c r="P34" s="3">
        <v>4</v>
      </c>
      <c r="Q34" s="3">
        <f t="array" aca="1" ref="Q34" ca="1">MEDIAN(_xlfn.IFS($B$22:$B$28=OFFSET($B$31,MATCH($Q$29,$A$32:$A$34,0),),TRANSPOSE(OFFSET($B$1:$H$1,MATCH(Q$21,$H$21:$I$21,0),)),TRUE,""))
*OFFSET($A$13,$G34,$D$12)/OFFSET($A$18,,$D$12)
*OFFSET($G$13,MATCH($G$29,$G$14:$G$18,0),MATCH(Q$21,$H$21:$N$21,0))
*OFFSET($O$13,MATCH($G$29,$G$14:$G$18,0),MATCH(Q$21,$H$21:$N$21,0))
/SUMIFS(OFFSET($O$14:$O$18,,MATCH(Q$21,$H$21:$N$21,0)),OFFSET($G$14:$G$18,,MATCH(Q$21,$H$21:$N$21,0)),1)</f>
        <v>0</v>
      </c>
      <c r="R34" s="3">
        <f t="array" aca="1" ref="R34" ca="1">MEDIAN(_xlfn.IFS($B$22:$B$28=OFFSET($B$31,MATCH($Q$29,$A$32:$A$34,0),),TRANSPOSE(OFFSET($B$1:$H$1,MATCH(R$21,$H$21:$I$21,0),)),TRUE,""))
*OFFSET($A$13,$G34,$D$12)/OFFSET($A$18,,$D$12)
*OFFSET($G$13,MATCH($G$29,$G$14:$G$18,0),MATCH(R$21,$H$21:$N$21,0))
*OFFSET($O$13,MATCH($G$29,$G$14:$G$18,0),MATCH(R$21,$H$21:$N$21,0))
/SUMIFS(OFFSET($O$14:$O$18,,MATCH(R$21,$H$21:$N$21,0)),OFFSET($G$14:$G$18,,MATCH(R$21,$H$21:$N$21,0)),1)
*_xlfn.IFS(I$21="生命",SUMIFS(模型构建!$B$8:$B$14,模型构建!$C$8:$C$14,1),TRUE,1)
*模型构建!$L$1</f>
        <v>1005.1103452270621</v>
      </c>
      <c r="S34" s="3">
        <f t="shared" ca="1" si="14"/>
        <v>0</v>
      </c>
      <c r="T34" s="3">
        <f t="array" aca="1" ref="T34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*OFFSET($A$13,$G34,$D$12)/OFFSET($A$18,,$D$12)
*OFFSET($G$13,MATCH($G$29,$G$14:$G$18,0),MATCH(T$21,$H$21:$N$21,0))
*OFFSET($O$13,MATCH($G$29,$G$14:$G$18,0),MATCH(T$21,$H$21:$N$21,0))
/SUMIFS(OFFSET($O$14:$O$18,,MATCH(T$21,$H$21:$N$21,0)),OFFSET($G$14:$G$18,,MATCH(T$21,$H$21:$N$21,0)),1)</f>
        <v>243.48958333333337</v>
      </c>
      <c r="U34" s="3">
        <f t="shared" ca="1" si="11"/>
        <v>20.625</v>
      </c>
      <c r="V34" s="3">
        <f t="shared" ca="1" si="11"/>
        <v>0</v>
      </c>
      <c r="W34" s="3">
        <f t="shared" ca="1" si="11"/>
        <v>0</v>
      </c>
      <c r="Y34" s="3">
        <v>4</v>
      </c>
      <c r="Z34" s="3">
        <f t="array" aca="1" ref="Z34" ca="1">MEDIAN(_xlfn.IFS($B$22:$B$28=OFFSET($B$31,MATCH($Z$29,$A$32:$A$34,0),),TRANSPOSE(OFFSET($B$1:$H$1,MATCH(Z$21,$H$21:$I$21,0),)),TRUE,""))
*OFFSET($A$13,$G34,$D$12)/OFFSET($A$18,,$D$12)
*OFFSET($G$13,MATCH($G$29,$G$14:$G$18,0),MATCH(Z$21,$H$21:$N$21,0))
*OFFSET($O$13,MATCH($G$29,$G$14:$G$18,0),MATCH(Z$21,$H$21:$N$21,0))
/SUMIFS(OFFSET($O$14:$O$18,,MATCH(Z$21,$H$21:$N$21,0)),OFFSET($G$14:$G$18,,MATCH(Z$21,$H$21:$N$21,0)),1)</f>
        <v>0</v>
      </c>
      <c r="AA34" s="3">
        <f t="array" aca="1" ref="AA34" ca="1">MEDIAN(_xlfn.IFS($B$22:$B$28=OFFSET($B$31,MATCH($Z$29,$A$32:$A$34,0),),TRANSPOSE(OFFSET($B$1:$H$1,MATCH(AA$21,$H$21:$I$21,0),)),TRUE,""))
*OFFSET($A$13,$G34,$D$12)/OFFSET($A$18,,$D$12)
*OFFSET($G$13,MATCH($G$29,$G$14:$G$18,0),MATCH(AA$21,$H$21:$N$21,0))
*OFFSET($O$13,MATCH($G$29,$G$14:$G$18,0),MATCH(AA$21,$H$21:$N$21,0))
/SUMIFS(OFFSET($O$14:$O$18,,MATCH(AA$21,$H$21:$N$21,0)),OFFSET($G$14:$G$18,,MATCH(AA$21,$H$21:$N$21,0)),1)
*_xlfn.IFS(I$21="生命",SUMIFS(模型构建!$B$8:$B$14,模型构建!$C$8:$C$14,1),TRUE,1)
*模型构建!$L$1</f>
        <v>1917.5028093141796</v>
      </c>
      <c r="AB34" s="3">
        <f t="shared" ca="1" si="15"/>
        <v>0</v>
      </c>
      <c r="AC34" s="3">
        <f t="array" aca="1" ref="AC34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*OFFSET($A$13,$G34,$D$12)/OFFSET($A$18,,$D$12)
*OFFSET($G$13,MATCH($G$29,$G$14:$G$18,0),MATCH(AC$21,$H$21:$N$21,0))
*OFFSET($O$13,MATCH($G$29,$G$14:$G$18,0),MATCH(AC$21,$H$21:$N$21,0))
/SUMIFS(OFFSET($O$14:$O$18,,MATCH(AC$21,$H$21:$N$21,0)),OFFSET($G$14:$G$18,,MATCH(AC$21,$H$21:$N$21,0)),1)</f>
        <v>40.104166666666664</v>
      </c>
      <c r="AD34" s="3">
        <f t="shared" ca="1" si="12"/>
        <v>20.625</v>
      </c>
      <c r="AE34" s="3">
        <f t="shared" ca="1" si="12"/>
        <v>0</v>
      </c>
      <c r="AF34" s="3">
        <f t="shared" ca="1" si="12"/>
        <v>0</v>
      </c>
    </row>
    <row r="35" spans="1:32">
      <c r="G35" s="3">
        <v>5</v>
      </c>
      <c r="H35" s="3">
        <f t="array" aca="1" ref="H35" ca="1">MEDIAN(_xlfn.IFS($B$22:$B$28=OFFSET($B$31,MATCH($H$29,$A$32:$A$34,0),),TRANSPOSE(OFFSET($B$1:$H$1,MATCH(H$21,$H$21:$I$21,0),)),TRUE,""))
*OFFSET($A$13,$G35,$D$12)/OFFSET($A$18,,$D$12)
*OFFSET($G$13,MATCH($G$29,$G$14:$G$18,0),MATCH(H$21,$H$21:$N$21,0))
*OFFSET($O$13,MATCH($G$29,$G$14:$G$18,0),MATCH(H$21,$H$21:$N$21,0))
/SUMIFS(OFFSET($O$14:$O$18,,MATCH(H$21,$H$21:$N$21,0)),OFFSET($G$14:$G$18,,MATCH(H$21,$H$21:$N$21,0)),1)</f>
        <v>0</v>
      </c>
      <c r="I35" s="3">
        <f t="array" aca="1" ref="I35" ca="1">MEDIAN(_xlfn.IFS($B$22:$B$28=OFFSET($B$31,MATCH($H$29,$A$32:$A$34,0),),TRANSPOSE(OFFSET($B$1:$H$1,MATCH(I$21,$H$21:$I$21,0),)),TRUE,""))
*OFFSET($A$13,$G35,$D$12)/OFFSET($A$18,,$D$12)
*OFFSET($G$13,MATCH($G$29,$G$14:$G$18,0),MATCH(I$21,$H$21:$N$21,0))
*OFFSET($O$13,MATCH($G$29,$G$14:$G$18,0),MATCH(I$21,$H$21:$N$21,0))
/SUMIFS(OFFSET($O$14:$O$18,,MATCH(I$21,$H$21:$N$21,0)),OFFSET($G$14:$G$18,,MATCH(I$21,$H$21:$N$21,0)),1)
*_xlfn.IFS(I$21="生命",SUMIFS(模型构建!$B$8:$B$14,模型构建!$C$8:$C$14,1),TRUE,1)
*模型构建!$L$1</f>
        <v>461.11445783132535</v>
      </c>
      <c r="J35" s="3">
        <f t="shared" ca="1" si="13"/>
        <v>0</v>
      </c>
      <c r="K35" s="3">
        <f t="array" aca="1" ref="K35" ca="1">MEDIAN(_xlfn.IFS(模型构建!$P$20:$P$25=SUMIFS($B$32:$B$34,$A$32:$A$34,$H$29),模型构建!$C$52:$C$57,TRUE,""))/其他属性!$D$3
*OFFSET($A$4,MATCH(K$21,$J$21:$N$21,0),MATCH(OFFSET($A$21,MATCH(SUMIFS($B$32:$B$34,$A$32:$A$34,$H$29),$B$22:$B$28,0),),$B$1:$H$1,0))
*OFFSET($A$13,$G35,$D$12)/OFFSET($A$18,,$D$12)
*OFFSET($G$13,MATCH($G$29,$G$14:$G$18,0),MATCH(K$21,$H$21:$N$21,0))
*OFFSET($O$13,MATCH($G$29,$G$14:$G$18,0),MATCH(K$21,$H$21:$N$21,0))
/SUMIFS(OFFSET($O$14:$O$18,,MATCH(K$21,$H$21:$N$21,0)),OFFSET($G$14:$G$18,,MATCH(K$21,$H$21:$N$21,0)),1)</f>
        <v>156.25</v>
      </c>
      <c r="L35" s="3">
        <f t="shared" ca="1" si="10"/>
        <v>22.5</v>
      </c>
      <c r="M35" s="3">
        <f t="shared" ca="1" si="10"/>
        <v>0</v>
      </c>
      <c r="N35" s="3">
        <f t="shared" ca="1" si="10"/>
        <v>0</v>
      </c>
      <c r="P35" s="3">
        <v>5</v>
      </c>
      <c r="Q35" s="3">
        <f t="array" aca="1" ref="Q35" ca="1">MEDIAN(_xlfn.IFS($B$22:$B$28=OFFSET($B$31,MATCH($Q$29,$A$32:$A$34,0),),TRANSPOSE(OFFSET($B$1:$H$1,MATCH(Q$21,$H$21:$I$21,0),)),TRUE,""))
*OFFSET($A$13,$G35,$D$12)/OFFSET($A$18,,$D$12)
*OFFSET($G$13,MATCH($G$29,$G$14:$G$18,0),MATCH(Q$21,$H$21:$N$21,0))
*OFFSET($O$13,MATCH($G$29,$G$14:$G$18,0),MATCH(Q$21,$H$21:$N$21,0))
/SUMIFS(OFFSET($O$14:$O$18,,MATCH(Q$21,$H$21:$N$21,0)),OFFSET($G$14:$G$18,,MATCH(Q$21,$H$21:$N$21,0)),1)</f>
        <v>0</v>
      </c>
      <c r="R35" s="3">
        <f t="array" aca="1" ref="R35" ca="1">MEDIAN(_xlfn.IFS($B$22:$B$28=OFFSET($B$31,MATCH($Q$29,$A$32:$A$34,0),),TRANSPOSE(OFFSET($B$1:$H$1,MATCH(R$21,$H$21:$I$21,0),)),TRUE,""))
*OFFSET($A$13,$G35,$D$12)/OFFSET($A$18,,$D$12)
*OFFSET($G$13,MATCH($G$29,$G$14:$G$18,0),MATCH(R$21,$H$21:$N$21,0))
*OFFSET($O$13,MATCH($G$29,$G$14:$G$18,0),MATCH(R$21,$H$21:$N$21,0))
/SUMIFS(OFFSET($O$14:$O$18,,MATCH(R$21,$H$21:$N$21,0)),OFFSET($G$14:$G$18,,MATCH(R$21,$H$21:$N$21,0)),1)
*_xlfn.IFS(I$21="生命",SUMIFS(模型构建!$B$8:$B$14,模型构建!$C$8:$C$14,1),TRUE,1)
*模型构建!$L$1</f>
        <v>1096.4840129749768</v>
      </c>
      <c r="S35" s="3">
        <f t="shared" ca="1" si="14"/>
        <v>0</v>
      </c>
      <c r="T35" s="3">
        <f t="array" aca="1" ref="T35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*OFFSET($A$13,$G35,$D$12)/OFFSET($A$18,,$D$12)
*OFFSET($G$13,MATCH($G$29,$G$14:$G$18,0),MATCH(T$21,$H$21:$N$21,0))
*OFFSET($O$13,MATCH($G$29,$G$14:$G$18,0),MATCH(T$21,$H$21:$N$21,0))
/SUMIFS(OFFSET($O$14:$O$18,,MATCH(T$21,$H$21:$N$21,0)),OFFSET($G$14:$G$18,,MATCH(T$21,$H$21:$N$21,0)),1)</f>
        <v>265.62500000000006</v>
      </c>
      <c r="U35" s="3">
        <f t="shared" ca="1" si="11"/>
        <v>22.5</v>
      </c>
      <c r="V35" s="3">
        <f t="shared" ca="1" si="11"/>
        <v>0</v>
      </c>
      <c r="W35" s="3">
        <f t="shared" ca="1" si="11"/>
        <v>0</v>
      </c>
      <c r="Y35" s="3">
        <v>5</v>
      </c>
      <c r="Z35" s="3">
        <f t="array" aca="1" ref="Z35" ca="1">MEDIAN(_xlfn.IFS($B$22:$B$28=OFFSET($B$31,MATCH($Z$29,$A$32:$A$34,0),),TRANSPOSE(OFFSET($B$1:$H$1,MATCH(Z$21,$H$21:$I$21,0),)),TRUE,""))
*OFFSET($A$13,$G35,$D$12)/OFFSET($A$18,,$D$12)
*OFFSET($G$13,MATCH($G$29,$G$14:$G$18,0),MATCH(Z$21,$H$21:$N$21,0))
*OFFSET($O$13,MATCH($G$29,$G$14:$G$18,0),MATCH(Z$21,$H$21:$N$21,0))
/SUMIFS(OFFSET($O$14:$O$18,,MATCH(Z$21,$H$21:$N$21,0)),OFFSET($G$14:$G$18,,MATCH(Z$21,$H$21:$N$21,0)),1)</f>
        <v>0</v>
      </c>
      <c r="AA35" s="3">
        <f t="array" aca="1" ref="AA35" ca="1">MEDIAN(_xlfn.IFS($B$22:$B$28=OFFSET($B$31,MATCH($Z$29,$A$32:$A$34,0),),TRANSPOSE(OFFSET($B$1:$H$1,MATCH(AA$21,$H$21:$I$21,0),)),TRUE,""))
*OFFSET($A$13,$G35,$D$12)/OFFSET($A$18,,$D$12)
*OFFSET($G$13,MATCH($G$29,$G$14:$G$18,0),MATCH(AA$21,$H$21:$N$21,0))
*OFFSET($O$13,MATCH($G$29,$G$14:$G$18,0),MATCH(AA$21,$H$21:$N$21,0))
/SUMIFS(OFFSET($O$14:$O$18,,MATCH(AA$21,$H$21:$N$21,0)),OFFSET($G$14:$G$18,,MATCH(AA$21,$H$21:$N$21,0)),1)
*_xlfn.IFS(I$21="生命",SUMIFS(模型构建!$B$8:$B$14,模型构建!$C$8:$C$14,1),TRUE,1)
*模型构建!$L$1</f>
        <v>2091.8212465245597</v>
      </c>
      <c r="AB35" s="3">
        <f t="shared" ca="1" si="15"/>
        <v>0</v>
      </c>
      <c r="AC35" s="3">
        <f t="array" aca="1" ref="AC35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*OFFSET($A$13,$G35,$D$12)/OFFSET($A$18,,$D$12)
*OFFSET($G$13,MATCH($G$29,$G$14:$G$18,0),MATCH(AC$21,$H$21:$N$21,0))
*OFFSET($O$13,MATCH($G$29,$G$14:$G$18,0),MATCH(AC$21,$H$21:$N$21,0))
/SUMIFS(OFFSET($O$14:$O$18,,MATCH(AC$21,$H$21:$N$21,0)),OFFSET($G$14:$G$18,,MATCH(AC$21,$H$21:$N$21,0)),1)</f>
        <v>43.75</v>
      </c>
      <c r="AD35" s="3">
        <f t="shared" ca="1" si="12"/>
        <v>22.5</v>
      </c>
      <c r="AE35" s="3">
        <f t="shared" ca="1" si="12"/>
        <v>0</v>
      </c>
      <c r="AF35" s="3">
        <f t="shared" ca="1" si="12"/>
        <v>0</v>
      </c>
    </row>
    <row r="36" spans="1:32">
      <c r="A36" s="3" t="s">
        <v>102</v>
      </c>
    </row>
    <row r="37" spans="1:32">
      <c r="A37" s="5" t="s">
        <v>13</v>
      </c>
      <c r="B37" s="5" t="s">
        <v>48</v>
      </c>
    </row>
    <row r="38" spans="1:32">
      <c r="A38" s="3" t="s">
        <v>64</v>
      </c>
      <c r="B38" s="3">
        <f>武器伤害!B22</f>
        <v>1</v>
      </c>
      <c r="G38" s="3" t="s">
        <v>124</v>
      </c>
      <c r="H38" s="3" t="s">
        <v>93</v>
      </c>
      <c r="P38" s="3" t="str">
        <f>G38</f>
        <v>手套</v>
      </c>
      <c r="Q38" s="3" t="s">
        <v>95</v>
      </c>
      <c r="Y38" s="3" t="str">
        <f>P38</f>
        <v>手套</v>
      </c>
      <c r="Z38" s="3" t="s">
        <v>97</v>
      </c>
    </row>
    <row r="39" spans="1:32">
      <c r="A39" s="3" t="s">
        <v>65</v>
      </c>
      <c r="B39" s="3">
        <f>武器伤害!B23</f>
        <v>2</v>
      </c>
      <c r="G39" s="5" t="s">
        <v>146</v>
      </c>
      <c r="H39" s="10" t="s">
        <v>78</v>
      </c>
      <c r="I39" s="9" t="s">
        <v>79</v>
      </c>
      <c r="J39" s="12" t="s">
        <v>118</v>
      </c>
      <c r="K39" s="11" t="s">
        <v>119</v>
      </c>
      <c r="L39" s="13" t="s">
        <v>111</v>
      </c>
      <c r="M39" s="11" t="s">
        <v>120</v>
      </c>
      <c r="N39" s="13" t="s">
        <v>122</v>
      </c>
      <c r="P39" s="5" t="s">
        <v>146</v>
      </c>
      <c r="Q39" s="10" t="s">
        <v>78</v>
      </c>
      <c r="R39" s="9" t="s">
        <v>79</v>
      </c>
      <c r="S39" s="12" t="s">
        <v>118</v>
      </c>
      <c r="T39" s="11" t="s">
        <v>119</v>
      </c>
      <c r="U39" s="13" t="s">
        <v>111</v>
      </c>
      <c r="V39" s="11" t="s">
        <v>120</v>
      </c>
      <c r="W39" s="13" t="s">
        <v>122</v>
      </c>
      <c r="Y39" s="5" t="s">
        <v>146</v>
      </c>
      <c r="Z39" s="10" t="s">
        <v>78</v>
      </c>
      <c r="AA39" s="9" t="s">
        <v>79</v>
      </c>
      <c r="AB39" s="12" t="s">
        <v>118</v>
      </c>
      <c r="AC39" s="11" t="s">
        <v>119</v>
      </c>
      <c r="AD39" s="13" t="s">
        <v>111</v>
      </c>
      <c r="AE39" s="11" t="s">
        <v>120</v>
      </c>
      <c r="AF39" s="13" t="s">
        <v>122</v>
      </c>
    </row>
    <row r="40" spans="1:32">
      <c r="A40" s="3" t="s">
        <v>66</v>
      </c>
      <c r="B40" s="3">
        <f>武器伤害!B24</f>
        <v>3</v>
      </c>
      <c r="G40" s="3">
        <v>1</v>
      </c>
      <c r="H40" s="3">
        <f t="array" aca="1" ref="H40" ca="1">MEDIAN(_xlfn.IFS($B$22:$B$28=OFFSET($B$31,MATCH($H$38,$A$32:$A$34,0),),TRANSPOSE(OFFSET($B$1:$H$1,MATCH(H$21,$H$21:$I$21,0),)),TRUE,""))
*OFFSET($A$13,$G40,$D$12)/OFFSET($A$18,,$D$12)
*OFFSET($G$13,MATCH($G$38,$G$14:$G$18,0),MATCH(H$21,$H$21:$N$21,0))
*OFFSET($O$13,MATCH($G$38,$G$14:$G$18,0),MATCH(H$21,$H$21:$N$21,0))
/SUMIFS(OFFSET($O$14:$O$18,,MATCH(H$21,$H$21:$N$21,0)),OFFSET($G$14:$G$18,,MATCH(H$21,$H$21:$N$21,0)),1)</f>
        <v>21.601382488479267</v>
      </c>
      <c r="I40" s="3">
        <f t="array" aca="1" ref="I40" ca="1">MEDIAN(_xlfn.IFS($B$22:$B$28=OFFSET($B$31,MATCH($H$38,$A$32:$A$34,0),),TRANSPOSE(OFFSET($B$1:$H$1,MATCH(I$21,$H$21:$I$21,0),)),TRUE,""))
*OFFSET($A$13,$G40,$D$12)/OFFSET($A$18,,$D$12)
*OFFSET($G$13,MATCH($G$38,$G$14:$G$18,0),MATCH(I$21,$H$21:$N$21,0))
*OFFSET($O$13,MATCH($G$38,$G$14:$G$18,0),MATCH(I$21,$H$21:$N$21,0))
/SUMIFS(OFFSET($O$14:$O$18,,MATCH(I$21,$H$21:$N$21,0)),OFFSET($G$14:$G$18,,MATCH(I$21,$H$21:$N$21,0)),1)
*_xlfn.IFS(I$21="生命",SUMIFS(模型构建!$B$8:$B$14,模型构建!$C$8:$C$14,1),TRUE,1)
*模型构建!$L$1</f>
        <v>122.96385542168676</v>
      </c>
      <c r="J40" s="3">
        <f ca="1">OFFSET($A$4,MATCH(J$21,$J$21:$N$21,0),MATCH(OFFSET($A$21,MATCH(SUMIFS($B$32:$B$34,$A$32:$A$34,$H$38),$B$22:$B$28,0),),$B$1:$H$1,0))
*OFFSET($A$13,$G40,$D$12)/OFFSET($A$18,,$D$12)
*OFFSET($G$13,MATCH($G$38,$G$14:$G$18,0),MATCH(J$21,$H$21:$N$21,0))
*OFFSET($O$13,MATCH($G$38,$G$14:$G$18,0),MATCH(J$21,$H$21:$N$21,0))
/SUMIFS(OFFSET($O$14:$O$18,,MATCH(J$21,$H$21:$N$21,0)),OFFSET($G$14:$G$18,,MATCH(J$21,$H$21:$N$21,0)),1)</f>
        <v>20.454545454545453</v>
      </c>
      <c r="K40" s="3">
        <f t="array" aca="1" ref="K40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*OFFSET($A$13,$G40,$D$12)/OFFSET($A$18,,$D$12)
*OFFSET($G$13,MATCH($G$38,$G$14:$G$18,0),MATCH(K$21,$H$21:$N$21,0))
*OFFSET($O$13,MATCH($G$38,$G$14:$G$18,0),MATCH(K$21,$H$21:$N$21,0))
/SUMIFS(OFFSET($O$14:$O$18,,MATCH(K$21,$H$21:$N$21,0)),OFFSET($G$14:$G$18,,MATCH(K$21,$H$21:$N$21,0)),1)</f>
        <v>31.25</v>
      </c>
      <c r="L40" s="3">
        <f ca="1">OFFSET($A$4,MATCH(L$21,$J$21:$N$21,0),MATCH(OFFSET($A$21,MATCH(SUMIFS($B$32:$B$34,$A$32:$A$34,$H$38),$B$22:$B$28,0),),$B$1:$H$1,0))
*OFFSET($A$13,$G40,$D$12)/OFFSET($A$18,,$D$12)
*OFFSET($G$13,MATCH($G$38,$G$14:$G$18,0),MATCH(L$21,$H$21:$N$21,0))
*OFFSET($O$13,MATCH($G$38,$G$14:$G$18,0),MATCH(L$21,$H$21:$N$21,0))
/SUMIFS(OFFSET($O$14:$O$18,,MATCH(L$21,$H$21:$N$21,0)),OFFSET($G$14:$G$18,,MATCH(L$21,$H$21:$N$21,0)),1)</f>
        <v>0</v>
      </c>
      <c r="M40" s="3">
        <f t="shared" ref="M40:N44" ca="1" si="16">OFFSET($A$4,MATCH(M$21,$J$21:$N$21,0),MATCH(OFFSET($A$21,MATCH(SUMIFS($B$32:$B$34,$A$32:$A$34,$H$38),$B$22:$B$28,0),),$B$1:$H$1,0))
*OFFSET($A$13,$G40,$D$12)/OFFSET($A$18,,$D$12)
*OFFSET($G$13,MATCH($G$38,$G$14:$G$18,0),MATCH(M$21,$H$21:$N$21,0))
*OFFSET($O$13,MATCH($G$38,$G$14:$G$18,0),MATCH(M$21,$H$21:$N$21,0))
/SUMIFS(OFFSET($O$14:$O$18,,MATCH(M$21,$H$21:$N$21,0)),OFFSET($G$14:$G$18,,MATCH(M$21,$H$21:$N$21,0)),1)</f>
        <v>24</v>
      </c>
      <c r="N40" s="3">
        <f t="shared" ca="1" si="16"/>
        <v>18.46153846153846</v>
      </c>
      <c r="P40" s="3">
        <v>1</v>
      </c>
      <c r="Q40" s="3">
        <f t="array" aca="1" ref="Q40" ca="1">MEDIAN(_xlfn.IFS($B$22:$B$28=OFFSET($B$31,MATCH($Q$38,$A$32:$A$34,0),),TRANSPOSE(OFFSET($B$1:$H$1,MATCH(Q$21,$H$21:$I$21,0),)),TRUE,""))
*OFFSET($A$13,$G40,$D$12)/OFFSET($A$18,,$D$12)
*OFFSET($G$13,MATCH($P$38,$G$14:$G$18,0),MATCH(Q$21,$H$21:$N$21,0))
*OFFSET($O$13,MATCH($P$38,$G$14:$G$18,0),MATCH(Q$21,$H$21:$N$21,0))
/SUMIFS(OFFSET($O$14:$O$18,,MATCH(Q$21,$H$21:$N$21,0)),OFFSET($G$14:$G$18,,MATCH(Q$21,$H$21:$N$21,0)),1)</f>
        <v>16.939711697239808</v>
      </c>
      <c r="R40" s="3">
        <f t="array" aca="1" ref="R40" ca="1">MEDIAN(_xlfn.IFS($B$22:$B$28=OFFSET($B$31,MATCH($Q$38,$A$32:$A$34,0),),TRANSPOSE(OFFSET($B$1:$H$1,MATCH(R$21,$H$21:$I$21,0),)),TRUE,""))
*OFFSET($A$13,$G40,$D$12)/OFFSET($A$18,,$D$12)
*OFFSET($G$13,MATCH($P$38,$G$14:$G$18,0),MATCH(R$21,$H$21:$N$21,0))
*OFFSET($O$13,MATCH($P$38,$G$14:$G$18,0),MATCH(R$21,$H$21:$N$21,0))
/SUMIFS(OFFSET($O$14:$O$18,,MATCH(R$21,$H$21:$N$21,0)),OFFSET($G$14:$G$18,,MATCH(R$21,$H$21:$N$21,0)),1)
*_xlfn.IFS(I$21="生命",SUMIFS(模型构建!$B$8:$B$14,模型构建!$C$8:$C$14,1),TRUE,1)
*模型构建!$L$1</f>
        <v>292.39573679332716</v>
      </c>
      <c r="S40" s="3">
        <f ca="1">OFFSET($A$4,MATCH(S$21,$J$21:$N$21,0),MATCH(OFFSET($A$21,MATCH(SUMIFS($B$32:$B$34,$A$32:$A$34,$Q$29),$B$22:$B$28,0),),$B$1:$H$1,0))
*OFFSET($A$13,$G40,$D$12)/OFFSET($A$18,,$D$12)
*OFFSET($G$13,MATCH($P$38,$G$14:$G$18,0),MATCH(S$21,$H$21:$N$21,0))
*OFFSET($O$13,MATCH($P$38,$G$14:$G$18,0),MATCH(S$21,$H$21:$N$21,0))
/SUMIFS(OFFSET($O$14:$O$18,,MATCH(S$21,$H$21:$N$21,0)),OFFSET($G$14:$G$18,,MATCH(S$21,$H$21:$N$21,0)),1)</f>
        <v>20.454545454545453</v>
      </c>
      <c r="T40" s="3">
        <f t="array" aca="1" ref="T40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*OFFSET($A$13,$G40,$D$12)/OFFSET($A$18,,$D$12)
*OFFSET($G$13,MATCH($P$38,$G$14:$G$18,0),MATCH(T$21,$H$21:$N$21,0))
*OFFSET($O$13,MATCH($P$38,$G$14:$G$18,0),MATCH(T$21,$H$21:$N$21,0))
/SUMIFS(OFFSET($O$14:$O$18,,MATCH(T$21,$H$21:$N$21,0)),OFFSET($G$14:$G$18,,MATCH(T$21,$H$21:$N$21,0)),1)</f>
        <v>53.125000000000014</v>
      </c>
      <c r="U40" s="3">
        <f ca="1">OFFSET($A$4,MATCH(U$21,$J$21:$N$21,0),MATCH(OFFSET($A$21,MATCH(SUMIFS($B$32:$B$34,$A$32:$A$34,$Q$29),$B$22:$B$28,0),),$B$1:$H$1,0))
*OFFSET($A$13,$G40,$D$12)/OFFSET($A$18,,$D$12)
*OFFSET($G$13,MATCH($P$38,$G$14:$G$18,0),MATCH(U$21,$H$21:$N$21,0))
*OFFSET($O$13,MATCH($P$38,$G$14:$G$18,0),MATCH(U$21,$H$21:$N$21,0))
/SUMIFS(OFFSET($O$14:$O$18,,MATCH(U$21,$H$21:$N$21,0)),OFFSET($G$14:$G$18,,MATCH(U$21,$H$21:$N$21,0)),1)</f>
        <v>0</v>
      </c>
      <c r="V40" s="3">
        <f t="shared" ref="V40:W44" ca="1" si="17">OFFSET($A$4,MATCH(V$21,$J$21:$N$21,0),MATCH(OFFSET($A$21,MATCH(SUMIFS($B$32:$B$34,$A$32:$A$34,$Q$29),$B$22:$B$28,0),),$B$1:$H$1,0))
*OFFSET($A$13,$G40,$D$12)/OFFSET($A$18,,$D$12)
*OFFSET($G$13,MATCH($P$38,$G$14:$G$18,0),MATCH(V$21,$H$21:$N$21,0))
*OFFSET($O$13,MATCH($P$38,$G$14:$G$18,0),MATCH(V$21,$H$21:$N$21,0))
/SUMIFS(OFFSET($O$14:$O$18,,MATCH(V$21,$H$21:$N$21,0)),OFFSET($G$14:$G$18,,MATCH(V$21,$H$21:$N$21,0)),1)</f>
        <v>24</v>
      </c>
      <c r="W40" s="3">
        <f t="shared" ca="1" si="17"/>
        <v>18.46153846153846</v>
      </c>
      <c r="Y40" s="3">
        <v>1</v>
      </c>
      <c r="Z40" s="3">
        <f t="array" aca="1" ref="Z40" ca="1">MEDIAN(_xlfn.IFS($B$22:$B$28=OFFSET($B$31,MATCH($Z$29,$A$32:$A$34,0),),TRANSPOSE(OFFSET($B$1:$H$1,MATCH(Z$21,$H$21:$I$21,0),)),TRUE,""))
*OFFSET($A$13,$G40,$D$12)/OFFSET($A$18,,$D$12)
*OFFSET($G$13,MATCH($Y$38,$G$14:$G$18,0),MATCH(Z$21,$H$21:$N$21,0))
*OFFSET($O$13,MATCH($Y$38,$G$14:$G$18,0),MATCH(Z$21,$H$21:$N$21,0))
/SUMIFS(OFFSET($O$14:$O$18,,MATCH(Z$21,$H$21:$N$21,0)),OFFSET($G$14:$G$18,,MATCH(Z$21,$H$21:$N$21,0)),1)</f>
        <v>18.930695050783246</v>
      </c>
      <c r="AA40" s="3">
        <f t="array" aca="1" ref="AA40" ca="1">MEDIAN(_xlfn.IFS($B$22:$B$28=OFFSET($B$31,MATCH($Z$29,$A$32:$A$34,0),),TRANSPOSE(OFFSET($B$1:$H$1,MATCH(AA$21,$H$21:$I$21,0),)),TRUE,""))
*OFFSET($A$13,$G40,$D$12)/OFFSET($A$18,,$D$12)
*OFFSET($G$13,MATCH($Y$38,$G$14:$G$18,0),MATCH(AA$21,$H$21:$N$21,0))
*OFFSET($O$13,MATCH($Y$38,$G$14:$G$18,0),MATCH(AA$21,$H$21:$N$21,0))
/SUMIFS(OFFSET($O$14:$O$18,,MATCH(AA$21,$H$21:$N$21,0)),OFFSET($G$14:$G$18,,MATCH(AA$21,$H$21:$N$21,0)),1)
*_xlfn.IFS(I$21="生命",SUMIFS(模型构建!$B$8:$B$14,模型构建!$C$8:$C$14,1),TRUE,1)
*模型构建!$L$1</f>
        <v>557.81899907321588</v>
      </c>
      <c r="AB40" s="3">
        <f ca="1">OFFSET($A$4,MATCH(AB$21,$J$21:$N$21,0),MATCH(OFFSET($A$21,MATCH(SUMIFS($B$32:$B$34,$A$32:$A$34,$Z$29),$B$22:$B$28,0),),$B$1:$H$1,0))
*OFFSET($A$13,$G40,$D$12)/OFFSET($A$18,,$D$12)
*OFFSET($G$13,MATCH($Y$38,$G$14:$G$18,0),MATCH(AB$21,$H$21:$N$21,0))
*OFFSET($O$13,MATCH($Y$38,$G$14:$G$18,0),MATCH(AB$21,$H$21:$N$21,0))
/SUMIFS(OFFSET($O$14:$O$18,,MATCH(AB$21,$H$21:$N$21,0)),OFFSET($G$14:$G$18,,MATCH(AB$21,$H$21:$N$21,0)),1)</f>
        <v>20.454545454545453</v>
      </c>
      <c r="AC40" s="3">
        <f t="array" aca="1" ref="AC40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*OFFSET($A$13,$G40,$D$12)/OFFSET($A$18,,$D$12)
*OFFSET($G$13,MATCH($G$38,$G$14:$G$18,0),MATCH(AC$21,$H$21:$N$21,0))
*OFFSET($O$13,MATCH($G$38,$G$14:$G$18,0),MATCH(AC$21,$H$21:$N$21,0))
/SUMIFS(OFFSET($O$14:$O$18,,MATCH(AC$21,$H$21:$N$21,0)),OFFSET($G$14:$G$18,,MATCH(AC$21,$H$21:$N$21,0)),1)</f>
        <v>8.75</v>
      </c>
      <c r="AD40" s="3">
        <f ca="1">OFFSET($A$4,MATCH(AD$21,$J$21:$N$21,0),MATCH(OFFSET($A$21,MATCH(SUMIFS($B$32:$B$34,$A$32:$A$34,$Z$29),$B$22:$B$28,0),),$B$1:$H$1,0))
*OFFSET($A$13,$G40,$D$12)/OFFSET($A$18,,$D$12)
*OFFSET($G$13,MATCH($Y$38,$G$14:$G$18,0),MATCH(AD$21,$H$21:$N$21,0))
*OFFSET($O$13,MATCH($Y$38,$G$14:$G$18,0),MATCH(AD$21,$H$21:$N$21,0))
/SUMIFS(OFFSET($O$14:$O$18,,MATCH(AD$21,$H$21:$N$21,0)),OFFSET($G$14:$G$18,,MATCH(AD$21,$H$21:$N$21,0)),1)</f>
        <v>0</v>
      </c>
      <c r="AE40" s="3">
        <f t="shared" ref="AE40:AF44" ca="1" si="18">OFFSET($A$4,MATCH(AE$21,$J$21:$N$21,0),MATCH(OFFSET($A$21,MATCH(SUMIFS($B$32:$B$34,$A$32:$A$34,$Z$29),$B$22:$B$28,0),),$B$1:$H$1,0))
*OFFSET($A$13,$G40,$D$12)/OFFSET($A$18,,$D$12)
*OFFSET($G$13,MATCH($Y$38,$G$14:$G$18,0),MATCH(AE$21,$H$21:$N$21,0))
*OFFSET($O$13,MATCH($Y$38,$G$14:$G$18,0),MATCH(AE$21,$H$21:$N$21,0))
/SUMIFS(OFFSET($O$14:$O$18,,MATCH(AE$21,$H$21:$N$21,0)),OFFSET($G$14:$G$18,,MATCH(AE$21,$H$21:$N$21,0)),1)</f>
        <v>24</v>
      </c>
      <c r="AF40" s="3">
        <f t="shared" ca="1" si="18"/>
        <v>18.46153846153846</v>
      </c>
    </row>
    <row r="41" spans="1:32">
      <c r="A41" s="3" t="s">
        <v>67</v>
      </c>
      <c r="B41" s="3">
        <f>武器伤害!B25</f>
        <v>4</v>
      </c>
      <c r="G41" s="3">
        <v>2</v>
      </c>
      <c r="H41" s="3">
        <f t="array" aca="1" ref="H41" ca="1">MEDIAN(_xlfn.IFS($B$22:$B$28=OFFSET($B$31,MATCH($H$38,$A$32:$A$34,0),),TRANSPOSE(OFFSET($B$1:$H$1,MATCH(H$21,$H$21:$I$21,0),)),TRUE,""))
*OFFSET($A$13,$G41,$D$12)/OFFSET($A$18,,$D$12)
*OFFSET($G$13,MATCH($G$38,$G$14:$G$18,0),MATCH(H$21,$H$21:$N$21,0))
*OFFSET($O$13,MATCH($G$38,$G$14:$G$18,0),MATCH(H$21,$H$21:$N$21,0))
/SUMIFS(OFFSET($O$14:$O$18,,MATCH(H$21,$H$21:$N$21,0)),OFFSET($G$14:$G$18,,MATCH(H$21,$H$21:$N$21,0)),1)</f>
        <v>24.301555299539174</v>
      </c>
      <c r="I41" s="3">
        <f t="array" aca="1" ref="I41" ca="1">MEDIAN(_xlfn.IFS($B$22:$B$28=OFFSET($B$31,MATCH($H$38,$A$32:$A$34,0),),TRANSPOSE(OFFSET($B$1:$H$1,MATCH(I$21,$H$21:$I$21,0),)),TRUE,""))
*OFFSET($A$13,$G41,$D$12)/OFFSET($A$18,,$D$12)
*OFFSET($G$13,MATCH($G$38,$G$14:$G$18,0),MATCH(I$21,$H$21:$N$21,0))
*OFFSET($O$13,MATCH($G$38,$G$14:$G$18,0),MATCH(I$21,$H$21:$N$21,0))
/SUMIFS(OFFSET($O$14:$O$18,,MATCH(I$21,$H$21:$N$21,0)),OFFSET($G$14:$G$18,,MATCH(I$21,$H$21:$N$21,0)),1)
*_xlfn.IFS(I$21="生命",SUMIFS(模型构建!$B$8:$B$14,模型构建!$C$8:$C$14,1),TRUE,1)
*模型构建!$L$1</f>
        <v>138.3343373493976</v>
      </c>
      <c r="J41" s="3">
        <f t="shared" ref="J41:J44" ca="1" si="19">OFFSET($A$4,MATCH(J$21,$J$21:$N$21,0),MATCH(OFFSET($A$21,MATCH(SUMIFS($B$32:$B$34,$A$32:$A$34,$H$38),$B$22:$B$28,0),),$B$1:$H$1,0))
*OFFSET($A$13,$G41,$D$12)/OFFSET($A$18,,$D$12)
*OFFSET($G$13,MATCH($G$38,$G$14:$G$18,0),MATCH(J$21,$H$21:$N$21,0))
*OFFSET($O$13,MATCH($G$38,$G$14:$G$18,0),MATCH(J$21,$H$21:$N$21,0))
/SUMIFS(OFFSET($O$14:$O$18,,MATCH(J$21,$H$21:$N$21,0)),OFFSET($G$14:$G$18,,MATCH(J$21,$H$21:$N$21,0)),1)</f>
        <v>23.011363636363637</v>
      </c>
      <c r="K41" s="3">
        <f t="array" aca="1" ref="K41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*OFFSET($A$13,$G41,$D$12)/OFFSET($A$18,,$D$12)
*OFFSET($G$13,MATCH($G$38,$G$14:$G$18,0),MATCH(K$21,$H$21:$N$21,0))
*OFFSET($O$13,MATCH($G$38,$G$14:$G$18,0),MATCH(K$21,$H$21:$N$21,0))
/SUMIFS(OFFSET($O$14:$O$18,,MATCH(K$21,$H$21:$N$21,0)),OFFSET($G$14:$G$18,,MATCH(K$21,$H$21:$N$21,0)),1)</f>
        <v>35.15625</v>
      </c>
      <c r="L41" s="3">
        <f t="shared" ref="L41:L44" ca="1" si="20">OFFSET($A$4,MATCH(L$21,$J$21:$N$21,0),MATCH(OFFSET($A$21,MATCH(SUMIFS($B$32:$B$34,$A$32:$A$34,$H$38),$B$22:$B$28,0),),$B$1:$H$1,0))
*OFFSET($A$13,$G41,$D$12)/OFFSET($A$18,,$D$12)
*OFFSET($G$13,MATCH($G$38,$G$14:$G$18,0),MATCH(L$21,$H$21:$N$21,0))
*OFFSET($O$13,MATCH($G$38,$G$14:$G$18,0),MATCH(L$21,$H$21:$N$21,0))
/SUMIFS(OFFSET($O$14:$O$18,,MATCH(L$21,$H$21:$N$21,0)),OFFSET($G$14:$G$18,,MATCH(L$21,$H$21:$N$21,0)),1)</f>
        <v>0</v>
      </c>
      <c r="M41" s="3">
        <f t="shared" ca="1" si="16"/>
        <v>27</v>
      </c>
      <c r="N41" s="3">
        <f t="shared" ca="1" si="16"/>
        <v>20.76923076923077</v>
      </c>
      <c r="P41" s="3">
        <v>2</v>
      </c>
      <c r="Q41" s="3">
        <f t="array" aca="1" ref="Q41" ca="1">MEDIAN(_xlfn.IFS($B$22:$B$28=OFFSET($B$31,MATCH($Q$38,$A$32:$A$34,0),),TRANSPOSE(OFFSET($B$1:$H$1,MATCH(Q$21,$H$21:$I$21,0),)),TRUE,""))
*OFFSET($A$13,$G41,$D$12)/OFFSET($A$18,,$D$12)
*OFFSET($G$13,MATCH($P$38,$G$14:$G$18,0),MATCH(Q$21,$H$21:$N$21,0))
*OFFSET($O$13,MATCH($P$38,$G$14:$G$18,0),MATCH(Q$21,$H$21:$N$21,0))
/SUMIFS(OFFSET($O$14:$O$18,,MATCH(Q$21,$H$21:$N$21,0)),OFFSET($G$14:$G$18,,MATCH(Q$21,$H$21:$N$21,0)),1)</f>
        <v>19.057175659394783</v>
      </c>
      <c r="R41" s="3">
        <f t="array" aca="1" ref="R41" ca="1">MEDIAN(_xlfn.IFS($B$22:$B$28=OFFSET($B$31,MATCH($Q$38,$A$32:$A$34,0),),TRANSPOSE(OFFSET($B$1:$H$1,MATCH(R$21,$H$21:$I$21,0),)),TRUE,""))
*OFFSET($A$13,$G41,$D$12)/OFFSET($A$18,,$D$12)
*OFFSET($G$13,MATCH($P$38,$G$14:$G$18,0),MATCH(R$21,$H$21:$N$21,0))
*OFFSET($O$13,MATCH($P$38,$G$14:$G$18,0),MATCH(R$21,$H$21:$N$21,0))
/SUMIFS(OFFSET($O$14:$O$18,,MATCH(R$21,$H$21:$N$21,0)),OFFSET($G$14:$G$18,,MATCH(R$21,$H$21:$N$21,0)),1)
*_xlfn.IFS(I$21="生命",SUMIFS(模型构建!$B$8:$B$14,模型构建!$C$8:$C$14,1),TRUE,1)
*模型构建!$L$1</f>
        <v>328.94520389249305</v>
      </c>
      <c r="S41" s="3">
        <f t="shared" ref="S41:S44" ca="1" si="21">OFFSET($A$4,MATCH(S$21,$J$21:$N$21,0),MATCH(OFFSET($A$21,MATCH(SUMIFS($B$32:$B$34,$A$32:$A$34,$Q$29),$B$22:$B$28,0),),$B$1:$H$1,0))
*OFFSET($A$13,$G41,$D$12)/OFFSET($A$18,,$D$12)
*OFFSET($G$13,MATCH($P$38,$G$14:$G$18,0),MATCH(S$21,$H$21:$N$21,0))
*OFFSET($O$13,MATCH($P$38,$G$14:$G$18,0),MATCH(S$21,$H$21:$N$21,0))
/SUMIFS(OFFSET($O$14:$O$18,,MATCH(S$21,$H$21:$N$21,0)),OFFSET($G$14:$G$18,,MATCH(S$21,$H$21:$N$21,0)),1)</f>
        <v>23.011363636363637</v>
      </c>
      <c r="T41" s="3">
        <f t="array" aca="1" ref="T41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*OFFSET($A$13,$G41,$D$12)/OFFSET($A$18,,$D$12)
*OFFSET($G$13,MATCH($P$38,$G$14:$G$18,0),MATCH(T$21,$H$21:$N$21,0))
*OFFSET($O$13,MATCH($P$38,$G$14:$G$18,0),MATCH(T$21,$H$21:$N$21,0))
/SUMIFS(OFFSET($O$14:$O$18,,MATCH(T$21,$H$21:$N$21,0)),OFFSET($G$14:$G$18,,MATCH(T$21,$H$21:$N$21,0)),1)</f>
        <v>59.765625000000014</v>
      </c>
      <c r="U41" s="3">
        <f t="shared" ref="U41:U44" ca="1" si="22">OFFSET($A$4,MATCH(U$21,$J$21:$N$21,0),MATCH(OFFSET($A$21,MATCH(SUMIFS($B$32:$B$34,$A$32:$A$34,$Q$29),$B$22:$B$28,0),),$B$1:$H$1,0))
*OFFSET($A$13,$G41,$D$12)/OFFSET($A$18,,$D$12)
*OFFSET($G$13,MATCH($P$38,$G$14:$G$18,0),MATCH(U$21,$H$21:$N$21,0))
*OFFSET($O$13,MATCH($P$38,$G$14:$G$18,0),MATCH(U$21,$H$21:$N$21,0))
/SUMIFS(OFFSET($O$14:$O$18,,MATCH(U$21,$H$21:$N$21,0)),OFFSET($G$14:$G$18,,MATCH(U$21,$H$21:$N$21,0)),1)</f>
        <v>0</v>
      </c>
      <c r="V41" s="3">
        <f t="shared" ca="1" si="17"/>
        <v>27</v>
      </c>
      <c r="W41" s="3">
        <f t="shared" ca="1" si="17"/>
        <v>20.76923076923077</v>
      </c>
      <c r="Y41" s="3">
        <v>2</v>
      </c>
      <c r="Z41" s="3">
        <f t="array" aca="1" ref="Z41" ca="1">MEDIAN(_xlfn.IFS($B$22:$B$28=OFFSET($B$31,MATCH($Z$29,$A$32:$A$34,0),),TRANSPOSE(OFFSET($B$1:$H$1,MATCH(Z$21,$H$21:$I$21,0),)),TRUE,""))
*OFFSET($A$13,$G41,$D$12)/OFFSET($A$18,,$D$12)
*OFFSET($G$13,MATCH($Y$38,$G$14:$G$18,0),MATCH(Z$21,$H$21:$N$21,0))
*OFFSET($O$13,MATCH($Y$38,$G$14:$G$18,0),MATCH(Z$21,$H$21:$N$21,0))
/SUMIFS(OFFSET($O$14:$O$18,,MATCH(Z$21,$H$21:$N$21,0)),OFFSET($G$14:$G$18,,MATCH(Z$21,$H$21:$N$21,0)),1)</f>
        <v>21.297031932131155</v>
      </c>
      <c r="AA41" s="3">
        <f t="array" aca="1" ref="AA41" ca="1">MEDIAN(_xlfn.IFS($B$22:$B$28=OFFSET($B$31,MATCH($Z$29,$A$32:$A$34,0),),TRANSPOSE(OFFSET($B$1:$H$1,MATCH(AA$21,$H$21:$I$21,0),)),TRUE,""))
*OFFSET($A$13,$G41,$D$12)/OFFSET($A$18,,$D$12)
*OFFSET($G$13,MATCH($Y$38,$G$14:$G$18,0),MATCH(AA$21,$H$21:$N$21,0))
*OFFSET($O$13,MATCH($Y$38,$G$14:$G$18,0),MATCH(AA$21,$H$21:$N$21,0))
/SUMIFS(OFFSET($O$14:$O$18,,MATCH(AA$21,$H$21:$N$21,0)),OFFSET($G$14:$G$18,,MATCH(AA$21,$H$21:$N$21,0)),1)
*_xlfn.IFS(I$21="生命",SUMIFS(模型构建!$B$8:$B$14,模型构建!$C$8:$C$14,1),TRUE,1)
*模型构建!$L$1</f>
        <v>627.54637395736779</v>
      </c>
      <c r="AB41" s="3">
        <f t="shared" ref="AB41:AB44" ca="1" si="23">OFFSET($A$4,MATCH(AB$21,$J$21:$N$21,0),MATCH(OFFSET($A$21,MATCH(SUMIFS($B$32:$B$34,$A$32:$A$34,$Z$29),$B$22:$B$28,0),),$B$1:$H$1,0))
*OFFSET($A$13,$G41,$D$12)/OFFSET($A$18,,$D$12)
*OFFSET($G$13,MATCH($Y$38,$G$14:$G$18,0),MATCH(AB$21,$H$21:$N$21,0))
*OFFSET($O$13,MATCH($Y$38,$G$14:$G$18,0),MATCH(AB$21,$H$21:$N$21,0))
/SUMIFS(OFFSET($O$14:$O$18,,MATCH(AB$21,$H$21:$N$21,0)),OFFSET($G$14:$G$18,,MATCH(AB$21,$H$21:$N$21,0)),1)</f>
        <v>23.011363636363637</v>
      </c>
      <c r="AC41" s="3">
        <f t="array" aca="1" ref="AC41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*OFFSET($A$13,$G41,$D$12)/OFFSET($A$18,,$D$12)
*OFFSET($G$13,MATCH($G$38,$G$14:$G$18,0),MATCH(AC$21,$H$21:$N$21,0))
*OFFSET($O$13,MATCH($G$38,$G$14:$G$18,0),MATCH(AC$21,$H$21:$N$21,0))
/SUMIFS(OFFSET($O$14:$O$18,,MATCH(AC$21,$H$21:$N$21,0)),OFFSET($G$14:$G$18,,MATCH(AC$21,$H$21:$N$21,0)),1)</f>
        <v>9.84375</v>
      </c>
      <c r="AD41" s="3">
        <f t="shared" ref="AD41:AD44" ca="1" si="24">OFFSET($A$4,MATCH(AD$21,$J$21:$N$21,0),MATCH(OFFSET($A$21,MATCH(SUMIFS($B$32:$B$34,$A$32:$A$34,$Z$29),$B$22:$B$28,0),),$B$1:$H$1,0))
*OFFSET($A$13,$G41,$D$12)/OFFSET($A$18,,$D$12)
*OFFSET($G$13,MATCH($Y$38,$G$14:$G$18,0),MATCH(AD$21,$H$21:$N$21,0))
*OFFSET($O$13,MATCH($Y$38,$G$14:$G$18,0),MATCH(AD$21,$H$21:$N$21,0))
/SUMIFS(OFFSET($O$14:$O$18,,MATCH(AD$21,$H$21:$N$21,0)),OFFSET($G$14:$G$18,,MATCH(AD$21,$H$21:$N$21,0)),1)</f>
        <v>0</v>
      </c>
      <c r="AE41" s="3">
        <f t="shared" ca="1" si="18"/>
        <v>27</v>
      </c>
      <c r="AF41" s="3">
        <f t="shared" ca="1" si="18"/>
        <v>20.76923076923077</v>
      </c>
    </row>
    <row r="42" spans="1:32">
      <c r="A42" s="3" t="s">
        <v>68</v>
      </c>
      <c r="B42" s="3">
        <f>武器伤害!B26</f>
        <v>1</v>
      </c>
      <c r="G42" s="3">
        <v>3</v>
      </c>
      <c r="H42" s="3">
        <f t="array" aca="1" ref="H42" ca="1">MEDIAN(_xlfn.IFS($B$22:$B$28=OFFSET($B$31,MATCH($H$38,$A$32:$A$34,0),),TRANSPOSE(OFFSET($B$1:$H$1,MATCH(H$21,$H$21:$I$21,0),)),TRUE,""))
*OFFSET($A$13,$G42,$D$12)/OFFSET($A$18,,$D$12)
*OFFSET($G$13,MATCH($G$38,$G$14:$G$18,0),MATCH(H$21,$H$21:$N$21,0))
*OFFSET($O$13,MATCH($G$38,$G$14:$G$18,0),MATCH(H$21,$H$21:$N$21,0))
/SUMIFS(OFFSET($O$14:$O$18,,MATCH(H$21,$H$21:$N$21,0)),OFFSET($G$14:$G$18,,MATCH(H$21,$H$21:$N$21,0)),1)</f>
        <v>27.001728110599078</v>
      </c>
      <c r="I42" s="3">
        <f t="array" aca="1" ref="I42" ca="1">MEDIAN(_xlfn.IFS($B$22:$B$28=OFFSET($B$31,MATCH($H$38,$A$32:$A$34,0),),TRANSPOSE(OFFSET($B$1:$H$1,MATCH(I$21,$H$21:$I$21,0),)),TRUE,""))
*OFFSET($A$13,$G42,$D$12)/OFFSET($A$18,,$D$12)
*OFFSET($G$13,MATCH($G$38,$G$14:$G$18,0),MATCH(I$21,$H$21:$N$21,0))
*OFFSET($O$13,MATCH($G$38,$G$14:$G$18,0),MATCH(I$21,$H$21:$N$21,0))
/SUMIFS(OFFSET($O$14:$O$18,,MATCH(I$21,$H$21:$N$21,0)),OFFSET($G$14:$G$18,,MATCH(I$21,$H$21:$N$21,0)),1)
*_xlfn.IFS(I$21="生命",SUMIFS(模型构建!$B$8:$B$14,模型构建!$C$8:$C$14,1),TRUE,1)
*模型构建!$L$1</f>
        <v>153.70481927710844</v>
      </c>
      <c r="J42" s="3">
        <f t="shared" ca="1" si="19"/>
        <v>25.568181818181817</v>
      </c>
      <c r="K42" s="3">
        <f t="array" aca="1" ref="K42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*OFFSET($A$13,$G42,$D$12)/OFFSET($A$18,,$D$12)
*OFFSET($G$13,MATCH($G$38,$G$14:$G$18,0),MATCH(K$21,$H$21:$N$21,0))
*OFFSET($O$13,MATCH($G$38,$G$14:$G$18,0),MATCH(K$21,$H$21:$N$21,0))
/SUMIFS(OFFSET($O$14:$O$18,,MATCH(K$21,$H$21:$N$21,0)),OFFSET($G$14:$G$18,,MATCH(K$21,$H$21:$N$21,0)),1)</f>
        <v>39.0625</v>
      </c>
      <c r="L42" s="3">
        <f t="shared" ca="1" si="20"/>
        <v>0</v>
      </c>
      <c r="M42" s="3">
        <f t="shared" ca="1" si="16"/>
        <v>30</v>
      </c>
      <c r="N42" s="3">
        <f t="shared" ca="1" si="16"/>
        <v>23.076923076923077</v>
      </c>
      <c r="P42" s="3">
        <v>3</v>
      </c>
      <c r="Q42" s="3">
        <f t="array" aca="1" ref="Q42" ca="1">MEDIAN(_xlfn.IFS($B$22:$B$28=OFFSET($B$31,MATCH($Q$38,$A$32:$A$34,0),),TRANSPOSE(OFFSET($B$1:$H$1,MATCH(Q$21,$H$21:$I$21,0),)),TRUE,""))
*OFFSET($A$13,$G42,$D$12)/OFFSET($A$18,,$D$12)
*OFFSET($G$13,MATCH($P$38,$G$14:$G$18,0),MATCH(Q$21,$H$21:$N$21,0))
*OFFSET($O$13,MATCH($P$38,$G$14:$G$18,0),MATCH(Q$21,$H$21:$N$21,0))
/SUMIFS(OFFSET($O$14:$O$18,,MATCH(Q$21,$H$21:$N$21,0)),OFFSET($G$14:$G$18,,MATCH(Q$21,$H$21:$N$21,0)),1)</f>
        <v>21.174639621549755</v>
      </c>
      <c r="R42" s="3">
        <f t="array" aca="1" ref="R42" ca="1">MEDIAN(_xlfn.IFS($B$22:$B$28=OFFSET($B$31,MATCH($Q$38,$A$32:$A$34,0),),TRANSPOSE(OFFSET($B$1:$H$1,MATCH(R$21,$H$21:$I$21,0),)),TRUE,""))
*OFFSET($A$13,$G42,$D$12)/OFFSET($A$18,,$D$12)
*OFFSET($G$13,MATCH($P$38,$G$14:$G$18,0),MATCH(R$21,$H$21:$N$21,0))
*OFFSET($O$13,MATCH($P$38,$G$14:$G$18,0),MATCH(R$21,$H$21:$N$21,0))
/SUMIFS(OFFSET($O$14:$O$18,,MATCH(R$21,$H$21:$N$21,0)),OFFSET($G$14:$G$18,,MATCH(R$21,$H$21:$N$21,0)),1)
*_xlfn.IFS(I$21="生命",SUMIFS(模型构建!$B$8:$B$14,模型构建!$C$8:$C$14,1),TRUE,1)
*模型构建!$L$1</f>
        <v>365.49467099165889</v>
      </c>
      <c r="S42" s="3">
        <f t="shared" ca="1" si="21"/>
        <v>25.568181818181817</v>
      </c>
      <c r="T42" s="3">
        <f t="array" aca="1" ref="T42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*OFFSET($A$13,$G42,$D$12)/OFFSET($A$18,,$D$12)
*OFFSET($G$13,MATCH($P$38,$G$14:$G$18,0),MATCH(T$21,$H$21:$N$21,0))
*OFFSET($O$13,MATCH($P$38,$G$14:$G$18,0),MATCH(T$21,$H$21:$N$21,0))
/SUMIFS(OFFSET($O$14:$O$18,,MATCH(T$21,$H$21:$N$21,0)),OFFSET($G$14:$G$18,,MATCH(T$21,$H$21:$N$21,0)),1)</f>
        <v>66.406250000000014</v>
      </c>
      <c r="U42" s="3">
        <f t="shared" ca="1" si="22"/>
        <v>0</v>
      </c>
      <c r="V42" s="3">
        <f t="shared" ca="1" si="17"/>
        <v>30</v>
      </c>
      <c r="W42" s="3">
        <f t="shared" ca="1" si="17"/>
        <v>23.076923076923077</v>
      </c>
      <c r="Y42" s="3">
        <v>3</v>
      </c>
      <c r="Z42" s="3">
        <f t="array" aca="1" ref="Z42" ca="1">MEDIAN(_xlfn.IFS($B$22:$B$28=OFFSET($B$31,MATCH($Z$29,$A$32:$A$34,0),),TRANSPOSE(OFFSET($B$1:$H$1,MATCH(Z$21,$H$21:$I$21,0),)),TRUE,""))
*OFFSET($A$13,$G42,$D$12)/OFFSET($A$18,,$D$12)
*OFFSET($G$13,MATCH($Y$38,$G$14:$G$18,0),MATCH(Z$21,$H$21:$N$21,0))
*OFFSET($O$13,MATCH($Y$38,$G$14:$G$18,0),MATCH(Z$21,$H$21:$N$21,0))
/SUMIFS(OFFSET($O$14:$O$18,,MATCH(Z$21,$H$21:$N$21,0)),OFFSET($G$14:$G$18,,MATCH(Z$21,$H$21:$N$21,0)),1)</f>
        <v>23.663368813479057</v>
      </c>
      <c r="AA42" s="3">
        <f t="array" aca="1" ref="AA42" ca="1">MEDIAN(_xlfn.IFS($B$22:$B$28=OFFSET($B$31,MATCH($Z$29,$A$32:$A$34,0),),TRANSPOSE(OFFSET($B$1:$H$1,MATCH(AA$21,$H$21:$I$21,0),)),TRUE,""))
*OFFSET($A$13,$G42,$D$12)/OFFSET($A$18,,$D$12)
*OFFSET($G$13,MATCH($Y$38,$G$14:$G$18,0),MATCH(AA$21,$H$21:$N$21,0))
*OFFSET($O$13,MATCH($Y$38,$G$14:$G$18,0),MATCH(AA$21,$H$21:$N$21,0))
/SUMIFS(OFFSET($O$14:$O$18,,MATCH(AA$21,$H$21:$N$21,0)),OFFSET($G$14:$G$18,,MATCH(AA$21,$H$21:$N$21,0)),1)
*_xlfn.IFS(I$21="生命",SUMIFS(模型构建!$B$8:$B$14,模型构建!$C$8:$C$14,1),TRUE,1)
*模型构建!$L$1</f>
        <v>697.27374884151982</v>
      </c>
      <c r="AB42" s="3">
        <f t="shared" ca="1" si="23"/>
        <v>25.568181818181817</v>
      </c>
      <c r="AC42" s="3">
        <f t="array" aca="1" ref="AC42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*OFFSET($A$13,$G42,$D$12)/OFFSET($A$18,,$D$12)
*OFFSET($G$13,MATCH($G$38,$G$14:$G$18,0),MATCH(AC$21,$H$21:$N$21,0))
*OFFSET($O$13,MATCH($G$38,$G$14:$G$18,0),MATCH(AC$21,$H$21:$N$21,0))
/SUMIFS(OFFSET($O$14:$O$18,,MATCH(AC$21,$H$21:$N$21,0)),OFFSET($G$14:$G$18,,MATCH(AC$21,$H$21:$N$21,0)),1)</f>
        <v>10.9375</v>
      </c>
      <c r="AD42" s="3">
        <f t="shared" ca="1" si="24"/>
        <v>0</v>
      </c>
      <c r="AE42" s="3">
        <f t="shared" ca="1" si="18"/>
        <v>30</v>
      </c>
      <c r="AF42" s="3">
        <f t="shared" ca="1" si="18"/>
        <v>23.076923076923077</v>
      </c>
    </row>
    <row r="43" spans="1:32">
      <c r="A43" s="3" t="s">
        <v>69</v>
      </c>
      <c r="B43" s="3">
        <f>武器伤害!B27</f>
        <v>2</v>
      </c>
      <c r="G43" s="3">
        <v>4</v>
      </c>
      <c r="H43" s="3">
        <f t="array" aca="1" ref="H43" ca="1">MEDIAN(_xlfn.IFS($B$22:$B$28=OFFSET($B$31,MATCH($H$38,$A$32:$A$34,0),),TRANSPOSE(OFFSET($B$1:$H$1,MATCH(H$21,$H$21:$I$21,0),)),TRUE,""))
*OFFSET($A$13,$G43,$D$12)/OFFSET($A$18,,$D$12)
*OFFSET($G$13,MATCH($G$38,$G$14:$G$18,0),MATCH(H$21,$H$21:$N$21,0))
*OFFSET($O$13,MATCH($G$38,$G$14:$G$18,0),MATCH(H$21,$H$21:$N$21,0))
/SUMIFS(OFFSET($O$14:$O$18,,MATCH(H$21,$H$21:$N$21,0)),OFFSET($G$14:$G$18,,MATCH(H$21,$H$21:$N$21,0)),1)</f>
        <v>29.701900921658989</v>
      </c>
      <c r="I43" s="3">
        <f t="array" aca="1" ref="I43" ca="1">MEDIAN(_xlfn.IFS($B$22:$B$28=OFFSET($B$31,MATCH($H$38,$A$32:$A$34,0),),TRANSPOSE(OFFSET($B$1:$H$1,MATCH(I$21,$H$21:$I$21,0),)),TRUE,""))
*OFFSET($A$13,$G43,$D$12)/OFFSET($A$18,,$D$12)
*OFFSET($G$13,MATCH($G$38,$G$14:$G$18,0),MATCH(I$21,$H$21:$N$21,0))
*OFFSET($O$13,MATCH($G$38,$G$14:$G$18,0),MATCH(I$21,$H$21:$N$21,0))
/SUMIFS(OFFSET($O$14:$O$18,,MATCH(I$21,$H$21:$N$21,0)),OFFSET($G$14:$G$18,,MATCH(I$21,$H$21:$N$21,0)),1)
*_xlfn.IFS(I$21="生命",SUMIFS(模型构建!$B$8:$B$14,模型构建!$C$8:$C$14,1),TRUE,1)
*模型构建!$L$1</f>
        <v>169.07530120481928</v>
      </c>
      <c r="J43" s="3">
        <f t="shared" ca="1" si="19"/>
        <v>28.125</v>
      </c>
      <c r="K43" s="3">
        <f t="array" aca="1" ref="K43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*OFFSET($A$13,$G43,$D$12)/OFFSET($A$18,,$D$12)
*OFFSET($G$13,MATCH($G$38,$G$14:$G$18,0),MATCH(K$21,$H$21:$N$21,0))
*OFFSET($O$13,MATCH($G$38,$G$14:$G$18,0),MATCH(K$21,$H$21:$N$21,0))
/SUMIFS(OFFSET($O$14:$O$18,,MATCH(K$21,$H$21:$N$21,0)),OFFSET($G$14:$G$18,,MATCH(K$21,$H$21:$N$21,0)),1)</f>
        <v>42.96875</v>
      </c>
      <c r="L43" s="3">
        <f t="shared" ca="1" si="20"/>
        <v>0</v>
      </c>
      <c r="M43" s="3">
        <f t="shared" ca="1" si="16"/>
        <v>33</v>
      </c>
      <c r="N43" s="3">
        <f t="shared" ca="1" si="16"/>
        <v>25.384615384615383</v>
      </c>
      <c r="P43" s="3">
        <v>4</v>
      </c>
      <c r="Q43" s="3">
        <f t="array" aca="1" ref="Q43" ca="1">MEDIAN(_xlfn.IFS($B$22:$B$28=OFFSET($B$31,MATCH($Q$38,$A$32:$A$34,0),),TRANSPOSE(OFFSET($B$1:$H$1,MATCH(Q$21,$H$21:$I$21,0),)),TRUE,""))
*OFFSET($A$13,$G43,$D$12)/OFFSET($A$18,,$D$12)
*OFFSET($G$13,MATCH($P$38,$G$14:$G$18,0),MATCH(Q$21,$H$21:$N$21,0))
*OFFSET($O$13,MATCH($P$38,$G$14:$G$18,0),MATCH(Q$21,$H$21:$N$21,0))
/SUMIFS(OFFSET($O$14:$O$18,,MATCH(Q$21,$H$21:$N$21,0)),OFFSET($G$14:$G$18,,MATCH(Q$21,$H$21:$N$21,0)),1)</f>
        <v>23.292103583704737</v>
      </c>
      <c r="R43" s="3">
        <f t="array" aca="1" ref="R43" ca="1">MEDIAN(_xlfn.IFS($B$22:$B$28=OFFSET($B$31,MATCH($Q$38,$A$32:$A$34,0),),TRANSPOSE(OFFSET($B$1:$H$1,MATCH(R$21,$H$21:$I$21,0),)),TRUE,""))
*OFFSET($A$13,$G43,$D$12)/OFFSET($A$18,,$D$12)
*OFFSET($G$13,MATCH($P$38,$G$14:$G$18,0),MATCH(R$21,$H$21:$N$21,0))
*OFFSET($O$13,MATCH($P$38,$G$14:$G$18,0),MATCH(R$21,$H$21:$N$21,0))
/SUMIFS(OFFSET($O$14:$O$18,,MATCH(R$21,$H$21:$N$21,0)),OFFSET($G$14:$G$18,,MATCH(R$21,$H$21:$N$21,0)),1)
*_xlfn.IFS(I$21="生命",SUMIFS(模型构建!$B$8:$B$14,模型构建!$C$8:$C$14,1),TRUE,1)
*模型构建!$L$1</f>
        <v>402.04413809082484</v>
      </c>
      <c r="S43" s="3">
        <f t="shared" ca="1" si="21"/>
        <v>28.125</v>
      </c>
      <c r="T43" s="3">
        <f t="array" aca="1" ref="T43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*OFFSET($A$13,$G43,$D$12)/OFFSET($A$18,,$D$12)
*OFFSET($G$13,MATCH($P$38,$G$14:$G$18,0),MATCH(T$21,$H$21:$N$21,0))
*OFFSET($O$13,MATCH($P$38,$G$14:$G$18,0),MATCH(T$21,$H$21:$N$21,0))
/SUMIFS(OFFSET($O$14:$O$18,,MATCH(T$21,$H$21:$N$21,0)),OFFSET($G$14:$G$18,,MATCH(T$21,$H$21:$N$21,0)),1)</f>
        <v>73.046875000000014</v>
      </c>
      <c r="U43" s="3">
        <f t="shared" ca="1" si="22"/>
        <v>0</v>
      </c>
      <c r="V43" s="3">
        <f t="shared" ca="1" si="17"/>
        <v>33</v>
      </c>
      <c r="W43" s="3">
        <f t="shared" ca="1" si="17"/>
        <v>25.384615384615383</v>
      </c>
      <c r="Y43" s="3">
        <v>4</v>
      </c>
      <c r="Z43" s="3">
        <f t="array" aca="1" ref="Z43" ca="1">MEDIAN(_xlfn.IFS($B$22:$B$28=OFFSET($B$31,MATCH($Z$29,$A$32:$A$34,0),),TRANSPOSE(OFFSET($B$1:$H$1,MATCH(Z$21,$H$21:$I$21,0),)),TRUE,""))
*OFFSET($A$13,$G43,$D$12)/OFFSET($A$18,,$D$12)
*OFFSET($G$13,MATCH($Y$38,$G$14:$G$18,0),MATCH(Z$21,$H$21:$N$21,0))
*OFFSET($O$13,MATCH($Y$38,$G$14:$G$18,0),MATCH(Z$21,$H$21:$N$21,0))
/SUMIFS(OFFSET($O$14:$O$18,,MATCH(Z$21,$H$21:$N$21,0)),OFFSET($G$14:$G$18,,MATCH(Z$21,$H$21:$N$21,0)),1)</f>
        <v>26.029705694826962</v>
      </c>
      <c r="AA43" s="3">
        <f t="array" aca="1" ref="AA43" ca="1">MEDIAN(_xlfn.IFS($B$22:$B$28=OFFSET($B$31,MATCH($Z$29,$A$32:$A$34,0),),TRANSPOSE(OFFSET($B$1:$H$1,MATCH(AA$21,$H$21:$I$21,0),)),TRUE,""))
*OFFSET($A$13,$G43,$D$12)/OFFSET($A$18,,$D$12)
*OFFSET($G$13,MATCH($Y$38,$G$14:$G$18,0),MATCH(AA$21,$H$21:$N$21,0))
*OFFSET($O$13,MATCH($Y$38,$G$14:$G$18,0),MATCH(AA$21,$H$21:$N$21,0))
/SUMIFS(OFFSET($O$14:$O$18,,MATCH(AA$21,$H$21:$N$21,0)),OFFSET($G$14:$G$18,,MATCH(AA$21,$H$21:$N$21,0)),1)
*_xlfn.IFS(I$21="生命",SUMIFS(模型构建!$B$8:$B$14,模型构建!$C$8:$C$14,1),TRUE,1)
*模型构建!$L$1</f>
        <v>767.00112372567185</v>
      </c>
      <c r="AB43" s="3">
        <f t="shared" ca="1" si="23"/>
        <v>28.125</v>
      </c>
      <c r="AC43" s="3">
        <f t="array" aca="1" ref="AC43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*OFFSET($A$13,$G43,$D$12)/OFFSET($A$18,,$D$12)
*OFFSET($G$13,MATCH($G$38,$G$14:$G$18,0),MATCH(AC$21,$H$21:$N$21,0))
*OFFSET($O$13,MATCH($G$38,$G$14:$G$18,0),MATCH(AC$21,$H$21:$N$21,0))
/SUMIFS(OFFSET($O$14:$O$18,,MATCH(AC$21,$H$21:$N$21,0)),OFFSET($G$14:$G$18,,MATCH(AC$21,$H$21:$N$21,0)),1)</f>
        <v>12.03125</v>
      </c>
      <c r="AD43" s="3">
        <f t="shared" ca="1" si="24"/>
        <v>0</v>
      </c>
      <c r="AE43" s="3">
        <f t="shared" ca="1" si="18"/>
        <v>33</v>
      </c>
      <c r="AF43" s="3">
        <f t="shared" ca="1" si="18"/>
        <v>25.384615384615383</v>
      </c>
    </row>
    <row r="44" spans="1:32">
      <c r="A44" s="3" t="s">
        <v>70</v>
      </c>
      <c r="B44" s="3">
        <f>武器伤害!B28</f>
        <v>1</v>
      </c>
      <c r="G44" s="3">
        <v>5</v>
      </c>
      <c r="H44" s="3">
        <f t="array" aca="1" ref="H44" ca="1">MEDIAN(_xlfn.IFS($B$22:$B$28=OFFSET($B$31,MATCH($H$38,$A$32:$A$34,0),),TRANSPOSE(OFFSET($B$1:$H$1,MATCH(H$21,$H$21:$I$21,0),)),TRUE,""))
*OFFSET($A$13,$G44,$D$12)/OFFSET($A$18,,$D$12)
*OFFSET($G$13,MATCH($G$38,$G$14:$G$18,0),MATCH(H$21,$H$21:$N$21,0))
*OFFSET($O$13,MATCH($G$38,$G$14:$G$18,0),MATCH(H$21,$H$21:$N$21,0))
/SUMIFS(OFFSET($O$14:$O$18,,MATCH(H$21,$H$21:$N$21,0)),OFFSET($G$14:$G$18,,MATCH(H$21,$H$21:$N$21,0)),1)</f>
        <v>32.402073732718897</v>
      </c>
      <c r="I44" s="3">
        <f t="array" aca="1" ref="I44" ca="1">MEDIAN(_xlfn.IFS($B$22:$B$28=OFFSET($B$31,MATCH($H$38,$A$32:$A$34,0),),TRANSPOSE(OFFSET($B$1:$H$1,MATCH(I$21,$H$21:$I$21,0),)),TRUE,""))
*OFFSET($A$13,$G44,$D$12)/OFFSET($A$18,,$D$12)
*OFFSET($G$13,MATCH($G$38,$G$14:$G$18,0),MATCH(I$21,$H$21:$N$21,0))
*OFFSET($O$13,MATCH($G$38,$G$14:$G$18,0),MATCH(I$21,$H$21:$N$21,0))
/SUMIFS(OFFSET($O$14:$O$18,,MATCH(I$21,$H$21:$N$21,0)),OFFSET($G$14:$G$18,,MATCH(I$21,$H$21:$N$21,0)),1)
*_xlfn.IFS(I$21="生命",SUMIFS(模型构建!$B$8:$B$14,模型构建!$C$8:$C$14,1),TRUE,1)
*模型构建!$L$1</f>
        <v>184.44578313253015</v>
      </c>
      <c r="J44" s="3">
        <f t="shared" ca="1" si="19"/>
        <v>30.681818181818183</v>
      </c>
      <c r="K44" s="3">
        <f t="array" aca="1" ref="K44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*OFFSET($A$13,$G44,$D$12)/OFFSET($A$18,,$D$12)
*OFFSET($G$13,MATCH($G$38,$G$14:$G$18,0),MATCH(K$21,$H$21:$N$21,0))
*OFFSET($O$13,MATCH($G$38,$G$14:$G$18,0),MATCH(K$21,$H$21:$N$21,0))
/SUMIFS(OFFSET($O$14:$O$18,,MATCH(K$21,$H$21:$N$21,0)),OFFSET($G$14:$G$18,,MATCH(K$21,$H$21:$N$21,0)),1)</f>
        <v>46.875</v>
      </c>
      <c r="L44" s="3">
        <f t="shared" ca="1" si="20"/>
        <v>0</v>
      </c>
      <c r="M44" s="3">
        <f t="shared" ca="1" si="16"/>
        <v>36</v>
      </c>
      <c r="N44" s="3">
        <f t="shared" ca="1" si="16"/>
        <v>27.692307692307693</v>
      </c>
      <c r="P44" s="3">
        <v>5</v>
      </c>
      <c r="Q44" s="3">
        <f t="array" aca="1" ref="Q44" ca="1">MEDIAN(_xlfn.IFS($B$22:$B$28=OFFSET($B$31,MATCH($Q$38,$A$32:$A$34,0),),TRANSPOSE(OFFSET($B$1:$H$1,MATCH(Q$21,$H$21:$I$21,0),)),TRUE,""))
*OFFSET($A$13,$G44,$D$12)/OFFSET($A$18,,$D$12)
*OFFSET($G$13,MATCH($P$38,$G$14:$G$18,0),MATCH(Q$21,$H$21:$N$21,0))
*OFFSET($O$13,MATCH($P$38,$G$14:$G$18,0),MATCH(Q$21,$H$21:$N$21,0))
/SUMIFS(OFFSET($O$14:$O$18,,MATCH(Q$21,$H$21:$N$21,0)),OFFSET($G$14:$G$18,,MATCH(Q$21,$H$21:$N$21,0)),1)</f>
        <v>25.409567545859709</v>
      </c>
      <c r="R44" s="3">
        <f t="array" aca="1" ref="R44" ca="1">MEDIAN(_xlfn.IFS($B$22:$B$28=OFFSET($B$31,MATCH($Q$38,$A$32:$A$34,0),),TRANSPOSE(OFFSET($B$1:$H$1,MATCH(R$21,$H$21:$I$21,0),)),TRUE,""))
*OFFSET($A$13,$G44,$D$12)/OFFSET($A$18,,$D$12)
*OFFSET($G$13,MATCH($P$38,$G$14:$G$18,0),MATCH(R$21,$H$21:$N$21,0))
*OFFSET($O$13,MATCH($P$38,$G$14:$G$18,0),MATCH(R$21,$H$21:$N$21,0))
/SUMIFS(OFFSET($O$14:$O$18,,MATCH(R$21,$H$21:$N$21,0)),OFFSET($G$14:$G$18,,MATCH(R$21,$H$21:$N$21,0)),1)
*_xlfn.IFS(I$21="生命",SUMIFS(模型构建!$B$8:$B$14,模型构建!$C$8:$C$14,1),TRUE,1)
*模型构建!$L$1</f>
        <v>438.59360518999074</v>
      </c>
      <c r="S44" s="3">
        <f t="shared" ca="1" si="21"/>
        <v>30.681818181818183</v>
      </c>
      <c r="T44" s="3">
        <f t="array" aca="1" ref="T44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*OFFSET($A$13,$G44,$D$12)/OFFSET($A$18,,$D$12)
*OFFSET($G$13,MATCH($P$38,$G$14:$G$18,0),MATCH(T$21,$H$21:$N$21,0))
*OFFSET($O$13,MATCH($P$38,$G$14:$G$18,0),MATCH(T$21,$H$21:$N$21,0))
/SUMIFS(OFFSET($O$14:$O$18,,MATCH(T$21,$H$21:$N$21,0)),OFFSET($G$14:$G$18,,MATCH(T$21,$H$21:$N$21,0)),1)</f>
        <v>79.687500000000014</v>
      </c>
      <c r="U44" s="3">
        <f t="shared" ca="1" si="22"/>
        <v>0</v>
      </c>
      <c r="V44" s="3">
        <f t="shared" ca="1" si="17"/>
        <v>36</v>
      </c>
      <c r="W44" s="3">
        <f t="shared" ca="1" si="17"/>
        <v>27.692307692307693</v>
      </c>
      <c r="Y44" s="3">
        <v>5</v>
      </c>
      <c r="Z44" s="3">
        <f t="array" aca="1" ref="Z44" ca="1">MEDIAN(_xlfn.IFS($B$22:$B$28=OFFSET($B$31,MATCH($Z$29,$A$32:$A$34,0),),TRANSPOSE(OFFSET($B$1:$H$1,MATCH(Z$21,$H$21:$I$21,0),)),TRUE,""))
*OFFSET($A$13,$G44,$D$12)/OFFSET($A$18,,$D$12)
*OFFSET($G$13,MATCH($Y$38,$G$14:$G$18,0),MATCH(Z$21,$H$21:$N$21,0))
*OFFSET($O$13,MATCH($Y$38,$G$14:$G$18,0),MATCH(Z$21,$H$21:$N$21,0))
/SUMIFS(OFFSET($O$14:$O$18,,MATCH(Z$21,$H$21:$N$21,0)),OFFSET($G$14:$G$18,,MATCH(Z$21,$H$21:$N$21,0)),1)</f>
        <v>28.396042576174864</v>
      </c>
      <c r="AA44" s="3">
        <f t="array" aca="1" ref="AA44" ca="1">MEDIAN(_xlfn.IFS($B$22:$B$28=OFFSET($B$31,MATCH($Z$29,$A$32:$A$34,0),),TRANSPOSE(OFFSET($B$1:$H$1,MATCH(AA$21,$H$21:$I$21,0),)),TRUE,""))
*OFFSET($A$13,$G44,$D$12)/OFFSET($A$18,,$D$12)
*OFFSET($G$13,MATCH($Y$38,$G$14:$G$18,0),MATCH(AA$21,$H$21:$N$21,0))
*OFFSET($O$13,MATCH($Y$38,$G$14:$G$18,0),MATCH(AA$21,$H$21:$N$21,0))
/SUMIFS(OFFSET($O$14:$O$18,,MATCH(AA$21,$H$21:$N$21,0)),OFFSET($G$14:$G$18,,MATCH(AA$21,$H$21:$N$21,0)),1)
*_xlfn.IFS(I$21="生命",SUMIFS(模型构建!$B$8:$B$14,模型构建!$C$8:$C$14,1),TRUE,1)
*模型构建!$L$1</f>
        <v>836.72849860982399</v>
      </c>
      <c r="AB44" s="3">
        <f t="shared" ca="1" si="23"/>
        <v>30.681818181818183</v>
      </c>
      <c r="AC44" s="3">
        <f t="array" aca="1" ref="AC44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*OFFSET($A$13,$G44,$D$12)/OFFSET($A$18,,$D$12)
*OFFSET($G$13,MATCH($G$38,$G$14:$G$18,0),MATCH(AC$21,$H$21:$N$21,0))
*OFFSET($O$13,MATCH($G$38,$G$14:$G$18,0),MATCH(AC$21,$H$21:$N$21,0))
/SUMIFS(OFFSET($O$14:$O$18,,MATCH(AC$21,$H$21:$N$21,0)),OFFSET($G$14:$G$18,,MATCH(AC$21,$H$21:$N$21,0)),1)</f>
        <v>13.125</v>
      </c>
      <c r="AD44" s="3">
        <f t="shared" ca="1" si="24"/>
        <v>0</v>
      </c>
      <c r="AE44" s="3">
        <f t="shared" ca="1" si="18"/>
        <v>36</v>
      </c>
      <c r="AF44" s="3">
        <f t="shared" ca="1" si="18"/>
        <v>27.692307692307693</v>
      </c>
    </row>
    <row r="47" spans="1:32">
      <c r="A47" s="5" t="s">
        <v>80</v>
      </c>
      <c r="B47" s="5" t="s">
        <v>88</v>
      </c>
      <c r="C47" s="17" t="s">
        <v>89</v>
      </c>
      <c r="G47" s="3" t="s">
        <v>125</v>
      </c>
      <c r="H47" s="3" t="s">
        <v>93</v>
      </c>
      <c r="P47" s="3" t="str">
        <f>G47</f>
        <v>靴子</v>
      </c>
      <c r="Q47" s="3" t="s">
        <v>95</v>
      </c>
      <c r="Y47" s="3" t="str">
        <f>P47</f>
        <v>靴子</v>
      </c>
      <c r="Z47" s="3" t="s">
        <v>97</v>
      </c>
    </row>
    <row r="48" spans="1:32">
      <c r="A48" s="3" t="str">
        <f>武器伤害!A32</f>
        <v>法杖</v>
      </c>
      <c r="B48" s="3">
        <f>武器伤害!B32</f>
        <v>1</v>
      </c>
      <c r="C48" s="3">
        <f>武器伤害!C32</f>
        <v>3.5</v>
      </c>
      <c r="G48" s="5" t="s">
        <v>146</v>
      </c>
      <c r="H48" s="10" t="s">
        <v>78</v>
      </c>
      <c r="I48" s="9" t="s">
        <v>79</v>
      </c>
      <c r="J48" s="12" t="s">
        <v>118</v>
      </c>
      <c r="K48" s="11" t="s">
        <v>119</v>
      </c>
      <c r="L48" s="13" t="s">
        <v>111</v>
      </c>
      <c r="M48" s="11" t="s">
        <v>120</v>
      </c>
      <c r="N48" s="13" t="s">
        <v>122</v>
      </c>
      <c r="P48" s="5" t="s">
        <v>146</v>
      </c>
      <c r="Q48" s="10" t="s">
        <v>78</v>
      </c>
      <c r="R48" s="9" t="s">
        <v>79</v>
      </c>
      <c r="S48" s="12" t="s">
        <v>118</v>
      </c>
      <c r="T48" s="11" t="s">
        <v>119</v>
      </c>
      <c r="U48" s="13" t="s">
        <v>111</v>
      </c>
      <c r="V48" s="11" t="s">
        <v>120</v>
      </c>
      <c r="W48" s="13" t="s">
        <v>122</v>
      </c>
      <c r="Y48" s="5" t="s">
        <v>146</v>
      </c>
      <c r="Z48" s="10" t="s">
        <v>78</v>
      </c>
      <c r="AA48" s="9" t="s">
        <v>79</v>
      </c>
      <c r="AB48" s="12" t="s">
        <v>118</v>
      </c>
      <c r="AC48" s="11" t="s">
        <v>119</v>
      </c>
      <c r="AD48" s="13" t="s">
        <v>111</v>
      </c>
      <c r="AE48" s="11" t="s">
        <v>120</v>
      </c>
      <c r="AF48" s="13" t="s">
        <v>122</v>
      </c>
    </row>
    <row r="49" spans="1:32">
      <c r="A49" s="3" t="str">
        <f>武器伤害!A33</f>
        <v>双手剑</v>
      </c>
      <c r="B49" s="3">
        <f>武器伤害!B33</f>
        <v>2</v>
      </c>
      <c r="C49" s="3">
        <f>武器伤害!C33</f>
        <v>2.5</v>
      </c>
      <c r="G49" s="3">
        <v>1</v>
      </c>
      <c r="H49" s="3">
        <f t="array" aca="1" ref="H49" ca="1">MEDIAN(_xlfn.IFS($B$22:$B$28=OFFSET($B$31,MATCH($H$38,$A$32:$A$34,0),),TRANSPOSE(OFFSET($B$1:$H$1,MATCH(H$21,$H$21:$I$21,0),)),TRUE,""))
*OFFSET($A$13,$G49,$D$12)/OFFSET($A$18,,$D$12)
*OFFSET($G$13,MATCH($G$47,$G$14:$G$18,0),MATCH(H$21,$H$21:$N$21,0))
*OFFSET($O$13,MATCH($G$47,$G$14:$G$18,0),MATCH(H$21,$H$21:$N$21,0))
/SUMIFS(OFFSET($O$14:$O$18,,MATCH(H$21,$H$21:$N$21,0)),OFFSET($G$14:$G$18,,MATCH(H$21,$H$21:$N$21,0)),1)</f>
        <v>0</v>
      </c>
      <c r="I49" s="3">
        <f t="array" aca="1" ref="I49" ca="1">MEDIAN(_xlfn.IFS($B$22:$B$28=OFFSET($B$31,MATCH($H$38,$A$32:$A$34,0),),TRANSPOSE(OFFSET($B$1:$H$1,MATCH(I$21,$H$21:$I$21,0),)),TRUE,""))
*OFFSET($A$13,$G49,$D$12)/OFFSET($A$18,,$D$12)
*OFFSET($G$13,MATCH($G$47,$G$14:$G$18,0),MATCH(I$21,$H$21:$N$21,0))
*OFFSET($O$13,MATCH($G$47,$G$14:$G$18,0),MATCH(I$21,$H$21:$N$21,0))
/SUMIFS(OFFSET($O$14:$O$18,,MATCH(I$21,$H$21:$N$21,0)),OFFSET($G$14:$G$18,,MATCH(I$21,$H$21:$N$21,0)),1)
*_xlfn.IFS(I$21="生命",SUMIFS(模型构建!$B$8:$B$14,模型构建!$C$8:$C$14,1),TRUE,1)
*模型构建!$L$1</f>
        <v>159.85301204819277</v>
      </c>
      <c r="J49" s="3">
        <f ca="1">OFFSET($A$4,MATCH(J$21,$J$21:$N$21,0),MATCH(OFFSET($A$21,MATCH(SUMIFS($B$32:$B$34,$A$32:$A$34,$H$38),$B$22:$B$28,0),),$B$1:$H$1,0))
*OFFSET($A$13,$G49,$D$12)/OFFSET($A$18,,$D$12)
*OFFSET($G$13,MATCH($G$47,$G$14:$G$18,0),MATCH(J$21,$H$21:$N$21,0))
*OFFSET($O$13,MATCH($G$47,$G$14:$G$18,0),MATCH(J$21,$H$21:$N$21,0))
/SUMIFS(OFFSET($O$14:$O$18,,MATCH(J$21,$H$21:$N$21,0)),OFFSET($G$14:$G$18,,MATCH(J$21,$H$21:$N$21,0)),1)</f>
        <v>0</v>
      </c>
      <c r="K49" s="3">
        <f t="array" aca="1" ref="K49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*OFFSET($A$13,$G49,$D$12)/OFFSET($A$18,,$D$12)
*OFFSET($G$13,MATCH($G$47,$G$14:$G$18,0),MATCH(K$21,$H$21:$N$21,0))
*OFFSET($O$13,MATCH($G$47,$G$14:$G$18,0),MATCH(K$21,$H$21:$N$21,0))
/SUMIFS(OFFSET($O$14:$O$18,,MATCH(K$21,$H$21:$N$21,0)),OFFSET($G$14:$G$18,,MATCH(K$21,$H$21:$N$21,0)),1)</f>
        <v>20.833333333333332</v>
      </c>
      <c r="L49" s="3">
        <f ca="1">OFFSET($A$4,MATCH(L$21,$J$21:$N$21,0),MATCH(OFFSET($A$21,MATCH(SUMIFS($B$32:$B$34,$A$32:$A$34,$H$38),$B$22:$B$28,0),),$B$1:$H$1,0))
*OFFSET($A$13,$G49,$D$12)/OFFSET($A$18,,$D$12)
*OFFSET($G$13,MATCH($G$47,$G$14:$G$18,0),MATCH(L$21,$H$21:$N$21,0))
*OFFSET($O$13,MATCH($G$47,$G$14:$G$18,0),MATCH(L$21,$H$21:$N$21,0))
/SUMIFS(OFFSET($O$14:$O$18,,MATCH(L$21,$H$21:$N$21,0)),OFFSET($G$14:$G$18,,MATCH(L$21,$H$21:$N$21,0)),1)</f>
        <v>22.5</v>
      </c>
      <c r="M49" s="3">
        <f t="shared" ref="M49:N53" ca="1" si="25">OFFSET($A$4,MATCH(M$21,$J$21:$N$21,0),MATCH(OFFSET($A$21,MATCH(SUMIFS($B$32:$B$34,$A$32:$A$34,$H$38),$B$22:$B$28,0),),$B$1:$H$1,0))
*OFFSET($A$13,$G49,$D$12)/OFFSET($A$18,,$D$12)
*OFFSET($G$13,MATCH($G$47,$G$14:$G$18,0),MATCH(M$21,$H$21:$N$21,0))
*OFFSET($O$13,MATCH($G$47,$G$14:$G$18,0),MATCH(M$21,$H$21:$N$21,0))
/SUMIFS(OFFSET($O$14:$O$18,,MATCH(M$21,$H$21:$N$21,0)),OFFSET($G$14:$G$18,,MATCH(M$21,$H$21:$N$21,0)),1)</f>
        <v>16</v>
      </c>
      <c r="N49" s="3">
        <f t="shared" ca="1" si="25"/>
        <v>0</v>
      </c>
      <c r="P49" s="3">
        <v>1</v>
      </c>
      <c r="Q49" s="3">
        <f t="array" aca="1" ref="Q49" ca="1">MEDIAN(_xlfn.IFS($B$22:$B$28=OFFSET($B$31,MATCH($Q$38,$A$32:$A$34,0),),TRANSPOSE(OFFSET($B$1:$H$1,MATCH(Q$21,$H$21:$I$21,0),)),TRUE,""))
*OFFSET($A$13,$G49,$D$12)/OFFSET($A$18,,$D$12)
*OFFSET($G$13,MATCH($P$47,$G$14:$G$18,0),MATCH(Q$21,$H$21:$N$21,0))
*OFFSET($O$13,MATCH($P$47,$G$14:$G$18,0),MATCH(Q$21,$H$21:$N$21,0))
/SUMIFS(OFFSET($O$14:$O$18,,MATCH(Q$21,$H$21:$N$21,0)),OFFSET($G$14:$G$18,,MATCH(Q$21,$H$21:$N$21,0)),1)</f>
        <v>0</v>
      </c>
      <c r="R49" s="3">
        <f t="array" aca="1" ref="R49" ca="1">MEDIAN(_xlfn.IFS($B$22:$B$28=OFFSET($B$31,MATCH($Q$38,$A$32:$A$34,0),),TRANSPOSE(OFFSET($B$1:$H$1,MATCH(R$21,$H$21:$I$21,0),)),TRUE,""))
*OFFSET($A$13,$G49,$D$12)/OFFSET($A$18,,$D$12)
*OFFSET($G$13,MATCH($P$47,$G$14:$G$18,0),MATCH(R$21,$H$21:$N$21,0))
*OFFSET($O$13,MATCH($P$47,$G$14:$G$18,0),MATCH(R$21,$H$21:$N$21,0))
/SUMIFS(OFFSET($O$14:$O$18,,MATCH(R$21,$H$21:$N$21,0)),OFFSET($G$14:$G$18,,MATCH(R$21,$H$21:$N$21,0)),1)
*_xlfn.IFS(I$21="生命",SUMIFS(模型构建!$B$8:$B$14,模型构建!$C$8:$C$14,1),TRUE,1)
*模型构建!$L$1</f>
        <v>380.11445783132535</v>
      </c>
      <c r="S49" s="3">
        <f ca="1">OFFSET($A$4,MATCH(S$21,$J$21:$N$21,0),MATCH(OFFSET($A$21,MATCH(SUMIFS($B$32:$B$34,$A$32:$A$34,$Q$29),$B$22:$B$28,0),),$B$1:$H$1,0))
*OFFSET($A$13,$G49,$D$12)/OFFSET($A$18,,$D$12)
*OFFSET($G$13,MATCH($P$47,$G$14:$G$18,0),MATCH(S$21,$H$21:$N$21,0))
*OFFSET($O$13,MATCH($P$47,$G$14:$G$18,0),MATCH(S$21,$H$21:$N$21,0))
/SUMIFS(OFFSET($O$14:$O$18,,MATCH(S$21,$H$21:$N$21,0)),OFFSET($G$14:$G$18,,MATCH(S$21,$H$21:$N$21,0)),1)</f>
        <v>0</v>
      </c>
      <c r="T49" s="3">
        <f t="array" aca="1" ref="T49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*OFFSET($A$13,$G49,$D$12)/OFFSET($A$18,,$D$12)
*OFFSET($G$13,MATCH($P$47,$G$14:$G$18,0),MATCH(T$21,$H$21:$N$21,0))
*OFFSET($O$13,MATCH($P$47,$G$14:$G$18,0),MATCH(T$21,$H$21:$N$21,0))
/SUMIFS(OFFSET($O$14:$O$18,,MATCH(T$21,$H$21:$N$21,0)),OFFSET($G$14:$G$18,,MATCH(T$21,$H$21:$N$21,0)),1)</f>
        <v>35.416666666666671</v>
      </c>
      <c r="U49" s="3">
        <f ca="1">OFFSET($A$4,MATCH(U$21,$J$21:$N$21,0),MATCH(OFFSET($A$21,MATCH(SUMIFS($B$32:$B$34,$A$32:$A$34,$Q$29),$B$22:$B$28,0),),$B$1:$H$1,0))
*OFFSET($A$13,$G49,$D$12)/OFFSET($A$18,,$D$12)
*OFFSET($G$13,MATCH($P$47,$G$14:$G$18,0),MATCH(U$21,$H$21:$N$21,0))
*OFFSET($O$13,MATCH($P$47,$G$14:$G$18,0),MATCH(U$21,$H$21:$N$21,0))
/SUMIFS(OFFSET($O$14:$O$18,,MATCH(U$21,$H$21:$N$21,0)),OFFSET($G$14:$G$18,,MATCH(U$21,$H$21:$N$21,0)),1)</f>
        <v>22.5</v>
      </c>
      <c r="V49" s="3">
        <f t="shared" ref="V49:W53" ca="1" si="26">OFFSET($A$4,MATCH(V$21,$J$21:$N$21,0),MATCH(OFFSET($A$21,MATCH(SUMIFS($B$32:$B$34,$A$32:$A$34,$Q$29),$B$22:$B$28,0),),$B$1:$H$1,0))
*OFFSET($A$13,$G49,$D$12)/OFFSET($A$18,,$D$12)
*OFFSET($G$13,MATCH($P$47,$G$14:$G$18,0),MATCH(V$21,$H$21:$N$21,0))
*OFFSET($O$13,MATCH($P$47,$G$14:$G$18,0),MATCH(V$21,$H$21:$N$21,0))
/SUMIFS(OFFSET($O$14:$O$18,,MATCH(V$21,$H$21:$N$21,0)),OFFSET($G$14:$G$18,,MATCH(V$21,$H$21:$N$21,0)),1)</f>
        <v>16</v>
      </c>
      <c r="W49" s="3">
        <f t="shared" ca="1" si="26"/>
        <v>0</v>
      </c>
      <c r="Y49" s="3">
        <v>1</v>
      </c>
      <c r="Z49" s="3">
        <f t="array" aca="1" ref="Z49" ca="1">MEDIAN(_xlfn.IFS($B$22:$B$28=OFFSET($B$31,MATCH($Z$29,$A$32:$A$34,0),),TRANSPOSE(OFFSET($B$1:$H$1,MATCH(Z$21,$H$21:$I$21,0),)),TRUE,""))
*OFFSET($A$13,$G49,$D$12)/OFFSET($A$18,,$D$12)
*OFFSET($G$13,MATCH($Y$47,$G$14:$G$18,0),MATCH(Z$21,$H$21:$N$21,0))
*OFFSET($O$13,MATCH($Y$47,$G$14:$G$18,0),MATCH(Z$21,$H$21:$N$21,0))
/SUMIFS(OFFSET($O$14:$O$18,,MATCH(Z$21,$H$21:$N$21,0)),OFFSET($G$14:$G$18,,MATCH(Z$21,$H$21:$N$21,0)),1)</f>
        <v>0</v>
      </c>
      <c r="AA49" s="3">
        <f t="array" aca="1" ref="AA49" ca="1">MEDIAN(_xlfn.IFS($B$22:$B$28=OFFSET($B$31,MATCH($Z$29,$A$32:$A$34,0),),TRANSPOSE(OFFSET($B$1:$H$1,MATCH(AA$21,$H$21:$I$21,0),)),TRUE,""))
*OFFSET($A$13,$G49,$D$12)/OFFSET($A$18,,$D$12)
*OFFSET($G$13,MATCH($Y$47,$G$14:$G$18,0),MATCH(AA$21,$H$21:$N$21,0))
*OFFSET($O$13,MATCH($Y$47,$G$14:$G$18,0),MATCH(AA$21,$H$21:$N$21,0))
/SUMIFS(OFFSET($O$14:$O$18,,MATCH(AA$21,$H$21:$N$21,0)),OFFSET($G$14:$G$18,,MATCH(AA$21,$H$21:$N$21,0)),1)
*_xlfn.IFS(I$21="生命",SUMIFS(模型构建!$B$8:$B$14,模型构建!$C$8:$C$14,1),TRUE,1)
*模型构建!$L$1</f>
        <v>725.16469879518058</v>
      </c>
      <c r="AB49" s="3">
        <f ca="1">OFFSET($A$4,MATCH(AB$21,$J$21:$N$21,0),MATCH(OFFSET($A$21,MATCH(SUMIFS($B$32:$B$34,$A$32:$A$34,$Z$29),$B$22:$B$28,0),),$B$1:$H$1,0))
*OFFSET($A$13,$G49,$D$12)/OFFSET($A$18,,$D$12)
*OFFSET($G$13,MATCH($Y$47,$G$14:$G$18,0),MATCH(AB$21,$H$21:$N$21,0))
*OFFSET($O$13,MATCH($Y$47,$G$14:$G$18,0),MATCH(AB$21,$H$21:$N$21,0))
/SUMIFS(OFFSET($O$14:$O$18,,MATCH(AB$21,$H$21:$N$21,0)),OFFSET($G$14:$G$18,,MATCH(AB$21,$H$21:$N$21,0)),1)</f>
        <v>0</v>
      </c>
      <c r="AC49" s="3">
        <f t="array" aca="1" ref="AC49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*OFFSET($A$13,$G49,$D$12)/OFFSET($A$18,,$D$12)
*OFFSET($G$13,MATCH($Y$47,$G$14:$G$18,0),MATCH(AC$21,$H$21:$N$21,0))
*OFFSET($O$13,MATCH($Y$47,$G$14:$G$18,0),MATCH(AC$21,$H$21:$N$21,0))
/SUMIFS(OFFSET($O$14:$O$18,,MATCH(AC$21,$H$21:$N$21,0)),OFFSET($G$14:$G$18,,MATCH(AC$21,$H$21:$N$21,0)),1)</f>
        <v>5.833333333333333</v>
      </c>
      <c r="AD49" s="3">
        <f ca="1">OFFSET($A$4,MATCH(AD$21,$J$21:$N$21,0),MATCH(OFFSET($A$21,MATCH(SUMIFS($B$32:$B$34,$A$32:$A$34,$Z$29),$B$22:$B$28,0),),$B$1:$H$1,0))
*OFFSET($A$13,$G49,$D$12)/OFFSET($A$18,,$D$12)
*OFFSET($G$13,MATCH($Y$47,$G$14:$G$18,0),MATCH(AD$21,$H$21:$N$21,0))
*OFFSET($O$13,MATCH($Y$47,$G$14:$G$18,0),MATCH(AD$21,$H$21:$N$21,0))
/SUMIFS(OFFSET($O$14:$O$18,,MATCH(AD$21,$H$21:$N$21,0)),OFFSET($G$14:$G$18,,MATCH(AD$21,$H$21:$N$21,0)),1)</f>
        <v>22.5</v>
      </c>
      <c r="AE49" s="3">
        <f t="shared" ref="AE49:AF53" ca="1" si="27">OFFSET($A$4,MATCH(AE$21,$J$21:$N$21,0),MATCH(OFFSET($A$21,MATCH(SUMIFS($B$32:$B$34,$A$32:$A$34,$Z$29),$B$22:$B$28,0),),$B$1:$H$1,0))
*OFFSET($A$13,$G49,$D$12)/OFFSET($A$18,,$D$12)
*OFFSET($G$13,MATCH($Y$47,$G$14:$G$18,0),MATCH(AE$21,$H$21:$N$21,0))
*OFFSET($O$13,MATCH($Y$47,$G$14:$G$18,0),MATCH(AE$21,$H$21:$N$21,0))
/SUMIFS(OFFSET($O$14:$O$18,,MATCH(AE$21,$H$21:$N$21,0)),OFFSET($G$14:$G$18,,MATCH(AE$21,$H$21:$N$21,0)),1)</f>
        <v>16</v>
      </c>
      <c r="AF49" s="3">
        <f t="shared" ca="1" si="27"/>
        <v>0</v>
      </c>
    </row>
    <row r="50" spans="1:32">
      <c r="A50" s="3" t="str">
        <f>武器伤害!A34</f>
        <v>短匕</v>
      </c>
      <c r="B50" s="3">
        <f>武器伤害!B34</f>
        <v>3</v>
      </c>
      <c r="C50" s="3">
        <f>武器伤害!C34</f>
        <v>0.8</v>
      </c>
      <c r="G50" s="3">
        <v>2</v>
      </c>
      <c r="H50" s="3">
        <f t="array" aca="1" ref="H50" ca="1">MEDIAN(_xlfn.IFS($B$22:$B$28=OFFSET($B$31,MATCH($H$38,$A$32:$A$34,0),),TRANSPOSE(OFFSET($B$1:$H$1,MATCH(H$21,$H$21:$I$21,0),)),TRUE,""))
*OFFSET($A$13,$G50,$D$12)/OFFSET($A$18,,$D$12)
*OFFSET($G$13,MATCH($G$47,$G$14:$G$18,0),MATCH(H$21,$H$21:$N$21,0))
*OFFSET($O$13,MATCH($G$47,$G$14:$G$18,0),MATCH(H$21,$H$21:$N$21,0))
/SUMIFS(OFFSET($O$14:$O$18,,MATCH(H$21,$H$21:$N$21,0)),OFFSET($G$14:$G$18,,MATCH(H$21,$H$21:$N$21,0)),1)</f>
        <v>0</v>
      </c>
      <c r="I50" s="3">
        <f t="array" aca="1" ref="I50" ca="1">MEDIAN(_xlfn.IFS($B$22:$B$28=OFFSET($B$31,MATCH($H$38,$A$32:$A$34,0),),TRANSPOSE(OFFSET($B$1:$H$1,MATCH(I$21,$H$21:$I$21,0),)),TRUE,""))
*OFFSET($A$13,$G50,$D$12)/OFFSET($A$18,,$D$12)
*OFFSET($G$13,MATCH($G$47,$G$14:$G$18,0),MATCH(I$21,$H$21:$N$21,0))
*OFFSET($O$13,MATCH($G$47,$G$14:$G$18,0),MATCH(I$21,$H$21:$N$21,0))
/SUMIFS(OFFSET($O$14:$O$18,,MATCH(I$21,$H$21:$N$21,0)),OFFSET($G$14:$G$18,,MATCH(I$21,$H$21:$N$21,0)),1)
*_xlfn.IFS(I$21="生命",SUMIFS(模型构建!$B$8:$B$14,模型构建!$C$8:$C$14,1),TRUE,1)
*模型构建!$L$1</f>
        <v>179.83463855421692</v>
      </c>
      <c r="J50" s="3">
        <f t="shared" ref="J50:J53" ca="1" si="28">OFFSET($A$4,MATCH(J$21,$J$21:$N$21,0),MATCH(OFFSET($A$21,MATCH(SUMIFS($B$32:$B$34,$A$32:$A$34,$H$38),$B$22:$B$28,0),),$B$1:$H$1,0))
*OFFSET($A$13,$G50,$D$12)/OFFSET($A$18,,$D$12)
*OFFSET($G$13,MATCH($G$47,$G$14:$G$18,0),MATCH(J$21,$H$21:$N$21,0))
*OFFSET($O$13,MATCH($G$47,$G$14:$G$18,0),MATCH(J$21,$H$21:$N$21,0))
/SUMIFS(OFFSET($O$14:$O$18,,MATCH(J$21,$H$21:$N$21,0)),OFFSET($G$14:$G$18,,MATCH(J$21,$H$21:$N$21,0)),1)</f>
        <v>0</v>
      </c>
      <c r="K50" s="3">
        <f t="array" aca="1" ref="K50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*OFFSET($A$13,$G50,$D$12)/OFFSET($A$18,,$D$12)
*OFFSET($G$13,MATCH($G$47,$G$14:$G$18,0),MATCH(K$21,$H$21:$N$21,0))
*OFFSET($O$13,MATCH($G$47,$G$14:$G$18,0),MATCH(K$21,$H$21:$N$21,0))
/SUMIFS(OFFSET($O$14:$O$18,,MATCH(K$21,$H$21:$N$21,0)),OFFSET($G$14:$G$18,,MATCH(K$21,$H$21:$N$21,0)),1)</f>
        <v>23.4375</v>
      </c>
      <c r="L50" s="3">
        <f t="shared" ref="L50:L53" ca="1" si="29">OFFSET($A$4,MATCH(L$21,$J$21:$N$21,0),MATCH(OFFSET($A$21,MATCH(SUMIFS($B$32:$B$34,$A$32:$A$34,$H$38),$B$22:$B$28,0),),$B$1:$H$1,0))
*OFFSET($A$13,$G50,$D$12)/OFFSET($A$18,,$D$12)
*OFFSET($G$13,MATCH($G$47,$G$14:$G$18,0),MATCH(L$21,$H$21:$N$21,0))
*OFFSET($O$13,MATCH($G$47,$G$14:$G$18,0),MATCH(L$21,$H$21:$N$21,0))
/SUMIFS(OFFSET($O$14:$O$18,,MATCH(L$21,$H$21:$N$21,0)),OFFSET($G$14:$G$18,,MATCH(L$21,$H$21:$N$21,0)),1)</f>
        <v>25.3125</v>
      </c>
      <c r="M50" s="3">
        <f t="shared" ca="1" si="25"/>
        <v>18</v>
      </c>
      <c r="N50" s="3">
        <f t="shared" ca="1" si="25"/>
        <v>0</v>
      </c>
      <c r="P50" s="3">
        <v>2</v>
      </c>
      <c r="Q50" s="3">
        <f t="array" aca="1" ref="Q50" ca="1">MEDIAN(_xlfn.IFS($B$22:$B$28=OFFSET($B$31,MATCH($Q$38,$A$32:$A$34,0),),TRANSPOSE(OFFSET($B$1:$H$1,MATCH(Q$21,$H$21:$I$21,0),)),TRUE,""))
*OFFSET($A$13,$G50,$D$12)/OFFSET($A$18,,$D$12)
*OFFSET($G$13,MATCH($P$47,$G$14:$G$18,0),MATCH(Q$21,$H$21:$N$21,0))
*OFFSET($O$13,MATCH($P$47,$G$14:$G$18,0),MATCH(Q$21,$H$21:$N$21,0))
/SUMIFS(OFFSET($O$14:$O$18,,MATCH(Q$21,$H$21:$N$21,0)),OFFSET($G$14:$G$18,,MATCH(Q$21,$H$21:$N$21,0)),1)</f>
        <v>0</v>
      </c>
      <c r="R50" s="3">
        <f t="array" aca="1" ref="R50" ca="1">MEDIAN(_xlfn.IFS($B$22:$B$28=OFFSET($B$31,MATCH($Q$38,$A$32:$A$34,0),),TRANSPOSE(OFFSET($B$1:$H$1,MATCH(R$21,$H$21:$I$21,0),)),TRUE,""))
*OFFSET($A$13,$G50,$D$12)/OFFSET($A$18,,$D$12)
*OFFSET($G$13,MATCH($P$47,$G$14:$G$18,0),MATCH(R$21,$H$21:$N$21,0))
*OFFSET($O$13,MATCH($P$47,$G$14:$G$18,0),MATCH(R$21,$H$21:$N$21,0))
/SUMIFS(OFFSET($O$14:$O$18,,MATCH(R$21,$H$21:$N$21,0)),OFFSET($G$14:$G$18,,MATCH(R$21,$H$21:$N$21,0)),1)
*_xlfn.IFS(I$21="生命",SUMIFS(模型构建!$B$8:$B$14,模型构建!$C$8:$C$14,1),TRUE,1)
*模型构建!$L$1</f>
        <v>427.62876506024099</v>
      </c>
      <c r="S50" s="3">
        <f t="shared" ref="S50:S53" ca="1" si="30">OFFSET($A$4,MATCH(S$21,$J$21:$N$21,0),MATCH(OFFSET($A$21,MATCH(SUMIFS($B$32:$B$34,$A$32:$A$34,$Q$29),$B$22:$B$28,0),),$B$1:$H$1,0))
*OFFSET($A$13,$G50,$D$12)/OFFSET($A$18,,$D$12)
*OFFSET($G$13,MATCH($P$47,$G$14:$G$18,0),MATCH(S$21,$H$21:$N$21,0))
*OFFSET($O$13,MATCH($P$47,$G$14:$G$18,0),MATCH(S$21,$H$21:$N$21,0))
/SUMIFS(OFFSET($O$14:$O$18,,MATCH(S$21,$H$21:$N$21,0)),OFFSET($G$14:$G$18,,MATCH(S$21,$H$21:$N$21,0)),1)</f>
        <v>0</v>
      </c>
      <c r="T50" s="3">
        <f t="array" aca="1" ref="T50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*OFFSET($A$13,$G50,$D$12)/OFFSET($A$18,,$D$12)
*OFFSET($G$13,MATCH($P$47,$G$14:$G$18,0),MATCH(T$21,$H$21:$N$21,0))
*OFFSET($O$13,MATCH($P$47,$G$14:$G$18,0),MATCH(T$21,$H$21:$N$21,0))
/SUMIFS(OFFSET($O$14:$O$18,,MATCH(T$21,$H$21:$N$21,0)),OFFSET($G$14:$G$18,,MATCH(T$21,$H$21:$N$21,0)),1)</f>
        <v>39.843750000000007</v>
      </c>
      <c r="U50" s="3">
        <f t="shared" ref="U50:U53" ca="1" si="31">OFFSET($A$4,MATCH(U$21,$J$21:$N$21,0),MATCH(OFFSET($A$21,MATCH(SUMIFS($B$32:$B$34,$A$32:$A$34,$Q$29),$B$22:$B$28,0),),$B$1:$H$1,0))
*OFFSET($A$13,$G50,$D$12)/OFFSET($A$18,,$D$12)
*OFFSET($G$13,MATCH($P$47,$G$14:$G$18,0),MATCH(U$21,$H$21:$N$21,0))
*OFFSET($O$13,MATCH($P$47,$G$14:$G$18,0),MATCH(U$21,$H$21:$N$21,0))
/SUMIFS(OFFSET($O$14:$O$18,,MATCH(U$21,$H$21:$N$21,0)),OFFSET($G$14:$G$18,,MATCH(U$21,$H$21:$N$21,0)),1)</f>
        <v>25.3125</v>
      </c>
      <c r="V50" s="3">
        <f t="shared" ca="1" si="26"/>
        <v>18</v>
      </c>
      <c r="W50" s="3">
        <f t="shared" ca="1" si="26"/>
        <v>0</v>
      </c>
      <c r="Y50" s="3">
        <v>2</v>
      </c>
      <c r="Z50" s="3">
        <f t="array" aca="1" ref="Z50" ca="1">MEDIAN(_xlfn.IFS($B$22:$B$28=OFFSET($B$31,MATCH($Z$29,$A$32:$A$34,0),),TRANSPOSE(OFFSET($B$1:$H$1,MATCH(Z$21,$H$21:$I$21,0),)),TRUE,""))
*OFFSET($A$13,$G50,$D$12)/OFFSET($A$18,,$D$12)
*OFFSET($G$13,MATCH($Y$47,$G$14:$G$18,0),MATCH(Z$21,$H$21:$N$21,0))
*OFFSET($O$13,MATCH($Y$47,$G$14:$G$18,0),MATCH(Z$21,$H$21:$N$21,0))
/SUMIFS(OFFSET($O$14:$O$18,,MATCH(Z$21,$H$21:$N$21,0)),OFFSET($G$14:$G$18,,MATCH(Z$21,$H$21:$N$21,0)),1)</f>
        <v>0</v>
      </c>
      <c r="AA50" s="3">
        <f t="array" aca="1" ref="AA50" ca="1">MEDIAN(_xlfn.IFS($B$22:$B$28=OFFSET($B$31,MATCH($Z$29,$A$32:$A$34,0),),TRANSPOSE(OFFSET($B$1:$H$1,MATCH(AA$21,$H$21:$I$21,0),)),TRUE,""))
*OFFSET($A$13,$G50,$D$12)/OFFSET($A$18,,$D$12)
*OFFSET($G$13,MATCH($Y$47,$G$14:$G$18,0),MATCH(AA$21,$H$21:$N$21,0))
*OFFSET($O$13,MATCH($Y$47,$G$14:$G$18,0),MATCH(AA$21,$H$21:$N$21,0))
/SUMIFS(OFFSET($O$14:$O$18,,MATCH(AA$21,$H$21:$N$21,0)),OFFSET($G$14:$G$18,,MATCH(AA$21,$H$21:$N$21,0)),1)
*_xlfn.IFS(I$21="生命",SUMIFS(模型构建!$B$8:$B$14,模型构建!$C$8:$C$14,1),TRUE,1)
*模型构建!$L$1</f>
        <v>815.81028614457819</v>
      </c>
      <c r="AB50" s="3">
        <f t="shared" ref="AB50:AB53" ca="1" si="32">OFFSET($A$4,MATCH(AB$21,$J$21:$N$21,0),MATCH(OFFSET($A$21,MATCH(SUMIFS($B$32:$B$34,$A$32:$A$34,$Z$29),$B$22:$B$28,0),),$B$1:$H$1,0))
*OFFSET($A$13,$G50,$D$12)/OFFSET($A$18,,$D$12)
*OFFSET($G$13,MATCH($Y$47,$G$14:$G$18,0),MATCH(AB$21,$H$21:$N$21,0))
*OFFSET($O$13,MATCH($Y$47,$G$14:$G$18,0),MATCH(AB$21,$H$21:$N$21,0))
/SUMIFS(OFFSET($O$14:$O$18,,MATCH(AB$21,$H$21:$N$21,0)),OFFSET($G$14:$G$18,,MATCH(AB$21,$H$21:$N$21,0)),1)</f>
        <v>0</v>
      </c>
      <c r="AC50" s="3">
        <f t="array" aca="1" ref="AC50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*OFFSET($A$13,$G50,$D$12)/OFFSET($A$18,,$D$12)
*OFFSET($G$13,MATCH($Y$47,$G$14:$G$18,0),MATCH(AC$21,$H$21:$N$21,0))
*OFFSET($O$13,MATCH($Y$47,$G$14:$G$18,0),MATCH(AC$21,$H$21:$N$21,0))
/SUMIFS(OFFSET($O$14:$O$18,,MATCH(AC$21,$H$21:$N$21,0)),OFFSET($G$14:$G$18,,MATCH(AC$21,$H$21:$N$21,0)),1)</f>
        <v>6.5625</v>
      </c>
      <c r="AD50" s="3">
        <f t="shared" ref="AD50:AD53" ca="1" si="33">OFFSET($A$4,MATCH(AD$21,$J$21:$N$21,0),MATCH(OFFSET($A$21,MATCH(SUMIFS($B$32:$B$34,$A$32:$A$34,$Z$29),$B$22:$B$28,0),),$B$1:$H$1,0))
*OFFSET($A$13,$G50,$D$12)/OFFSET($A$18,,$D$12)
*OFFSET($G$13,MATCH($Y$47,$G$14:$G$18,0),MATCH(AD$21,$H$21:$N$21,0))
*OFFSET($O$13,MATCH($Y$47,$G$14:$G$18,0),MATCH(AD$21,$H$21:$N$21,0))
/SUMIFS(OFFSET($O$14:$O$18,,MATCH(AD$21,$H$21:$N$21,0)),OFFSET($G$14:$G$18,,MATCH(AD$21,$H$21:$N$21,0)),1)</f>
        <v>25.3125</v>
      </c>
      <c r="AE50" s="3">
        <f t="shared" ca="1" si="27"/>
        <v>18</v>
      </c>
      <c r="AF50" s="3">
        <f t="shared" ca="1" si="27"/>
        <v>0</v>
      </c>
    </row>
    <row r="51" spans="1:32">
      <c r="A51" s="3" t="str">
        <f>武器伤害!A35</f>
        <v>狩猎弓</v>
      </c>
      <c r="B51" s="3">
        <f>武器伤害!B35</f>
        <v>4</v>
      </c>
      <c r="C51" s="3">
        <f>武器伤害!C35</f>
        <v>1.5</v>
      </c>
      <c r="G51" s="3">
        <v>3</v>
      </c>
      <c r="H51" s="3">
        <f t="array" aca="1" ref="H51" ca="1">MEDIAN(_xlfn.IFS($B$22:$B$28=OFFSET($B$31,MATCH($H$38,$A$32:$A$34,0),),TRANSPOSE(OFFSET($B$1:$H$1,MATCH(H$21,$H$21:$I$21,0),)),TRUE,""))
*OFFSET($A$13,$G51,$D$12)/OFFSET($A$18,,$D$12)
*OFFSET($G$13,MATCH($G$47,$G$14:$G$18,0),MATCH(H$21,$H$21:$N$21,0))
*OFFSET($O$13,MATCH($G$47,$G$14:$G$18,0),MATCH(H$21,$H$21:$N$21,0))
/SUMIFS(OFFSET($O$14:$O$18,,MATCH(H$21,$H$21:$N$21,0)),OFFSET($G$14:$G$18,,MATCH(H$21,$H$21:$N$21,0)),1)</f>
        <v>0</v>
      </c>
      <c r="I51" s="3">
        <f t="array" aca="1" ref="I51" ca="1">MEDIAN(_xlfn.IFS($B$22:$B$28=OFFSET($B$31,MATCH($H$38,$A$32:$A$34,0),),TRANSPOSE(OFFSET($B$1:$H$1,MATCH(I$21,$H$21:$I$21,0),)),TRUE,""))
*OFFSET($A$13,$G51,$D$12)/OFFSET($A$18,,$D$12)
*OFFSET($G$13,MATCH($G$47,$G$14:$G$18,0),MATCH(I$21,$H$21:$N$21,0))
*OFFSET($O$13,MATCH($G$47,$G$14:$G$18,0),MATCH(I$21,$H$21:$N$21,0))
/SUMIFS(OFFSET($O$14:$O$18,,MATCH(I$21,$H$21:$N$21,0)),OFFSET($G$14:$G$18,,MATCH(I$21,$H$21:$N$21,0)),1)
*_xlfn.IFS(I$21="生命",SUMIFS(模型构建!$B$8:$B$14,模型构建!$C$8:$C$14,1),TRUE,1)
*模型构建!$L$1</f>
        <v>199.81626506024099</v>
      </c>
      <c r="J51" s="3">
        <f t="shared" ca="1" si="28"/>
        <v>0</v>
      </c>
      <c r="K51" s="3">
        <f t="array" aca="1" ref="K51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*OFFSET($A$13,$G51,$D$12)/OFFSET($A$18,,$D$12)
*OFFSET($G$13,MATCH($G$47,$G$14:$G$18,0),MATCH(K$21,$H$21:$N$21,0))
*OFFSET($O$13,MATCH($G$47,$G$14:$G$18,0),MATCH(K$21,$H$21:$N$21,0))
/SUMIFS(OFFSET($O$14:$O$18,,MATCH(K$21,$H$21:$N$21,0)),OFFSET($G$14:$G$18,,MATCH(K$21,$H$21:$N$21,0)),1)</f>
        <v>26.041666666666668</v>
      </c>
      <c r="L51" s="3">
        <f t="shared" ca="1" si="29"/>
        <v>28.125</v>
      </c>
      <c r="M51" s="3">
        <f t="shared" ca="1" si="25"/>
        <v>20</v>
      </c>
      <c r="N51" s="3">
        <f t="shared" ca="1" si="25"/>
        <v>0</v>
      </c>
      <c r="P51" s="3">
        <v>3</v>
      </c>
      <c r="Q51" s="3">
        <f t="array" aca="1" ref="Q51" ca="1">MEDIAN(_xlfn.IFS($B$22:$B$28=OFFSET($B$31,MATCH($Q$38,$A$32:$A$34,0),),TRANSPOSE(OFFSET($B$1:$H$1,MATCH(Q$21,$H$21:$I$21,0),)),TRUE,""))
*OFFSET($A$13,$G51,$D$12)/OFFSET($A$18,,$D$12)
*OFFSET($G$13,MATCH($P$47,$G$14:$G$18,0),MATCH(Q$21,$H$21:$N$21,0))
*OFFSET($O$13,MATCH($P$47,$G$14:$G$18,0),MATCH(Q$21,$H$21:$N$21,0))
/SUMIFS(OFFSET($O$14:$O$18,,MATCH(Q$21,$H$21:$N$21,0)),OFFSET($G$14:$G$18,,MATCH(Q$21,$H$21:$N$21,0)),1)</f>
        <v>0</v>
      </c>
      <c r="R51" s="3">
        <f t="array" aca="1" ref="R51" ca="1">MEDIAN(_xlfn.IFS($B$22:$B$28=OFFSET($B$31,MATCH($Q$38,$A$32:$A$34,0),),TRANSPOSE(OFFSET($B$1:$H$1,MATCH(R$21,$H$21:$I$21,0),)),TRUE,""))
*OFFSET($A$13,$G51,$D$12)/OFFSET($A$18,,$D$12)
*OFFSET($G$13,MATCH($P$47,$G$14:$G$18,0),MATCH(R$21,$H$21:$N$21,0))
*OFFSET($O$13,MATCH($P$47,$G$14:$G$18,0),MATCH(R$21,$H$21:$N$21,0))
/SUMIFS(OFFSET($O$14:$O$18,,MATCH(R$21,$H$21:$N$21,0)),OFFSET($G$14:$G$18,,MATCH(R$21,$H$21:$N$21,0)),1)
*_xlfn.IFS(I$21="生命",SUMIFS(模型构建!$B$8:$B$14,模型构建!$C$8:$C$14,1),TRUE,1)
*模型构建!$L$1</f>
        <v>475.14307228915663</v>
      </c>
      <c r="S51" s="3">
        <f t="shared" ca="1" si="30"/>
        <v>0</v>
      </c>
      <c r="T51" s="3">
        <f t="array" aca="1" ref="T51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*OFFSET($A$13,$G51,$D$12)/OFFSET($A$18,,$D$12)
*OFFSET($G$13,MATCH($P$47,$G$14:$G$18,0),MATCH(T$21,$H$21:$N$21,0))
*OFFSET($O$13,MATCH($P$47,$G$14:$G$18,0),MATCH(T$21,$H$21:$N$21,0))
/SUMIFS(OFFSET($O$14:$O$18,,MATCH(T$21,$H$21:$N$21,0)),OFFSET($G$14:$G$18,,MATCH(T$21,$H$21:$N$21,0)),1)</f>
        <v>44.270833333333343</v>
      </c>
      <c r="U51" s="3">
        <f t="shared" ca="1" si="31"/>
        <v>28.125</v>
      </c>
      <c r="V51" s="3">
        <f t="shared" ca="1" si="26"/>
        <v>20</v>
      </c>
      <c r="W51" s="3">
        <f t="shared" ca="1" si="26"/>
        <v>0</v>
      </c>
      <c r="Y51" s="3">
        <v>3</v>
      </c>
      <c r="Z51" s="3">
        <f t="array" aca="1" ref="Z51" ca="1">MEDIAN(_xlfn.IFS($B$22:$B$28=OFFSET($B$31,MATCH($Z$29,$A$32:$A$34,0),),TRANSPOSE(OFFSET($B$1:$H$1,MATCH(Z$21,$H$21:$I$21,0),)),TRUE,""))
*OFFSET($A$13,$G51,$D$12)/OFFSET($A$18,,$D$12)
*OFFSET($G$13,MATCH($Y$47,$G$14:$G$18,0),MATCH(Z$21,$H$21:$N$21,0))
*OFFSET($O$13,MATCH($Y$47,$G$14:$G$18,0),MATCH(Z$21,$H$21:$N$21,0))
/SUMIFS(OFFSET($O$14:$O$18,,MATCH(Z$21,$H$21:$N$21,0)),OFFSET($G$14:$G$18,,MATCH(Z$21,$H$21:$N$21,0)),1)</f>
        <v>0</v>
      </c>
      <c r="AA51" s="3">
        <f t="array" aca="1" ref="AA51" ca="1">MEDIAN(_xlfn.IFS($B$22:$B$28=OFFSET($B$31,MATCH($Z$29,$A$32:$A$34,0),),TRANSPOSE(OFFSET($B$1:$H$1,MATCH(AA$21,$H$21:$I$21,0),)),TRUE,""))
*OFFSET($A$13,$G51,$D$12)/OFFSET($A$18,,$D$12)
*OFFSET($G$13,MATCH($Y$47,$G$14:$G$18,0),MATCH(AA$21,$H$21:$N$21,0))
*OFFSET($O$13,MATCH($Y$47,$G$14:$G$18,0),MATCH(AA$21,$H$21:$N$21,0))
/SUMIFS(OFFSET($O$14:$O$18,,MATCH(AA$21,$H$21:$N$21,0)),OFFSET($G$14:$G$18,,MATCH(AA$21,$H$21:$N$21,0)),1)
*_xlfn.IFS(I$21="生命",SUMIFS(模型构建!$B$8:$B$14,模型构建!$C$8:$C$14,1),TRUE,1)
*模型构建!$L$1</f>
        <v>906.45587349397579</v>
      </c>
      <c r="AB51" s="3">
        <f t="shared" ca="1" si="32"/>
        <v>0</v>
      </c>
      <c r="AC51" s="3">
        <f t="array" aca="1" ref="AC51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*OFFSET($A$13,$G51,$D$12)/OFFSET($A$18,,$D$12)
*OFFSET($G$13,MATCH($Y$47,$G$14:$G$18,0),MATCH(AC$21,$H$21:$N$21,0))
*OFFSET($O$13,MATCH($Y$47,$G$14:$G$18,0),MATCH(AC$21,$H$21:$N$21,0))
/SUMIFS(OFFSET($O$14:$O$18,,MATCH(AC$21,$H$21:$N$21,0)),OFFSET($G$14:$G$18,,MATCH(AC$21,$H$21:$N$21,0)),1)</f>
        <v>7.291666666666667</v>
      </c>
      <c r="AD51" s="3">
        <f t="shared" ca="1" si="33"/>
        <v>28.125</v>
      </c>
      <c r="AE51" s="3">
        <f t="shared" ca="1" si="27"/>
        <v>20</v>
      </c>
      <c r="AF51" s="3">
        <f t="shared" ca="1" si="27"/>
        <v>0</v>
      </c>
    </row>
    <row r="52" spans="1:32">
      <c r="G52" s="3">
        <v>4</v>
      </c>
      <c r="H52" s="3">
        <f t="array" aca="1" ref="H52" ca="1">MEDIAN(_xlfn.IFS($B$22:$B$28=OFFSET($B$31,MATCH($H$38,$A$32:$A$34,0),),TRANSPOSE(OFFSET($B$1:$H$1,MATCH(H$21,$H$21:$I$21,0),)),TRUE,""))
*OFFSET($A$13,$G52,$D$12)/OFFSET($A$18,,$D$12)
*OFFSET($G$13,MATCH($G$47,$G$14:$G$18,0),MATCH(H$21,$H$21:$N$21,0))
*OFFSET($O$13,MATCH($G$47,$G$14:$G$18,0),MATCH(H$21,$H$21:$N$21,0))
/SUMIFS(OFFSET($O$14:$O$18,,MATCH(H$21,$H$21:$N$21,0)),OFFSET($G$14:$G$18,,MATCH(H$21,$H$21:$N$21,0)),1)</f>
        <v>0</v>
      </c>
      <c r="I52" s="3">
        <f t="array" aca="1" ref="I52" ca="1">MEDIAN(_xlfn.IFS($B$22:$B$28=OFFSET($B$31,MATCH($H$38,$A$32:$A$34,0),),TRANSPOSE(OFFSET($B$1:$H$1,MATCH(I$21,$H$21:$I$21,0),)),TRUE,""))
*OFFSET($A$13,$G52,$D$12)/OFFSET($A$18,,$D$12)
*OFFSET($G$13,MATCH($G$47,$G$14:$G$18,0),MATCH(I$21,$H$21:$N$21,0))
*OFFSET($O$13,MATCH($G$47,$G$14:$G$18,0),MATCH(I$21,$H$21:$N$21,0))
/SUMIFS(OFFSET($O$14:$O$18,,MATCH(I$21,$H$21:$N$21,0)),OFFSET($G$14:$G$18,,MATCH(I$21,$H$21:$N$21,0)),1)
*_xlfn.IFS(I$21="生命",SUMIFS(模型构建!$B$8:$B$14,模型构建!$C$8:$C$14,1),TRUE,1)
*模型构建!$L$1</f>
        <v>219.79789156626506</v>
      </c>
      <c r="J52" s="3">
        <f t="shared" ca="1" si="28"/>
        <v>0</v>
      </c>
      <c r="K52" s="3">
        <f t="array" aca="1" ref="K52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*OFFSET($A$13,$G52,$D$12)/OFFSET($A$18,,$D$12)
*OFFSET($G$13,MATCH($G$47,$G$14:$G$18,0),MATCH(K$21,$H$21:$N$21,0))
*OFFSET($O$13,MATCH($G$47,$G$14:$G$18,0),MATCH(K$21,$H$21:$N$21,0))
/SUMIFS(OFFSET($O$14:$O$18,,MATCH(K$21,$H$21:$N$21,0)),OFFSET($G$14:$G$18,,MATCH(K$21,$H$21:$N$21,0)),1)</f>
        <v>28.645833333333332</v>
      </c>
      <c r="L52" s="3">
        <f t="shared" ca="1" si="29"/>
        <v>30.9375</v>
      </c>
      <c r="M52" s="3">
        <f t="shared" ca="1" si="25"/>
        <v>22</v>
      </c>
      <c r="N52" s="3">
        <f t="shared" ca="1" si="25"/>
        <v>0</v>
      </c>
      <c r="P52" s="3">
        <v>4</v>
      </c>
      <c r="Q52" s="3">
        <f t="array" aca="1" ref="Q52" ca="1">MEDIAN(_xlfn.IFS($B$22:$B$28=OFFSET($B$31,MATCH($Q$38,$A$32:$A$34,0),),TRANSPOSE(OFFSET($B$1:$H$1,MATCH(Q$21,$H$21:$I$21,0),)),TRUE,""))
*OFFSET($A$13,$G52,$D$12)/OFFSET($A$18,,$D$12)
*OFFSET($G$13,MATCH($P$47,$G$14:$G$18,0),MATCH(Q$21,$H$21:$N$21,0))
*OFFSET($O$13,MATCH($P$47,$G$14:$G$18,0),MATCH(Q$21,$H$21:$N$21,0))
/SUMIFS(OFFSET($O$14:$O$18,,MATCH(Q$21,$H$21:$N$21,0)),OFFSET($G$14:$G$18,,MATCH(Q$21,$H$21:$N$21,0)),1)</f>
        <v>0</v>
      </c>
      <c r="R52" s="3">
        <f t="array" aca="1" ref="R52" ca="1">MEDIAN(_xlfn.IFS($B$22:$B$28=OFFSET($B$31,MATCH($Q$38,$A$32:$A$34,0),),TRANSPOSE(OFFSET($B$1:$H$1,MATCH(R$21,$H$21:$I$21,0),)),TRUE,""))
*OFFSET($A$13,$G52,$D$12)/OFFSET($A$18,,$D$12)
*OFFSET($G$13,MATCH($P$47,$G$14:$G$18,0),MATCH(R$21,$H$21:$N$21,0))
*OFFSET($O$13,MATCH($P$47,$G$14:$G$18,0),MATCH(R$21,$H$21:$N$21,0))
/SUMIFS(OFFSET($O$14:$O$18,,MATCH(R$21,$H$21:$N$21,0)),OFFSET($G$14:$G$18,,MATCH(R$21,$H$21:$N$21,0)),1)
*_xlfn.IFS(I$21="生命",SUMIFS(模型构建!$B$8:$B$14,模型构建!$C$8:$C$14,1),TRUE,1)
*模型构建!$L$1</f>
        <v>522.65737951807228</v>
      </c>
      <c r="S52" s="3">
        <f t="shared" ca="1" si="30"/>
        <v>0</v>
      </c>
      <c r="T52" s="3">
        <f t="array" aca="1" ref="T52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*OFFSET($A$13,$G52,$D$12)/OFFSET($A$18,,$D$12)
*OFFSET($G$13,MATCH($P$47,$G$14:$G$18,0),MATCH(T$21,$H$21:$N$21,0))
*OFFSET($O$13,MATCH($P$47,$G$14:$G$18,0),MATCH(T$21,$H$21:$N$21,0))
/SUMIFS(OFFSET($O$14:$O$18,,MATCH(T$21,$H$21:$N$21,0)),OFFSET($G$14:$G$18,,MATCH(T$21,$H$21:$N$21,0)),1)</f>
        <v>48.697916666666671</v>
      </c>
      <c r="U52" s="3">
        <f t="shared" ca="1" si="31"/>
        <v>30.9375</v>
      </c>
      <c r="V52" s="3">
        <f t="shared" ca="1" si="26"/>
        <v>22</v>
      </c>
      <c r="W52" s="3">
        <f t="shared" ca="1" si="26"/>
        <v>0</v>
      </c>
      <c r="Y52" s="3">
        <v>4</v>
      </c>
      <c r="Z52" s="3">
        <f t="array" aca="1" ref="Z52" ca="1">MEDIAN(_xlfn.IFS($B$22:$B$28=OFFSET($B$31,MATCH($Z$29,$A$32:$A$34,0),),TRANSPOSE(OFFSET($B$1:$H$1,MATCH(Z$21,$H$21:$I$21,0),)),TRUE,""))
*OFFSET($A$13,$G52,$D$12)/OFFSET($A$18,,$D$12)
*OFFSET($G$13,MATCH($Y$47,$G$14:$G$18,0),MATCH(Z$21,$H$21:$N$21,0))
*OFFSET($O$13,MATCH($Y$47,$G$14:$G$18,0),MATCH(Z$21,$H$21:$N$21,0))
/SUMIFS(OFFSET($O$14:$O$18,,MATCH(Z$21,$H$21:$N$21,0)),OFFSET($G$14:$G$18,,MATCH(Z$21,$H$21:$N$21,0)),1)</f>
        <v>0</v>
      </c>
      <c r="AA52" s="3">
        <f t="array" aca="1" ref="AA52" ca="1">MEDIAN(_xlfn.IFS($B$22:$B$28=OFFSET($B$31,MATCH($Z$29,$A$32:$A$34,0),),TRANSPOSE(OFFSET($B$1:$H$1,MATCH(AA$21,$H$21:$I$21,0),)),TRUE,""))
*OFFSET($A$13,$G52,$D$12)/OFFSET($A$18,,$D$12)
*OFFSET($G$13,MATCH($Y$47,$G$14:$G$18,0),MATCH(AA$21,$H$21:$N$21,0))
*OFFSET($O$13,MATCH($Y$47,$G$14:$G$18,0),MATCH(AA$21,$H$21:$N$21,0))
/SUMIFS(OFFSET($O$14:$O$18,,MATCH(AA$21,$H$21:$N$21,0)),OFFSET($G$14:$G$18,,MATCH(AA$21,$H$21:$N$21,0)),1)
*_xlfn.IFS(I$21="生命",SUMIFS(模型构建!$B$8:$B$14,模型构建!$C$8:$C$14,1),TRUE,1)
*模型构建!$L$1</f>
        <v>997.1014608433735</v>
      </c>
      <c r="AB52" s="3">
        <f t="shared" ca="1" si="32"/>
        <v>0</v>
      </c>
      <c r="AC52" s="3">
        <f t="array" aca="1" ref="AC52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*OFFSET($A$13,$G52,$D$12)/OFFSET($A$18,,$D$12)
*OFFSET($G$13,MATCH($Y$47,$G$14:$G$18,0),MATCH(AC$21,$H$21:$N$21,0))
*OFFSET($O$13,MATCH($Y$47,$G$14:$G$18,0),MATCH(AC$21,$H$21:$N$21,0))
/SUMIFS(OFFSET($O$14:$O$18,,MATCH(AC$21,$H$21:$N$21,0)),OFFSET($G$14:$G$18,,MATCH(AC$21,$H$21:$N$21,0)),1)</f>
        <v>8.0208333333333339</v>
      </c>
      <c r="AD52" s="3">
        <f t="shared" ca="1" si="33"/>
        <v>30.9375</v>
      </c>
      <c r="AE52" s="3">
        <f t="shared" ca="1" si="27"/>
        <v>22</v>
      </c>
      <c r="AF52" s="3">
        <f t="shared" ca="1" si="27"/>
        <v>0</v>
      </c>
    </row>
    <row r="53" spans="1:32">
      <c r="G53" s="3">
        <v>5</v>
      </c>
      <c r="H53" s="3">
        <f t="array" aca="1" ref="H53" ca="1">MEDIAN(_xlfn.IFS($B$22:$B$28=OFFSET($B$31,MATCH($H$38,$A$32:$A$34,0),),TRANSPOSE(OFFSET($B$1:$H$1,MATCH(H$21,$H$21:$I$21,0),)),TRUE,""))
*OFFSET($A$13,$G53,$D$12)/OFFSET($A$18,,$D$12)
*OFFSET($G$13,MATCH($G$47,$G$14:$G$18,0),MATCH(H$21,$H$21:$N$21,0))
*OFFSET($O$13,MATCH($G$47,$G$14:$G$18,0),MATCH(H$21,$H$21:$N$21,0))
/SUMIFS(OFFSET($O$14:$O$18,,MATCH(H$21,$H$21:$N$21,0)),OFFSET($G$14:$G$18,,MATCH(H$21,$H$21:$N$21,0)),1)</f>
        <v>0</v>
      </c>
      <c r="I53" s="3">
        <f t="array" aca="1" ref="I53" ca="1">MEDIAN(_xlfn.IFS($B$22:$B$28=OFFSET($B$31,MATCH($H$38,$A$32:$A$34,0),),TRANSPOSE(OFFSET($B$1:$H$1,MATCH(I$21,$H$21:$I$21,0),)),TRUE,""))
*OFFSET($A$13,$G53,$D$12)/OFFSET($A$18,,$D$12)
*OFFSET($G$13,MATCH($G$47,$G$14:$G$18,0),MATCH(I$21,$H$21:$N$21,0))
*OFFSET($O$13,MATCH($G$47,$G$14:$G$18,0),MATCH(I$21,$H$21:$N$21,0))
/SUMIFS(OFFSET($O$14:$O$18,,MATCH(I$21,$H$21:$N$21,0)),OFFSET($G$14:$G$18,,MATCH(I$21,$H$21:$N$21,0)),1)
*_xlfn.IFS(I$21="生命",SUMIFS(模型构建!$B$8:$B$14,模型构建!$C$8:$C$14,1),TRUE,1)
*模型构建!$L$1</f>
        <v>239.77951807228919</v>
      </c>
      <c r="J53" s="3">
        <f t="shared" ca="1" si="28"/>
        <v>0</v>
      </c>
      <c r="K53" s="3">
        <f t="array" aca="1" ref="K53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*OFFSET($A$13,$G53,$D$12)/OFFSET($A$18,,$D$12)
*OFFSET($G$13,MATCH($G$47,$G$14:$G$18,0),MATCH(K$21,$H$21:$N$21,0))
*OFFSET($O$13,MATCH($G$47,$G$14:$G$18,0),MATCH(K$21,$H$21:$N$21,0))
/SUMIFS(OFFSET($O$14:$O$18,,MATCH(K$21,$H$21:$N$21,0)),OFFSET($G$14:$G$18,,MATCH(K$21,$H$21:$N$21,0)),1)</f>
        <v>31.25</v>
      </c>
      <c r="L53" s="3">
        <f t="shared" ca="1" si="29"/>
        <v>33.75</v>
      </c>
      <c r="M53" s="3">
        <f t="shared" ca="1" si="25"/>
        <v>24</v>
      </c>
      <c r="N53" s="3">
        <f t="shared" ca="1" si="25"/>
        <v>0</v>
      </c>
      <c r="P53" s="3">
        <v>5</v>
      </c>
      <c r="Q53" s="3">
        <f t="array" aca="1" ref="Q53" ca="1">MEDIAN(_xlfn.IFS($B$22:$B$28=OFFSET($B$31,MATCH($Q$38,$A$32:$A$34,0),),TRANSPOSE(OFFSET($B$1:$H$1,MATCH(Q$21,$H$21:$I$21,0),)),TRUE,""))
*OFFSET($A$13,$G53,$D$12)/OFFSET($A$18,,$D$12)
*OFFSET($G$13,MATCH($P$47,$G$14:$G$18,0),MATCH(Q$21,$H$21:$N$21,0))
*OFFSET($O$13,MATCH($P$47,$G$14:$G$18,0),MATCH(Q$21,$H$21:$N$21,0))
/SUMIFS(OFFSET($O$14:$O$18,,MATCH(Q$21,$H$21:$N$21,0)),OFFSET($G$14:$G$18,,MATCH(Q$21,$H$21:$N$21,0)),1)</f>
        <v>0</v>
      </c>
      <c r="R53" s="3">
        <f t="array" aca="1" ref="R53" ca="1">MEDIAN(_xlfn.IFS($B$22:$B$28=OFFSET($B$31,MATCH($Q$38,$A$32:$A$34,0),),TRANSPOSE(OFFSET($B$1:$H$1,MATCH(R$21,$H$21:$I$21,0),)),TRUE,""))
*OFFSET($A$13,$G53,$D$12)/OFFSET($A$18,,$D$12)
*OFFSET($G$13,MATCH($P$47,$G$14:$G$18,0),MATCH(R$21,$H$21:$N$21,0))
*OFFSET($O$13,MATCH($P$47,$G$14:$G$18,0),MATCH(R$21,$H$21:$N$21,0))
/SUMIFS(OFFSET($O$14:$O$18,,MATCH(R$21,$H$21:$N$21,0)),OFFSET($G$14:$G$18,,MATCH(R$21,$H$21:$N$21,0)),1)
*_xlfn.IFS(I$21="生命",SUMIFS(模型构建!$B$8:$B$14,模型构建!$C$8:$C$14,1),TRUE,1)
*模型构建!$L$1</f>
        <v>570.17168674698792</v>
      </c>
      <c r="S53" s="3">
        <f t="shared" ca="1" si="30"/>
        <v>0</v>
      </c>
      <c r="T53" s="3">
        <f t="array" aca="1" ref="T53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*OFFSET($A$13,$G53,$D$12)/OFFSET($A$18,,$D$12)
*OFFSET($G$13,MATCH($P$47,$G$14:$G$18,0),MATCH(T$21,$H$21:$N$21,0))
*OFFSET($O$13,MATCH($P$47,$G$14:$G$18,0),MATCH(T$21,$H$21:$N$21,0))
/SUMIFS(OFFSET($O$14:$O$18,,MATCH(T$21,$H$21:$N$21,0)),OFFSET($G$14:$G$18,,MATCH(T$21,$H$21:$N$21,0)),1)</f>
        <v>53.125000000000007</v>
      </c>
      <c r="U53" s="3">
        <f t="shared" ca="1" si="31"/>
        <v>33.75</v>
      </c>
      <c r="V53" s="3">
        <f t="shared" ca="1" si="26"/>
        <v>24</v>
      </c>
      <c r="W53" s="3">
        <f t="shared" ca="1" si="26"/>
        <v>0</v>
      </c>
      <c r="Y53" s="3">
        <v>5</v>
      </c>
      <c r="Z53" s="3">
        <f t="array" aca="1" ref="Z53" ca="1">MEDIAN(_xlfn.IFS($B$22:$B$28=OFFSET($B$31,MATCH($Z$29,$A$32:$A$34,0),),TRANSPOSE(OFFSET($B$1:$H$1,MATCH(Z$21,$H$21:$I$21,0),)),TRUE,""))
*OFFSET($A$13,$G53,$D$12)/OFFSET($A$18,,$D$12)
*OFFSET($G$13,MATCH($Y$47,$G$14:$G$18,0),MATCH(Z$21,$H$21:$N$21,0))
*OFFSET($O$13,MATCH($Y$47,$G$14:$G$18,0),MATCH(Z$21,$H$21:$N$21,0))
/SUMIFS(OFFSET($O$14:$O$18,,MATCH(Z$21,$H$21:$N$21,0)),OFFSET($G$14:$G$18,,MATCH(Z$21,$H$21:$N$21,0)),1)</f>
        <v>0</v>
      </c>
      <c r="AA53" s="3">
        <f t="array" aca="1" ref="AA53" ca="1">MEDIAN(_xlfn.IFS($B$22:$B$28=OFFSET($B$31,MATCH($Z$29,$A$32:$A$34,0),),TRANSPOSE(OFFSET($B$1:$H$1,MATCH(AA$21,$H$21:$I$21,0),)),TRUE,""))
*OFFSET($A$13,$G53,$D$12)/OFFSET($A$18,,$D$12)
*OFFSET($G$13,MATCH($Y$47,$G$14:$G$18,0),MATCH(AA$21,$H$21:$N$21,0))
*OFFSET($O$13,MATCH($Y$47,$G$14:$G$18,0),MATCH(AA$21,$H$21:$N$21,0))
/SUMIFS(OFFSET($O$14:$O$18,,MATCH(AA$21,$H$21:$N$21,0)),OFFSET($G$14:$G$18,,MATCH(AA$21,$H$21:$N$21,0)),1)
*_xlfn.IFS(I$21="生命",SUMIFS(模型构建!$B$8:$B$14,模型构建!$C$8:$C$14,1),TRUE,1)
*模型构建!$L$1</f>
        <v>1087.747048192771</v>
      </c>
      <c r="AB53" s="3">
        <f t="shared" ca="1" si="32"/>
        <v>0</v>
      </c>
      <c r="AC53" s="3">
        <f t="array" aca="1" ref="AC53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*OFFSET($A$13,$G53,$D$12)/OFFSET($A$18,,$D$12)
*OFFSET($G$13,MATCH($Y$47,$G$14:$G$18,0),MATCH(AC$21,$H$21:$N$21,0))
*OFFSET($O$13,MATCH($Y$47,$G$14:$G$18,0),MATCH(AC$21,$H$21:$N$21,0))
/SUMIFS(OFFSET($O$14:$O$18,,MATCH(AC$21,$H$21:$N$21,0)),OFFSET($G$14:$G$18,,MATCH(AC$21,$H$21:$N$21,0)),1)</f>
        <v>8.75</v>
      </c>
      <c r="AD53" s="3">
        <f t="shared" ca="1" si="33"/>
        <v>33.75</v>
      </c>
      <c r="AE53" s="3">
        <f t="shared" ca="1" si="27"/>
        <v>24</v>
      </c>
      <c r="AF53" s="3">
        <f t="shared" ca="1" si="27"/>
        <v>0</v>
      </c>
    </row>
    <row r="56" spans="1:32">
      <c r="G56" s="3" t="s">
        <v>126</v>
      </c>
      <c r="H56" s="3" t="s">
        <v>93</v>
      </c>
      <c r="P56" s="3" t="str">
        <f>G56</f>
        <v>护身符</v>
      </c>
      <c r="Q56" s="3" t="s">
        <v>95</v>
      </c>
      <c r="Y56" s="3" t="str">
        <f>P56</f>
        <v>护身符</v>
      </c>
      <c r="Z56" s="3" t="s">
        <v>97</v>
      </c>
    </row>
    <row r="57" spans="1:32">
      <c r="G57" s="5" t="s">
        <v>146</v>
      </c>
      <c r="H57" s="10" t="s">
        <v>78</v>
      </c>
      <c r="I57" s="9" t="s">
        <v>79</v>
      </c>
      <c r="J57" s="12" t="s">
        <v>118</v>
      </c>
      <c r="K57" s="11" t="s">
        <v>119</v>
      </c>
      <c r="L57" s="13" t="s">
        <v>111</v>
      </c>
      <c r="M57" s="11" t="s">
        <v>120</v>
      </c>
      <c r="N57" s="13" t="s">
        <v>122</v>
      </c>
      <c r="P57" s="5" t="s">
        <v>146</v>
      </c>
      <c r="Q57" s="10" t="s">
        <v>78</v>
      </c>
      <c r="R57" s="9" t="s">
        <v>79</v>
      </c>
      <c r="S57" s="12" t="s">
        <v>118</v>
      </c>
      <c r="T57" s="11" t="s">
        <v>119</v>
      </c>
      <c r="U57" s="13" t="s">
        <v>111</v>
      </c>
      <c r="V57" s="11" t="s">
        <v>120</v>
      </c>
      <c r="W57" s="13" t="s">
        <v>122</v>
      </c>
      <c r="Y57" s="5" t="s">
        <v>146</v>
      </c>
      <c r="Z57" s="10" t="s">
        <v>78</v>
      </c>
      <c r="AA57" s="9" t="s">
        <v>79</v>
      </c>
      <c r="AB57" s="12" t="s">
        <v>118</v>
      </c>
      <c r="AC57" s="11" t="s">
        <v>119</v>
      </c>
      <c r="AD57" s="13" t="s">
        <v>111</v>
      </c>
      <c r="AE57" s="11" t="s">
        <v>120</v>
      </c>
      <c r="AF57" s="13" t="s">
        <v>122</v>
      </c>
    </row>
    <row r="58" spans="1:32">
      <c r="G58" s="3">
        <v>1</v>
      </c>
      <c r="H58" s="3">
        <f t="array" aca="1" ref="H58" ca="1">MEDIAN(_xlfn.IFS($B$22:$B$28=OFFSET($B$31,MATCH($H$38,$A$32:$A$34,0),),TRANSPOSE(OFFSET($B$1:$H$1,MATCH(H$21,$H$21:$I$21,0),)),TRUE,""))
*OFFSET($A$13,$G58,$D$12)/OFFSET($A$18,,$D$12)
*OFFSET($G$13,MATCH($G$56,$G$14:$G$18,0),MATCH(H$21,$H$21:$N$21,0))
*OFFSET($O$13,MATCH($G$56,$G$14:$G$18,0),MATCH(H$21,$H$21:$N$21,0))
/SUMIFS(OFFSET($O$14:$O$18,,MATCH(H$21,$H$21:$N$21,0)),OFFSET($G$14:$G$18,,MATCH(H$21,$H$21:$N$21,0)),1)</f>
        <v>8.6405529953917064</v>
      </c>
      <c r="I58" s="3">
        <f t="array" aca="1" ref="I58" ca="1">MEDIAN(_xlfn.IFS($B$22:$B$28=OFFSET($B$31,MATCH($H$38,$A$32:$A$34,0),),TRANSPOSE(OFFSET($B$1:$H$1,MATCH(I$21,$H$21:$I$21,0),)),TRUE,""))
*OFFSET($A$13,$G58,$D$12)/OFFSET($A$18,,$D$12)
*OFFSET($G$13,MATCH($G$56,$G$14:$G$18,0),MATCH(I$21,$H$21:$N$21,0))
*OFFSET($O$13,MATCH($G$56,$G$14:$G$18,0),MATCH(I$21,$H$21:$N$21,0))
/SUMIFS(OFFSET($O$14:$O$18,,MATCH(I$21,$H$21:$N$21,0)),OFFSET($G$14:$G$18,,MATCH(I$21,$H$21:$N$21,0)),1)
*_xlfn.IFS(I$21="生命",SUMIFS(模型构建!$B$8:$B$14,模型构建!$C$8:$C$14,1),TRUE,1)
*模型构建!$L$1</f>
        <v>430.37349397590367</v>
      </c>
      <c r="J58" s="3">
        <f ca="1">OFFSET($A$4,MATCH(J$21,$J$21:$N$21,0),MATCH(OFFSET($A$21,MATCH(SUMIFS($B$32:$B$34,$A$32:$A$34,$H$38),$B$22:$B$28,0),),$B$1:$H$1,0))
*OFFSET($A$13,$G58,$D$12)/OFFSET($A$18,,$D$12)
*OFFSET($G$13,MATCH($G$56,$G$14:$G$18,0),MATCH(J$21,$H$21:$N$21,0))
*OFFSET($O$13,MATCH($G$56,$G$14:$G$18,0),MATCH(J$21,$H$21:$N$21,0))
/SUMIFS(OFFSET($O$14:$O$18,,MATCH(J$21,$H$21:$N$21,0)),OFFSET($G$14:$G$18,,MATCH(J$21,$H$21:$N$21,0)),1)</f>
        <v>40.909090909090907</v>
      </c>
      <c r="K58" s="3">
        <f t="array" aca="1" ref="K58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*OFFSET($A$13,$G58,$D$12)/OFFSET($A$18,,$D$12)
*OFFSET($G$13,MATCH($G$56,$G$14:$G$18,0),MATCH(K$21,$H$21:$N$21,0))
*OFFSET($O$13,MATCH($G$56,$G$14:$G$18,0),MATCH(K$21,$H$21:$N$21,0))
/SUMIFS(OFFSET($O$14:$O$18,,MATCH(K$21,$H$21:$N$21,0)),OFFSET($G$14:$G$18,,MATCH(K$21,$H$21:$N$21,0)),1)</f>
        <v>0</v>
      </c>
      <c r="L58" s="3">
        <f ca="1">OFFSET($A$4,MATCH(L$21,$J$21:$N$21,0),MATCH(OFFSET($A$21,MATCH(SUMIFS($B$32:$B$34,$A$32:$A$34,$H$38),$B$22:$B$28,0),),$B$1:$H$1,0))
*OFFSET($A$13,$G58,$D$12)/OFFSET($A$18,,$D$12)
*OFFSET($G$13,MATCH($G$56,$G$14:$G$18,0),MATCH(L$21,$H$21:$N$21,0))
*OFFSET($O$13,MATCH($G$56,$G$14:$G$18,0),MATCH(L$21,$H$21:$N$21,0))
/SUMIFS(OFFSET($O$14:$O$18,,MATCH(L$21,$H$21:$N$21,0)),OFFSET($G$14:$G$18,,MATCH(L$21,$H$21:$N$21,0)),1)</f>
        <v>75</v>
      </c>
      <c r="M58" s="3">
        <f t="shared" ref="M58:N62" ca="1" si="34">OFFSET($A$4,MATCH(M$21,$J$21:$N$21,0),MATCH(OFFSET($A$21,MATCH(SUMIFS($B$32:$B$34,$A$32:$A$34,$H$38),$B$22:$B$28,0),),$B$1:$H$1,0))
*OFFSET($A$13,$G58,$D$12)/OFFSET($A$18,,$D$12)
*OFFSET($G$13,MATCH($G$56,$G$14:$G$18,0),MATCH(M$21,$H$21:$N$21,0))
*OFFSET($O$13,MATCH($G$56,$G$14:$G$18,0),MATCH(M$21,$H$21:$N$21,0))
/SUMIFS(OFFSET($O$14:$O$18,,MATCH(M$21,$H$21:$N$21,0)),OFFSET($G$14:$G$18,,MATCH(M$21,$H$21:$N$21,0)),1)</f>
        <v>80</v>
      </c>
      <c r="N58" s="3">
        <f t="shared" ca="1" si="34"/>
        <v>36.92307692307692</v>
      </c>
      <c r="P58" s="3">
        <v>1</v>
      </c>
      <c r="Q58" s="3">
        <f t="array" aca="1" ref="Q58" ca="1">MEDIAN(_xlfn.IFS($B$22:$B$28=OFFSET($B$31,MATCH($Q$38,$A$32:$A$34,0),),TRANSPOSE(OFFSET($B$1:$H$1,MATCH(Q$21,$H$21:$I$21,0),)),TRUE,""))
*OFFSET($A$13,$G58,$D$12)/OFFSET($A$18,,$D$12)
*OFFSET($G$13,MATCH($P$56,$G$14:$G$18,0),MATCH(Q$21,$H$21:$N$21,0))
*OFFSET($O$13,MATCH($P$56,$G$14:$G$18,0),MATCH(Q$21,$H$21:$N$21,0))
/SUMIFS(OFFSET($O$14:$O$18,,MATCH(Q$21,$H$21:$N$21,0)),OFFSET($G$14:$G$18,,MATCH(Q$21,$H$21:$N$21,0)),1)</f>
        <v>6.7758846788959231</v>
      </c>
      <c r="R58" s="3">
        <f t="array" aca="1" ref="R58" ca="1">MEDIAN(_xlfn.IFS($B$22:$B$28=OFFSET($B$31,MATCH($Q$38,$A$32:$A$34,0),),TRANSPOSE(OFFSET($B$1:$H$1,MATCH(R$21,$H$21:$I$21,0),)),TRUE,""))
*OFFSET($A$13,$G58,$D$12)/OFFSET($A$18,,$D$12)
*OFFSET($G$13,MATCH($P$56,$G$14:$G$18,0),MATCH(R$21,$H$21:$N$21,0))
*OFFSET($O$13,MATCH($P$56,$G$14:$G$18,0),MATCH(R$21,$H$21:$N$21,0))
/SUMIFS(OFFSET($O$14:$O$18,,MATCH(R$21,$H$21:$N$21,0)),OFFSET($G$14:$G$18,,MATCH(R$21,$H$21:$N$21,0)),1)
*_xlfn.IFS(I$21="生命",SUMIFS(模型构建!$B$8:$B$14,模型构建!$C$8:$C$14,1),TRUE,1)
*模型构建!$L$1</f>
        <v>1023.3850787766451</v>
      </c>
      <c r="S58" s="3">
        <f ca="1">OFFSET($A$4,MATCH(S$21,$J$21:$N$21,0),MATCH(OFFSET($A$21,MATCH(SUMIFS($B$32:$B$34,$A$32:$A$34,$Q$29),$B$22:$B$28,0),),$B$1:$H$1,0))
*OFFSET($A$13,$G58,$D$12)/OFFSET($A$18,,$D$12)
*OFFSET($G$13,MATCH($P$56,$G$14:$G$18,0),MATCH(S$21,$H$21:$N$21,0))
*OFFSET($O$13,MATCH($P$56,$G$14:$G$18,0),MATCH(S$21,$H$21:$N$21,0))
/SUMIFS(OFFSET($O$14:$O$18,,MATCH(S$21,$H$21:$N$21,0)),OFFSET($G$14:$G$18,,MATCH(S$21,$H$21:$N$21,0)),1)</f>
        <v>40.909090909090907</v>
      </c>
      <c r="T58" s="3">
        <f t="array" aca="1" ref="T58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*OFFSET($A$13,$G58,$D$12)/OFFSET($A$18,,$D$12)
*OFFSET($G$13,MATCH($P$56,$G$14:$G$18,0),MATCH(T$21,$H$21:$N$21,0))
*OFFSET($O$13,MATCH($P$56,$G$14:$G$18,0),MATCH(T$21,$H$21:$N$21,0))
/SUMIFS(OFFSET($O$14:$O$18,,MATCH(T$21,$H$21:$N$21,0)),OFFSET($G$14:$G$18,,MATCH(T$21,$H$21:$N$21,0)),1)</f>
        <v>0</v>
      </c>
      <c r="U58" s="3">
        <f ca="1">OFFSET($A$4,MATCH(U$21,$J$21:$N$21,0),MATCH(OFFSET($A$21,MATCH(SUMIFS($B$32:$B$34,$A$32:$A$34,$Q$29),$B$22:$B$28,0),),$B$1:$H$1,0))
*OFFSET($A$13,$G58,$D$12)/OFFSET($A$18,,$D$12)
*OFFSET($G$13,MATCH($P$56,$G$14:$G$18,0),MATCH(U$21,$H$21:$N$21,0))
*OFFSET($O$13,MATCH($P$56,$G$14:$G$18,0),MATCH(U$21,$H$21:$N$21,0))
/SUMIFS(OFFSET($O$14:$O$18,,MATCH(U$21,$H$21:$N$21,0)),OFFSET($G$14:$G$18,,MATCH(U$21,$H$21:$N$21,0)),1)</f>
        <v>75</v>
      </c>
      <c r="V58" s="3">
        <f t="shared" ref="V58:W62" ca="1" si="35">OFFSET($A$4,MATCH(V$21,$J$21:$N$21,0),MATCH(OFFSET($A$21,MATCH(SUMIFS($B$32:$B$34,$A$32:$A$34,$Q$29),$B$22:$B$28,0),),$B$1:$H$1,0))
*OFFSET($A$13,$G58,$D$12)/OFFSET($A$18,,$D$12)
*OFFSET($G$13,MATCH($P$56,$G$14:$G$18,0),MATCH(V$21,$H$21:$N$21,0))
*OFFSET($O$13,MATCH($P$56,$G$14:$G$18,0),MATCH(V$21,$H$21:$N$21,0))
/SUMIFS(OFFSET($O$14:$O$18,,MATCH(V$21,$H$21:$N$21,0)),OFFSET($G$14:$G$18,,MATCH(V$21,$H$21:$N$21,0)),1)</f>
        <v>80</v>
      </c>
      <c r="W58" s="3">
        <f t="shared" ca="1" si="35"/>
        <v>36.92307692307692</v>
      </c>
      <c r="Y58" s="3">
        <v>1</v>
      </c>
      <c r="Z58" s="3">
        <f t="array" aca="1" ref="Z58" ca="1">MEDIAN(_xlfn.IFS($B$22:$B$28=OFFSET($B$31,MATCH($Z$29,$A$32:$A$34,0),),TRANSPOSE(OFFSET($B$1:$H$1,MATCH(Z$21,$H$21:$I$21,0),)),TRUE,""))
*OFFSET($A$13,$G58,$D$12)/OFFSET($A$18,,$D$12)
*OFFSET($G$13,MATCH($Y$56,$G$14:$G$18,0),MATCH(Z$21,$H$21:$N$21,0))
*OFFSET($O$13,MATCH($Y$56,$G$14:$G$18,0),MATCH(Z$21,$H$21:$N$21,0))
/SUMIFS(OFFSET($O$14:$O$18,,MATCH(Z$21,$H$21:$N$21,0)),OFFSET($G$14:$G$18,,MATCH(Z$21,$H$21:$N$21,0)),1)</f>
        <v>7.5722780203132984</v>
      </c>
      <c r="AA58" s="3">
        <f t="array" aca="1" ref="AA58" ca="1">MEDIAN(_xlfn.IFS($B$22:$B$28=OFFSET($B$31,MATCH($Z$29,$A$32:$A$34,0),),TRANSPOSE(OFFSET($B$1:$H$1,MATCH(AA$21,$H$21:$I$21,0),)),TRUE,""))
*OFFSET($A$13,$G58,$D$12)/OFFSET($A$18,,$D$12)
*OFFSET($G$13,MATCH($Y$56,$G$14:$G$18,0),MATCH(AA$21,$H$21:$N$21,0))
*OFFSET($O$13,MATCH($Y$56,$G$14:$G$18,0),MATCH(AA$21,$H$21:$N$21,0))
/SUMIFS(OFFSET($O$14:$O$18,,MATCH(AA$21,$H$21:$N$21,0)),OFFSET($G$14:$G$18,,MATCH(AA$21,$H$21:$N$21,0)),1)
*_xlfn.IFS(I$21="生命",SUMIFS(模型构建!$B$8:$B$14,模型构建!$C$8:$C$14,1),TRUE,1)
*模型构建!$L$1</f>
        <v>1952.3664967562554</v>
      </c>
      <c r="AB58" s="3">
        <f ca="1">OFFSET($A$4,MATCH(AB$21,$J$21:$N$21,0),MATCH(OFFSET($A$21,MATCH(SUMIFS($B$32:$B$34,$A$32:$A$34,$Z$29),$B$22:$B$28,0),),$B$1:$H$1,0))
*OFFSET($A$13,$G58,$D$12)/OFFSET($A$18,,$D$12)
*OFFSET($G$13,MATCH($Y$56,$G$14:$G$18,0),MATCH(AB$21,$H$21:$N$21,0))
*OFFSET($O$13,MATCH($Y$56,$G$14:$G$18,0),MATCH(AB$21,$H$21:$N$21,0))
/SUMIFS(OFFSET($O$14:$O$18,,MATCH(AB$21,$H$21:$N$21,0)),OFFSET($G$14:$G$18,,MATCH(AB$21,$H$21:$N$21,0)),1)</f>
        <v>40.909090909090907</v>
      </c>
      <c r="AC58" s="3">
        <f t="array" aca="1" ref="AC58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*OFFSET($A$13,$G58,$D$12)/OFFSET($A$18,,$D$12)
*OFFSET($G$13,MATCH($Y$56,$G$14:$G$18,0),MATCH(AC$21,$H$21:$N$21,0))
*OFFSET($O$13,MATCH($Y$56,$G$14:$G$18,0),MATCH(AC$21,$H$21:$N$21,0))
/SUMIFS(OFFSET($O$14:$O$18,,MATCH(AC$21,$H$21:$N$21,0)),OFFSET($G$14:$G$18,,MATCH(AC$21,$H$21:$N$21,0)),1)</f>
        <v>0</v>
      </c>
      <c r="AD58" s="3">
        <f ca="1">OFFSET($A$4,MATCH(AD$21,$J$21:$N$21,0),MATCH(OFFSET($A$21,MATCH(SUMIFS($B$32:$B$34,$A$32:$A$34,$Z$29),$B$22:$B$28,0),),$B$1:$H$1,0))
*OFFSET($A$13,$G58,$D$12)/OFFSET($A$18,,$D$12)
*OFFSET($G$13,MATCH($Y$56,$G$14:$G$18,0),MATCH(AD$21,$H$21:$N$21,0))
*OFFSET($O$13,MATCH($Y$56,$G$14:$G$18,0),MATCH(AD$21,$H$21:$N$21,0))
/SUMIFS(OFFSET($O$14:$O$18,,MATCH(AD$21,$H$21:$N$21,0)),OFFSET($G$14:$G$18,,MATCH(AD$21,$H$21:$N$21,0)),1)</f>
        <v>75</v>
      </c>
      <c r="AE58" s="3">
        <f t="shared" ref="AE58:AF62" ca="1" si="36">OFFSET($A$4,MATCH(AE$21,$J$21:$N$21,0),MATCH(OFFSET($A$21,MATCH(SUMIFS($B$32:$B$34,$A$32:$A$34,$Z$29),$B$22:$B$28,0),),$B$1:$H$1,0))
*OFFSET($A$13,$G58,$D$12)/OFFSET($A$18,,$D$12)
*OFFSET($G$13,MATCH($Y$56,$G$14:$G$18,0),MATCH(AE$21,$H$21:$N$21,0))
*OFFSET($O$13,MATCH($Y$56,$G$14:$G$18,0),MATCH(AE$21,$H$21:$N$21,0))
/SUMIFS(OFFSET($O$14:$O$18,,MATCH(AE$21,$H$21:$N$21,0)),OFFSET($G$14:$G$18,,MATCH(AE$21,$H$21:$N$21,0)),1)</f>
        <v>80</v>
      </c>
      <c r="AF58" s="3">
        <f t="shared" ca="1" si="36"/>
        <v>36.92307692307692</v>
      </c>
    </row>
    <row r="59" spans="1:32">
      <c r="G59" s="3">
        <v>2</v>
      </c>
      <c r="H59" s="3">
        <f t="array" aca="1" ref="H59" ca="1">MEDIAN(_xlfn.IFS($B$22:$B$28=OFFSET($B$31,MATCH($H$38,$A$32:$A$34,0),),TRANSPOSE(OFFSET($B$1:$H$1,MATCH(H$21,$H$21:$I$21,0),)),TRUE,""))
*OFFSET($A$13,$G59,$D$12)/OFFSET($A$18,,$D$12)
*OFFSET($G$13,MATCH($G$56,$G$14:$G$18,0),MATCH(H$21,$H$21:$N$21,0))
*OFFSET($O$13,MATCH($G$56,$G$14:$G$18,0),MATCH(H$21,$H$21:$N$21,0))
/SUMIFS(OFFSET($O$14:$O$18,,MATCH(H$21,$H$21:$N$21,0)),OFFSET($G$14:$G$18,,MATCH(H$21,$H$21:$N$21,0)),1)</f>
        <v>9.720622119815669</v>
      </c>
      <c r="I59" s="3">
        <f t="array" aca="1" ref="I59" ca="1">MEDIAN(_xlfn.IFS($B$22:$B$28=OFFSET($B$31,MATCH($H$38,$A$32:$A$34,0),),TRANSPOSE(OFFSET($B$1:$H$1,MATCH(I$21,$H$21:$I$21,0),)),TRUE,""))
*OFFSET($A$13,$G59,$D$12)/OFFSET($A$18,,$D$12)
*OFFSET($G$13,MATCH($G$56,$G$14:$G$18,0),MATCH(I$21,$H$21:$N$21,0))
*OFFSET($O$13,MATCH($G$56,$G$14:$G$18,0),MATCH(I$21,$H$21:$N$21,0))
/SUMIFS(OFFSET($O$14:$O$18,,MATCH(I$21,$H$21:$N$21,0)),OFFSET($G$14:$G$18,,MATCH(I$21,$H$21:$N$21,0)),1)
*_xlfn.IFS(I$21="生命",SUMIFS(模型构建!$B$8:$B$14,模型构建!$C$8:$C$14,1),TRUE,1)
*模型构建!$L$1</f>
        <v>484.17018072289159</v>
      </c>
      <c r="J59" s="3">
        <f t="shared" ref="J59:J62" ca="1" si="37">OFFSET($A$4,MATCH(J$21,$J$21:$N$21,0),MATCH(OFFSET($A$21,MATCH(SUMIFS($B$32:$B$34,$A$32:$A$34,$H$38),$B$22:$B$28,0),),$B$1:$H$1,0))
*OFFSET($A$13,$G59,$D$12)/OFFSET($A$18,,$D$12)
*OFFSET($G$13,MATCH($G$56,$G$14:$G$18,0),MATCH(J$21,$H$21:$N$21,0))
*OFFSET($O$13,MATCH($G$56,$G$14:$G$18,0),MATCH(J$21,$H$21:$N$21,0))
/SUMIFS(OFFSET($O$14:$O$18,,MATCH(J$21,$H$21:$N$21,0)),OFFSET($G$14:$G$18,,MATCH(J$21,$H$21:$N$21,0)),1)</f>
        <v>46.022727272727273</v>
      </c>
      <c r="K59" s="3">
        <f t="array" aca="1" ref="K59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*OFFSET($A$13,$G59,$D$12)/OFFSET($A$18,,$D$12)
*OFFSET($G$13,MATCH($G$56,$G$14:$G$18,0),MATCH(K$21,$H$21:$N$21,0))
*OFFSET($O$13,MATCH($G$56,$G$14:$G$18,0),MATCH(K$21,$H$21:$N$21,0))
/SUMIFS(OFFSET($O$14:$O$18,,MATCH(K$21,$H$21:$N$21,0)),OFFSET($G$14:$G$18,,MATCH(K$21,$H$21:$N$21,0)),1)</f>
        <v>0</v>
      </c>
      <c r="L59" s="3">
        <f t="shared" ref="L59:L62" ca="1" si="38">OFFSET($A$4,MATCH(L$21,$J$21:$N$21,0),MATCH(OFFSET($A$21,MATCH(SUMIFS($B$32:$B$34,$A$32:$A$34,$H$38),$B$22:$B$28,0),),$B$1:$H$1,0))
*OFFSET($A$13,$G59,$D$12)/OFFSET($A$18,,$D$12)
*OFFSET($G$13,MATCH($G$56,$G$14:$G$18,0),MATCH(L$21,$H$21:$N$21,0))
*OFFSET($O$13,MATCH($G$56,$G$14:$G$18,0),MATCH(L$21,$H$21:$N$21,0))
/SUMIFS(OFFSET($O$14:$O$18,,MATCH(L$21,$H$21:$N$21,0)),OFFSET($G$14:$G$18,,MATCH(L$21,$H$21:$N$21,0)),1)</f>
        <v>84.375</v>
      </c>
      <c r="M59" s="3">
        <f t="shared" ca="1" si="34"/>
        <v>90</v>
      </c>
      <c r="N59" s="3">
        <f t="shared" ca="1" si="34"/>
        <v>41.53846153846154</v>
      </c>
      <c r="P59" s="3">
        <v>2</v>
      </c>
      <c r="Q59" s="3">
        <f t="array" aca="1" ref="Q59" ca="1">MEDIAN(_xlfn.IFS($B$22:$B$28=OFFSET($B$31,MATCH($Q$38,$A$32:$A$34,0),),TRANSPOSE(OFFSET($B$1:$H$1,MATCH(Q$21,$H$21:$I$21,0),)),TRUE,""))
*OFFSET($A$13,$G59,$D$12)/OFFSET($A$18,,$D$12)
*OFFSET($G$13,MATCH($P$56,$G$14:$G$18,0),MATCH(Q$21,$H$21:$N$21,0))
*OFFSET($O$13,MATCH($P$56,$G$14:$G$18,0),MATCH(Q$21,$H$21:$N$21,0))
/SUMIFS(OFFSET($O$14:$O$18,,MATCH(Q$21,$H$21:$N$21,0)),OFFSET($G$14:$G$18,,MATCH(Q$21,$H$21:$N$21,0)),1)</f>
        <v>7.6228702637579131</v>
      </c>
      <c r="R59" s="3">
        <f t="array" aca="1" ref="R59" ca="1">MEDIAN(_xlfn.IFS($B$22:$B$28=OFFSET($B$31,MATCH($Q$38,$A$32:$A$34,0),),TRANSPOSE(OFFSET($B$1:$H$1,MATCH(R$21,$H$21:$I$21,0),)),TRUE,""))
*OFFSET($A$13,$G59,$D$12)/OFFSET($A$18,,$D$12)
*OFFSET($G$13,MATCH($P$56,$G$14:$G$18,0),MATCH(R$21,$H$21:$N$21,0))
*OFFSET($O$13,MATCH($P$56,$G$14:$G$18,0),MATCH(R$21,$H$21:$N$21,0))
/SUMIFS(OFFSET($O$14:$O$18,,MATCH(R$21,$H$21:$N$21,0)),OFFSET($G$14:$G$18,,MATCH(R$21,$H$21:$N$21,0)),1)
*_xlfn.IFS(I$21="生命",SUMIFS(模型构建!$B$8:$B$14,模型构建!$C$8:$C$14,1),TRUE,1)
*模型构建!$L$1</f>
        <v>1151.3082136237256</v>
      </c>
      <c r="S59" s="3">
        <f t="shared" ref="S59:S62" ca="1" si="39">OFFSET($A$4,MATCH(S$21,$J$21:$N$21,0),MATCH(OFFSET($A$21,MATCH(SUMIFS($B$32:$B$34,$A$32:$A$34,$Q$29),$B$22:$B$28,0),),$B$1:$H$1,0))
*OFFSET($A$13,$G59,$D$12)/OFFSET($A$18,,$D$12)
*OFFSET($G$13,MATCH($P$56,$G$14:$G$18,0),MATCH(S$21,$H$21:$N$21,0))
*OFFSET($O$13,MATCH($P$56,$G$14:$G$18,0),MATCH(S$21,$H$21:$N$21,0))
/SUMIFS(OFFSET($O$14:$O$18,,MATCH(S$21,$H$21:$N$21,0)),OFFSET($G$14:$G$18,,MATCH(S$21,$H$21:$N$21,0)),1)</f>
        <v>46.022727272727273</v>
      </c>
      <c r="T59" s="3">
        <f t="array" aca="1" ref="T59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*OFFSET($A$13,$G59,$D$12)/OFFSET($A$18,,$D$12)
*OFFSET($G$13,MATCH($P$56,$G$14:$G$18,0),MATCH(T$21,$H$21:$N$21,0))
*OFFSET($O$13,MATCH($P$56,$G$14:$G$18,0),MATCH(T$21,$H$21:$N$21,0))
/SUMIFS(OFFSET($O$14:$O$18,,MATCH(T$21,$H$21:$N$21,0)),OFFSET($G$14:$G$18,,MATCH(T$21,$H$21:$N$21,0)),1)</f>
        <v>0</v>
      </c>
      <c r="U59" s="3">
        <f t="shared" ref="U59:U62" ca="1" si="40">OFFSET($A$4,MATCH(U$21,$J$21:$N$21,0),MATCH(OFFSET($A$21,MATCH(SUMIFS($B$32:$B$34,$A$32:$A$34,$Q$29),$B$22:$B$28,0),),$B$1:$H$1,0))
*OFFSET($A$13,$G59,$D$12)/OFFSET($A$18,,$D$12)
*OFFSET($G$13,MATCH($P$56,$G$14:$G$18,0),MATCH(U$21,$H$21:$N$21,0))
*OFFSET($O$13,MATCH($P$56,$G$14:$G$18,0),MATCH(U$21,$H$21:$N$21,0))
/SUMIFS(OFFSET($O$14:$O$18,,MATCH(U$21,$H$21:$N$21,0)),OFFSET($G$14:$G$18,,MATCH(U$21,$H$21:$N$21,0)),1)</f>
        <v>84.375</v>
      </c>
      <c r="V59" s="3">
        <f t="shared" ca="1" si="35"/>
        <v>90</v>
      </c>
      <c r="W59" s="3">
        <f t="shared" ca="1" si="35"/>
        <v>41.53846153846154</v>
      </c>
      <c r="Y59" s="3">
        <v>2</v>
      </c>
      <c r="Z59" s="3">
        <f t="array" aca="1" ref="Z59" ca="1">MEDIAN(_xlfn.IFS($B$22:$B$28=OFFSET($B$31,MATCH($Z$29,$A$32:$A$34,0),),TRANSPOSE(OFFSET($B$1:$H$1,MATCH(Z$21,$H$21:$I$21,0),)),TRUE,""))
*OFFSET($A$13,$G59,$D$12)/OFFSET($A$18,,$D$12)
*OFFSET($G$13,MATCH($Y$56,$G$14:$G$18,0),MATCH(Z$21,$H$21:$N$21,0))
*OFFSET($O$13,MATCH($Y$56,$G$14:$G$18,0),MATCH(Z$21,$H$21:$N$21,0))
/SUMIFS(OFFSET($O$14:$O$18,,MATCH(Z$21,$H$21:$N$21,0)),OFFSET($G$14:$G$18,,MATCH(Z$21,$H$21:$N$21,0)),1)</f>
        <v>8.5188127728524616</v>
      </c>
      <c r="AA59" s="3">
        <f t="array" aca="1" ref="AA59" ca="1">MEDIAN(_xlfn.IFS($B$22:$B$28=OFFSET($B$31,MATCH($Z$29,$A$32:$A$34,0),),TRANSPOSE(OFFSET($B$1:$H$1,MATCH(AA$21,$H$21:$I$21,0),)),TRUE,""))
*OFFSET($A$13,$G59,$D$12)/OFFSET($A$18,,$D$12)
*OFFSET($G$13,MATCH($Y$56,$G$14:$G$18,0),MATCH(AA$21,$H$21:$N$21,0))
*OFFSET($O$13,MATCH($Y$56,$G$14:$G$18,0),MATCH(AA$21,$H$21:$N$21,0))
/SUMIFS(OFFSET($O$14:$O$18,,MATCH(AA$21,$H$21:$N$21,0)),OFFSET($G$14:$G$18,,MATCH(AA$21,$H$21:$N$21,0)),1)
*_xlfn.IFS(I$21="生命",SUMIFS(模型构建!$B$8:$B$14,模型构建!$C$8:$C$14,1),TRUE,1)
*模型构建!$L$1</f>
        <v>2196.4123088507872</v>
      </c>
      <c r="AB59" s="3">
        <f t="shared" ref="AB59:AB62" ca="1" si="41">OFFSET($A$4,MATCH(AB$21,$J$21:$N$21,0),MATCH(OFFSET($A$21,MATCH(SUMIFS($B$32:$B$34,$A$32:$A$34,$Z$29),$B$22:$B$28,0),),$B$1:$H$1,0))
*OFFSET($A$13,$G59,$D$12)/OFFSET($A$18,,$D$12)
*OFFSET($G$13,MATCH($Y$56,$G$14:$G$18,0),MATCH(AB$21,$H$21:$N$21,0))
*OFFSET($O$13,MATCH($Y$56,$G$14:$G$18,0),MATCH(AB$21,$H$21:$N$21,0))
/SUMIFS(OFFSET($O$14:$O$18,,MATCH(AB$21,$H$21:$N$21,0)),OFFSET($G$14:$G$18,,MATCH(AB$21,$H$21:$N$21,0)),1)</f>
        <v>46.022727272727273</v>
      </c>
      <c r="AC59" s="3">
        <f t="array" aca="1" ref="AC59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*OFFSET($A$13,$G59,$D$12)/OFFSET($A$18,,$D$12)
*OFFSET($G$13,MATCH($Y$56,$G$14:$G$18,0),MATCH(AC$21,$H$21:$N$21,0))
*OFFSET($O$13,MATCH($Y$56,$G$14:$G$18,0),MATCH(AC$21,$H$21:$N$21,0))
/SUMIFS(OFFSET($O$14:$O$18,,MATCH(AC$21,$H$21:$N$21,0)),OFFSET($G$14:$G$18,,MATCH(AC$21,$H$21:$N$21,0)),1)</f>
        <v>0</v>
      </c>
      <c r="AD59" s="3">
        <f t="shared" ref="AD59:AD62" ca="1" si="42">OFFSET($A$4,MATCH(AD$21,$J$21:$N$21,0),MATCH(OFFSET($A$21,MATCH(SUMIFS($B$32:$B$34,$A$32:$A$34,$Z$29),$B$22:$B$28,0),),$B$1:$H$1,0))
*OFFSET($A$13,$G59,$D$12)/OFFSET($A$18,,$D$12)
*OFFSET($G$13,MATCH($Y$56,$G$14:$G$18,0),MATCH(AD$21,$H$21:$N$21,0))
*OFFSET($O$13,MATCH($Y$56,$G$14:$G$18,0),MATCH(AD$21,$H$21:$N$21,0))
/SUMIFS(OFFSET($O$14:$O$18,,MATCH(AD$21,$H$21:$N$21,0)),OFFSET($G$14:$G$18,,MATCH(AD$21,$H$21:$N$21,0)),1)</f>
        <v>84.375</v>
      </c>
      <c r="AE59" s="3">
        <f t="shared" ca="1" si="36"/>
        <v>90</v>
      </c>
      <c r="AF59" s="3">
        <f t="shared" ca="1" si="36"/>
        <v>41.53846153846154</v>
      </c>
    </row>
    <row r="60" spans="1:32">
      <c r="G60" s="3">
        <v>3</v>
      </c>
      <c r="H60" s="3">
        <f t="array" aca="1" ref="H60" ca="1">MEDIAN(_xlfn.IFS($B$22:$B$28=OFFSET($B$31,MATCH($H$38,$A$32:$A$34,0),),TRANSPOSE(OFFSET($B$1:$H$1,MATCH(H$21,$H$21:$I$21,0),)),TRUE,""))
*OFFSET($A$13,$G60,$D$12)/OFFSET($A$18,,$D$12)
*OFFSET($G$13,MATCH($G$56,$G$14:$G$18,0),MATCH(H$21,$H$21:$N$21,0))
*OFFSET($O$13,MATCH($G$56,$G$14:$G$18,0),MATCH(H$21,$H$21:$N$21,0))
/SUMIFS(OFFSET($O$14:$O$18,,MATCH(H$21,$H$21:$N$21,0)),OFFSET($G$14:$G$18,,MATCH(H$21,$H$21:$N$21,0)),1)</f>
        <v>10.800691244239632</v>
      </c>
      <c r="I60" s="3">
        <f t="array" aca="1" ref="I60" ca="1">MEDIAN(_xlfn.IFS($B$22:$B$28=OFFSET($B$31,MATCH($H$38,$A$32:$A$34,0),),TRANSPOSE(OFFSET($B$1:$H$1,MATCH(I$21,$H$21:$I$21,0),)),TRUE,""))
*OFFSET($A$13,$G60,$D$12)/OFFSET($A$18,,$D$12)
*OFFSET($G$13,MATCH($G$56,$G$14:$G$18,0),MATCH(I$21,$H$21:$N$21,0))
*OFFSET($O$13,MATCH($G$56,$G$14:$G$18,0),MATCH(I$21,$H$21:$N$21,0))
/SUMIFS(OFFSET($O$14:$O$18,,MATCH(I$21,$H$21:$N$21,0)),OFFSET($G$14:$G$18,,MATCH(I$21,$H$21:$N$21,0)),1)
*_xlfn.IFS(I$21="生命",SUMIFS(模型构建!$B$8:$B$14,模型构建!$C$8:$C$14,1),TRUE,1)
*模型构建!$L$1</f>
        <v>537.96686746987939</v>
      </c>
      <c r="J60" s="3">
        <f t="shared" ca="1" si="37"/>
        <v>51.136363636363633</v>
      </c>
      <c r="K60" s="3">
        <f t="array" aca="1" ref="K60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*OFFSET($A$13,$G60,$D$12)/OFFSET($A$18,,$D$12)
*OFFSET($G$13,MATCH($G$56,$G$14:$G$18,0),MATCH(K$21,$H$21:$N$21,0))
*OFFSET($O$13,MATCH($G$56,$G$14:$G$18,0),MATCH(K$21,$H$21:$N$21,0))
/SUMIFS(OFFSET($O$14:$O$18,,MATCH(K$21,$H$21:$N$21,0)),OFFSET($G$14:$G$18,,MATCH(K$21,$H$21:$N$21,0)),1)</f>
        <v>0</v>
      </c>
      <c r="L60" s="3">
        <f t="shared" ca="1" si="38"/>
        <v>93.75</v>
      </c>
      <c r="M60" s="3">
        <f t="shared" ca="1" si="34"/>
        <v>100</v>
      </c>
      <c r="N60" s="3">
        <f t="shared" ca="1" si="34"/>
        <v>46.153846153846153</v>
      </c>
      <c r="P60" s="3">
        <v>3</v>
      </c>
      <c r="Q60" s="3">
        <f t="array" aca="1" ref="Q60" ca="1">MEDIAN(_xlfn.IFS($B$22:$B$28=OFFSET($B$31,MATCH($Q$38,$A$32:$A$34,0),),TRANSPOSE(OFFSET($B$1:$H$1,MATCH(Q$21,$H$21:$I$21,0),)),TRUE,""))
*OFFSET($A$13,$G60,$D$12)/OFFSET($A$18,,$D$12)
*OFFSET($G$13,MATCH($P$56,$G$14:$G$18,0),MATCH(Q$21,$H$21:$N$21,0))
*OFFSET($O$13,MATCH($P$56,$G$14:$G$18,0),MATCH(Q$21,$H$21:$N$21,0))
/SUMIFS(OFFSET($O$14:$O$18,,MATCH(Q$21,$H$21:$N$21,0)),OFFSET($G$14:$G$18,,MATCH(Q$21,$H$21:$N$21,0)),1)</f>
        <v>8.4698558486199023</v>
      </c>
      <c r="R60" s="3">
        <f t="array" aca="1" ref="R60" ca="1">MEDIAN(_xlfn.IFS($B$22:$B$28=OFFSET($B$31,MATCH($Q$38,$A$32:$A$34,0),),TRANSPOSE(OFFSET($B$1:$H$1,MATCH(R$21,$H$21:$I$21,0),)),TRUE,""))
*OFFSET($A$13,$G60,$D$12)/OFFSET($A$18,,$D$12)
*OFFSET($G$13,MATCH($P$56,$G$14:$G$18,0),MATCH(R$21,$H$21:$N$21,0))
*OFFSET($O$13,MATCH($P$56,$G$14:$G$18,0),MATCH(R$21,$H$21:$N$21,0))
/SUMIFS(OFFSET($O$14:$O$18,,MATCH(R$21,$H$21:$N$21,0)),OFFSET($G$14:$G$18,,MATCH(R$21,$H$21:$N$21,0)),1)
*_xlfn.IFS(I$21="生命",SUMIFS(模型构建!$B$8:$B$14,模型构建!$C$8:$C$14,1),TRUE,1)
*模型构建!$L$1</f>
        <v>1279.2313484708061</v>
      </c>
      <c r="S60" s="3">
        <f t="shared" ca="1" si="39"/>
        <v>51.136363636363633</v>
      </c>
      <c r="T60" s="3">
        <f t="array" aca="1" ref="T60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*OFFSET($A$13,$G60,$D$12)/OFFSET($A$18,,$D$12)
*OFFSET($G$13,MATCH($P$56,$G$14:$G$18,0),MATCH(T$21,$H$21:$N$21,0))
*OFFSET($O$13,MATCH($P$56,$G$14:$G$18,0),MATCH(T$21,$H$21:$N$21,0))
/SUMIFS(OFFSET($O$14:$O$18,,MATCH(T$21,$H$21:$N$21,0)),OFFSET($G$14:$G$18,,MATCH(T$21,$H$21:$N$21,0)),1)</f>
        <v>0</v>
      </c>
      <c r="U60" s="3">
        <f t="shared" ca="1" si="40"/>
        <v>93.75</v>
      </c>
      <c r="V60" s="3">
        <f t="shared" ca="1" si="35"/>
        <v>100</v>
      </c>
      <c r="W60" s="3">
        <f t="shared" ca="1" si="35"/>
        <v>46.153846153846153</v>
      </c>
      <c r="Y60" s="3">
        <v>3</v>
      </c>
      <c r="Z60" s="3">
        <f t="array" aca="1" ref="Z60" ca="1">MEDIAN(_xlfn.IFS($B$22:$B$28=OFFSET($B$31,MATCH($Z$29,$A$32:$A$34,0),),TRANSPOSE(OFFSET($B$1:$H$1,MATCH(Z$21,$H$21:$I$21,0),)),TRUE,""))
*OFFSET($A$13,$G60,$D$12)/OFFSET($A$18,,$D$12)
*OFFSET($G$13,MATCH($Y$56,$G$14:$G$18,0),MATCH(Z$21,$H$21:$N$21,0))
*OFFSET($O$13,MATCH($Y$56,$G$14:$G$18,0),MATCH(Z$21,$H$21:$N$21,0))
/SUMIFS(OFFSET($O$14:$O$18,,MATCH(Z$21,$H$21:$N$21,0)),OFFSET($G$14:$G$18,,MATCH(Z$21,$H$21:$N$21,0)),1)</f>
        <v>9.4653475253916231</v>
      </c>
      <c r="AA60" s="3">
        <f t="array" aca="1" ref="AA60" ca="1">MEDIAN(_xlfn.IFS($B$22:$B$28=OFFSET($B$31,MATCH($Z$29,$A$32:$A$34,0),),TRANSPOSE(OFFSET($B$1:$H$1,MATCH(AA$21,$H$21:$I$21,0),)),TRUE,""))
*OFFSET($A$13,$G60,$D$12)/OFFSET($A$18,,$D$12)
*OFFSET($G$13,MATCH($Y$56,$G$14:$G$18,0),MATCH(AA$21,$H$21:$N$21,0))
*OFFSET($O$13,MATCH($Y$56,$G$14:$G$18,0),MATCH(AA$21,$H$21:$N$21,0))
/SUMIFS(OFFSET($O$14:$O$18,,MATCH(AA$21,$H$21:$N$21,0)),OFFSET($G$14:$G$18,,MATCH(AA$21,$H$21:$N$21,0)),1)
*_xlfn.IFS(I$21="生命",SUMIFS(模型构建!$B$8:$B$14,模型构建!$C$8:$C$14,1),TRUE,1)
*模型构建!$L$1</f>
        <v>2440.458120945319</v>
      </c>
      <c r="AB60" s="3">
        <f t="shared" ca="1" si="41"/>
        <v>51.136363636363633</v>
      </c>
      <c r="AC60" s="3">
        <f t="array" aca="1" ref="AC60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*OFFSET($A$13,$G60,$D$12)/OFFSET($A$18,,$D$12)
*OFFSET($G$13,MATCH($Y$56,$G$14:$G$18,0),MATCH(AC$21,$H$21:$N$21,0))
*OFFSET($O$13,MATCH($Y$56,$G$14:$G$18,0),MATCH(AC$21,$H$21:$N$21,0))
/SUMIFS(OFFSET($O$14:$O$18,,MATCH(AC$21,$H$21:$N$21,0)),OFFSET($G$14:$G$18,,MATCH(AC$21,$H$21:$N$21,0)),1)</f>
        <v>0</v>
      </c>
      <c r="AD60" s="3">
        <f t="shared" ca="1" si="42"/>
        <v>93.75</v>
      </c>
      <c r="AE60" s="3">
        <f t="shared" ca="1" si="36"/>
        <v>100</v>
      </c>
      <c r="AF60" s="3">
        <f t="shared" ca="1" si="36"/>
        <v>46.153846153846153</v>
      </c>
    </row>
    <row r="61" spans="1:32">
      <c r="G61" s="3">
        <v>4</v>
      </c>
      <c r="H61" s="3">
        <f t="array" aca="1" ref="H61" ca="1">MEDIAN(_xlfn.IFS($B$22:$B$28=OFFSET($B$31,MATCH($H$38,$A$32:$A$34,0),),TRANSPOSE(OFFSET($B$1:$H$1,MATCH(H$21,$H$21:$I$21,0),)),TRUE,""))
*OFFSET($A$13,$G61,$D$12)/OFFSET($A$18,,$D$12)
*OFFSET($G$13,MATCH($G$56,$G$14:$G$18,0),MATCH(H$21,$H$21:$N$21,0))
*OFFSET($O$13,MATCH($G$56,$G$14:$G$18,0),MATCH(H$21,$H$21:$N$21,0))
/SUMIFS(OFFSET($O$14:$O$18,,MATCH(H$21,$H$21:$N$21,0)),OFFSET($G$14:$G$18,,MATCH(H$21,$H$21:$N$21,0)),1)</f>
        <v>11.880760368663596</v>
      </c>
      <c r="I61" s="3">
        <f t="array" aca="1" ref="I61" ca="1">MEDIAN(_xlfn.IFS($B$22:$B$28=OFFSET($B$31,MATCH($H$38,$A$32:$A$34,0),),TRANSPOSE(OFFSET($B$1:$H$1,MATCH(I$21,$H$21:$I$21,0),)),TRUE,""))
*OFFSET($A$13,$G61,$D$12)/OFFSET($A$18,,$D$12)
*OFFSET($G$13,MATCH($G$56,$G$14:$G$18,0),MATCH(I$21,$H$21:$N$21,0))
*OFFSET($O$13,MATCH($G$56,$G$14:$G$18,0),MATCH(I$21,$H$21:$N$21,0))
/SUMIFS(OFFSET($O$14:$O$18,,MATCH(I$21,$H$21:$N$21,0)),OFFSET($G$14:$G$18,,MATCH(I$21,$H$21:$N$21,0)),1)
*_xlfn.IFS(I$21="生命",SUMIFS(模型构建!$B$8:$B$14,模型构建!$C$8:$C$14,1),TRUE,1)
*模型构建!$L$1</f>
        <v>591.76355421686753</v>
      </c>
      <c r="J61" s="3">
        <f t="shared" ca="1" si="37"/>
        <v>56.25</v>
      </c>
      <c r="K61" s="3">
        <f t="array" aca="1" ref="K61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*OFFSET($A$13,$G61,$D$12)/OFFSET($A$18,,$D$12)
*OFFSET($G$13,MATCH($G$56,$G$14:$G$18,0),MATCH(K$21,$H$21:$N$21,0))
*OFFSET($O$13,MATCH($G$56,$G$14:$G$18,0),MATCH(K$21,$H$21:$N$21,0))
/SUMIFS(OFFSET($O$14:$O$18,,MATCH(K$21,$H$21:$N$21,0)),OFFSET($G$14:$G$18,,MATCH(K$21,$H$21:$N$21,0)),1)</f>
        <v>0</v>
      </c>
      <c r="L61" s="3">
        <f t="shared" ca="1" si="38"/>
        <v>103.125</v>
      </c>
      <c r="M61" s="3">
        <f t="shared" ca="1" si="34"/>
        <v>110</v>
      </c>
      <c r="N61" s="3">
        <f t="shared" ca="1" si="34"/>
        <v>50.769230769230766</v>
      </c>
      <c r="P61" s="3">
        <v>4</v>
      </c>
      <c r="Q61" s="3">
        <f t="array" aca="1" ref="Q61" ca="1">MEDIAN(_xlfn.IFS($B$22:$B$28=OFFSET($B$31,MATCH($Q$38,$A$32:$A$34,0),),TRANSPOSE(OFFSET($B$1:$H$1,MATCH(Q$21,$H$21:$I$21,0),)),TRUE,""))
*OFFSET($A$13,$G61,$D$12)/OFFSET($A$18,,$D$12)
*OFFSET($G$13,MATCH($P$56,$G$14:$G$18,0),MATCH(Q$21,$H$21:$N$21,0))
*OFFSET($O$13,MATCH($P$56,$G$14:$G$18,0),MATCH(Q$21,$H$21:$N$21,0))
/SUMIFS(OFFSET($O$14:$O$18,,MATCH(Q$21,$H$21:$N$21,0)),OFFSET($G$14:$G$18,,MATCH(Q$21,$H$21:$N$21,0)),1)</f>
        <v>9.3168414334818941</v>
      </c>
      <c r="R61" s="3">
        <f t="array" aca="1" ref="R61" ca="1">MEDIAN(_xlfn.IFS($B$22:$B$28=OFFSET($B$31,MATCH($Q$38,$A$32:$A$34,0),),TRANSPOSE(OFFSET($B$1:$H$1,MATCH(R$21,$H$21:$I$21,0),)),TRUE,""))
*OFFSET($A$13,$G61,$D$12)/OFFSET($A$18,,$D$12)
*OFFSET($G$13,MATCH($P$56,$G$14:$G$18,0),MATCH(R$21,$H$21:$N$21,0))
*OFFSET($O$13,MATCH($P$56,$G$14:$G$18,0),MATCH(R$21,$H$21:$N$21,0))
/SUMIFS(OFFSET($O$14:$O$18,,MATCH(R$21,$H$21:$N$21,0)),OFFSET($G$14:$G$18,,MATCH(R$21,$H$21:$N$21,0)),1)
*_xlfn.IFS(I$21="生命",SUMIFS(模型构建!$B$8:$B$14,模型构建!$C$8:$C$14,1),TRUE,1)
*模型构建!$L$1</f>
        <v>1407.1544833178868</v>
      </c>
      <c r="S61" s="3">
        <f t="shared" ca="1" si="39"/>
        <v>56.25</v>
      </c>
      <c r="T61" s="3">
        <f t="array" aca="1" ref="T61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*OFFSET($A$13,$G61,$D$12)/OFFSET($A$18,,$D$12)
*OFFSET($G$13,MATCH($P$56,$G$14:$G$18,0),MATCH(T$21,$H$21:$N$21,0))
*OFFSET($O$13,MATCH($P$56,$G$14:$G$18,0),MATCH(T$21,$H$21:$N$21,0))
/SUMIFS(OFFSET($O$14:$O$18,,MATCH(T$21,$H$21:$N$21,0)),OFFSET($G$14:$G$18,,MATCH(T$21,$H$21:$N$21,0)),1)</f>
        <v>0</v>
      </c>
      <c r="U61" s="3">
        <f t="shared" ca="1" si="40"/>
        <v>103.125</v>
      </c>
      <c r="V61" s="3">
        <f t="shared" ca="1" si="35"/>
        <v>110</v>
      </c>
      <c r="W61" s="3">
        <f t="shared" ca="1" si="35"/>
        <v>50.769230769230766</v>
      </c>
      <c r="Y61" s="3">
        <v>4</v>
      </c>
      <c r="Z61" s="3">
        <f t="array" aca="1" ref="Z61" ca="1">MEDIAN(_xlfn.IFS($B$22:$B$28=OFFSET($B$31,MATCH($Z$29,$A$32:$A$34,0),),TRANSPOSE(OFFSET($B$1:$H$1,MATCH(Z$21,$H$21:$I$21,0),)),TRUE,""))
*OFFSET($A$13,$G61,$D$12)/OFFSET($A$18,,$D$12)
*OFFSET($G$13,MATCH($Y$56,$G$14:$G$18,0),MATCH(Z$21,$H$21:$N$21,0))
*OFFSET($O$13,MATCH($Y$56,$G$14:$G$18,0),MATCH(Z$21,$H$21:$N$21,0))
/SUMIFS(OFFSET($O$14:$O$18,,MATCH(Z$21,$H$21:$N$21,0)),OFFSET($G$14:$G$18,,MATCH(Z$21,$H$21:$N$21,0)),1)</f>
        <v>10.411882277930784</v>
      </c>
      <c r="AA61" s="3">
        <f t="array" aca="1" ref="AA61" ca="1">MEDIAN(_xlfn.IFS($B$22:$B$28=OFFSET($B$31,MATCH($Z$29,$A$32:$A$34,0),),TRANSPOSE(OFFSET($B$1:$H$1,MATCH(AA$21,$H$21:$I$21,0),)),TRUE,""))
*OFFSET($A$13,$G61,$D$12)/OFFSET($A$18,,$D$12)
*OFFSET($G$13,MATCH($Y$56,$G$14:$G$18,0),MATCH(AA$21,$H$21:$N$21,0))
*OFFSET($O$13,MATCH($Y$56,$G$14:$G$18,0),MATCH(AA$21,$H$21:$N$21,0))
/SUMIFS(OFFSET($O$14:$O$18,,MATCH(AA$21,$H$21:$N$21,0)),OFFSET($G$14:$G$18,,MATCH(AA$21,$H$21:$N$21,0)),1)
*_xlfn.IFS(I$21="生命",SUMIFS(模型构建!$B$8:$B$14,模型构建!$C$8:$C$14,1),TRUE,1)
*模型构建!$L$1</f>
        <v>2684.5039330398513</v>
      </c>
      <c r="AB61" s="3">
        <f t="shared" ca="1" si="41"/>
        <v>56.25</v>
      </c>
      <c r="AC61" s="3">
        <f t="array" aca="1" ref="AC61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*OFFSET($A$13,$G61,$D$12)/OFFSET($A$18,,$D$12)
*OFFSET($G$13,MATCH($Y$56,$G$14:$G$18,0),MATCH(AC$21,$H$21:$N$21,0))
*OFFSET($O$13,MATCH($Y$56,$G$14:$G$18,0),MATCH(AC$21,$H$21:$N$21,0))
/SUMIFS(OFFSET($O$14:$O$18,,MATCH(AC$21,$H$21:$N$21,0)),OFFSET($G$14:$G$18,,MATCH(AC$21,$H$21:$N$21,0)),1)</f>
        <v>0</v>
      </c>
      <c r="AD61" s="3">
        <f t="shared" ca="1" si="42"/>
        <v>103.125</v>
      </c>
      <c r="AE61" s="3">
        <f t="shared" ca="1" si="36"/>
        <v>110</v>
      </c>
      <c r="AF61" s="3">
        <f t="shared" ca="1" si="36"/>
        <v>50.769230769230766</v>
      </c>
    </row>
    <row r="62" spans="1:32">
      <c r="G62" s="3">
        <v>5</v>
      </c>
      <c r="H62" s="3">
        <f t="array" aca="1" ref="H62" ca="1">MEDIAN(_xlfn.IFS($B$22:$B$28=OFFSET($B$31,MATCH($H$38,$A$32:$A$34,0),),TRANSPOSE(OFFSET($B$1:$H$1,MATCH(H$21,$H$21:$I$21,0),)),TRUE,""))
*OFFSET($A$13,$G62,$D$12)/OFFSET($A$18,,$D$12)
*OFFSET($G$13,MATCH($G$56,$G$14:$G$18,0),MATCH(H$21,$H$21:$N$21,0))
*OFFSET($O$13,MATCH($G$56,$G$14:$G$18,0),MATCH(H$21,$H$21:$N$21,0))
/SUMIFS(OFFSET($O$14:$O$18,,MATCH(H$21,$H$21:$N$21,0)),OFFSET($G$14:$G$18,,MATCH(H$21,$H$21:$N$21,0)),1)</f>
        <v>12.960829493087559</v>
      </c>
      <c r="I62" s="3">
        <f t="array" aca="1" ref="I62" ca="1">MEDIAN(_xlfn.IFS($B$22:$B$28=OFFSET($B$31,MATCH($H$38,$A$32:$A$34,0),),TRANSPOSE(OFFSET($B$1:$H$1,MATCH(I$21,$H$21:$I$21,0),)),TRUE,""))
*OFFSET($A$13,$G62,$D$12)/OFFSET($A$18,,$D$12)
*OFFSET($G$13,MATCH($G$56,$G$14:$G$18,0),MATCH(I$21,$H$21:$N$21,0))
*OFFSET($O$13,MATCH($G$56,$G$14:$G$18,0),MATCH(I$21,$H$21:$N$21,0))
/SUMIFS(OFFSET($O$14:$O$18,,MATCH(I$21,$H$21:$N$21,0)),OFFSET($G$14:$G$18,,MATCH(I$21,$H$21:$N$21,0)),1)
*_xlfn.IFS(I$21="生命",SUMIFS(模型构建!$B$8:$B$14,模型构建!$C$8:$C$14,1),TRUE,1)
*模型构建!$L$1</f>
        <v>645.56024096385545</v>
      </c>
      <c r="J62" s="3">
        <f t="shared" ca="1" si="37"/>
        <v>61.363636363636367</v>
      </c>
      <c r="K62" s="3">
        <f t="array" aca="1" ref="K62" ca="1">MEDIAN(_xlfn.IFS(模型构建!$P$20:$P$25=SUMIFS($B$32:$B$34,$A$32:$A$34,$H$38),模型构建!$C$52:$C$57,TRUE,""))/其他属性!$D$3
*OFFSET($A$4,MATCH(K$21,$J$21:$N$21,0),MATCH(OFFSET($A$21,MATCH(SUMIFS($B$32:$B$34,$A$32:$A$34,$H$38),$B$22:$B$28,0),),$B$1:$H$1,0))
*OFFSET($A$13,$G62,$D$12)/OFFSET($A$18,,$D$12)
*OFFSET($G$13,MATCH($G$56,$G$14:$G$18,0),MATCH(K$21,$H$21:$N$21,0))
*OFFSET($O$13,MATCH($G$56,$G$14:$G$18,0),MATCH(K$21,$H$21:$N$21,0))
/SUMIFS(OFFSET($O$14:$O$18,,MATCH(K$21,$H$21:$N$21,0)),OFFSET($G$14:$G$18,,MATCH(K$21,$H$21:$N$21,0)),1)</f>
        <v>0</v>
      </c>
      <c r="L62" s="3">
        <f t="shared" ca="1" si="38"/>
        <v>112.5</v>
      </c>
      <c r="M62" s="3">
        <f t="shared" ca="1" si="34"/>
        <v>120</v>
      </c>
      <c r="N62" s="3">
        <f t="shared" ca="1" si="34"/>
        <v>55.384615384615387</v>
      </c>
      <c r="P62" s="3">
        <v>5</v>
      </c>
      <c r="Q62" s="3">
        <f t="array" aca="1" ref="Q62" ca="1">MEDIAN(_xlfn.IFS($B$22:$B$28=OFFSET($B$31,MATCH($Q$38,$A$32:$A$34,0),),TRANSPOSE(OFFSET($B$1:$H$1,MATCH(Q$21,$H$21:$I$21,0),)),TRUE,""))
*OFFSET($A$13,$G62,$D$12)/OFFSET($A$18,,$D$12)
*OFFSET($G$13,MATCH($P$56,$G$14:$G$18,0),MATCH(Q$21,$H$21:$N$21,0))
*OFFSET($O$13,MATCH($P$56,$G$14:$G$18,0),MATCH(Q$21,$H$21:$N$21,0))
/SUMIFS(OFFSET($O$14:$O$18,,MATCH(Q$21,$H$21:$N$21,0)),OFFSET($G$14:$G$18,,MATCH(Q$21,$H$21:$N$21,0)),1)</f>
        <v>10.163827018343884</v>
      </c>
      <c r="R62" s="3">
        <f t="array" aca="1" ref="R62" ca="1">MEDIAN(_xlfn.IFS($B$22:$B$28=OFFSET($B$31,MATCH($Q$38,$A$32:$A$34,0),),TRANSPOSE(OFFSET($B$1:$H$1,MATCH(R$21,$H$21:$I$21,0),)),TRUE,""))
*OFFSET($A$13,$G62,$D$12)/OFFSET($A$18,,$D$12)
*OFFSET($G$13,MATCH($P$56,$G$14:$G$18,0),MATCH(R$21,$H$21:$N$21,0))
*OFFSET($O$13,MATCH($P$56,$G$14:$G$18,0),MATCH(R$21,$H$21:$N$21,0))
/SUMIFS(OFFSET($O$14:$O$18,,MATCH(R$21,$H$21:$N$21,0)),OFFSET($G$14:$G$18,,MATCH(R$21,$H$21:$N$21,0)),1)
*_xlfn.IFS(I$21="生命",SUMIFS(模型构建!$B$8:$B$14,模型构建!$C$8:$C$14,1),TRUE,1)
*模型构建!$L$1</f>
        <v>1535.0776181649678</v>
      </c>
      <c r="S62" s="3">
        <f t="shared" ca="1" si="39"/>
        <v>61.363636363636367</v>
      </c>
      <c r="T62" s="3">
        <f t="array" aca="1" ref="T62" ca="1">MEDIAN(_xlfn.IFS(模型构建!$P$20:$P$25=SUMIFS($B$32:$B$34,$A$32:$A$34,$Q$29),模型构建!$C$52:$C$57,TRUE,""))/其他属性!$D$3
*OFFSET($A$4,MATCH(T$21,$J$21:$N$21,0),MATCH(OFFSET($A$21,MATCH(SUMIFS($B$32:$B$34,$A$32:$A$34,$Q$29),$B$22:$B$28,0),),$B$1:$H$1,0))
*OFFSET($A$13,$G62,$D$12)/OFFSET($A$18,,$D$12)
*OFFSET($G$13,MATCH($P$56,$G$14:$G$18,0),MATCH(T$21,$H$21:$N$21,0))
*OFFSET($O$13,MATCH($P$56,$G$14:$G$18,0),MATCH(T$21,$H$21:$N$21,0))
/SUMIFS(OFFSET($O$14:$O$18,,MATCH(T$21,$H$21:$N$21,0)),OFFSET($G$14:$G$18,,MATCH(T$21,$H$21:$N$21,0)),1)</f>
        <v>0</v>
      </c>
      <c r="U62" s="3">
        <f t="shared" ca="1" si="40"/>
        <v>112.5</v>
      </c>
      <c r="V62" s="3">
        <f t="shared" ca="1" si="35"/>
        <v>120</v>
      </c>
      <c r="W62" s="3">
        <f t="shared" ca="1" si="35"/>
        <v>55.384615384615387</v>
      </c>
      <c r="Y62" s="3">
        <v>5</v>
      </c>
      <c r="Z62" s="3">
        <f t="array" aca="1" ref="Z62" ca="1">MEDIAN(_xlfn.IFS($B$22:$B$28=OFFSET($B$31,MATCH($Z$29,$A$32:$A$34,0),),TRANSPOSE(OFFSET($B$1:$H$1,MATCH(Z$21,$H$21:$I$21,0),)),TRUE,""))
*OFFSET($A$13,$G62,$D$12)/OFFSET($A$18,,$D$12)
*OFFSET($G$13,MATCH($Y$56,$G$14:$G$18,0),MATCH(Z$21,$H$21:$N$21,0))
*OFFSET($O$13,MATCH($Y$56,$G$14:$G$18,0),MATCH(Z$21,$H$21:$N$21,0))
/SUMIFS(OFFSET($O$14:$O$18,,MATCH(Z$21,$H$21:$N$21,0)),OFFSET($G$14:$G$18,,MATCH(Z$21,$H$21:$N$21,0)),1)</f>
        <v>11.358417030469946</v>
      </c>
      <c r="AA62" s="3">
        <f t="array" aca="1" ref="AA62" ca="1">MEDIAN(_xlfn.IFS($B$22:$B$28=OFFSET($B$31,MATCH($Z$29,$A$32:$A$34,0),),TRANSPOSE(OFFSET($B$1:$H$1,MATCH(AA$21,$H$21:$I$21,0),)),TRUE,""))
*OFFSET($A$13,$G62,$D$12)/OFFSET($A$18,,$D$12)
*OFFSET($G$13,MATCH($Y$56,$G$14:$G$18,0),MATCH(AA$21,$H$21:$N$21,0))
*OFFSET($O$13,MATCH($Y$56,$G$14:$G$18,0),MATCH(AA$21,$H$21:$N$21,0))
/SUMIFS(OFFSET($O$14:$O$18,,MATCH(AA$21,$H$21:$N$21,0)),OFFSET($G$14:$G$18,,MATCH(AA$21,$H$21:$N$21,0)),1)
*_xlfn.IFS(I$21="生命",SUMIFS(模型构建!$B$8:$B$14,模型构建!$C$8:$C$14,1),TRUE,1)
*模型构建!$L$1</f>
        <v>2928.549745134384</v>
      </c>
      <c r="AB62" s="3">
        <f t="shared" ca="1" si="41"/>
        <v>61.363636363636367</v>
      </c>
      <c r="AC62" s="3">
        <f t="array" aca="1" ref="AC62" ca="1">MEDIAN(_xlfn.IFS(模型构建!$P$20:$P$25=SUMIFS($B$32:$B$34,$A$32:$A$34,$Z$29),模型构建!$C$52:$C$57,TRUE,""))/其他属性!$D$3
*OFFSET($A$4,MATCH(AC$21,$J$21:$N$21,0),MATCH(OFFSET($A$21,MATCH(SUMIFS($B$32:$B$34,$A$32:$A$34,$Z$29),$B$22:$B$28,0),),$B$1:$H$1,0))
*OFFSET($A$13,$G62,$D$12)/OFFSET($A$18,,$D$12)
*OFFSET($G$13,MATCH($Y$56,$G$14:$G$18,0),MATCH(AC$21,$H$21:$N$21,0))
*OFFSET($O$13,MATCH($Y$56,$G$14:$G$18,0),MATCH(AC$21,$H$21:$N$21,0))
/SUMIFS(OFFSET($O$14:$O$18,,MATCH(AC$21,$H$21:$N$21,0)),OFFSET($G$14:$G$18,,MATCH(AC$21,$H$21:$N$21,0)),1)</f>
        <v>0</v>
      </c>
      <c r="AD62" s="3">
        <f t="shared" ca="1" si="42"/>
        <v>112.5</v>
      </c>
      <c r="AE62" s="3">
        <f t="shared" ca="1" si="36"/>
        <v>120</v>
      </c>
      <c r="AF62" s="3">
        <f t="shared" ca="1" si="36"/>
        <v>55.384615384615387</v>
      </c>
    </row>
  </sheetData>
  <phoneticPr fontId="10" type="noConversion"/>
  <conditionalFormatting sqref="B2:H9">
    <cfRule type="cellIs" dxfId="17" priority="17" operator="equal">
      <formula>0</formula>
    </cfRule>
  </conditionalFormatting>
  <conditionalFormatting sqref="H22:N26">
    <cfRule type="cellIs" dxfId="16" priority="16" operator="equal">
      <formula>0</formula>
    </cfRule>
  </conditionalFormatting>
  <conditionalFormatting sqref="H31:N35">
    <cfRule type="cellIs" dxfId="15" priority="12" operator="equal">
      <formula>0</formula>
    </cfRule>
  </conditionalFormatting>
  <conditionalFormatting sqref="H40:N44">
    <cfRule type="cellIs" dxfId="14" priority="9" operator="equal">
      <formula>0</formula>
    </cfRule>
  </conditionalFormatting>
  <conditionalFormatting sqref="H49:N53">
    <cfRule type="cellIs" dxfId="13" priority="6" operator="equal">
      <formula>0</formula>
    </cfRule>
  </conditionalFormatting>
  <conditionalFormatting sqref="H58:N62">
    <cfRule type="cellIs" dxfId="12" priority="3" operator="equal">
      <formula>0</formula>
    </cfRule>
  </conditionalFormatting>
  <conditionalFormatting sqref="P14:V18">
    <cfRule type="expression" dxfId="11" priority="21">
      <formula>NOT(AND(H14&lt;&gt;"",P14&lt;&gt;""))</formula>
    </cfRule>
  </conditionalFormatting>
  <conditionalFormatting sqref="Q22:W26">
    <cfRule type="cellIs" dxfId="10" priority="15" operator="equal">
      <formula>0</formula>
    </cfRule>
  </conditionalFormatting>
  <conditionalFormatting sqref="Q31:W35">
    <cfRule type="cellIs" dxfId="9" priority="11" operator="equal">
      <formula>0</formula>
    </cfRule>
  </conditionalFormatting>
  <conditionalFormatting sqref="Q40:W44">
    <cfRule type="cellIs" dxfId="8" priority="8" operator="equal">
      <formula>0</formula>
    </cfRule>
  </conditionalFormatting>
  <conditionalFormatting sqref="Q49:W53">
    <cfRule type="cellIs" dxfId="7" priority="5" operator="equal">
      <formula>0</formula>
    </cfRule>
  </conditionalFormatting>
  <conditionalFormatting sqref="Q58:W62">
    <cfRule type="cellIs" dxfId="6" priority="2" operator="equal">
      <formula>0</formula>
    </cfRule>
  </conditionalFormatting>
  <conditionalFormatting sqref="Z22:AF26">
    <cfRule type="cellIs" dxfId="5" priority="14" operator="equal">
      <formula>0</formula>
    </cfRule>
  </conditionalFormatting>
  <conditionalFormatting sqref="Z31:AF35">
    <cfRule type="cellIs" dxfId="4" priority="10" operator="equal">
      <formula>0</formula>
    </cfRule>
  </conditionalFormatting>
  <conditionalFormatting sqref="Z40:AF44">
    <cfRule type="cellIs" dxfId="3" priority="7" operator="equal">
      <formula>0</formula>
    </cfRule>
  </conditionalFormatting>
  <conditionalFormatting sqref="Z49:AF53">
    <cfRule type="cellIs" dxfId="2" priority="4" operator="equal">
      <formula>0</formula>
    </cfRule>
  </conditionalFormatting>
  <conditionalFormatting sqref="Z58:AF62">
    <cfRule type="cellIs" dxfId="1" priority="1" operator="equal">
      <formula>0</formula>
    </cfRule>
  </conditionalFormatting>
  <conditionalFormatting sqref="AI22:AO26">
    <cfRule type="cellIs" dxfId="0" priority="13" operator="equal">
      <formula>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C67D-19B1-476D-A8BD-0231AC18F320}">
  <dimension ref="A1:AG37"/>
  <sheetViews>
    <sheetView zoomScaleNormal="100" workbookViewId="0">
      <selection activeCell="Q6" sqref="Q6"/>
    </sheetView>
  </sheetViews>
  <sheetFormatPr defaultRowHeight="16.5"/>
  <cols>
    <col min="1" max="1" width="12.25" style="3" bestFit="1" customWidth="1"/>
    <col min="2" max="4" width="9" style="3"/>
    <col min="5" max="5" width="12.25" style="3" customWidth="1"/>
    <col min="6" max="6" width="15.875" style="3" customWidth="1"/>
    <col min="7" max="7" width="9.625" style="3" customWidth="1"/>
    <col min="8" max="8" width="9" style="3" customWidth="1"/>
    <col min="9" max="10" width="9.625" style="3" customWidth="1"/>
    <col min="11" max="11" width="9" style="3" customWidth="1"/>
    <col min="12" max="31" width="9" style="3"/>
    <col min="32" max="32" width="9" style="14"/>
    <col min="33" max="16384" width="9" style="3"/>
  </cols>
  <sheetData>
    <row r="1" spans="1:33">
      <c r="A1" s="6" t="s">
        <v>134</v>
      </c>
      <c r="B1" s="4">
        <f>模型构建!$L$1</f>
        <v>3</v>
      </c>
      <c r="C1" s="1"/>
    </row>
    <row r="5" spans="1:33">
      <c r="A5" s="5" t="s">
        <v>13</v>
      </c>
      <c r="B5" s="5" t="s">
        <v>142</v>
      </c>
      <c r="E5" s="5" t="s">
        <v>13</v>
      </c>
      <c r="F5" s="5" t="s">
        <v>131</v>
      </c>
      <c r="G5" s="5" t="s">
        <v>39</v>
      </c>
      <c r="H5" s="5" t="s">
        <v>195</v>
      </c>
      <c r="I5" s="5" t="s">
        <v>139</v>
      </c>
      <c r="J5" s="26" t="s">
        <v>137</v>
      </c>
      <c r="K5" s="5" t="s">
        <v>142</v>
      </c>
      <c r="L5" s="28" t="s">
        <v>128</v>
      </c>
      <c r="M5" s="28" t="s">
        <v>143</v>
      </c>
      <c r="N5" s="28" t="s">
        <v>129</v>
      </c>
      <c r="O5" s="28" t="s">
        <v>130</v>
      </c>
      <c r="P5" s="27" t="s">
        <v>145</v>
      </c>
      <c r="Q5" s="27" t="s">
        <v>45</v>
      </c>
      <c r="R5" s="5" t="s">
        <v>132</v>
      </c>
    </row>
    <row r="6" spans="1:33">
      <c r="A6" s="1" t="s">
        <v>14</v>
      </c>
      <c r="B6" s="3">
        <v>0.5</v>
      </c>
      <c r="E6" s="3" t="s">
        <v>64</v>
      </c>
      <c r="F6" s="23" t="s">
        <v>133</v>
      </c>
      <c r="G6" s="23">
        <f ca="1">OFFSET(模型构建!$B$18,MATCH($E6,模型构建!$A$19:$A$25,0),)</f>
        <v>0</v>
      </c>
      <c r="H6" s="23">
        <v>1</v>
      </c>
      <c r="I6" s="3">
        <f t="shared" ref="I6:I26" si="0">_xlfn.IFS($L6=0,1,TRUE,0)</f>
        <v>1</v>
      </c>
      <c r="K6" s="3">
        <f t="shared" ref="K6:K26" ca="1" si="1">OFFSET($B$5,MATCH($E6,$A$6:$A$12,0),)</f>
        <v>0.5</v>
      </c>
      <c r="M6" s="3">
        <v>3</v>
      </c>
      <c r="P6" s="3" t="str">
        <f t="shared" ref="P6:P26" ca="1" si="2">_xlfn.IFS($O6&gt;0,ROUND($Q6/($N6/$O6),1),TRUE,"")</f>
        <v/>
      </c>
      <c r="Q6" s="3">
        <f ca="1">ROUND( ($B$1-_xlfn.IFS(OR($I6=0,_xlfn.IFS($H6="",$G6,TRUE,$H6)=1),0,TRUE,1) )/_xlfn.IFS($I6=0,1,TRUE,1+COUNTIFS($E$6:$E$9996,$E6,$I$6:$I$9996,1))
*(MAX($L6:$N6))*_xlfn.IFS($N6&gt;$M6,MIN($M6:$N6)/MAX($M6:$N6),TRUE,1)*100/_xlfn.IFS($J6="",1,TRUE,$J6)
/((_xlfn.IFS($I6=0,1,TRUE,1+COUNTIFS($E$6:$E$9996,$E6,$I$6:$I$9996,1)))
/($K6*(_xlfn.IFS($I6=0,1,TRUE,1+COUNTIFS($E$6:$E$9996,$E6,$I$6:$I$9996,1))-1)+_xlfn.IFS($I6=0,1,TRUE,1+COUNTIFS($E$6:$E$9996,$E6,$I$6:$I$9996,1)))),1)</f>
        <v>309.39999999999998</v>
      </c>
      <c r="R6" s="14" t="str">
        <f ca="1">REPLACEB(AF6,SEARCHB("?",AF6),2*LEN(AF6)-LENB(AF6),_xlfn.IFS($P6="", $Q6,TRUE,$P6)&amp;$Q$5)</f>
        <v>重殴目标，造成309.4%武器伤害</v>
      </c>
      <c r="Z6" s="14"/>
      <c r="AB6" s="14"/>
      <c r="AC6" s="14"/>
      <c r="AF6" s="24" t="s">
        <v>135</v>
      </c>
      <c r="AG6" s="14"/>
    </row>
    <row r="7" spans="1:33">
      <c r="A7" s="1" t="s">
        <v>16</v>
      </c>
      <c r="B7" s="3">
        <f>$B$6</f>
        <v>0.5</v>
      </c>
      <c r="E7" s="23" t="s">
        <v>64</v>
      </c>
      <c r="F7" s="23" t="s">
        <v>136</v>
      </c>
      <c r="G7" s="23">
        <f ca="1">OFFSET(模型构建!$B$18,MATCH($E7,模型构建!$A$19:$A$25,0),)</f>
        <v>0</v>
      </c>
      <c r="H7" s="23"/>
      <c r="I7" s="3">
        <f t="shared" si="0"/>
        <v>1</v>
      </c>
      <c r="J7" s="3">
        <v>3</v>
      </c>
      <c r="K7" s="3">
        <f t="shared" ca="1" si="1"/>
        <v>0.5</v>
      </c>
      <c r="M7" s="3">
        <v>6</v>
      </c>
      <c r="P7" s="3" t="str">
        <f t="shared" ca="1" si="2"/>
        <v/>
      </c>
      <c r="Q7" s="3">
        <f ca="1">ROUND( ($B$1-_xlfn.IFS(OR($I7=0,_xlfn.IFS($H7="",$G7,TRUE,$H7)=1),0,TRUE,1) )/_xlfn.IFS($I7=0,1,TRUE,1+COUNTIFS($E$6:$E$9996,$E7,$I$6:$I$9996,1))
*(MAX($L7:$N7))*_xlfn.IFS($N7&gt;$M7,MIN($M7:$N7)/MAX($M7:$N7),TRUE,1)*100/_xlfn.IFS($J7="",1,TRUE,$J7)
/((_xlfn.IFS($I7=0,1,TRUE,1+COUNTIFS($E$6:$E$9996,$E7,$I$6:$I$9996,1)))
/($K7*(_xlfn.IFS($I7=0,1,TRUE,1+COUNTIFS($E$6:$E$9996,$E7,$I$6:$I$9996,1))-1)+_xlfn.IFS($I7=0,1,TRUE,1+COUNTIFS($E$6:$E$9996,$E7,$I$6:$I$9996,1)))),1)</f>
        <v>137.5</v>
      </c>
      <c r="R7" s="14" t="str">
        <f t="shared" ref="R7:R8" ca="1" si="3">REPLACEB(AF7,SEARCHB("?",AF7),2*LEN(AF7)-LENB(AF7),_xlfn.IFS($P7="", $Q7,TRUE,$P7)&amp;$Q$5)</f>
        <v>痛击前方所有敌人，造成137.5%攻击强度的伤害</v>
      </c>
      <c r="X7" s="24"/>
      <c r="Z7" s="14"/>
      <c r="AB7" s="14"/>
      <c r="AC7" s="14"/>
      <c r="AF7" s="24" t="s">
        <v>138</v>
      </c>
    </row>
    <row r="8" spans="1:33">
      <c r="A8" s="1" t="s">
        <v>17</v>
      </c>
      <c r="B8" s="3">
        <f>$B$6</f>
        <v>0.5</v>
      </c>
      <c r="E8" s="23" t="s">
        <v>64</v>
      </c>
      <c r="F8" s="23" t="s">
        <v>144</v>
      </c>
      <c r="G8" s="23">
        <f ca="1">OFFSET(模型构建!$B$18,MATCH($E8,模型构建!$A$19:$A$25,0),)</f>
        <v>0</v>
      </c>
      <c r="H8" s="23"/>
      <c r="I8" s="3">
        <f t="shared" si="0"/>
        <v>1</v>
      </c>
      <c r="J8" s="3">
        <f>J7</f>
        <v>3</v>
      </c>
      <c r="K8" s="3">
        <f t="shared" ca="1" si="1"/>
        <v>0.5</v>
      </c>
      <c r="M8" s="3">
        <f>M7</f>
        <v>6</v>
      </c>
      <c r="N8" s="3">
        <v>4</v>
      </c>
      <c r="O8" s="3">
        <v>1</v>
      </c>
      <c r="P8" s="3">
        <f t="shared" ca="1" si="2"/>
        <v>34.4</v>
      </c>
      <c r="Q8" s="3">
        <f ca="1">ROUND( ($B$1-_xlfn.IFS(OR($I8=0,_xlfn.IFS($H8="",$G8,TRUE,$H8)=1),0,TRUE,1) )/_xlfn.IFS($I8=0,1,TRUE,1+COUNTIFS($E$6:$E$9996,$E8,$I$6:$I$9996,1))
*(MAX($L8:$N8))*_xlfn.IFS($N8&gt;$M8,MIN($M8:$N8)/MAX($M8:$N8),TRUE,1)*100/_xlfn.IFS($J8="",1,TRUE,$J8)
/((_xlfn.IFS($I8=0,1,TRUE,1+COUNTIFS($E$6:$E$9996,$E8,$I$6:$I$9996,1)))
/($K8*(_xlfn.IFS($I8=0,1,TRUE,1+COUNTIFS($E$6:$E$9996,$E8,$I$6:$I$9996,1))-1)+_xlfn.IFS($I8=0,1,TRUE,1+COUNTIFS($E$6:$E$9996,$E8,$I$6:$I$9996,1)))),1)</f>
        <v>137.5</v>
      </c>
      <c r="R8" s="14" t="str">
        <f t="shared" ca="1" si="3"/>
        <v>痛击前方所有敌人使其流血，周期性的造成34.4%攻击强度的流血伤害</v>
      </c>
      <c r="X8" s="24"/>
      <c r="Z8" s="14"/>
      <c r="AB8" s="14"/>
      <c r="AC8" s="14"/>
      <c r="AF8" s="24" t="s">
        <v>156</v>
      </c>
    </row>
    <row r="9" spans="1:33">
      <c r="A9" s="1" t="s">
        <v>15</v>
      </c>
      <c r="B9" s="3">
        <f>$B$6</f>
        <v>0.5</v>
      </c>
      <c r="E9" s="23" t="s">
        <v>65</v>
      </c>
      <c r="F9" s="23" t="s">
        <v>147</v>
      </c>
      <c r="G9" s="23">
        <f ca="1">OFFSET(模型构建!$B$18,MATCH($E9,模型构建!$A$19:$A$25,0),)</f>
        <v>0</v>
      </c>
      <c r="H9" s="23"/>
      <c r="I9" s="3">
        <f t="shared" si="0"/>
        <v>1</v>
      </c>
      <c r="J9" s="3">
        <v>3</v>
      </c>
      <c r="K9" s="3">
        <f t="shared" ca="1" si="1"/>
        <v>0.5</v>
      </c>
      <c r="M9" s="3">
        <v>2</v>
      </c>
      <c r="P9" s="3" t="str">
        <f t="shared" ca="1" si="2"/>
        <v/>
      </c>
      <c r="Q9" s="3">
        <f ca="1">ROUND( ($B$1-_xlfn.IFS(OR($I9=0,_xlfn.IFS($H9="",$G9,TRUE,$H9)=1),0,TRUE,1) )/_xlfn.IFS($I9=0,1,TRUE,1+COUNTIFS($E$6:$E$9996,$E9,$I$6:$I$9996,1))
*(MAX($L9:$N9))*_xlfn.IFS($N9&gt;$M9,MIN($M9:$N9)/MAX($M9:$N9),TRUE,1)*100/_xlfn.IFS($J9="",1,TRUE,$J9)
/((_xlfn.IFS($I9=0,1,TRUE,1+COUNTIFS($E$6:$E$9996,$E9,$I$6:$I$9996,1)))
/($K9*(_xlfn.IFS($I9=0,1,TRUE,1+COUNTIFS($E$6:$E$9996,$E9,$I$6:$I$9996,1))-1)+_xlfn.IFS($I9=0,1,TRUE,1+COUNTIFS($E$6:$E$9996,$E9,$I$6:$I$9996,1)))),1)</f>
        <v>45.8</v>
      </c>
      <c r="R9" s="14" t="str">
        <f t="shared" ref="R9:R11" ca="1" si="4">REPLACEB(AF9,SEARCHB("?",AF9),2*LEN(AF9)-LENB(AF9),_xlfn.IFS($P9="", $Q9,TRUE,$P9)&amp;$Q$5)</f>
        <v>横扫前方所有敌人（至多５个），造成45.8%武器伤害</v>
      </c>
      <c r="AF9" s="24" t="s">
        <v>152</v>
      </c>
    </row>
    <row r="10" spans="1:33">
      <c r="A10" s="1" t="s">
        <v>18</v>
      </c>
      <c r="B10" s="3">
        <v>1</v>
      </c>
      <c r="E10" s="3" t="s">
        <v>65</v>
      </c>
      <c r="F10" s="23" t="s">
        <v>148</v>
      </c>
      <c r="G10" s="23">
        <f ca="1">OFFSET(模型构建!$B$18,MATCH($E10,模型构建!$A$19:$A$25,0),)</f>
        <v>0</v>
      </c>
      <c r="H10" s="23">
        <v>1</v>
      </c>
      <c r="I10" s="3">
        <f t="shared" si="0"/>
        <v>1</v>
      </c>
      <c r="K10" s="3">
        <f t="shared" ca="1" si="1"/>
        <v>0.5</v>
      </c>
      <c r="M10" s="3">
        <v>4</v>
      </c>
      <c r="P10" s="3" t="str">
        <f t="shared" ca="1" si="2"/>
        <v/>
      </c>
      <c r="Q10" s="3">
        <f ca="1">ROUND( ($B$1-_xlfn.IFS(OR($I10=0,_xlfn.IFS($H10="",$G10,TRUE,$H10)=1),0,TRUE,1) )/_xlfn.IFS($I10=0,1,TRUE,1+COUNTIFS($E$6:$E$9996,$E10,$I$6:$I$9996,1))
*(MAX($L10:$N10))*_xlfn.IFS($N10&gt;$M10,MIN($M10:$N10)/MAX($M10:$N10),TRUE,1)*100/_xlfn.IFS($J10="",1,TRUE,$J10)
/((_xlfn.IFS($I10=0,1,TRUE,1+COUNTIFS($E$6:$E$9996,$E10,$I$6:$I$9996,1)))
/($K10*(_xlfn.IFS($I10=0,1,TRUE,1+COUNTIFS($E$6:$E$9996,$E10,$I$6:$I$9996,1))-1)+_xlfn.IFS($I10=0,1,TRUE,1+COUNTIFS($E$6:$E$9996,$E10,$I$6:$I$9996,1)))),1)</f>
        <v>412.5</v>
      </c>
      <c r="R10" s="14" t="str">
        <f t="shared" ca="1" si="4"/>
        <v>猛击对手，对其造成412.5%武器伤害</v>
      </c>
      <c r="X10" s="24"/>
      <c r="AF10" s="24" t="s">
        <v>149</v>
      </c>
    </row>
    <row r="11" spans="1:33">
      <c r="A11" s="1" t="s">
        <v>19</v>
      </c>
      <c r="B11" s="3">
        <f>$B$6</f>
        <v>0.5</v>
      </c>
      <c r="E11" s="3" t="s">
        <v>65</v>
      </c>
      <c r="F11" s="23" t="s">
        <v>150</v>
      </c>
      <c r="G11" s="23">
        <f ca="1">OFFSET(模型构建!$B$18,MATCH($E11,模型构建!$A$19:$A$25,0),)</f>
        <v>0</v>
      </c>
      <c r="H11" s="23"/>
      <c r="I11" s="3">
        <f t="shared" si="0"/>
        <v>1</v>
      </c>
      <c r="J11" s="3">
        <v>6</v>
      </c>
      <c r="K11" s="3">
        <f t="shared" ca="1" si="1"/>
        <v>0.5</v>
      </c>
      <c r="M11" s="3">
        <v>15</v>
      </c>
      <c r="P11" s="3" t="str">
        <f t="shared" ca="1" si="2"/>
        <v/>
      </c>
      <c r="Q11" s="3">
        <f ca="1">ROUND( ($B$1-_xlfn.IFS(OR($I11=0,_xlfn.IFS($H11="",$G11,TRUE,$H11)=1),0,TRUE,1) )/_xlfn.IFS($I11=0,1,TRUE,1+COUNTIFS($E$6:$E$9996,$E11,$I$6:$I$9996,1))
*(MAX($L11:$N11))*_xlfn.IFS($N11&gt;$M11,MIN($M11:$N11)/MAX($M11:$N11),TRUE,1)*100/_xlfn.IFS($J11="",1,TRUE,$J11)
/((_xlfn.IFS($I11=0,1,TRUE,1+COUNTIFS($E$6:$E$9996,$E11,$I$6:$I$9996,1)))
/($K11*(_xlfn.IFS($I11=0,1,TRUE,1+COUNTIFS($E$6:$E$9996,$E11,$I$6:$I$9996,1))-1)+_xlfn.IFS($I11=0,1,TRUE,1+COUNTIFS($E$6:$E$9996,$E11,$I$6:$I$9996,1)))),1)</f>
        <v>171.9</v>
      </c>
      <c r="R11" s="14" t="str">
        <f t="shared" ca="1" si="4"/>
        <v>释放出钢铁旋风，攻击８码以内的所有敌人，造成171.9%武器伤害</v>
      </c>
      <c r="U11" s="14"/>
      <c r="AF11" s="24" t="s">
        <v>151</v>
      </c>
    </row>
    <row r="12" spans="1:33">
      <c r="A12" s="1" t="s">
        <v>20</v>
      </c>
      <c r="B12" s="3">
        <f>$B$10</f>
        <v>1</v>
      </c>
      <c r="E12" s="3" t="s">
        <v>66</v>
      </c>
      <c r="F12" s="23" t="s">
        <v>154</v>
      </c>
      <c r="G12" s="23">
        <f ca="1">OFFSET(模型构建!$B$18,MATCH($E12,模型构建!$A$19:$A$25,0),)</f>
        <v>0</v>
      </c>
      <c r="H12" s="23"/>
      <c r="I12" s="3">
        <f t="shared" si="0"/>
        <v>1</v>
      </c>
      <c r="K12" s="3">
        <f t="shared" ca="1" si="1"/>
        <v>0.5</v>
      </c>
      <c r="M12" s="3">
        <v>8</v>
      </c>
      <c r="P12" s="3" t="str">
        <f t="shared" ca="1" si="2"/>
        <v/>
      </c>
      <c r="Q12" s="3">
        <f ca="1">ROUND( ($B$1-_xlfn.IFS(OR($I12=0,_xlfn.IFS($H12="",$G12,TRUE,$H12)=1),0,TRUE,1) )/_xlfn.IFS($I12=0,1,TRUE,1+COUNTIFS($E$6:$E$9996,$E12,$I$6:$I$9996,1))
*(MAX($L12:$N12))*_xlfn.IFS($N12&gt;$M12,MIN($M12:$N12)/MAX($M12:$N12),TRUE,1)*100/_xlfn.IFS($J12="",1,TRUE,$J12)
/((_xlfn.IFS($I12=0,1,TRUE,1+COUNTIFS($E$6:$E$9996,$E12,$I$6:$I$9996,1)))
/($K12*(_xlfn.IFS($I12=0,1,TRUE,1+COUNTIFS($E$6:$E$9996,$E12,$I$6:$I$9996,1))-1)+_xlfn.IFS($I12=0,1,TRUE,1+COUNTIFS($E$6:$E$9996,$E12,$I$6:$I$9996,1)))),1)</f>
        <v>550</v>
      </c>
      <c r="R12" s="14" t="str">
        <f t="shared" ref="R12:R14" ca="1" si="5">REPLACEB(AF12,SEARCHB("?",AF12),2*LEN(AF12)-LENB(AF12),_xlfn.IFS($P12="", $Q12,TRUE,$P12)&amp;$Q$5)</f>
        <v>突刺目标，对其造成550%武器伤害。当你在目标背后时伤害提高２０％</v>
      </c>
      <c r="U12" s="14"/>
      <c r="AF12" s="24" t="s">
        <v>153</v>
      </c>
    </row>
    <row r="13" spans="1:33">
      <c r="E13" s="3" t="s">
        <v>66</v>
      </c>
      <c r="F13" s="23" t="s">
        <v>155</v>
      </c>
      <c r="G13" s="23">
        <f ca="1">OFFSET(模型构建!$B$18,MATCH($E13,模型构建!$A$19:$A$25,0),)</f>
        <v>0</v>
      </c>
      <c r="H13" s="23"/>
      <c r="I13" s="3">
        <f t="shared" si="0"/>
        <v>1</v>
      </c>
      <c r="K13" s="3">
        <f t="shared" ca="1" si="1"/>
        <v>0.5</v>
      </c>
      <c r="M13" s="3">
        <v>15</v>
      </c>
      <c r="N13" s="3">
        <v>18</v>
      </c>
      <c r="O13" s="3">
        <v>2</v>
      </c>
      <c r="P13" s="3">
        <f t="shared" ca="1" si="2"/>
        <v>114.6</v>
      </c>
      <c r="Q13" s="3">
        <f ca="1">ROUND( ($B$1-_xlfn.IFS(OR($I13=0,_xlfn.IFS($H13="",$G13,TRUE,$H13)=1),0,TRUE,1) )/_xlfn.IFS($I13=0,1,TRUE,1+COUNTIFS($E$6:$E$9996,$E13,$I$6:$I$9996,1))
*(MAX($L13:$N13))*_xlfn.IFS($N13&gt;$M13,MIN($M13:$N13)/MAX($M13:$N13),TRUE,1)*100/_xlfn.IFS($J13="",1,TRUE,$J13)
/((_xlfn.IFS($I13=0,1,TRUE,1+COUNTIFS($E$6:$E$9996,$E13,$I$6:$I$9996,1)))
/($K13*(_xlfn.IFS($I13=0,1,TRUE,1+COUNTIFS($E$6:$E$9996,$E13,$I$6:$I$9996,1))-1)+_xlfn.IFS($I13=0,1,TRUE,1+COUNTIFS($E$6:$E$9996,$E13,$I$6:$I$9996,1)))),1)</f>
        <v>1031.3</v>
      </c>
      <c r="R13" s="14" t="str">
        <f t="shared" ca="1" si="5"/>
        <v>对敌人施放锁喉，在１８秒内每周期对其造成114.6%攻击强度的流血伤害</v>
      </c>
      <c r="AF13" s="24" t="s">
        <v>166</v>
      </c>
    </row>
    <row r="14" spans="1:33">
      <c r="E14" s="3" t="s">
        <v>66</v>
      </c>
      <c r="F14" s="23" t="s">
        <v>157</v>
      </c>
      <c r="G14" s="23">
        <f ca="1">OFFSET(模型构建!$B$18,MATCH($E14,模型构建!$A$19:$A$25,0),)</f>
        <v>0</v>
      </c>
      <c r="H14" s="23"/>
      <c r="I14" s="3">
        <f t="shared" si="0"/>
        <v>1</v>
      </c>
      <c r="K14" s="3">
        <f t="shared" ca="1" si="1"/>
        <v>0.5</v>
      </c>
      <c r="M14" s="3">
        <v>1</v>
      </c>
      <c r="P14" s="3" t="str">
        <f t="shared" ca="1" si="2"/>
        <v/>
      </c>
      <c r="Q14" s="3">
        <f ca="1">ROUND( ($B$1-_xlfn.IFS(OR($I14=0,_xlfn.IFS($H14="",$G14,TRUE,$H14)=1),0,TRUE,1) )/_xlfn.IFS($I14=0,1,TRUE,1+COUNTIFS($E$6:$E$9996,$E14,$I$6:$I$9996,1))
*(MAX($L14:$N14))*_xlfn.IFS($N14&gt;$M14,MIN($M14:$N14)/MAX($M14:$N14),TRUE,1)*100/_xlfn.IFS($J14="",1,TRUE,$J14)
/((_xlfn.IFS($I14=0,1,TRUE,1+COUNTIFS($E$6:$E$9996,$E14,$I$6:$I$9996,1)))
/($K14*(_xlfn.IFS($I14=0,1,TRUE,1+COUNTIFS($E$6:$E$9996,$E14,$I$6:$I$9996,1))-1)+_xlfn.IFS($I14=0,1,TRUE,1+COUNTIFS($E$6:$E$9996,$E14,$I$6:$I$9996,1)))),1)</f>
        <v>68.8</v>
      </c>
      <c r="R14" s="14" t="str">
        <f t="shared" ca="1" si="5"/>
        <v>立即攻击，对目标造成68.8%武器伤害</v>
      </c>
      <c r="AF14" s="24" t="s">
        <v>158</v>
      </c>
    </row>
    <row r="15" spans="1:33">
      <c r="E15" s="3" t="s">
        <v>67</v>
      </c>
      <c r="F15" s="23" t="s">
        <v>160</v>
      </c>
      <c r="G15" s="23">
        <f ca="1">OFFSET(模型构建!$B$18,MATCH($E15,模型构建!$A$19:$A$25,0),)</f>
        <v>0</v>
      </c>
      <c r="H15" s="23"/>
      <c r="I15" s="3">
        <f t="shared" si="0"/>
        <v>1</v>
      </c>
      <c r="J15" s="3">
        <v>3</v>
      </c>
      <c r="K15" s="3">
        <f t="shared" ca="1" si="1"/>
        <v>0.5</v>
      </c>
      <c r="M15" s="3">
        <v>6</v>
      </c>
      <c r="P15" s="3" t="str">
        <f t="shared" ca="1" si="2"/>
        <v/>
      </c>
      <c r="Q15" s="3">
        <f ca="1">ROUND( ($B$1-_xlfn.IFS(OR($I15=0,_xlfn.IFS($H15="",$G15,TRUE,$H15)=1),0,TRUE,1) )/_xlfn.IFS($I15=0,1,TRUE,1+COUNTIFS($E$6:$E$9996,$E15,$I$6:$I$9996,1))
*(MAX($L15:$N15))*_xlfn.IFS($N15&gt;$M15,MIN($M15:$N15)/MAX($M15:$N15),TRUE,1)*100/_xlfn.IFS($J15="",1,TRUE,$J15)
/((_xlfn.IFS($I15=0,1,TRUE,1+COUNTIFS($E$6:$E$9996,$E15,$I$6:$I$9996,1)))
/($K15*(_xlfn.IFS($I15=0,1,TRUE,1+COUNTIFS($E$6:$E$9996,$E15,$I$6:$I$9996,1))-1)+_xlfn.IFS($I15=0,1,TRUE,1+COUNTIFS($E$6:$E$9996,$E15,$I$6:$I$9996,1)))),1)</f>
        <v>177.8</v>
      </c>
      <c r="R15" s="14" t="str">
        <f t="shared" ref="R15:R17" ca="1" si="6">REPLACEB(AF15,SEARCHB("?",AF15),2*LEN(AF15)-LENB(AF15),_xlfn.IFS($P15="", $Q15,TRUE,$P15)&amp;$Q$5)</f>
        <v>发射多枚箭矢，对你的当前目标及８码范围内的所有敌人造成177.8%武器伤害</v>
      </c>
      <c r="AF15" s="24" t="s">
        <v>159</v>
      </c>
    </row>
    <row r="16" spans="1:33">
      <c r="E16" s="3" t="s">
        <v>67</v>
      </c>
      <c r="F16" s="23" t="s">
        <v>161</v>
      </c>
      <c r="G16" s="23">
        <f ca="1">OFFSET(模型构建!$B$18,MATCH($E16,模型构建!$A$19:$A$25,0),)</f>
        <v>0</v>
      </c>
      <c r="H16" s="23"/>
      <c r="I16" s="3">
        <f t="shared" si="0"/>
        <v>0</v>
      </c>
      <c r="K16" s="3">
        <f t="shared" ca="1" si="1"/>
        <v>0.5</v>
      </c>
      <c r="L16" s="3">
        <v>2</v>
      </c>
      <c r="P16" s="3" t="str">
        <f t="shared" ca="1" si="2"/>
        <v/>
      </c>
      <c r="Q16" s="3">
        <f ca="1">ROUND( ($B$1-_xlfn.IFS(OR($I16=0,_xlfn.IFS($H16="",$G16,TRUE,$H16)=1),0,TRUE,1) )/_xlfn.IFS($I16=0,1,TRUE,1+COUNTIFS($E$6:$E$9996,$E16,$I$6:$I$9996,1))
*(MAX($L16:$N16))*_xlfn.IFS($N16&gt;$M16,MIN($M16:$N16)/MAX($M16:$N16),TRUE,1)*100/_xlfn.IFS($J16="",1,TRUE,$J16)
/((_xlfn.IFS($I16=0,1,TRUE,1+COUNTIFS($E$6:$E$9996,$E16,$I$6:$I$9996,1)))
/($K16*(_xlfn.IFS($I16=0,1,TRUE,1+COUNTIFS($E$6:$E$9996,$E16,$I$6:$I$9996,1))-1)+_xlfn.IFS($I16=0,1,TRUE,1+COUNTIFS($E$6:$E$9996,$E16,$I$6:$I$9996,1)))),1)</f>
        <v>600</v>
      </c>
      <c r="R16" s="14" t="str">
        <f t="shared" ca="1" si="6"/>
        <v>一次强力的瞄准射击，造成600%武器伤害。如果目标尚未受到过你的伤害，则伤害提高５０％</v>
      </c>
      <c r="AF16" s="24" t="s">
        <v>162</v>
      </c>
    </row>
    <row r="17" spans="5:32">
      <c r="E17" s="3" t="s">
        <v>67</v>
      </c>
      <c r="F17" s="23" t="s">
        <v>163</v>
      </c>
      <c r="G17" s="23">
        <f ca="1">OFFSET(模型构建!$B$18,MATCH($E17,模型构建!$A$19:$A$25,0),)</f>
        <v>0</v>
      </c>
      <c r="H17" s="23"/>
      <c r="I17" s="3">
        <f t="shared" si="0"/>
        <v>1</v>
      </c>
      <c r="J17" s="3">
        <v>2</v>
      </c>
      <c r="K17" s="3">
        <f t="shared" ca="1" si="1"/>
        <v>0.5</v>
      </c>
      <c r="M17" s="3">
        <v>15</v>
      </c>
      <c r="P17" s="3" t="str">
        <f t="shared" ca="1" si="2"/>
        <v/>
      </c>
      <c r="Q17" s="3">
        <f ca="1">ROUND( ($B$1-_xlfn.IFS(OR($I17=0,_xlfn.IFS($H17="",$G17,TRUE,$H17)=1),0,TRUE,1) )/_xlfn.IFS($I17=0,1,TRUE,1+COUNTIFS($E$6:$E$9996,$E17,$I$6:$I$9996,1))
*(MAX($L17:$N17))*_xlfn.IFS($N17&gt;$M17,MIN($M17:$N17)/MAX($M17:$N17),TRUE,1)*100/_xlfn.IFS($J17="",1,TRUE,$J17)
/((_xlfn.IFS($I17=0,1,TRUE,1+COUNTIFS($E$6:$E$9996,$E17,$I$6:$I$9996,1)))
/($K17*(_xlfn.IFS($I17=0,1,TRUE,1+COUNTIFS($E$6:$E$9996,$E17,$I$6:$I$9996,1))-1)+_xlfn.IFS($I17=0,1,TRUE,1+COUNTIFS($E$6:$E$9996,$E17,$I$6:$I$9996,1)))),1)</f>
        <v>666.7</v>
      </c>
      <c r="R17" s="14" t="str">
        <f t="shared" ca="1" si="6"/>
        <v>一次双龙出海般的射击，攻击主要目标和附近的另一个目标，对其中一个造成666.7% 伤害，对另一个造成【计算伤害 - 自由分配值】％武器伤害</v>
      </c>
      <c r="AF17" s="24" t="s">
        <v>164</v>
      </c>
    </row>
    <row r="18" spans="5:32">
      <c r="E18" s="3" t="s">
        <v>68</v>
      </c>
      <c r="F18" s="23" t="s">
        <v>165</v>
      </c>
      <c r="G18" s="23">
        <f ca="1">OFFSET(模型构建!$B$18,MATCH($E18,模型构建!$A$19:$A$25,0),)</f>
        <v>1</v>
      </c>
      <c r="H18" s="23"/>
      <c r="I18" s="3">
        <f t="shared" si="0"/>
        <v>1</v>
      </c>
      <c r="K18" s="3">
        <f t="shared" ca="1" si="1"/>
        <v>1</v>
      </c>
      <c r="N18" s="3">
        <v>14</v>
      </c>
      <c r="O18" s="3">
        <v>2</v>
      </c>
      <c r="P18" s="3">
        <f t="shared" ca="1" si="2"/>
        <v>450</v>
      </c>
      <c r="Q18" s="3">
        <f ca="1">ROUND( ($B$1-_xlfn.IFS(OR($I18=0,_xlfn.IFS($H18="",$G18,TRUE,$H18)=1),0,TRUE,1) )/_xlfn.IFS($I18=0,1,TRUE,1+COUNTIFS($E$6:$E$9996,$E18,$I$6:$I$9996,1))
*(MAX($L18:$N18))*_xlfn.IFS($N18&gt;$M18,MIN($M18:$N18)/MAX($M18:$N18),TRUE,1)*100/_xlfn.IFS($J18="",1,TRUE,$J18)
/((_xlfn.IFS($I18=0,1,TRUE,1+COUNTIFS($E$6:$E$9996,$E18,$I$6:$I$9996,1)))
/($K18*(_xlfn.IFS($I18=0,1,TRUE,1+COUNTIFS($E$6:$E$9996,$E18,$I$6:$I$9996,1))-1)+_xlfn.IFS($I18=0,1,TRUE,1+COUNTIFS($E$6:$E$9996,$E18,$I$6:$I$9996,1)))),1)</f>
        <v>3150</v>
      </c>
      <c r="R18" s="14" t="str">
        <f t="shared" ref="R18" ca="1" si="7">REPLACEB(AF18,SEARCHB("?",AF18),2*LEN(AF18)-LENB(AF18),_xlfn.IFS($P18="", $Q18,TRUE,$P18)&amp;$Q$5)</f>
        <v>腐蚀目标，在１４秒内每周期对其造成450%法术强度的伤害</v>
      </c>
      <c r="AF18" s="24" t="s">
        <v>167</v>
      </c>
    </row>
    <row r="19" spans="5:32">
      <c r="E19" s="3" t="s">
        <v>68</v>
      </c>
      <c r="F19" s="23" t="s">
        <v>168</v>
      </c>
      <c r="G19" s="23">
        <f ca="1">OFFSET(模型构建!$B$18,MATCH($E19,模型构建!$A$19:$A$25,0),)</f>
        <v>1</v>
      </c>
      <c r="H19" s="23"/>
      <c r="I19" s="3">
        <f t="shared" si="0"/>
        <v>0</v>
      </c>
      <c r="K19" s="3">
        <f t="shared" ca="1" si="1"/>
        <v>1</v>
      </c>
      <c r="L19" s="3">
        <v>2.5</v>
      </c>
      <c r="P19" s="3" t="str">
        <f t="shared" ca="1" si="2"/>
        <v/>
      </c>
      <c r="Q19" s="3">
        <f ca="1">ROUND( ($B$1-_xlfn.IFS(OR($I19=0,_xlfn.IFS($H19="",$G19,TRUE,$H19)=1),0,TRUE,1) )/_xlfn.IFS($I19=0,1,TRUE,1+COUNTIFS($E$6:$E$9996,$E19,$I$6:$I$9996,1))
*(MAX($L19:$N19))*_xlfn.IFS($N19&gt;$M19,MIN($M19:$N19)/MAX($M19:$N19),TRUE,1)*100/_xlfn.IFS($J19="",1,TRUE,$J19)
/((_xlfn.IFS($I19=0,1,TRUE,1+COUNTIFS($E$6:$E$9996,$E19,$I$6:$I$9996,1)))
/($K19*(_xlfn.IFS($I19=0,1,TRUE,1+COUNTIFS($E$6:$E$9996,$E19,$I$6:$I$9996,1))-1)+_xlfn.IFS($I19=0,1,TRUE,1+COUNTIFS($E$6:$E$9996,$E19,$I$6:$I$9996,1)))),1)</f>
        <v>750</v>
      </c>
      <c r="R19" s="14" t="str">
        <f t="shared" ref="R19" ca="1" si="8">REPLACEB(AF19,SEARCHB("?",AF19),2*LEN(AF19)-LENB(AF19),_xlfn.IFS($P19="", $Q19,TRUE,$P19)&amp;$Q$5)</f>
        <v>向敌人发射一支暗影箭，对其造成750%法术强度的伤害</v>
      </c>
      <c r="AF19" s="24" t="s">
        <v>169</v>
      </c>
    </row>
    <row r="20" spans="5:32">
      <c r="E20" s="3" t="s">
        <v>68</v>
      </c>
      <c r="F20" s="23" t="s">
        <v>170</v>
      </c>
      <c r="G20" s="23">
        <f ca="1">OFFSET(模型构建!$B$18,MATCH($E20,模型构建!$A$19:$A$25,0),)</f>
        <v>1</v>
      </c>
      <c r="H20" s="23"/>
      <c r="I20" s="3">
        <f t="shared" ca="1" si="0"/>
        <v>0</v>
      </c>
      <c r="J20" s="3">
        <v>6</v>
      </c>
      <c r="K20" s="3">
        <f t="shared" ca="1" si="1"/>
        <v>1</v>
      </c>
      <c r="L20" s="3">
        <f ca="1">N20</f>
        <v>8</v>
      </c>
      <c r="N20" s="3">
        <f ca="1">L20</f>
        <v>8</v>
      </c>
      <c r="O20" s="3">
        <v>1</v>
      </c>
      <c r="P20" s="3">
        <f t="shared" ca="1" si="2"/>
        <v>50</v>
      </c>
      <c r="Q20" s="3">
        <f ca="1">ROUND( ($B$1-_xlfn.IFS(OR($I20=0,_xlfn.IFS($H20="",$G20,TRUE,$H20)=1),0,TRUE,1) )/_xlfn.IFS($I20=0,1,TRUE,1+COUNTIFS($E$6:$E$9996,$E20,$I$6:$I$9996,1))
*(MAX($L20:$N20))*_xlfn.IFS($N20&gt;$M20,MIN($M20:$N20)/MAX($M20:$N20),TRUE,1)*100/_xlfn.IFS($J20="",1,TRUE,$J20)
/((_xlfn.IFS($I20=0,1,TRUE,1+COUNTIFS($E$6:$E$9996,$E20,$I$6:$I$9996,1)))
/($K20*(_xlfn.IFS($I20=0,1,TRUE,1+COUNTIFS($E$6:$E$9996,$E20,$I$6:$I$9996,1))-1)+_xlfn.IFS($I20=0,1,TRUE,1+COUNTIFS($E$6:$E$9996,$E20,$I$6:$I$9996,1)))),1)</f>
        <v>400</v>
      </c>
      <c r="R20" s="14" t="str">
        <f t="shared" ref="R20" ca="1" si="9">REPLACEB(AF20,SEARCHB("?",AF20),2*LEN(AF20)-LENB(AF20),_xlfn.IFS($P20="", $Q20,TRUE,$P20)&amp;$Q$5)</f>
        <v>地狱之火如雨般落下，在８秒内对范围内的敌人周期性的造成50%法术强度的火焰伤害</v>
      </c>
      <c r="AF20" s="24" t="s">
        <v>171</v>
      </c>
    </row>
    <row r="21" spans="5:32">
      <c r="E21" s="3" t="s">
        <v>69</v>
      </c>
      <c r="F21" s="23" t="s">
        <v>172</v>
      </c>
      <c r="G21" s="23">
        <f ca="1">OFFSET(模型构建!$B$18,MATCH($E21,模型构建!$A$19:$A$25,0),)</f>
        <v>0</v>
      </c>
      <c r="H21" s="23">
        <v>1</v>
      </c>
      <c r="I21" s="3">
        <f t="shared" si="0"/>
        <v>1</v>
      </c>
      <c r="K21" s="3">
        <f t="shared" ca="1" si="1"/>
        <v>0.5</v>
      </c>
      <c r="M21" s="3">
        <v>3</v>
      </c>
      <c r="P21" s="3" t="str">
        <f t="shared" ca="1" si="2"/>
        <v/>
      </c>
      <c r="Q21" s="3">
        <f ca="1">ROUND( ($B$1-_xlfn.IFS(OR($I21=0,_xlfn.IFS($H21="",$G21,TRUE,$H21)=1),0,TRUE,1) )/_xlfn.IFS($I21=0,1,TRUE,1+COUNTIFS($E$6:$E$9996,$E21,$I$6:$I$9996,1))
*(MAX($L21:$N21))*_xlfn.IFS($N21&gt;$M21,MIN($M21:$N21)/MAX($M21:$N21),TRUE,1)*100/_xlfn.IFS($J21="",1,TRUE,$J21)
/((_xlfn.IFS($I21=0,1,TRUE,1+COUNTIFS($E$6:$E$9996,$E21,$I$6:$I$9996,1)))
/($K21*(_xlfn.IFS($I21=0,1,TRUE,1+COUNTIFS($E$6:$E$9996,$E21,$I$6:$I$9996,1))-1)+_xlfn.IFS($I21=0,1,TRUE,1+COUNTIFS($E$6:$E$9996,$E21,$I$6:$I$9996,1)))),1)</f>
        <v>309.39999999999998</v>
      </c>
      <c r="R21" s="14" t="str">
        <f ca="1">REPLACEB(AF21,SEARCHB("?",AF21),2*LEN(AF21)-LENB(AF21),_xlfn.IFS($P21="", $Q21,TRUE,$P21)&amp;$Q$5)</f>
        <v>审判目标，造成309.4%法术强度的伤害</v>
      </c>
      <c r="AF21" s="38" t="s">
        <v>196</v>
      </c>
    </row>
    <row r="22" spans="5:32">
      <c r="E22" s="3" t="s">
        <v>69</v>
      </c>
      <c r="F22" s="23" t="s">
        <v>173</v>
      </c>
      <c r="G22" s="23">
        <f ca="1">OFFSET(模型构建!$B$18,MATCH($E22,模型构建!$A$19:$A$25,0),)</f>
        <v>0</v>
      </c>
      <c r="H22" s="23"/>
      <c r="I22" s="3">
        <f t="shared" si="0"/>
        <v>1</v>
      </c>
      <c r="J22" s="3">
        <v>6</v>
      </c>
      <c r="K22" s="3">
        <f t="shared" ca="1" si="1"/>
        <v>0.5</v>
      </c>
      <c r="N22" s="3">
        <v>9</v>
      </c>
      <c r="O22" s="3">
        <v>0.5</v>
      </c>
      <c r="P22" s="3">
        <f t="shared" ca="1" si="2"/>
        <v>5.7</v>
      </c>
      <c r="Q22" s="3">
        <f ca="1">ROUND( ($B$1-_xlfn.IFS(OR($I22=0,_xlfn.IFS($H22="",$G22,TRUE,$H22)=1),0,TRUE,1) )/_xlfn.IFS($I22=0,1,TRUE,1+COUNTIFS($E$6:$E$9996,$E22,$I$6:$I$9996,1))
*(MAX($L22:$N22))*_xlfn.IFS($N22&gt;$M22,MIN($M22:$N22)/MAX($M22:$N22),TRUE,1)*100/_xlfn.IFS($J22="",1,TRUE,$J22)
/((_xlfn.IFS($I22=0,1,TRUE,1+COUNTIFS($E$6:$E$9996,$E22,$I$6:$I$9996,1)))
/($K22*(_xlfn.IFS($I22=0,1,TRUE,1+COUNTIFS($E$6:$E$9996,$E22,$I$6:$I$9996,1))-1)+_xlfn.IFS($I22=0,1,TRUE,1+COUNTIFS($E$6:$E$9996,$E22,$I$6:$I$9996,1)))),1)</f>
        <v>103.1</v>
      </c>
      <c r="R22" s="14" t="str">
        <f t="shared" ref="R22" ca="1" si="10">REPLACEB(AF22,SEARCHB("?",AF22),2*LEN(AF22)-LENB(AF22),_xlfn.IFS($P22="", $Q22,TRUE,$P22)&amp;$Q$5)</f>
        <v>将圣洁的能量灌入你脚下的土地，在９秒内对进入该区域的敌人周期性的造成5.7%攻击强度的伤害</v>
      </c>
      <c r="AF22" s="24" t="s">
        <v>174</v>
      </c>
    </row>
    <row r="23" spans="5:32">
      <c r="E23" s="3" t="s">
        <v>69</v>
      </c>
      <c r="F23" s="23" t="s">
        <v>175</v>
      </c>
      <c r="G23" s="23">
        <f ca="1">OFFSET(模型构建!$B$18,MATCH($E23,模型构建!$A$19:$A$25,0),)</f>
        <v>0</v>
      </c>
      <c r="H23" s="23"/>
      <c r="I23" s="3">
        <f t="shared" si="0"/>
        <v>1</v>
      </c>
      <c r="J23" s="3">
        <v>2</v>
      </c>
      <c r="K23" s="3">
        <f t="shared" ca="1" si="1"/>
        <v>0.5</v>
      </c>
      <c r="M23" s="3">
        <v>6</v>
      </c>
      <c r="P23" s="3" t="str">
        <f t="shared" ca="1" si="2"/>
        <v/>
      </c>
      <c r="Q23" s="3">
        <f ca="1">ROUND( ($B$1-_xlfn.IFS(OR($I23=0,_xlfn.IFS($H23="",$G23,TRUE,$H23)=1),0,TRUE,1) )/_xlfn.IFS($I23=0,1,TRUE,1+COUNTIFS($E$6:$E$9996,$E23,$I$6:$I$9996,1))
*(MAX($L23:$N23))*_xlfn.IFS($N23&gt;$M23,MIN($M23:$N23)/MAX($M23:$N23),TRUE,1)*100/_xlfn.IFS($J23="",1,TRUE,$J23)
/((_xlfn.IFS($I23=0,1,TRUE,1+COUNTIFS($E$6:$E$9996,$E23,$I$6:$I$9996,1)))
/($K23*(_xlfn.IFS($I23=0,1,TRUE,1+COUNTIFS($E$6:$E$9996,$E23,$I$6:$I$9996,1))-1)+_xlfn.IFS($I23=0,1,TRUE,1+COUNTIFS($E$6:$E$9996,$E23,$I$6:$I$9996,1)))),1)</f>
        <v>206.3</v>
      </c>
      <c r="R23" s="14" t="str">
        <f t="shared" ref="R23" ca="1" si="11">REPLACEB(AF23,SEARCHB("?",AF23),2*LEN(AF23)-LENB(AF23),_xlfn.IFS($P23="", $Q23,TRUE,$P23)&amp;$Q$5)</f>
        <v>攻击目标，造成206.3%武器伤害。可以使用２次</v>
      </c>
      <c r="AF23" s="24" t="s">
        <v>176</v>
      </c>
    </row>
    <row r="24" spans="5:32">
      <c r="E24" s="3" t="s">
        <v>70</v>
      </c>
      <c r="F24" s="23" t="s">
        <v>177</v>
      </c>
      <c r="G24" s="23">
        <f ca="1">OFFSET(模型构建!$B$18,MATCH($E24,模型构建!$A$19:$A$25,0),)</f>
        <v>1</v>
      </c>
      <c r="H24" s="23"/>
      <c r="I24" s="3">
        <f t="shared" si="0"/>
        <v>0</v>
      </c>
      <c r="K24" s="3">
        <f t="shared" ca="1" si="1"/>
        <v>1</v>
      </c>
      <c r="L24" s="3">
        <v>1</v>
      </c>
      <c r="P24" s="3" t="str">
        <f t="shared" ca="1" si="2"/>
        <v/>
      </c>
      <c r="Q24" s="3">
        <f ca="1">ROUND( ($B$1-_xlfn.IFS(OR($I24=0,_xlfn.IFS($H24="",$G24,TRUE,$H24)=1),0,TRUE,1) )/_xlfn.IFS($I24=0,1,TRUE,1+COUNTIFS($E$6:$E$9996,$E24,$I$6:$I$9996,1))
*(MAX($L24:$N24))*_xlfn.IFS($N24&gt;$M24,MIN($M24:$N24)/MAX($M24:$N24),TRUE,1)*100/_xlfn.IFS($J24="",1,TRUE,$J24)
/((_xlfn.IFS($I24=0,1,TRUE,1+COUNTIFS($E$6:$E$9996,$E24,$I$6:$I$9996,1)))
/($K24*(_xlfn.IFS($I24=0,1,TRUE,1+COUNTIFS($E$6:$E$9996,$E24,$I$6:$I$9996,1))-1)+_xlfn.IFS($I24=0,1,TRUE,1+COUNTIFS($E$6:$E$9996,$E24,$I$6:$I$9996,1)))),1)</f>
        <v>300</v>
      </c>
      <c r="R24" s="14" t="str">
        <f t="shared" ref="R24" ca="1" si="12">REPLACEB(AF24,SEARCHB("?",AF24),2*LEN(AF24)-LENB(AF24),_xlfn.IFS($P24="", $Q24,TRUE,$P24)&amp;$Q$5)</f>
        <v>惩击一名敌人，造成300%法术强度的伤害，并有２０％几率重置神圣之火的冷却时间</v>
      </c>
      <c r="AF24" s="24" t="s">
        <v>178</v>
      </c>
    </row>
    <row r="25" spans="5:32">
      <c r="E25" s="3" t="s">
        <v>70</v>
      </c>
      <c r="F25" s="23" t="s">
        <v>179</v>
      </c>
      <c r="G25" s="23">
        <f ca="1">OFFSET(模型构建!$B$18,MATCH($E25,模型构建!$A$19:$A$25,0),)</f>
        <v>1</v>
      </c>
      <c r="H25" s="23"/>
      <c r="I25" s="3">
        <f t="shared" si="0"/>
        <v>1</v>
      </c>
      <c r="K25" s="3">
        <f t="shared" ca="1" si="1"/>
        <v>1</v>
      </c>
      <c r="M25" s="3">
        <v>10</v>
      </c>
      <c r="P25" s="3" t="str">
        <f t="shared" ca="1" si="2"/>
        <v/>
      </c>
      <c r="Q25" s="3">
        <f ca="1">ROUND( ($B$1-_xlfn.IFS(OR($I25=0,_xlfn.IFS($H25="",$G25,TRUE,$H25)=1),0,TRUE,1) )/_xlfn.IFS($I25=0,1,TRUE,1+COUNTIFS($E$6:$E$9996,$E25,$I$6:$I$9996,1))
*(MAX($L25:$N25))*_xlfn.IFS($N25&gt;$M25,MIN($M25:$N25)/MAX($M25:$N25),TRUE,1)*100/_xlfn.IFS($J25="",1,TRUE,$J25)
/((_xlfn.IFS($I25=0,1,TRUE,1+COUNTIFS($E$6:$E$9996,$E25,$I$6:$I$9996,1)))
/($K25*(_xlfn.IFS($I25=0,1,TRUE,1+COUNTIFS($E$6:$E$9996,$E25,$I$6:$I$9996,1))-1)+_xlfn.IFS($I25=0,1,TRUE,1+COUNTIFS($E$6:$E$9996,$E25,$I$6:$I$9996,1)))),1)</f>
        <v>1666.7</v>
      </c>
      <c r="R25" s="14" t="str">
        <f t="shared" ref="R25" ca="1" si="13">REPLACEB(AF25,SEARCHB("?",AF25),2*LEN(AF25)-LENB(AF25),_xlfn.IFS($P25="", $Q25,TRUE,$P25)&amp;$Q$5)</f>
        <v>神圣的烈焰吞噬敌人，对其造成1666.7%法术强度的伤害</v>
      </c>
      <c r="AF25" s="24" t="s">
        <v>180</v>
      </c>
    </row>
    <row r="26" spans="5:32">
      <c r="E26" s="3" t="s">
        <v>70</v>
      </c>
      <c r="F26" s="23" t="s">
        <v>181</v>
      </c>
      <c r="G26" s="23">
        <f ca="1">OFFSET(模型构建!$B$18,MATCH($E26,模型构建!$A$19:$A$25,0),)</f>
        <v>1</v>
      </c>
      <c r="H26" s="23"/>
      <c r="I26" s="3">
        <f t="shared" si="0"/>
        <v>1</v>
      </c>
      <c r="K26" s="3">
        <f t="shared" ca="1" si="1"/>
        <v>1</v>
      </c>
      <c r="M26" s="3">
        <f>M25</f>
        <v>10</v>
      </c>
      <c r="N26" s="3">
        <v>7</v>
      </c>
      <c r="O26" s="3">
        <v>1</v>
      </c>
      <c r="P26" s="3">
        <f t="shared" ca="1" si="2"/>
        <v>238.1</v>
      </c>
      <c r="Q26" s="3">
        <f ca="1">ROUND( ($B$1-_xlfn.IFS(OR($I26=0,_xlfn.IFS($H26="",$G26,TRUE,$H26)=1),0,TRUE,1) )/_xlfn.IFS($I26=0,1,TRUE,1+COUNTIFS($E$6:$E$9996,$E26,$I$6:$I$9996,1))
*(MAX($L26:$N26))*_xlfn.IFS($N26&gt;$M26,MIN($M26:$N26)/MAX($M26:$N26),TRUE,1)*100/_xlfn.IFS($J26="",1,TRUE,$J26)
/((_xlfn.IFS($I26=0,1,TRUE,1+COUNTIFS($E$6:$E$9996,$E26,$I$6:$I$9996,1)))
/($K26*(_xlfn.IFS($I26=0,1,TRUE,1+COUNTIFS($E$6:$E$9996,$E26,$I$6:$I$9996,1))-1)+_xlfn.IFS($I26=0,1,TRUE,1+COUNTIFS($E$6:$E$9996,$E26,$I$6:$I$9996,1)))),1)</f>
        <v>1666.7</v>
      </c>
      <c r="R26" s="14" t="str">
        <f t="shared" ref="R26" ca="1" si="14">REPLACEB(AF26,SEARCHB("?",AF26),2*LEN(AF26)-LENB(AF26),_xlfn.IFS($P26="", $Q26,TRUE,$P26)&amp;$Q$5)</f>
        <v>神圣的烈焰吞噬敌人，在７秒内周期性的造成238.1%法术强度的伤害</v>
      </c>
      <c r="AF26" s="24" t="s">
        <v>182</v>
      </c>
    </row>
    <row r="28" spans="5:32">
      <c r="I28" s="23"/>
    </row>
    <row r="33" spans="5:8">
      <c r="E33" s="41"/>
    </row>
    <row r="34" spans="5:8">
      <c r="E34" s="41"/>
    </row>
    <row r="36" spans="5:8">
      <c r="H36" s="42"/>
    </row>
    <row r="37" spans="5:8">
      <c r="E37" s="42"/>
      <c r="H37" s="42"/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502D-5A7E-4CE6-BB36-CBB8C758C566}">
  <sheetPr>
    <tabColor theme="8" tint="0.39997558519241921"/>
  </sheetPr>
  <dimension ref="E5:AE12"/>
  <sheetViews>
    <sheetView workbookViewId="0">
      <selection activeCell="G14" sqref="G14"/>
    </sheetView>
  </sheetViews>
  <sheetFormatPr defaultRowHeight="16.5"/>
  <cols>
    <col min="1" max="4" width="9" style="3"/>
    <col min="5" max="5" width="12.25" style="3" bestFit="1" customWidth="1"/>
    <col min="6" max="16384" width="9" style="3"/>
  </cols>
  <sheetData>
    <row r="5" spans="5:31">
      <c r="E5" s="5" t="s">
        <v>13</v>
      </c>
      <c r="F5" s="5" t="s">
        <v>41</v>
      </c>
    </row>
    <row r="6" spans="5:31">
      <c r="E6" s="3" t="s">
        <v>64</v>
      </c>
      <c r="F6" s="23" t="s">
        <v>183</v>
      </c>
      <c r="G6" s="29" t="str">
        <f ca="1">"变形进入熊形态，护甲值提高"&amp;AD6*100&amp;"%，生命提高"&amp;ROUND(AE6*100,)&amp;"%，免疫变形效果，并提高产生的威胁值"</f>
        <v>变形进入熊形态，护甲值提高260%，生命提高205%，免疫变形效果，并提高产生的威胁值</v>
      </c>
      <c r="AA6" s="24"/>
      <c r="AD6" s="3">
        <f t="array" ref="AD6">模型构建!$C$51/MEDIAN(_xlfn.IFS(模型构建!$P$20:$P$25=模型构建!$P$19,模型构建!$C$52:$C$57,TRUE,""))</f>
        <v>2.6</v>
      </c>
      <c r="AE6" s="3">
        <f ca="1">1/模型构建!C30</f>
        <v>2.0526315789473681</v>
      </c>
    </row>
    <row r="7" spans="5:31">
      <c r="E7" s="23" t="s">
        <v>65</v>
      </c>
      <c r="F7" s="23" t="s">
        <v>184</v>
      </c>
      <c r="G7" s="30" t="str">
        <f ca="1">AE7&amp;"秒冷却。一次残忍的突袭，对目标造成"&amp;ROUND((AD7-1)*AE7*100,)&amp;"%攻击强度的伤害，并使目标的治疗效果降低50%，持续10秒"</f>
        <v>6秒冷却。一次残忍的突袭，对目标造成71%攻击强度的伤害，并使目标的治疗效果降低50%，持续10秒</v>
      </c>
      <c r="AD7" s="3">
        <f ca="1">1/模型构建!B31</f>
        <v>1.1183765501691092</v>
      </c>
      <c r="AE7" s="3">
        <v>6</v>
      </c>
    </row>
    <row r="8" spans="5:31">
      <c r="E8" s="3" t="s">
        <v>66</v>
      </c>
      <c r="G8" s="29"/>
    </row>
    <row r="9" spans="5:31">
      <c r="E9" s="3" t="s">
        <v>67</v>
      </c>
      <c r="G9" s="29"/>
    </row>
    <row r="10" spans="5:31">
      <c r="E10" s="3" t="s">
        <v>68</v>
      </c>
      <c r="G10" s="29"/>
    </row>
    <row r="11" spans="5:31">
      <c r="E11" s="3" t="s">
        <v>69</v>
      </c>
      <c r="G11" s="29"/>
    </row>
    <row r="12" spans="5:31">
      <c r="E12" s="3" t="s">
        <v>70</v>
      </c>
      <c r="G12" s="29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5B01-8FFA-4060-86A0-E0E3006EEB09}">
  <dimension ref="A1"/>
  <sheetViews>
    <sheetView topLeftCell="A2" workbookViewId="0">
      <selection activeCell="I25" sqref="I25"/>
    </sheetView>
  </sheetViews>
  <sheetFormatPr defaultRowHeight="16.5"/>
  <cols>
    <col min="1" max="16384" width="9" style="3"/>
  </cols>
  <sheetData/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6641-9831-4D85-8493-CA5294FAE3D3}">
  <dimension ref="A1:AH61"/>
  <sheetViews>
    <sheetView tabSelected="1" zoomScale="115" zoomScaleNormal="115" workbookViewId="0">
      <selection activeCell="X4" sqref="X4"/>
    </sheetView>
  </sheetViews>
  <sheetFormatPr defaultRowHeight="16.5"/>
  <cols>
    <col min="1" max="1" width="12.25" style="3" bestFit="1" customWidth="1"/>
    <col min="2" max="2" width="9" style="3"/>
    <col min="3" max="3" width="5" style="3" customWidth="1"/>
    <col min="4" max="4" width="8.875" style="3" customWidth="1"/>
    <col min="5" max="5" width="68.125" style="3" customWidth="1"/>
    <col min="6" max="6" width="12.25" style="3" hidden="1" customWidth="1"/>
    <col min="7" max="7" width="13" style="3" hidden="1" customWidth="1"/>
    <col min="8" max="8" width="9.625" style="3" hidden="1" customWidth="1"/>
    <col min="9" max="9" width="10.25" style="3" hidden="1" customWidth="1"/>
    <col min="10" max="10" width="10.5" style="3" hidden="1" customWidth="1"/>
    <col min="11" max="11" width="10.25" style="3" hidden="1" customWidth="1"/>
    <col min="12" max="12" width="10.5" style="3" hidden="1" customWidth="1"/>
    <col min="13" max="13" width="9" style="3" hidden="1" customWidth="1"/>
    <col min="14" max="14" width="15" style="3" hidden="1" customWidth="1"/>
    <col min="15" max="15" width="10.25" style="3" hidden="1" customWidth="1"/>
    <col min="16" max="16" width="10.5" style="3" hidden="1" customWidth="1"/>
    <col min="17" max="17" width="10.25" style="3" hidden="1" customWidth="1"/>
    <col min="18" max="18" width="10.5" style="3" bestFit="1" customWidth="1"/>
    <col min="19" max="32" width="9" style="3"/>
    <col min="33" max="33" width="9" style="14"/>
    <col min="34" max="16384" width="9" style="3"/>
  </cols>
  <sheetData>
    <row r="1" spans="1:34">
      <c r="A1" s="6" t="s">
        <v>134</v>
      </c>
      <c r="B1" s="4">
        <f>模型构建!$L$1</f>
        <v>3</v>
      </c>
    </row>
    <row r="2" spans="1:34">
      <c r="A2" s="6" t="s">
        <v>201</v>
      </c>
      <c r="B2" s="4">
        <f>(TANH($G$35)-POWER(TANH($G$35),3)/3)/$G$35*$B$1</f>
        <v>2.992332636136402</v>
      </c>
    </row>
    <row r="3" spans="1:34">
      <c r="A3" s="6" t="s">
        <v>210</v>
      </c>
      <c r="B3" s="4">
        <f>((SINH(2*$G$35)/4+SINH(4*$G$35)/32)/$G$35+3/8)*$B$1</f>
        <v>3.0077027947434831</v>
      </c>
    </row>
    <row r="4" spans="1:34">
      <c r="B4" s="48"/>
      <c r="D4" s="7" t="s">
        <v>211</v>
      </c>
      <c r="R4" s="7" t="s">
        <v>212</v>
      </c>
    </row>
    <row r="5" spans="1:34">
      <c r="D5" s="7" t="s">
        <v>235</v>
      </c>
      <c r="E5" s="42"/>
      <c r="R5" s="7" t="s">
        <v>234</v>
      </c>
    </row>
    <row r="6" spans="1:34">
      <c r="A6" s="5" t="s">
        <v>13</v>
      </c>
      <c r="B6" s="5" t="s">
        <v>142</v>
      </c>
      <c r="D6" s="27" t="s">
        <v>45</v>
      </c>
      <c r="E6" s="5" t="s">
        <v>132</v>
      </c>
      <c r="F6" s="5" t="s">
        <v>13</v>
      </c>
      <c r="G6" s="5" t="s">
        <v>131</v>
      </c>
      <c r="H6" s="5" t="s">
        <v>39</v>
      </c>
      <c r="I6" s="5" t="s">
        <v>195</v>
      </c>
      <c r="J6" s="5" t="s">
        <v>139</v>
      </c>
      <c r="K6" s="26" t="s">
        <v>137</v>
      </c>
      <c r="L6" s="5" t="s">
        <v>142</v>
      </c>
      <c r="M6" s="28" t="s">
        <v>128</v>
      </c>
      <c r="N6" s="28" t="s">
        <v>143</v>
      </c>
      <c r="O6" s="28" t="s">
        <v>129</v>
      </c>
      <c r="P6" s="28" t="s">
        <v>130</v>
      </c>
      <c r="Q6" s="27" t="s">
        <v>145</v>
      </c>
      <c r="R6" s="27" t="s">
        <v>45</v>
      </c>
      <c r="S6" s="5" t="s">
        <v>132</v>
      </c>
    </row>
    <row r="7" spans="1:34">
      <c r="A7" s="1" t="s">
        <v>14</v>
      </c>
      <c r="B7" s="3">
        <v>0.5</v>
      </c>
      <c r="D7" s="46">
        <v>309.39999999999998</v>
      </c>
      <c r="E7" s="14" t="s">
        <v>213</v>
      </c>
      <c r="F7" s="3" t="s">
        <v>64</v>
      </c>
      <c r="G7" s="23" t="s">
        <v>133</v>
      </c>
      <c r="H7" s="23">
        <f ca="1">OFFSET(模型构建!$B$18,MATCH($F7,模型构建!$A$19:$A$25,0),)</f>
        <v>0</v>
      </c>
      <c r="I7" s="23">
        <v>1</v>
      </c>
      <c r="J7" s="3">
        <f t="shared" ref="J7:J27" si="0">_xlfn.IFS($M7=0,1,TRUE,0)</f>
        <v>1</v>
      </c>
      <c r="L7" s="3">
        <f t="shared" ref="L7:L27" ca="1" si="1">OFFSET($B$6,MATCH($F7,$A$7:$A$13,0),)</f>
        <v>0.5</v>
      </c>
      <c r="N7" s="3">
        <v>3</v>
      </c>
      <c r="Q7" s="3" t="str">
        <f t="shared" ref="Q7:Q27" ca="1" si="2">_xlfn.IFS($P7&gt;0,ROUND($R7/($O7/$P7),1),TRUE,"")</f>
        <v/>
      </c>
      <c r="R7" s="46">
        <f ca="1">ROUND( (_xlfn.IFS($M7&gt;0,((SINH(2*$G$35*(MAX($M7:$O7))*_xlfn.IFS($O7&gt;$N7,MIN($N7:$O7)/MAX($N7:$O7),TRUE,1))/4+SINH(4*$G$35*(MAX($M7:$O7))*_xlfn.IFS($O7&gt;$N7,MIN($N7:$O7)/MAX($N7:$O7),TRUE,1))/32)/$G$35+3*(MAX($M7:$O7))*_xlfn.IFS($O7&gt;$N7,MIN($N7:$O7)/MAX($N7:$O7),TRUE,1)/8),TRUE,(TANH($G$35*(MAX($M7:$O7))*_xlfn.IFS($O7&gt;$N7,MIN($N7:$O7)/MAX($N7:$O7),TRUE,1))-POWER(TANH($G$35*(MAX($M7:$O7))*_xlfn.IFS($O7&gt;$N7,MIN($N7:$O7)/MAX($N7:$O7),TRUE,1)),3)/3)/$G$35)
*($B$1-_xlfn.IFS(OR($J7=0,_xlfn.IFS($I7="",$H7,TRUE,$I7)=1),0,TRUE,1) ))/_xlfn.IFS($J7=0,1,TRUE,1+COUNTIFS($F$7:$F$9997,$F7,$J$7:$J$9997,1))
*100/_xlfn.IFS($K7="",1,TRUE,$K7)
/((_xlfn.IFS($J7=0,1,TRUE,1+COUNTIFS($F$7:$F$9997,$F7,$J$7:$J$9997,1)))
/($L7*(_xlfn.IFS($J7=0,1,TRUE,1+COUNTIFS($F$7:$F$9997,$F7,$J$7:$J$9997,1))-1)+_xlfn.IFS($J7=0,1,TRUE,1+COUNTIFS($F$7:$F$9997,$F7,$J$7:$J$9997,1)))),1)</f>
        <v>302.39999999999998</v>
      </c>
      <c r="S7" s="14" t="str">
        <f ca="1">REPLACEB(AG7,SEARCHB("?",AG7),2*LEN(AG7)-LENB(AG7),_xlfn.IFS($Q7="", $R7,TRUE,$Q7)&amp;$R$6)</f>
        <v>重殴目标，造成302.4%武器伤害</v>
      </c>
      <c r="AA7" s="14"/>
      <c r="AC7" s="14"/>
      <c r="AD7" s="14"/>
      <c r="AG7" s="24" t="s">
        <v>135</v>
      </c>
      <c r="AH7" s="14"/>
    </row>
    <row r="8" spans="1:34">
      <c r="A8" s="1" t="s">
        <v>16</v>
      </c>
      <c r="B8" s="3">
        <f>$B$7</f>
        <v>0.5</v>
      </c>
      <c r="D8" s="46">
        <v>137.5</v>
      </c>
      <c r="E8" s="14" t="s">
        <v>214</v>
      </c>
      <c r="F8" s="23" t="s">
        <v>64</v>
      </c>
      <c r="G8" s="23" t="s">
        <v>136</v>
      </c>
      <c r="H8" s="23">
        <f ca="1">OFFSET(模型构建!$B$18,MATCH($F8,模型构建!$A$19:$A$25,0),)</f>
        <v>0</v>
      </c>
      <c r="I8" s="23"/>
      <c r="J8" s="3">
        <f t="shared" si="0"/>
        <v>1</v>
      </c>
      <c r="K8" s="3">
        <v>3</v>
      </c>
      <c r="L8" s="3">
        <f t="shared" ca="1" si="1"/>
        <v>0.5</v>
      </c>
      <c r="N8" s="3">
        <v>6</v>
      </c>
      <c r="Q8" s="3" t="str">
        <f t="shared" ca="1" si="2"/>
        <v/>
      </c>
      <c r="R8" s="46">
        <f t="shared" ref="R8:R27" ca="1" si="3">ROUND( (_xlfn.IFS($M8&gt;0,((SINH(2*$G$35*(MAX($M8:$O8))*_xlfn.IFS($O8&gt;$N8,MIN($N8:$O8)/MAX($N8:$O8),TRUE,1))/4+SINH(4*$G$35*(MAX($M8:$O8))*_xlfn.IFS($O8&gt;$N8,MIN($N8:$O8)/MAX($N8:$O8),TRUE,1))/32)/$G$35+3*(MAX($M8:$O8))*_xlfn.IFS($O8&gt;$N8,MIN($N8:$O8)/MAX($N8:$O8),TRUE,1)/8),TRUE,(TANH($G$35*(MAX($M8:$O8))*_xlfn.IFS($O8&gt;$N8,MIN($N8:$O8)/MAX($N8:$O8),TRUE,1))-POWER(TANH($G$35*(MAX($M8:$O8))*_xlfn.IFS($O8&gt;$N8,MIN($N8:$O8)/MAX($N8:$O8),TRUE,1)),3)/3)/$G$35)
*($B$1-_xlfn.IFS(OR($J8=0,_xlfn.IFS($I8="",$H8,TRUE,$I8)=1),0,TRUE,1) ))/_xlfn.IFS($J8=0,1,TRUE,1+COUNTIFS($F$7:$F$9997,$F8,$J$7:$J$9997,1))
*100/_xlfn.IFS($K8="",1,TRUE,$K8)
/((_xlfn.IFS($J8=0,1,TRUE,1+COUNTIFS($F$7:$F$9997,$F8,$J$7:$J$9997,1)))
/($L8*(_xlfn.IFS($J8=0,1,TRUE,1+COUNTIFS($F$7:$F$9997,$F8,$J$7:$J$9997,1))-1)+_xlfn.IFS($J8=0,1,TRUE,1+COUNTIFS($F$7:$F$9997,$F8,$J$7:$J$9997,1)))),1)</f>
        <v>125.9</v>
      </c>
      <c r="S8" s="14" t="str">
        <f t="shared" ref="S8:S21" ca="1" si="4">REPLACEB(AG8,SEARCHB("?",AG8),2*LEN(AG8)-LENB(AG8),_xlfn.IFS($Q8="", $R8,TRUE,$Q8)&amp;$R$6)</f>
        <v>痛击前方所有敌人，造成125.9%攻击强度的伤害</v>
      </c>
      <c r="Y8" s="24"/>
      <c r="AA8" s="14"/>
      <c r="AC8" s="14"/>
      <c r="AD8" s="14"/>
      <c r="AG8" s="24" t="s">
        <v>138</v>
      </c>
    </row>
    <row r="9" spans="1:34">
      <c r="A9" s="1" t="s">
        <v>17</v>
      </c>
      <c r="B9" s="3">
        <f>$B$7</f>
        <v>0.5</v>
      </c>
      <c r="D9" s="46">
        <v>137.5</v>
      </c>
      <c r="E9" s="14" t="s">
        <v>215</v>
      </c>
      <c r="F9" s="23" t="s">
        <v>64</v>
      </c>
      <c r="G9" s="23" t="s">
        <v>144</v>
      </c>
      <c r="H9" s="23">
        <f ca="1">OFFSET(模型构建!$B$18,MATCH($F9,模型构建!$A$19:$A$25,0),)</f>
        <v>0</v>
      </c>
      <c r="I9" s="23"/>
      <c r="J9" s="3">
        <f t="shared" si="0"/>
        <v>1</v>
      </c>
      <c r="K9" s="3">
        <f>K8</f>
        <v>3</v>
      </c>
      <c r="L9" s="3">
        <f t="shared" ca="1" si="1"/>
        <v>0.5</v>
      </c>
      <c r="N9" s="3">
        <f>N8</f>
        <v>6</v>
      </c>
      <c r="O9" s="3">
        <v>4</v>
      </c>
      <c r="P9" s="3">
        <v>1</v>
      </c>
      <c r="Q9" s="3">
        <f t="shared" ca="1" si="2"/>
        <v>31.5</v>
      </c>
      <c r="R9" s="46">
        <f t="shared" ca="1" si="3"/>
        <v>125.9</v>
      </c>
      <c r="S9" s="14" t="str">
        <f t="shared" ca="1" si="4"/>
        <v>痛击前方所有敌人使其流血，周期性的造成31.5%攻击强度的流血伤害</v>
      </c>
      <c r="Y9" s="24"/>
      <c r="AA9" s="14"/>
      <c r="AC9" s="14"/>
      <c r="AD9" s="14"/>
      <c r="AG9" s="24" t="s">
        <v>156</v>
      </c>
    </row>
    <row r="10" spans="1:34">
      <c r="A10" s="1" t="s">
        <v>15</v>
      </c>
      <c r="B10" s="3">
        <f>$B$7</f>
        <v>0.5</v>
      </c>
      <c r="D10" s="46">
        <v>45.8</v>
      </c>
      <c r="E10" s="14" t="s">
        <v>216</v>
      </c>
      <c r="F10" s="23" t="s">
        <v>65</v>
      </c>
      <c r="G10" s="23" t="s">
        <v>147</v>
      </c>
      <c r="H10" s="23">
        <f ca="1">OFFSET(模型构建!$B$18,MATCH($F10,模型构建!$A$19:$A$25,0),)</f>
        <v>0</v>
      </c>
      <c r="I10" s="23"/>
      <c r="J10" s="3">
        <f t="shared" si="0"/>
        <v>1</v>
      </c>
      <c r="K10" s="3">
        <v>3</v>
      </c>
      <c r="L10" s="3">
        <f t="shared" ca="1" si="1"/>
        <v>0.5</v>
      </c>
      <c r="N10" s="3">
        <v>2</v>
      </c>
      <c r="Q10" s="3" t="str">
        <f t="shared" ca="1" si="2"/>
        <v/>
      </c>
      <c r="R10" s="46">
        <f t="shared" ca="1" si="3"/>
        <v>45.4</v>
      </c>
      <c r="S10" s="14" t="str">
        <f t="shared" ca="1" si="4"/>
        <v>横扫前方所有敌人（至多５个），造成45.4%武器伤害</v>
      </c>
      <c r="AG10" s="24" t="s">
        <v>152</v>
      </c>
    </row>
    <row r="11" spans="1:34">
      <c r="A11" s="1" t="s">
        <v>18</v>
      </c>
      <c r="B11" s="3">
        <v>1</v>
      </c>
      <c r="D11" s="46">
        <v>412.5</v>
      </c>
      <c r="E11" s="14" t="s">
        <v>217</v>
      </c>
      <c r="F11" s="3" t="s">
        <v>65</v>
      </c>
      <c r="G11" s="23" t="s">
        <v>148</v>
      </c>
      <c r="H11" s="23">
        <f ca="1">OFFSET(模型构建!$B$18,MATCH($F11,模型构建!$A$19:$A$25,0),)</f>
        <v>0</v>
      </c>
      <c r="I11" s="23">
        <v>1</v>
      </c>
      <c r="J11" s="3">
        <f t="shared" si="0"/>
        <v>1</v>
      </c>
      <c r="L11" s="3">
        <f t="shared" ca="1" si="1"/>
        <v>0.5</v>
      </c>
      <c r="N11" s="3">
        <v>4</v>
      </c>
      <c r="Q11" s="3" t="str">
        <f t="shared" ca="1" si="2"/>
        <v/>
      </c>
      <c r="R11" s="46">
        <f t="shared" ca="1" si="3"/>
        <v>396.3</v>
      </c>
      <c r="S11" s="14" t="str">
        <f t="shared" ca="1" si="4"/>
        <v>猛击对手，对其造成396.3%武器伤害</v>
      </c>
      <c r="Y11" s="24"/>
      <c r="AG11" s="24" t="s">
        <v>149</v>
      </c>
    </row>
    <row r="12" spans="1:34">
      <c r="A12" s="1" t="s">
        <v>19</v>
      </c>
      <c r="B12" s="3">
        <f>$B$7</f>
        <v>0.5</v>
      </c>
      <c r="D12" s="46">
        <v>171.9</v>
      </c>
      <c r="E12" s="14" t="s">
        <v>218</v>
      </c>
      <c r="F12" s="3" t="s">
        <v>65</v>
      </c>
      <c r="G12" s="23" t="s">
        <v>150</v>
      </c>
      <c r="H12" s="23">
        <f ca="1">OFFSET(模型构建!$B$18,MATCH($F12,模型构建!$A$19:$A$25,0),)</f>
        <v>0</v>
      </c>
      <c r="I12" s="23"/>
      <c r="J12" s="3">
        <f t="shared" si="0"/>
        <v>1</v>
      </c>
      <c r="K12" s="3">
        <v>6</v>
      </c>
      <c r="L12" s="3">
        <f t="shared" ca="1" si="1"/>
        <v>0.5</v>
      </c>
      <c r="N12" s="3">
        <v>15</v>
      </c>
      <c r="Q12" s="3" t="str">
        <f t="shared" ca="1" si="2"/>
        <v/>
      </c>
      <c r="R12" s="46">
        <f t="shared" ca="1" si="3"/>
        <v>111</v>
      </c>
      <c r="S12" s="14" t="str">
        <f t="shared" ca="1" si="4"/>
        <v>释放出钢铁旋风，攻击８码以内的所有敌人，造成111%武器伤害</v>
      </c>
      <c r="V12" s="14"/>
      <c r="AG12" s="24" t="s">
        <v>151</v>
      </c>
    </row>
    <row r="13" spans="1:34">
      <c r="A13" s="1" t="s">
        <v>20</v>
      </c>
      <c r="B13" s="3">
        <f>$B$11</f>
        <v>1</v>
      </c>
      <c r="D13" s="46">
        <v>550</v>
      </c>
      <c r="E13" s="14" t="s">
        <v>219</v>
      </c>
      <c r="F13" s="3" t="s">
        <v>66</v>
      </c>
      <c r="G13" s="23" t="s">
        <v>154</v>
      </c>
      <c r="H13" s="23">
        <f ca="1">OFFSET(模型构建!$B$18,MATCH($F13,模型构建!$A$19:$A$25,0),)</f>
        <v>0</v>
      </c>
      <c r="I13" s="23"/>
      <c r="J13" s="3">
        <f t="shared" si="0"/>
        <v>1</v>
      </c>
      <c r="L13" s="3">
        <f t="shared" ca="1" si="1"/>
        <v>0.5</v>
      </c>
      <c r="N13" s="3">
        <v>8</v>
      </c>
      <c r="Q13" s="3" t="str">
        <f t="shared" ca="1" si="2"/>
        <v/>
      </c>
      <c r="R13" s="46">
        <f t="shared" ca="1" si="3"/>
        <v>473.2</v>
      </c>
      <c r="S13" s="14" t="str">
        <f t="shared" ca="1" si="4"/>
        <v>突刺目标，对其造成473.2%武器伤害。当你在目标背后时伤害提高２０％</v>
      </c>
      <c r="V13" s="14"/>
      <c r="AG13" s="24" t="s">
        <v>153</v>
      </c>
    </row>
    <row r="14" spans="1:34">
      <c r="D14" s="46">
        <v>1031.3</v>
      </c>
      <c r="E14" s="14" t="s">
        <v>220</v>
      </c>
      <c r="F14" s="3" t="s">
        <v>66</v>
      </c>
      <c r="G14" s="23" t="s">
        <v>155</v>
      </c>
      <c r="H14" s="23">
        <f ca="1">OFFSET(模型构建!$B$18,MATCH($F14,模型构建!$A$19:$A$25,0),)</f>
        <v>0</v>
      </c>
      <c r="I14" s="23"/>
      <c r="J14" s="3">
        <f t="shared" si="0"/>
        <v>1</v>
      </c>
      <c r="L14" s="3">
        <f t="shared" ca="1" si="1"/>
        <v>0.5</v>
      </c>
      <c r="N14" s="3">
        <v>15</v>
      </c>
      <c r="O14" s="3">
        <v>18</v>
      </c>
      <c r="P14" s="3">
        <v>2</v>
      </c>
      <c r="Q14" s="3">
        <f t="shared" ca="1" si="2"/>
        <v>74</v>
      </c>
      <c r="R14" s="46">
        <f t="shared" ca="1" si="3"/>
        <v>666</v>
      </c>
      <c r="S14" s="14" t="str">
        <f t="shared" ca="1" si="4"/>
        <v>对敌人施放锁喉，在１８秒内每周期对其造成74%攻击强度的流血伤害</v>
      </c>
      <c r="AG14" s="24" t="s">
        <v>166</v>
      </c>
    </row>
    <row r="15" spans="1:34">
      <c r="D15" s="46">
        <v>68.8</v>
      </c>
      <c r="E15" s="14" t="s">
        <v>221</v>
      </c>
      <c r="F15" s="3" t="s">
        <v>66</v>
      </c>
      <c r="G15" s="23" t="s">
        <v>157</v>
      </c>
      <c r="H15" s="23">
        <f ca="1">OFFSET(模型构建!$B$18,MATCH($F15,模型构建!$A$19:$A$25,0),)</f>
        <v>0</v>
      </c>
      <c r="I15" s="23"/>
      <c r="J15" s="3">
        <f t="shared" si="0"/>
        <v>1</v>
      </c>
      <c r="L15" s="3">
        <f t="shared" ca="1" si="1"/>
        <v>0.5</v>
      </c>
      <c r="N15" s="3">
        <v>1</v>
      </c>
      <c r="Q15" s="3" t="str">
        <f t="shared" ca="1" si="2"/>
        <v/>
      </c>
      <c r="R15" s="46">
        <f t="shared" ca="1" si="3"/>
        <v>68.599999999999994</v>
      </c>
      <c r="S15" s="14" t="str">
        <f t="shared" ca="1" si="4"/>
        <v>立即攻击，对目标造成68.6%武器伤害</v>
      </c>
      <c r="AG15" s="24" t="s">
        <v>158</v>
      </c>
    </row>
    <row r="16" spans="1:34">
      <c r="D16" s="46">
        <v>177.8</v>
      </c>
      <c r="E16" s="14" t="s">
        <v>222</v>
      </c>
      <c r="F16" s="3" t="s">
        <v>67</v>
      </c>
      <c r="G16" s="23" t="s">
        <v>160</v>
      </c>
      <c r="H16" s="23">
        <f ca="1">OFFSET(模型构建!$B$18,MATCH($F16,模型构建!$A$19:$A$25,0),)</f>
        <v>0</v>
      </c>
      <c r="I16" s="23"/>
      <c r="J16" s="3">
        <f t="shared" si="0"/>
        <v>1</v>
      </c>
      <c r="K16" s="3">
        <v>3</v>
      </c>
      <c r="L16" s="3">
        <f t="shared" ca="1" si="1"/>
        <v>0.5</v>
      </c>
      <c r="N16" s="3">
        <v>6</v>
      </c>
      <c r="Q16" s="3" t="str">
        <f t="shared" ca="1" si="2"/>
        <v/>
      </c>
      <c r="R16" s="46">
        <f t="shared" ca="1" si="3"/>
        <v>162.80000000000001</v>
      </c>
      <c r="S16" s="14" t="str">
        <f t="shared" ca="1" si="4"/>
        <v>发射多枚箭矢，对你的当前目标及８码范围内的所有敌人造成162.8%武器伤害</v>
      </c>
      <c r="AG16" s="24" t="s">
        <v>159</v>
      </c>
    </row>
    <row r="17" spans="4:33">
      <c r="D17" s="46">
        <v>600</v>
      </c>
      <c r="E17" s="14" t="s">
        <v>223</v>
      </c>
      <c r="F17" s="3" t="s">
        <v>67</v>
      </c>
      <c r="G17" s="23" t="s">
        <v>161</v>
      </c>
      <c r="H17" s="23">
        <f ca="1">OFFSET(模型构建!$B$18,MATCH($F17,模型构建!$A$19:$A$25,0),)</f>
        <v>0</v>
      </c>
      <c r="I17" s="23"/>
      <c r="J17" s="3">
        <f t="shared" si="0"/>
        <v>0</v>
      </c>
      <c r="L17" s="3">
        <f t="shared" ca="1" si="1"/>
        <v>0.5</v>
      </c>
      <c r="M17" s="3">
        <v>2</v>
      </c>
      <c r="Q17" s="3" t="str">
        <f t="shared" ca="1" si="2"/>
        <v/>
      </c>
      <c r="R17" s="46">
        <f t="shared" ca="1" si="3"/>
        <v>606.20000000000005</v>
      </c>
      <c r="S17" s="14" t="str">
        <f t="shared" ca="1" si="4"/>
        <v>一次强力的瞄准射击，造成606.2%武器伤害。如果目标尚未受到过你的伤害，则伤害提高５０％</v>
      </c>
      <c r="AG17" s="24" t="s">
        <v>162</v>
      </c>
    </row>
    <row r="18" spans="4:33">
      <c r="D18" s="46">
        <v>666.7</v>
      </c>
      <c r="E18" s="14" t="s">
        <v>224</v>
      </c>
      <c r="F18" s="3" t="s">
        <v>67</v>
      </c>
      <c r="G18" s="23" t="s">
        <v>163</v>
      </c>
      <c r="H18" s="23">
        <f ca="1">OFFSET(模型构建!$B$18,MATCH($F18,模型构建!$A$19:$A$25,0),)</f>
        <v>0</v>
      </c>
      <c r="I18" s="23"/>
      <c r="J18" s="3">
        <f t="shared" si="0"/>
        <v>1</v>
      </c>
      <c r="K18" s="3">
        <v>2</v>
      </c>
      <c r="L18" s="3">
        <f t="shared" ca="1" si="1"/>
        <v>0.5</v>
      </c>
      <c r="N18" s="3">
        <v>15</v>
      </c>
      <c r="Q18" s="3" t="str">
        <f t="shared" ca="1" si="2"/>
        <v/>
      </c>
      <c r="R18" s="46">
        <f t="shared" ca="1" si="3"/>
        <v>430.5</v>
      </c>
      <c r="S18" s="14" t="str">
        <f t="shared" ca="1" si="4"/>
        <v>一次双龙出海般的射击，攻击主要目标和附近的另一个目标，对其中一个造成430.5% 伤害，对另一个造成【计算伤害 - 自由分配值】％武器伤害</v>
      </c>
      <c r="AG18" s="24" t="s">
        <v>164</v>
      </c>
    </row>
    <row r="19" spans="4:33">
      <c r="D19" s="46">
        <v>3150</v>
      </c>
      <c r="E19" s="14" t="s">
        <v>225</v>
      </c>
      <c r="F19" s="3" t="s">
        <v>68</v>
      </c>
      <c r="G19" s="23" t="s">
        <v>165</v>
      </c>
      <c r="H19" s="23">
        <f ca="1">OFFSET(模型构建!$B$18,MATCH($F19,模型构建!$A$19:$A$25,0),)</f>
        <v>1</v>
      </c>
      <c r="I19" s="23"/>
      <c r="J19" s="3">
        <f t="shared" si="0"/>
        <v>1</v>
      </c>
      <c r="L19" s="3">
        <f t="shared" ca="1" si="1"/>
        <v>1</v>
      </c>
      <c r="O19" s="3">
        <v>14</v>
      </c>
      <c r="P19" s="3">
        <v>2</v>
      </c>
      <c r="Q19" s="3">
        <f t="shared" ca="1" si="2"/>
        <v>303.7</v>
      </c>
      <c r="R19" s="46">
        <f t="shared" ca="1" si="3"/>
        <v>2126.1</v>
      </c>
      <c r="S19" s="14" t="str">
        <f t="shared" ca="1" si="4"/>
        <v>腐蚀目标，在１４秒内每周期对其造成303.7%法术强度的伤害</v>
      </c>
      <c r="AG19" s="24" t="s">
        <v>167</v>
      </c>
    </row>
    <row r="20" spans="4:33">
      <c r="D20" s="46">
        <v>750</v>
      </c>
      <c r="E20" s="14" t="s">
        <v>226</v>
      </c>
      <c r="F20" s="3" t="s">
        <v>68</v>
      </c>
      <c r="G20" s="23" t="s">
        <v>168</v>
      </c>
      <c r="H20" s="23">
        <f ca="1">OFFSET(模型构建!$B$18,MATCH($F20,模型构建!$A$19:$A$25,0),)</f>
        <v>1</v>
      </c>
      <c r="I20" s="23"/>
      <c r="J20" s="3">
        <f t="shared" si="0"/>
        <v>0</v>
      </c>
      <c r="L20" s="3">
        <f t="shared" ca="1" si="1"/>
        <v>1</v>
      </c>
      <c r="M20" s="3">
        <v>2.5</v>
      </c>
      <c r="Q20" s="3" t="str">
        <f t="shared" ca="1" si="2"/>
        <v/>
      </c>
      <c r="R20" s="46">
        <f t="shared" ca="1" si="3"/>
        <v>762.2</v>
      </c>
      <c r="S20" s="14" t="str">
        <f t="shared" ca="1" si="4"/>
        <v>向敌人发射一支暗影箭，对其造成762.2%法术强度的伤害</v>
      </c>
      <c r="AG20" s="24" t="s">
        <v>169</v>
      </c>
    </row>
    <row r="21" spans="4:33">
      <c r="D21" s="46">
        <v>400</v>
      </c>
      <c r="E21" s="14" t="s">
        <v>227</v>
      </c>
      <c r="F21" s="3" t="s">
        <v>68</v>
      </c>
      <c r="G21" s="23" t="s">
        <v>170</v>
      </c>
      <c r="H21" s="23">
        <f ca="1">OFFSET(模型构建!$B$18,MATCH($F21,模型构建!$A$19:$A$25,0),)</f>
        <v>1</v>
      </c>
      <c r="I21" s="23"/>
      <c r="J21" s="3">
        <f t="shared" ca="1" si="0"/>
        <v>0</v>
      </c>
      <c r="K21" s="3">
        <v>6</v>
      </c>
      <c r="L21" s="3">
        <f t="shared" ca="1" si="1"/>
        <v>1</v>
      </c>
      <c r="M21" s="3">
        <f ca="1">O21</f>
        <v>8</v>
      </c>
      <c r="O21" s="3">
        <f ca="1">M21</f>
        <v>8</v>
      </c>
      <c r="P21" s="3">
        <v>1</v>
      </c>
      <c r="Q21" s="3">
        <f t="shared" ca="1" si="2"/>
        <v>59.3</v>
      </c>
      <c r="R21" s="46">
        <f t="shared" ca="1" si="3"/>
        <v>474.4</v>
      </c>
      <c r="S21" s="14" t="str">
        <f t="shared" ca="1" si="4"/>
        <v>地狱之火如雨般落下，在８秒内对范围内的敌人周期性的造成59.3%法术强度的火焰伤害</v>
      </c>
      <c r="AG21" s="24" t="s">
        <v>171</v>
      </c>
    </row>
    <row r="22" spans="4:33">
      <c r="D22" s="46">
        <v>309.39999999999998</v>
      </c>
      <c r="E22" s="14" t="s">
        <v>228</v>
      </c>
      <c r="F22" s="3" t="s">
        <v>69</v>
      </c>
      <c r="G22" s="23" t="s">
        <v>172</v>
      </c>
      <c r="H22" s="23">
        <f ca="1">OFFSET(模型构建!$B$18,MATCH($F22,模型构建!$A$19:$A$25,0),)</f>
        <v>0</v>
      </c>
      <c r="I22" s="23">
        <v>1</v>
      </c>
      <c r="J22" s="3">
        <f t="shared" si="0"/>
        <v>1</v>
      </c>
      <c r="L22" s="3">
        <f t="shared" ca="1" si="1"/>
        <v>0.5</v>
      </c>
      <c r="N22" s="3">
        <v>3</v>
      </c>
      <c r="Q22" s="3" t="str">
        <f t="shared" ca="1" si="2"/>
        <v/>
      </c>
      <c r="R22" s="46">
        <f t="shared" ca="1" si="3"/>
        <v>302.39999999999998</v>
      </c>
      <c r="S22" s="14" t="str">
        <f ca="1">REPLACEB(AG22,SEARCHB("?",AG22),2*LEN(AG22)-LENB(AG22),_xlfn.IFS($Q22="", $R22,TRUE,$Q22)&amp;$R$6)</f>
        <v>审判目标，造成302.4%法术强度的伤害</v>
      </c>
      <c r="AG22" s="38" t="s">
        <v>196</v>
      </c>
    </row>
    <row r="23" spans="4:33">
      <c r="D23" s="46">
        <v>103.1</v>
      </c>
      <c r="E23" s="14" t="s">
        <v>229</v>
      </c>
      <c r="F23" s="3" t="s">
        <v>69</v>
      </c>
      <c r="G23" s="23" t="s">
        <v>173</v>
      </c>
      <c r="H23" s="23">
        <f ca="1">OFFSET(模型构建!$B$18,MATCH($F23,模型构建!$A$19:$A$25,0),)</f>
        <v>0</v>
      </c>
      <c r="I23" s="23"/>
      <c r="J23" s="3">
        <f t="shared" si="0"/>
        <v>1</v>
      </c>
      <c r="K23" s="3">
        <v>6</v>
      </c>
      <c r="L23" s="3">
        <f t="shared" ca="1" si="1"/>
        <v>0.5</v>
      </c>
      <c r="O23" s="3">
        <v>9</v>
      </c>
      <c r="P23" s="3">
        <v>0.5</v>
      </c>
      <c r="Q23" s="3">
        <f t="shared" ca="1" si="2"/>
        <v>4.8</v>
      </c>
      <c r="R23" s="46">
        <f t="shared" ca="1" si="3"/>
        <v>85.6</v>
      </c>
      <c r="S23" s="14" t="str">
        <f t="shared" ref="S23:S27" ca="1" si="5">REPLACEB(AG23,SEARCHB("?",AG23),2*LEN(AG23)-LENB(AG23),_xlfn.IFS($Q23="", $R23,TRUE,$Q23)&amp;$R$6)</f>
        <v>将圣洁的能量灌入你脚下的土地，在９秒内对进入该区域的敌人周期性的造成4.8%攻击强度的伤害</v>
      </c>
      <c r="AG23" s="24" t="s">
        <v>174</v>
      </c>
    </row>
    <row r="24" spans="4:33">
      <c r="D24" s="46">
        <v>206.3</v>
      </c>
      <c r="E24" s="14" t="s">
        <v>230</v>
      </c>
      <c r="F24" s="3" t="s">
        <v>69</v>
      </c>
      <c r="G24" s="23" t="s">
        <v>175</v>
      </c>
      <c r="H24" s="23">
        <f ca="1">OFFSET(模型构建!$B$18,MATCH($F24,模型构建!$A$19:$A$25,0),)</f>
        <v>0</v>
      </c>
      <c r="I24" s="23"/>
      <c r="J24" s="3">
        <f t="shared" si="0"/>
        <v>1</v>
      </c>
      <c r="K24" s="3">
        <v>2</v>
      </c>
      <c r="L24" s="3">
        <f t="shared" ca="1" si="1"/>
        <v>0.5</v>
      </c>
      <c r="N24" s="3">
        <v>6</v>
      </c>
      <c r="Q24" s="3" t="str">
        <f t="shared" ca="1" si="2"/>
        <v/>
      </c>
      <c r="R24" s="46">
        <f t="shared" ca="1" si="3"/>
        <v>188.9</v>
      </c>
      <c r="S24" s="14" t="str">
        <f t="shared" ca="1" si="5"/>
        <v>攻击目标，造成188.9%武器伤害。可以使用２次</v>
      </c>
      <c r="AG24" s="24" t="s">
        <v>176</v>
      </c>
    </row>
    <row r="25" spans="4:33">
      <c r="D25" s="46">
        <v>300</v>
      </c>
      <c r="E25" s="14" t="s">
        <v>231</v>
      </c>
      <c r="F25" s="3" t="s">
        <v>70</v>
      </c>
      <c r="G25" s="23" t="s">
        <v>177</v>
      </c>
      <c r="H25" s="23">
        <f ca="1">OFFSET(模型构建!$B$18,MATCH($F25,模型构建!$A$19:$A$25,0),)</f>
        <v>1</v>
      </c>
      <c r="I25" s="23"/>
      <c r="J25" s="3">
        <f t="shared" si="0"/>
        <v>0</v>
      </c>
      <c r="L25" s="3">
        <f t="shared" ca="1" si="1"/>
        <v>1</v>
      </c>
      <c r="M25" s="3">
        <v>1</v>
      </c>
      <c r="Q25" s="3" t="str">
        <f t="shared" ca="1" si="2"/>
        <v/>
      </c>
      <c r="R25" s="46">
        <f t="shared" ca="1" si="3"/>
        <v>300.8</v>
      </c>
      <c r="S25" s="14" t="str">
        <f t="shared" ca="1" si="5"/>
        <v>惩击一名敌人，造成300.8%法术强度的伤害，并有２０％几率重置神圣之火的冷却时间</v>
      </c>
      <c r="AG25" s="24" t="s">
        <v>178</v>
      </c>
    </row>
    <row r="26" spans="4:33">
      <c r="D26" s="46">
        <v>1666.7</v>
      </c>
      <c r="E26" s="14" t="s">
        <v>232</v>
      </c>
      <c r="F26" s="3" t="s">
        <v>70</v>
      </c>
      <c r="G26" s="23" t="s">
        <v>179</v>
      </c>
      <c r="H26" s="23">
        <f ca="1">OFFSET(模型构建!$B$18,MATCH($F26,模型构建!$A$19:$A$25,0),)</f>
        <v>1</v>
      </c>
      <c r="I26" s="23"/>
      <c r="J26" s="3">
        <f t="shared" si="0"/>
        <v>1</v>
      </c>
      <c r="L26" s="3">
        <f t="shared" ca="1" si="1"/>
        <v>1</v>
      </c>
      <c r="N26" s="3">
        <v>10</v>
      </c>
      <c r="Q26" s="3" t="str">
        <f t="shared" ca="1" si="2"/>
        <v/>
      </c>
      <c r="R26" s="46">
        <f t="shared" ca="1" si="3"/>
        <v>1331.5</v>
      </c>
      <c r="S26" s="14" t="str">
        <f t="shared" ca="1" si="5"/>
        <v>神圣的烈焰吞噬敌人，对其造成1331.5%法术强度的伤害</v>
      </c>
      <c r="AG26" s="24" t="s">
        <v>180</v>
      </c>
    </row>
    <row r="27" spans="4:33">
      <c r="D27" s="46">
        <v>1666.7</v>
      </c>
      <c r="E27" s="14" t="s">
        <v>233</v>
      </c>
      <c r="F27" s="3" t="s">
        <v>70</v>
      </c>
      <c r="G27" s="23" t="s">
        <v>181</v>
      </c>
      <c r="H27" s="23">
        <f ca="1">OFFSET(模型构建!$B$18,MATCH($F27,模型构建!$A$19:$A$25,0),)</f>
        <v>1</v>
      </c>
      <c r="I27" s="23"/>
      <c r="J27" s="3">
        <f t="shared" si="0"/>
        <v>1</v>
      </c>
      <c r="L27" s="3">
        <f t="shared" ca="1" si="1"/>
        <v>1</v>
      </c>
      <c r="N27" s="3">
        <f>N26</f>
        <v>10</v>
      </c>
      <c r="O27" s="3">
        <v>7</v>
      </c>
      <c r="P27" s="3">
        <v>1</v>
      </c>
      <c r="Q27" s="3">
        <f t="shared" ca="1" si="2"/>
        <v>190.2</v>
      </c>
      <c r="R27" s="46">
        <f t="shared" ca="1" si="3"/>
        <v>1331.5</v>
      </c>
      <c r="S27" s="14" t="str">
        <f t="shared" ca="1" si="5"/>
        <v>神圣的烈焰吞噬敌人，在７秒内周期性的造成190.2%法术强度的伤害</v>
      </c>
      <c r="AG27" s="24" t="s">
        <v>182</v>
      </c>
    </row>
    <row r="29" spans="4:33">
      <c r="J29" s="23"/>
    </row>
    <row r="34" spans="6:17">
      <c r="F34" s="43" t="s">
        <v>31</v>
      </c>
      <c r="G34" s="8">
        <f>$B$1</f>
        <v>3</v>
      </c>
    </row>
    <row r="35" spans="6:17">
      <c r="F35" s="43" t="s">
        <v>198</v>
      </c>
      <c r="G35" s="8">
        <v>6.2E-2</v>
      </c>
    </row>
    <row r="36" spans="6:17">
      <c r="N36" s="43" t="s">
        <v>209</v>
      </c>
    </row>
    <row r="37" spans="6:17">
      <c r="H37" s="42" t="s">
        <v>200</v>
      </c>
      <c r="I37" s="42" t="s">
        <v>200</v>
      </c>
      <c r="K37" s="42" t="s">
        <v>200</v>
      </c>
      <c r="N37" s="42" t="s">
        <v>200</v>
      </c>
      <c r="P37" s="42" t="s">
        <v>200</v>
      </c>
    </row>
    <row r="38" spans="6:17">
      <c r="F38" s="43" t="s">
        <v>199</v>
      </c>
      <c r="G38" s="43" t="s">
        <v>208</v>
      </c>
      <c r="H38" s="43" t="s">
        <v>203</v>
      </c>
      <c r="I38" s="44" t="s">
        <v>202</v>
      </c>
      <c r="J38" s="43" t="s">
        <v>205</v>
      </c>
      <c r="K38" s="44" t="s">
        <v>204</v>
      </c>
      <c r="L38" s="43" t="s">
        <v>205</v>
      </c>
      <c r="M38" s="18"/>
      <c r="N38" s="45" t="s">
        <v>206</v>
      </c>
      <c r="O38" s="43" t="s">
        <v>205</v>
      </c>
      <c r="P38" s="45" t="s">
        <v>207</v>
      </c>
      <c r="Q38" s="43" t="s">
        <v>205</v>
      </c>
    </row>
    <row r="39" spans="6:17">
      <c r="F39" s="3">
        <f>G39/模型构建!$B$3</f>
        <v>0.02</v>
      </c>
      <c r="G39" s="3">
        <v>0.5</v>
      </c>
      <c r="H39" s="3">
        <f>$G$34*G39</f>
        <v>1.5</v>
      </c>
      <c r="I39" s="3">
        <f>ROUND(TANH($G$35*G39)/$G$35*$G$34,2)</f>
        <v>1.5</v>
      </c>
      <c r="J39" s="47">
        <f>ROUND( I39/H39,3)</f>
        <v>1</v>
      </c>
      <c r="K39" s="3">
        <f>ROUND((TANH($G$35*G39)-POWER(TANH($G$35*G39),3)/3)/$G$35*$G$34,2)</f>
        <v>1.5</v>
      </c>
      <c r="L39" s="47">
        <f>ROUND( K39/H39,3)</f>
        <v>1</v>
      </c>
      <c r="N39" s="3">
        <f>ROUND(((SINH(2*$G$35*$G39)/4)/$G$35+$G39/2)*$G$34,2)</f>
        <v>1.5</v>
      </c>
      <c r="O39" s="47">
        <f>ROUND( N39/H39,3)</f>
        <v>1</v>
      </c>
      <c r="P39" s="3">
        <f>ROUND(((SINH(2*$G$35*$G39)/4+SINH(4*$G$35*$G39)/32)/$G$35+3*$G39/8)*$G$34,2)</f>
        <v>1.5</v>
      </c>
      <c r="Q39" s="47">
        <f>ROUND( P39/H39,3)</f>
        <v>1</v>
      </c>
    </row>
    <row r="40" spans="6:17">
      <c r="F40" s="3">
        <f>G40/模型构建!$B$3</f>
        <v>0.04</v>
      </c>
      <c r="G40" s="3">
        <v>1</v>
      </c>
      <c r="H40" s="3">
        <f>$G$34*G40</f>
        <v>3</v>
      </c>
      <c r="I40" s="3">
        <f t="shared" ref="I40:I61" si="6">ROUND(TANH($G$35*G40)/$G$35*$G$34,2)</f>
        <v>3</v>
      </c>
      <c r="J40" s="47">
        <f t="shared" ref="J40:J61" si="7">ROUND( I40/H40,3)</f>
        <v>1</v>
      </c>
      <c r="K40" s="3">
        <f t="shared" ref="K40:K61" si="8">ROUND((TANH($G$35*G40)-POWER(TANH($G$35*G40),3)/3)/$G$35*$G$34,2)</f>
        <v>2.99</v>
      </c>
      <c r="L40" s="47">
        <f t="shared" ref="L40:L61" si="9">ROUND( K40/H40,3)</f>
        <v>0.997</v>
      </c>
      <c r="N40" s="3">
        <f t="shared" ref="N40:N61" si="10">ROUND(((SINH(2*$G$35*$G40)/4)/$G$35+$G40/2)*$G$34,2)</f>
        <v>3</v>
      </c>
      <c r="O40" s="47">
        <f t="shared" ref="O40:O61" si="11">ROUND( N40/H40,3)</f>
        <v>1</v>
      </c>
      <c r="P40" s="3">
        <f t="shared" ref="P40:P61" si="12">ROUND(((SINH(2*$G$35*$G40)/4+SINH(4*$G$35*$G40)/32)/$G$35+3*$G40/8)*$G$34,2)</f>
        <v>3.01</v>
      </c>
      <c r="Q40" s="47">
        <f t="shared" ref="Q40:Q61" si="13">ROUND( P40/H40,3)</f>
        <v>1.0029999999999999</v>
      </c>
    </row>
    <row r="41" spans="6:17">
      <c r="F41" s="3">
        <f>G41/模型构建!$B$3</f>
        <v>0.06</v>
      </c>
      <c r="G41" s="3">
        <v>1.5</v>
      </c>
      <c r="H41" s="3">
        <f>$G$34*G41</f>
        <v>4.5</v>
      </c>
      <c r="I41" s="3">
        <f t="shared" si="6"/>
        <v>4.49</v>
      </c>
      <c r="J41" s="47">
        <f t="shared" si="7"/>
        <v>0.998</v>
      </c>
      <c r="K41" s="3">
        <f t="shared" si="8"/>
        <v>4.47</v>
      </c>
      <c r="L41" s="47">
        <f t="shared" si="9"/>
        <v>0.99299999999999999</v>
      </c>
      <c r="N41" s="3">
        <f t="shared" si="10"/>
        <v>4.51</v>
      </c>
      <c r="O41" s="47">
        <f t="shared" si="11"/>
        <v>1.002</v>
      </c>
      <c r="P41" s="3">
        <f t="shared" si="12"/>
        <v>4.53</v>
      </c>
      <c r="Q41" s="47">
        <f t="shared" si="13"/>
        <v>1.0069999999999999</v>
      </c>
    </row>
    <row r="42" spans="6:17">
      <c r="F42" s="3">
        <f>G42/模型构建!$B$3</f>
        <v>0.08</v>
      </c>
      <c r="G42" s="3">
        <v>2</v>
      </c>
      <c r="H42" s="3">
        <f>$G$34*G42</f>
        <v>6</v>
      </c>
      <c r="I42" s="3">
        <f t="shared" si="6"/>
        <v>5.97</v>
      </c>
      <c r="J42" s="47">
        <f t="shared" si="7"/>
        <v>0.995</v>
      </c>
      <c r="K42" s="3">
        <f t="shared" si="8"/>
        <v>5.94</v>
      </c>
      <c r="L42" s="47">
        <f t="shared" si="9"/>
        <v>0.99</v>
      </c>
      <c r="N42" s="3">
        <f t="shared" si="10"/>
        <v>6.03</v>
      </c>
      <c r="O42" s="47">
        <f t="shared" si="11"/>
        <v>1.0049999999999999</v>
      </c>
      <c r="P42" s="3">
        <f t="shared" si="12"/>
        <v>6.06</v>
      </c>
      <c r="Q42" s="47">
        <f t="shared" si="13"/>
        <v>1.01</v>
      </c>
    </row>
    <row r="43" spans="6:17">
      <c r="F43" s="3">
        <f>G43/模型构建!$B$3</f>
        <v>0.1</v>
      </c>
      <c r="G43" s="3">
        <v>2.5</v>
      </c>
      <c r="H43" s="3">
        <f>$G$34*G43</f>
        <v>7.5</v>
      </c>
      <c r="I43" s="3">
        <f t="shared" si="6"/>
        <v>7.44</v>
      </c>
      <c r="J43" s="47">
        <f t="shared" si="7"/>
        <v>0.99199999999999999</v>
      </c>
      <c r="K43" s="3">
        <f t="shared" si="8"/>
        <v>7.38</v>
      </c>
      <c r="L43" s="47">
        <f t="shared" si="9"/>
        <v>0.98399999999999999</v>
      </c>
      <c r="N43" s="3">
        <f t="shared" si="10"/>
        <v>7.56</v>
      </c>
      <c r="O43" s="47">
        <f t="shared" si="11"/>
        <v>1.008</v>
      </c>
      <c r="P43" s="3">
        <f t="shared" si="12"/>
        <v>7.62</v>
      </c>
      <c r="Q43" s="47">
        <f t="shared" si="13"/>
        <v>1.016</v>
      </c>
    </row>
    <row r="44" spans="6:17">
      <c r="F44" s="3">
        <f>G44/模型构建!$B$3</f>
        <v>0.12</v>
      </c>
      <c r="G44" s="3">
        <v>3</v>
      </c>
      <c r="H44" s="3">
        <f>$G$34*G44</f>
        <v>9</v>
      </c>
      <c r="I44" s="3">
        <f t="shared" si="6"/>
        <v>8.9</v>
      </c>
      <c r="J44" s="47">
        <f t="shared" si="7"/>
        <v>0.98899999999999999</v>
      </c>
      <c r="K44" s="3">
        <f t="shared" si="8"/>
        <v>8.8000000000000007</v>
      </c>
      <c r="L44" s="47">
        <f t="shared" si="9"/>
        <v>0.97799999999999998</v>
      </c>
      <c r="N44" s="3">
        <f t="shared" si="10"/>
        <v>9.1</v>
      </c>
      <c r="O44" s="47">
        <f t="shared" si="11"/>
        <v>1.0109999999999999</v>
      </c>
      <c r="P44" s="3">
        <f t="shared" si="12"/>
        <v>9.2100000000000009</v>
      </c>
      <c r="Q44" s="47">
        <f t="shared" si="13"/>
        <v>1.0229999999999999</v>
      </c>
    </row>
    <row r="45" spans="6:17">
      <c r="F45" s="46">
        <f>G45/模型构建!$B$3</f>
        <v>0.14000000000000001</v>
      </c>
      <c r="G45" s="46">
        <v>3.5</v>
      </c>
      <c r="H45" s="3">
        <f>$G$34*G45</f>
        <v>10.5</v>
      </c>
      <c r="I45" s="3">
        <f t="shared" si="6"/>
        <v>10.34</v>
      </c>
      <c r="J45" s="47">
        <f t="shared" si="7"/>
        <v>0.98499999999999999</v>
      </c>
      <c r="K45" s="3">
        <f t="shared" si="8"/>
        <v>10.18</v>
      </c>
      <c r="L45" s="47">
        <f t="shared" si="9"/>
        <v>0.97</v>
      </c>
      <c r="N45" s="3">
        <f t="shared" si="10"/>
        <v>10.67</v>
      </c>
      <c r="O45" s="47">
        <f t="shared" si="11"/>
        <v>1.016</v>
      </c>
      <c r="P45" s="3">
        <f t="shared" si="12"/>
        <v>10.84</v>
      </c>
      <c r="Q45" s="47">
        <f t="shared" si="13"/>
        <v>1.032</v>
      </c>
    </row>
    <row r="46" spans="6:17">
      <c r="F46" s="3">
        <f>G46/模型构建!$B$3</f>
        <v>0.16</v>
      </c>
      <c r="G46" s="3">
        <v>4</v>
      </c>
      <c r="H46" s="3">
        <f>$G$34*G46</f>
        <v>12</v>
      </c>
      <c r="I46" s="3">
        <f t="shared" si="6"/>
        <v>11.76</v>
      </c>
      <c r="J46" s="47">
        <f t="shared" si="7"/>
        <v>0.98</v>
      </c>
      <c r="K46" s="3">
        <f t="shared" si="8"/>
        <v>11.53</v>
      </c>
      <c r="L46" s="47">
        <f t="shared" si="9"/>
        <v>0.96099999999999997</v>
      </c>
      <c r="N46" s="3">
        <f t="shared" si="10"/>
        <v>12.25</v>
      </c>
      <c r="O46" s="47">
        <f t="shared" si="11"/>
        <v>1.0209999999999999</v>
      </c>
      <c r="P46" s="3">
        <f t="shared" si="12"/>
        <v>12.51</v>
      </c>
      <c r="Q46" s="47">
        <f t="shared" si="13"/>
        <v>1.0429999999999999</v>
      </c>
    </row>
    <row r="47" spans="6:17">
      <c r="F47" s="3">
        <f>G47/模型构建!$B$3</f>
        <v>0.18</v>
      </c>
      <c r="G47" s="3">
        <v>4.5</v>
      </c>
      <c r="H47" s="3">
        <f>$G$34*G47</f>
        <v>13.5</v>
      </c>
      <c r="I47" s="3">
        <f t="shared" si="6"/>
        <v>13.16</v>
      </c>
      <c r="J47" s="47">
        <f t="shared" si="7"/>
        <v>0.97499999999999998</v>
      </c>
      <c r="K47" s="3">
        <f t="shared" si="8"/>
        <v>12.84</v>
      </c>
      <c r="L47" s="47">
        <f t="shared" si="9"/>
        <v>0.95099999999999996</v>
      </c>
      <c r="N47" s="3">
        <f t="shared" si="10"/>
        <v>13.86</v>
      </c>
      <c r="O47" s="47">
        <f t="shared" si="11"/>
        <v>1.0269999999999999</v>
      </c>
      <c r="P47" s="3">
        <f t="shared" si="12"/>
        <v>14.23</v>
      </c>
      <c r="Q47" s="47">
        <f t="shared" si="13"/>
        <v>1.054</v>
      </c>
    </row>
    <row r="48" spans="6:17">
      <c r="F48" s="3">
        <f>G48/模型构建!$B$3</f>
        <v>0.2</v>
      </c>
      <c r="G48" s="3">
        <v>5</v>
      </c>
      <c r="H48" s="3">
        <f>$G$34*G48</f>
        <v>15</v>
      </c>
      <c r="I48" s="3">
        <f t="shared" si="6"/>
        <v>14.54</v>
      </c>
      <c r="J48" s="47">
        <f t="shared" si="7"/>
        <v>0.96899999999999997</v>
      </c>
      <c r="K48" s="3">
        <f t="shared" si="8"/>
        <v>14.1</v>
      </c>
      <c r="L48" s="47">
        <f t="shared" si="9"/>
        <v>0.94</v>
      </c>
      <c r="N48" s="3">
        <f t="shared" si="10"/>
        <v>15.49</v>
      </c>
      <c r="O48" s="47">
        <f t="shared" si="11"/>
        <v>1.0329999999999999</v>
      </c>
      <c r="P48" s="3">
        <f t="shared" si="12"/>
        <v>16.010000000000002</v>
      </c>
      <c r="Q48" s="47">
        <f t="shared" si="13"/>
        <v>1.0669999999999999</v>
      </c>
    </row>
    <row r="49" spans="6:17">
      <c r="F49" s="3">
        <f>G49/模型构建!$B$3</f>
        <v>0.22</v>
      </c>
      <c r="G49" s="3">
        <v>5.5</v>
      </c>
      <c r="H49" s="3">
        <f>$G$34*G49</f>
        <v>16.5</v>
      </c>
      <c r="I49" s="3">
        <f t="shared" si="6"/>
        <v>15.89</v>
      </c>
      <c r="J49" s="47">
        <f t="shared" si="7"/>
        <v>0.96299999999999997</v>
      </c>
      <c r="K49" s="3">
        <f t="shared" si="8"/>
        <v>15.32</v>
      </c>
      <c r="L49" s="47">
        <f t="shared" si="9"/>
        <v>0.92800000000000005</v>
      </c>
      <c r="N49" s="3">
        <f t="shared" si="10"/>
        <v>17.149999999999999</v>
      </c>
      <c r="O49" s="47">
        <f t="shared" si="11"/>
        <v>1.0389999999999999</v>
      </c>
      <c r="P49" s="3">
        <f t="shared" si="12"/>
        <v>17.86</v>
      </c>
      <c r="Q49" s="47">
        <f t="shared" si="13"/>
        <v>1.0820000000000001</v>
      </c>
    </row>
    <row r="50" spans="6:17">
      <c r="F50" s="3">
        <f>G50/模型构建!$B$3</f>
        <v>0.24</v>
      </c>
      <c r="G50" s="3">
        <v>6</v>
      </c>
      <c r="H50" s="3">
        <f>$G$34*G50</f>
        <v>18</v>
      </c>
      <c r="I50" s="3">
        <f t="shared" si="6"/>
        <v>17.21</v>
      </c>
      <c r="J50" s="47">
        <f t="shared" si="7"/>
        <v>0.95599999999999996</v>
      </c>
      <c r="K50" s="3">
        <f t="shared" si="8"/>
        <v>16.489999999999998</v>
      </c>
      <c r="L50" s="47">
        <f t="shared" si="9"/>
        <v>0.91600000000000004</v>
      </c>
      <c r="N50" s="3">
        <f t="shared" si="10"/>
        <v>18.850000000000001</v>
      </c>
      <c r="O50" s="47">
        <f t="shared" si="11"/>
        <v>1.0469999999999999</v>
      </c>
      <c r="P50" s="3">
        <f t="shared" si="12"/>
        <v>19.78</v>
      </c>
      <c r="Q50" s="47">
        <f t="shared" si="13"/>
        <v>1.099</v>
      </c>
    </row>
    <row r="51" spans="6:17">
      <c r="F51" s="3">
        <f>G51/模型构建!$B$3</f>
        <v>0.26</v>
      </c>
      <c r="G51" s="3">
        <v>6.5</v>
      </c>
      <c r="H51" s="3">
        <f>$G$34*G51</f>
        <v>19.5</v>
      </c>
      <c r="I51" s="3">
        <f t="shared" si="6"/>
        <v>18.510000000000002</v>
      </c>
      <c r="J51" s="47">
        <f t="shared" si="7"/>
        <v>0.94899999999999995</v>
      </c>
      <c r="K51" s="3">
        <f t="shared" si="8"/>
        <v>17.61</v>
      </c>
      <c r="L51" s="47">
        <f t="shared" si="9"/>
        <v>0.90300000000000002</v>
      </c>
      <c r="N51" s="3">
        <f t="shared" si="10"/>
        <v>20.59</v>
      </c>
      <c r="O51" s="47">
        <f t="shared" si="11"/>
        <v>1.056</v>
      </c>
      <c r="P51" s="3">
        <f t="shared" si="12"/>
        <v>21.79</v>
      </c>
      <c r="Q51" s="47">
        <f t="shared" si="13"/>
        <v>1.117</v>
      </c>
    </row>
    <row r="52" spans="6:17">
      <c r="F52" s="3">
        <f>G52/模型构建!$B$3</f>
        <v>0.28000000000000003</v>
      </c>
      <c r="G52" s="3">
        <v>7</v>
      </c>
      <c r="H52" s="3">
        <f>$G$34*G52</f>
        <v>21</v>
      </c>
      <c r="I52" s="3">
        <f t="shared" si="6"/>
        <v>19.77</v>
      </c>
      <c r="J52" s="47">
        <f t="shared" si="7"/>
        <v>0.94099999999999995</v>
      </c>
      <c r="K52" s="3">
        <f t="shared" si="8"/>
        <v>18.670000000000002</v>
      </c>
      <c r="L52" s="47">
        <f t="shared" si="9"/>
        <v>0.88900000000000001</v>
      </c>
      <c r="N52" s="3">
        <f t="shared" si="10"/>
        <v>22.37</v>
      </c>
      <c r="O52" s="47">
        <f t="shared" si="11"/>
        <v>1.0649999999999999</v>
      </c>
      <c r="P52" s="3">
        <f t="shared" si="12"/>
        <v>23.9</v>
      </c>
      <c r="Q52" s="47">
        <f t="shared" si="13"/>
        <v>1.1379999999999999</v>
      </c>
    </row>
    <row r="53" spans="6:17">
      <c r="F53" s="3">
        <f>G53/模型构建!$B$3</f>
        <v>0.3</v>
      </c>
      <c r="G53" s="3">
        <v>7.5</v>
      </c>
      <c r="H53" s="3">
        <f>$G$34*G53</f>
        <v>22.5</v>
      </c>
      <c r="I53" s="3">
        <f t="shared" si="6"/>
        <v>21.01</v>
      </c>
      <c r="J53" s="47">
        <f t="shared" si="7"/>
        <v>0.93400000000000005</v>
      </c>
      <c r="K53" s="3">
        <f t="shared" si="8"/>
        <v>19.690000000000001</v>
      </c>
      <c r="L53" s="47">
        <f t="shared" si="9"/>
        <v>0.875</v>
      </c>
      <c r="N53" s="3">
        <f t="shared" si="10"/>
        <v>24.19</v>
      </c>
      <c r="O53" s="47">
        <f t="shared" si="11"/>
        <v>1.075</v>
      </c>
      <c r="P53" s="3">
        <f t="shared" si="12"/>
        <v>26.12</v>
      </c>
      <c r="Q53" s="47">
        <f t="shared" si="13"/>
        <v>1.161</v>
      </c>
    </row>
    <row r="54" spans="6:17">
      <c r="F54" s="3">
        <f>G54/模型构建!$B$3</f>
        <v>0.32</v>
      </c>
      <c r="G54" s="3">
        <v>8</v>
      </c>
      <c r="H54" s="3">
        <f>$G$34*G54</f>
        <v>24</v>
      </c>
      <c r="I54" s="3">
        <f t="shared" si="6"/>
        <v>22.21</v>
      </c>
      <c r="J54" s="47">
        <f t="shared" si="7"/>
        <v>0.92500000000000004</v>
      </c>
      <c r="K54" s="3">
        <f t="shared" si="8"/>
        <v>20.65</v>
      </c>
      <c r="L54" s="47">
        <f t="shared" si="9"/>
        <v>0.86</v>
      </c>
      <c r="N54" s="3">
        <f t="shared" si="10"/>
        <v>26.07</v>
      </c>
      <c r="O54" s="47">
        <f t="shared" si="11"/>
        <v>1.0860000000000001</v>
      </c>
      <c r="P54" s="3">
        <f t="shared" si="12"/>
        <v>28.46</v>
      </c>
      <c r="Q54" s="47">
        <f t="shared" si="13"/>
        <v>1.1859999999999999</v>
      </c>
    </row>
    <row r="55" spans="6:17">
      <c r="F55" s="3">
        <f>G55/模型构建!$B$3</f>
        <v>0.34</v>
      </c>
      <c r="G55" s="3">
        <v>8.5</v>
      </c>
      <c r="H55" s="3">
        <f>$G$34*G55</f>
        <v>25.5</v>
      </c>
      <c r="I55" s="3">
        <f t="shared" si="6"/>
        <v>23.38</v>
      </c>
      <c r="J55" s="47">
        <f t="shared" si="7"/>
        <v>0.91700000000000004</v>
      </c>
      <c r="K55" s="3">
        <f t="shared" si="8"/>
        <v>21.56</v>
      </c>
      <c r="L55" s="47">
        <f t="shared" si="9"/>
        <v>0.84499999999999997</v>
      </c>
      <c r="N55" s="3">
        <f t="shared" si="10"/>
        <v>28</v>
      </c>
      <c r="O55" s="47">
        <f t="shared" si="11"/>
        <v>1.0980000000000001</v>
      </c>
      <c r="P55" s="3">
        <f t="shared" si="12"/>
        <v>30.94</v>
      </c>
      <c r="Q55" s="47">
        <f t="shared" si="13"/>
        <v>1.2130000000000001</v>
      </c>
    </row>
    <row r="56" spans="6:17">
      <c r="F56" s="3">
        <f>G56/模型构建!$B$3</f>
        <v>0.36</v>
      </c>
      <c r="G56" s="3">
        <v>9</v>
      </c>
      <c r="H56" s="3">
        <f>$G$34*G56</f>
        <v>27</v>
      </c>
      <c r="I56" s="3">
        <f t="shared" si="6"/>
        <v>24.51</v>
      </c>
      <c r="J56" s="47">
        <f t="shared" si="7"/>
        <v>0.90800000000000003</v>
      </c>
      <c r="K56" s="3">
        <f t="shared" si="8"/>
        <v>22.41</v>
      </c>
      <c r="L56" s="47">
        <f t="shared" si="9"/>
        <v>0.83</v>
      </c>
      <c r="N56" s="3">
        <f t="shared" si="10"/>
        <v>29.98</v>
      </c>
      <c r="O56" s="47">
        <f t="shared" si="11"/>
        <v>1.1100000000000001</v>
      </c>
      <c r="P56" s="3">
        <f t="shared" si="12"/>
        <v>33.57</v>
      </c>
      <c r="Q56" s="47">
        <f t="shared" si="13"/>
        <v>1.2430000000000001</v>
      </c>
    </row>
    <row r="57" spans="6:17">
      <c r="F57" s="3">
        <f>G57/模型构建!$B$3</f>
        <v>0.38</v>
      </c>
      <c r="G57" s="3">
        <v>9.5</v>
      </c>
      <c r="H57" s="3">
        <f>$G$34*G57</f>
        <v>28.5</v>
      </c>
      <c r="I57" s="3">
        <f t="shared" si="6"/>
        <v>25.61</v>
      </c>
      <c r="J57" s="47">
        <f t="shared" si="7"/>
        <v>0.89900000000000002</v>
      </c>
      <c r="K57" s="3">
        <f t="shared" si="8"/>
        <v>23.22</v>
      </c>
      <c r="L57" s="47">
        <f t="shared" si="9"/>
        <v>0.81499999999999995</v>
      </c>
      <c r="N57" s="3">
        <f t="shared" si="10"/>
        <v>32.03</v>
      </c>
      <c r="O57" s="47">
        <f t="shared" si="11"/>
        <v>1.1240000000000001</v>
      </c>
      <c r="P57" s="3">
        <f t="shared" si="12"/>
        <v>36.369999999999997</v>
      </c>
      <c r="Q57" s="47">
        <f t="shared" si="13"/>
        <v>1.276</v>
      </c>
    </row>
    <row r="58" spans="6:17">
      <c r="F58" s="3">
        <f>G58/模型构建!$B$3</f>
        <v>0.4</v>
      </c>
      <c r="G58" s="3">
        <v>10</v>
      </c>
      <c r="H58" s="3">
        <f>$G$34*G58</f>
        <v>30</v>
      </c>
      <c r="I58" s="3">
        <f t="shared" si="6"/>
        <v>26.67</v>
      </c>
      <c r="J58" s="47">
        <f t="shared" si="7"/>
        <v>0.88900000000000001</v>
      </c>
      <c r="K58" s="3">
        <f t="shared" si="8"/>
        <v>23.97</v>
      </c>
      <c r="L58" s="47">
        <f t="shared" si="9"/>
        <v>0.79900000000000004</v>
      </c>
      <c r="N58" s="3">
        <f t="shared" si="10"/>
        <v>34.15</v>
      </c>
      <c r="O58" s="47">
        <f t="shared" si="11"/>
        <v>1.1379999999999999</v>
      </c>
      <c r="P58" s="3">
        <f t="shared" si="12"/>
        <v>39.369999999999997</v>
      </c>
      <c r="Q58" s="47">
        <f t="shared" si="13"/>
        <v>1.3120000000000001</v>
      </c>
    </row>
    <row r="59" spans="6:17">
      <c r="F59" s="3">
        <f>G59/模型构建!$B$3</f>
        <v>0.6</v>
      </c>
      <c r="G59" s="3">
        <v>15</v>
      </c>
      <c r="H59" s="3">
        <f>$G$34*G59</f>
        <v>45</v>
      </c>
      <c r="I59" s="3">
        <f t="shared" si="6"/>
        <v>35.35</v>
      </c>
      <c r="J59" s="47">
        <f t="shared" si="7"/>
        <v>0.78600000000000003</v>
      </c>
      <c r="K59" s="3">
        <f t="shared" si="8"/>
        <v>29.06</v>
      </c>
      <c r="L59" s="47">
        <f t="shared" si="9"/>
        <v>0.64600000000000002</v>
      </c>
      <c r="N59" s="3">
        <f t="shared" si="10"/>
        <v>60.41</v>
      </c>
      <c r="O59" s="47">
        <f t="shared" si="11"/>
        <v>1.3420000000000001</v>
      </c>
      <c r="P59" s="3">
        <f t="shared" si="12"/>
        <v>85.97</v>
      </c>
      <c r="Q59" s="47">
        <f t="shared" si="13"/>
        <v>1.91</v>
      </c>
    </row>
    <row r="60" spans="6:17">
      <c r="F60" s="3">
        <f>G60/模型构建!$B$3</f>
        <v>0.8</v>
      </c>
      <c r="G60" s="3">
        <v>20</v>
      </c>
      <c r="H60" s="3">
        <f>$G$34*G60</f>
        <v>60</v>
      </c>
      <c r="I60" s="3">
        <f t="shared" si="6"/>
        <v>40.909999999999997</v>
      </c>
      <c r="J60" s="47">
        <f t="shared" si="7"/>
        <v>0.68200000000000005</v>
      </c>
      <c r="K60" s="3">
        <f t="shared" si="8"/>
        <v>31.16</v>
      </c>
      <c r="L60" s="47">
        <f t="shared" si="9"/>
        <v>0.51900000000000002</v>
      </c>
      <c r="N60" s="3">
        <f t="shared" si="10"/>
        <v>101.72</v>
      </c>
      <c r="O60" s="47">
        <f t="shared" si="11"/>
        <v>1.6950000000000001</v>
      </c>
      <c r="P60" s="3">
        <f t="shared" si="12"/>
        <v>202.02</v>
      </c>
      <c r="Q60" s="47">
        <f t="shared" si="13"/>
        <v>3.367</v>
      </c>
    </row>
    <row r="61" spans="6:17">
      <c r="F61" s="3">
        <f>G61/模型构建!$B$3</f>
        <v>1</v>
      </c>
      <c r="G61" s="3">
        <v>25</v>
      </c>
      <c r="H61" s="3">
        <f>$G$34*G61</f>
        <v>75</v>
      </c>
      <c r="I61" s="3">
        <f t="shared" si="6"/>
        <v>44.22</v>
      </c>
      <c r="J61" s="47">
        <f t="shared" si="7"/>
        <v>0.59</v>
      </c>
      <c r="K61" s="3">
        <f t="shared" si="8"/>
        <v>31.91</v>
      </c>
      <c r="L61" s="47">
        <f t="shared" si="9"/>
        <v>0.42499999999999999</v>
      </c>
      <c r="N61" s="3">
        <f t="shared" si="10"/>
        <v>171.49</v>
      </c>
      <c r="O61" s="47">
        <f t="shared" si="11"/>
        <v>2.2869999999999999</v>
      </c>
      <c r="P61" s="3">
        <f t="shared" si="12"/>
        <v>534.65</v>
      </c>
      <c r="Q61" s="47">
        <f t="shared" si="13"/>
        <v>7.1289999999999996</v>
      </c>
    </row>
  </sheetData>
  <phoneticPr fontId="1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公式说明</vt:lpstr>
      <vt:lpstr>模型构建</vt:lpstr>
      <vt:lpstr>其他属性</vt:lpstr>
      <vt:lpstr>角色升级</vt:lpstr>
      <vt:lpstr>武器伤害</vt:lpstr>
      <vt:lpstr>装备</vt:lpstr>
      <vt:lpstr>技能</vt:lpstr>
      <vt:lpstr>天赋专精</vt:lpstr>
      <vt:lpstr>随从</vt:lpstr>
      <vt:lpstr>隐含假设的改进微分方程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2023-06-02T11:37:03Z</dcterms:created>
  <dcterms:modified xsi:type="dcterms:W3CDTF">2023-06-08T02:19:59Z</dcterms:modified>
</cp:coreProperties>
</file>