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grant\Documents\Monarch Butterflies\Model Parameters\"/>
    </mc:Choice>
  </mc:AlternateContent>
  <bookViews>
    <workbookView xWindow="0" yWindow="0" windowWidth="15120" windowHeight="8484" firstSheet="7" activeTab="10"/>
  </bookViews>
  <sheets>
    <sheet name="pref values" sheetId="1" r:id="rId1"/>
    <sheet name="max dist" sheetId="2" r:id="rId2"/>
    <sheet name="corr rand walk" sheetId="3" r:id="rId3"/>
    <sheet name="ASC file parms" sheetId="4" r:id="rId4"/>
    <sheet name="Egg Density" sheetId="5" r:id="rId5"/>
    <sheet name="Lat Long" sheetId="6" r:id="rId6"/>
    <sheet name="Eggsperday" sheetId="7" r:id="rId7"/>
    <sheet name="ScalebyDist" sheetId="8" r:id="rId8"/>
    <sheet name="ScalebyArea" sheetId="9" r:id="rId9"/>
    <sheet name="MemorybyArea" sheetId="10" r:id="rId10"/>
    <sheet name="probEggs" sheetId="11" r:id="rId1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6" l="1"/>
  <c r="K15" i="4"/>
  <c r="C34" i="10"/>
  <c r="J42" i="3"/>
  <c r="J41" i="3"/>
  <c r="D34" i="10"/>
  <c r="E34" i="10"/>
  <c r="F34" i="10"/>
  <c r="G34" i="10"/>
  <c r="H34" i="10"/>
  <c r="I34" i="10"/>
  <c r="J34" i="10"/>
  <c r="K34" i="10"/>
  <c r="L34" i="10"/>
  <c r="M34" i="10"/>
  <c r="D33" i="10"/>
  <c r="E33" i="10"/>
  <c r="F33" i="10"/>
  <c r="G33" i="10"/>
  <c r="H33" i="10"/>
  <c r="I33" i="10"/>
  <c r="J33" i="10"/>
  <c r="K33" i="10"/>
  <c r="L33" i="10"/>
  <c r="M33" i="10"/>
  <c r="C33" i="10"/>
  <c r="C14" i="10"/>
  <c r="C18" i="10"/>
  <c r="G20" i="10"/>
  <c r="G14" i="10"/>
  <c r="K4" i="11"/>
  <c r="L4" i="11"/>
  <c r="K5" i="11"/>
  <c r="L5" i="11"/>
  <c r="K6" i="11"/>
  <c r="L6" i="11"/>
  <c r="K7" i="11"/>
  <c r="L7" i="11"/>
  <c r="K8" i="11"/>
  <c r="L8" i="11"/>
  <c r="K9" i="11"/>
  <c r="L9" i="11"/>
  <c r="K10" i="11"/>
  <c r="L10" i="11"/>
  <c r="K11" i="11"/>
  <c r="L11" i="11"/>
  <c r="K12" i="11"/>
  <c r="L12" i="11"/>
  <c r="K13" i="11"/>
  <c r="L13" i="11"/>
  <c r="K14" i="11"/>
  <c r="L14" i="11"/>
  <c r="K15" i="11"/>
  <c r="L15" i="11"/>
  <c r="K16" i="11"/>
  <c r="L16" i="11"/>
  <c r="K17" i="11"/>
  <c r="L17" i="11"/>
  <c r="K18" i="11"/>
  <c r="L18" i="11"/>
  <c r="K19" i="11"/>
  <c r="L19" i="11"/>
  <c r="K20" i="11"/>
  <c r="L20" i="11"/>
  <c r="K3" i="11"/>
  <c r="L3" i="11"/>
  <c r="C38" i="3"/>
  <c r="C46" i="3"/>
  <c r="C48" i="3"/>
  <c r="K14" i="10"/>
  <c r="D20" i="10"/>
  <c r="C39" i="3"/>
  <c r="C40" i="3"/>
  <c r="C41" i="3"/>
  <c r="C42" i="3"/>
  <c r="C43" i="3"/>
  <c r="C44" i="3"/>
  <c r="C45" i="3"/>
  <c r="C47" i="3"/>
  <c r="C49" i="3"/>
  <c r="C50" i="3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8" i="11"/>
  <c r="F3" i="11"/>
  <c r="E3" i="11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D6" i="10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8" i="11"/>
  <c r="Q35" i="10"/>
  <c r="H14" i="10"/>
  <c r="I14" i="10"/>
  <c r="AG4" i="7"/>
  <c r="AG5" i="7"/>
  <c r="AG6" i="7"/>
  <c r="AG7" i="7"/>
  <c r="AG8" i="7"/>
  <c r="AG9" i="7"/>
  <c r="AG10" i="7"/>
  <c r="AG11" i="7"/>
  <c r="AG12" i="7"/>
  <c r="AG3" i="7"/>
  <c r="AF5" i="7"/>
  <c r="AF6" i="7"/>
  <c r="AF7" i="7"/>
  <c r="AF8" i="7"/>
  <c r="AF9" i="7"/>
  <c r="AF10" i="7"/>
  <c r="AF11" i="7"/>
  <c r="AF12" i="7"/>
  <c r="AF4" i="7"/>
  <c r="AF3" i="7"/>
  <c r="J20" i="10"/>
  <c r="J21" i="10"/>
  <c r="J22" i="10"/>
  <c r="N20" i="10"/>
  <c r="N21" i="10"/>
  <c r="N22" i="10"/>
  <c r="J14" i="10"/>
  <c r="L14" i="10"/>
  <c r="M14" i="10"/>
  <c r="D14" i="10"/>
  <c r="E14" i="10"/>
  <c r="B26" i="10"/>
  <c r="B27" i="10"/>
  <c r="D4" i="10"/>
  <c r="E5" i="10"/>
  <c r="E6" i="10"/>
  <c r="L6" i="10"/>
  <c r="F20" i="10"/>
  <c r="F21" i="10"/>
  <c r="F22" i="10"/>
  <c r="F14" i="10"/>
  <c r="N14" i="10"/>
  <c r="O14" i="10"/>
  <c r="P14" i="10"/>
  <c r="D5" i="10"/>
  <c r="F37" i="9"/>
  <c r="D52" i="9"/>
  <c r="E52" i="9"/>
  <c r="F52" i="9"/>
  <c r="G52" i="9"/>
  <c r="H52" i="9"/>
  <c r="I52" i="9"/>
  <c r="J52" i="9"/>
  <c r="K52" i="9"/>
  <c r="L52" i="9"/>
  <c r="M52" i="9"/>
  <c r="N52" i="9"/>
  <c r="D53" i="9"/>
  <c r="E53" i="9"/>
  <c r="F53" i="9"/>
  <c r="G53" i="9"/>
  <c r="H53" i="9"/>
  <c r="I53" i="9"/>
  <c r="J53" i="9"/>
  <c r="K53" i="9"/>
  <c r="L53" i="9"/>
  <c r="M53" i="9"/>
  <c r="N53" i="9"/>
  <c r="D54" i="9"/>
  <c r="E54" i="9"/>
  <c r="F54" i="9"/>
  <c r="G54" i="9"/>
  <c r="H54" i="9"/>
  <c r="I54" i="9"/>
  <c r="J54" i="9"/>
  <c r="K54" i="9"/>
  <c r="L54" i="9"/>
  <c r="M54" i="9"/>
  <c r="N54" i="9"/>
  <c r="D55" i="9"/>
  <c r="E55" i="9"/>
  <c r="F55" i="9"/>
  <c r="G55" i="9"/>
  <c r="H55" i="9"/>
  <c r="I55" i="9"/>
  <c r="J55" i="9"/>
  <c r="K55" i="9"/>
  <c r="L55" i="9"/>
  <c r="M55" i="9"/>
  <c r="N55" i="9"/>
  <c r="D56" i="9"/>
  <c r="E56" i="9"/>
  <c r="F56" i="9"/>
  <c r="G56" i="9"/>
  <c r="H56" i="9"/>
  <c r="I56" i="9"/>
  <c r="J56" i="9"/>
  <c r="K56" i="9"/>
  <c r="L56" i="9"/>
  <c r="M56" i="9"/>
  <c r="N56" i="9"/>
  <c r="D57" i="9"/>
  <c r="E57" i="9"/>
  <c r="F57" i="9"/>
  <c r="G57" i="9"/>
  <c r="H57" i="9"/>
  <c r="I57" i="9"/>
  <c r="J57" i="9"/>
  <c r="K57" i="9"/>
  <c r="L57" i="9"/>
  <c r="M57" i="9"/>
  <c r="N57" i="9"/>
  <c r="D58" i="9"/>
  <c r="E58" i="9"/>
  <c r="F58" i="9"/>
  <c r="G58" i="9"/>
  <c r="H58" i="9"/>
  <c r="I58" i="9"/>
  <c r="J58" i="9"/>
  <c r="K58" i="9"/>
  <c r="L58" i="9"/>
  <c r="M58" i="9"/>
  <c r="N58" i="9"/>
  <c r="D59" i="9"/>
  <c r="E59" i="9"/>
  <c r="F59" i="9"/>
  <c r="G59" i="9"/>
  <c r="H59" i="9"/>
  <c r="I59" i="9"/>
  <c r="J59" i="9"/>
  <c r="K59" i="9"/>
  <c r="L59" i="9"/>
  <c r="M59" i="9"/>
  <c r="N59" i="9"/>
  <c r="D60" i="9"/>
  <c r="E60" i="9"/>
  <c r="F60" i="9"/>
  <c r="G60" i="9"/>
  <c r="H60" i="9"/>
  <c r="I60" i="9"/>
  <c r="J60" i="9"/>
  <c r="K60" i="9"/>
  <c r="L60" i="9"/>
  <c r="M60" i="9"/>
  <c r="N60" i="9"/>
  <c r="D61" i="9"/>
  <c r="E61" i="9"/>
  <c r="F61" i="9"/>
  <c r="G61" i="9"/>
  <c r="H61" i="9"/>
  <c r="I61" i="9"/>
  <c r="J61" i="9"/>
  <c r="K61" i="9"/>
  <c r="L61" i="9"/>
  <c r="M61" i="9"/>
  <c r="N61" i="9"/>
  <c r="E51" i="9"/>
  <c r="F51" i="9"/>
  <c r="G51" i="9"/>
  <c r="H51" i="9"/>
  <c r="I51" i="9"/>
  <c r="J51" i="9"/>
  <c r="K51" i="9"/>
  <c r="L51" i="9"/>
  <c r="M51" i="9"/>
  <c r="N51" i="9"/>
  <c r="D51" i="9"/>
  <c r="N50" i="9"/>
  <c r="M50" i="9"/>
  <c r="L50" i="9"/>
  <c r="K50" i="9"/>
  <c r="J50" i="9"/>
  <c r="I50" i="9"/>
  <c r="H50" i="9"/>
  <c r="G50" i="9"/>
  <c r="F50" i="9"/>
  <c r="E50" i="9"/>
  <c r="D37" i="9"/>
  <c r="E37" i="9"/>
  <c r="G37" i="9"/>
  <c r="H37" i="9"/>
  <c r="I37" i="9"/>
  <c r="J37" i="9"/>
  <c r="K37" i="9"/>
  <c r="L37" i="9"/>
  <c r="M37" i="9"/>
  <c r="N37" i="9"/>
  <c r="D38" i="9"/>
  <c r="E38" i="9"/>
  <c r="F38" i="9"/>
  <c r="G38" i="9"/>
  <c r="H38" i="9"/>
  <c r="I38" i="9"/>
  <c r="J38" i="9"/>
  <c r="K38" i="9"/>
  <c r="L38" i="9"/>
  <c r="M38" i="9"/>
  <c r="N38" i="9"/>
  <c r="D39" i="9"/>
  <c r="E39" i="9"/>
  <c r="F39" i="9"/>
  <c r="G39" i="9"/>
  <c r="H39" i="9"/>
  <c r="I39" i="9"/>
  <c r="J39" i="9"/>
  <c r="K39" i="9"/>
  <c r="L39" i="9"/>
  <c r="M39" i="9"/>
  <c r="N39" i="9"/>
  <c r="D40" i="9"/>
  <c r="E40" i="9"/>
  <c r="F40" i="9"/>
  <c r="G40" i="9"/>
  <c r="H40" i="9"/>
  <c r="I40" i="9"/>
  <c r="J40" i="9"/>
  <c r="K40" i="9"/>
  <c r="L40" i="9"/>
  <c r="M40" i="9"/>
  <c r="N40" i="9"/>
  <c r="D41" i="9"/>
  <c r="E41" i="9"/>
  <c r="F41" i="9"/>
  <c r="G41" i="9"/>
  <c r="H41" i="9"/>
  <c r="I41" i="9"/>
  <c r="J41" i="9"/>
  <c r="K41" i="9"/>
  <c r="L41" i="9"/>
  <c r="M41" i="9"/>
  <c r="N41" i="9"/>
  <c r="D42" i="9"/>
  <c r="E42" i="9"/>
  <c r="F42" i="9"/>
  <c r="G42" i="9"/>
  <c r="H42" i="9"/>
  <c r="I42" i="9"/>
  <c r="J42" i="9"/>
  <c r="K42" i="9"/>
  <c r="L42" i="9"/>
  <c r="M42" i="9"/>
  <c r="N42" i="9"/>
  <c r="D43" i="9"/>
  <c r="E43" i="9"/>
  <c r="F43" i="9"/>
  <c r="G43" i="9"/>
  <c r="H43" i="9"/>
  <c r="I43" i="9"/>
  <c r="J43" i="9"/>
  <c r="K43" i="9"/>
  <c r="L43" i="9"/>
  <c r="M43" i="9"/>
  <c r="N43" i="9"/>
  <c r="D44" i="9"/>
  <c r="E44" i="9"/>
  <c r="F44" i="9"/>
  <c r="G44" i="9"/>
  <c r="H44" i="9"/>
  <c r="I44" i="9"/>
  <c r="J44" i="9"/>
  <c r="K44" i="9"/>
  <c r="L44" i="9"/>
  <c r="M44" i="9"/>
  <c r="N44" i="9"/>
  <c r="D45" i="9"/>
  <c r="E45" i="9"/>
  <c r="F45" i="9"/>
  <c r="G45" i="9"/>
  <c r="H45" i="9"/>
  <c r="I45" i="9"/>
  <c r="J45" i="9"/>
  <c r="K45" i="9"/>
  <c r="L45" i="9"/>
  <c r="M45" i="9"/>
  <c r="N45" i="9"/>
  <c r="D46" i="9"/>
  <c r="E46" i="9"/>
  <c r="F46" i="9"/>
  <c r="G46" i="9"/>
  <c r="H46" i="9"/>
  <c r="I46" i="9"/>
  <c r="J46" i="9"/>
  <c r="K46" i="9"/>
  <c r="L46" i="9"/>
  <c r="M46" i="9"/>
  <c r="N46" i="9"/>
  <c r="E36" i="9"/>
  <c r="F36" i="9"/>
  <c r="G36" i="9"/>
  <c r="H36" i="9"/>
  <c r="I36" i="9"/>
  <c r="J36" i="9"/>
  <c r="K36" i="9"/>
  <c r="L36" i="9"/>
  <c r="M36" i="9"/>
  <c r="N36" i="9"/>
  <c r="D36" i="9"/>
  <c r="N35" i="9"/>
  <c r="M35" i="9"/>
  <c r="L35" i="9"/>
  <c r="K35" i="9"/>
  <c r="J35" i="9"/>
  <c r="I35" i="9"/>
  <c r="H35" i="9"/>
  <c r="G35" i="9"/>
  <c r="F35" i="9"/>
  <c r="E35" i="9"/>
  <c r="D23" i="9"/>
  <c r="E23" i="9"/>
  <c r="F23" i="9"/>
  <c r="G23" i="9"/>
  <c r="H23" i="9"/>
  <c r="I23" i="9"/>
  <c r="J23" i="9"/>
  <c r="K23" i="9"/>
  <c r="L23" i="9"/>
  <c r="M23" i="9"/>
  <c r="N23" i="9"/>
  <c r="D24" i="9"/>
  <c r="E24" i="9"/>
  <c r="F24" i="9"/>
  <c r="G24" i="9"/>
  <c r="H24" i="9"/>
  <c r="I24" i="9"/>
  <c r="J24" i="9"/>
  <c r="K24" i="9"/>
  <c r="L24" i="9"/>
  <c r="M24" i="9"/>
  <c r="N24" i="9"/>
  <c r="D25" i="9"/>
  <c r="E25" i="9"/>
  <c r="F25" i="9"/>
  <c r="G25" i="9"/>
  <c r="H25" i="9"/>
  <c r="I25" i="9"/>
  <c r="J25" i="9"/>
  <c r="K25" i="9"/>
  <c r="L25" i="9"/>
  <c r="M25" i="9"/>
  <c r="N25" i="9"/>
  <c r="D26" i="9"/>
  <c r="E26" i="9"/>
  <c r="F26" i="9"/>
  <c r="G26" i="9"/>
  <c r="H26" i="9"/>
  <c r="I26" i="9"/>
  <c r="J26" i="9"/>
  <c r="K26" i="9"/>
  <c r="L26" i="9"/>
  <c r="M26" i="9"/>
  <c r="N26" i="9"/>
  <c r="D27" i="9"/>
  <c r="E27" i="9"/>
  <c r="F27" i="9"/>
  <c r="G27" i="9"/>
  <c r="H27" i="9"/>
  <c r="I27" i="9"/>
  <c r="J27" i="9"/>
  <c r="K27" i="9"/>
  <c r="L27" i="9"/>
  <c r="M27" i="9"/>
  <c r="N27" i="9"/>
  <c r="D28" i="9"/>
  <c r="E28" i="9"/>
  <c r="F28" i="9"/>
  <c r="G28" i="9"/>
  <c r="H28" i="9"/>
  <c r="I28" i="9"/>
  <c r="J28" i="9"/>
  <c r="K28" i="9"/>
  <c r="L28" i="9"/>
  <c r="M28" i="9"/>
  <c r="N28" i="9"/>
  <c r="D29" i="9"/>
  <c r="E29" i="9"/>
  <c r="F29" i="9"/>
  <c r="G29" i="9"/>
  <c r="H29" i="9"/>
  <c r="I29" i="9"/>
  <c r="J29" i="9"/>
  <c r="K29" i="9"/>
  <c r="L29" i="9"/>
  <c r="M29" i="9"/>
  <c r="N29" i="9"/>
  <c r="D30" i="9"/>
  <c r="E30" i="9"/>
  <c r="F30" i="9"/>
  <c r="G30" i="9"/>
  <c r="H30" i="9"/>
  <c r="I30" i="9"/>
  <c r="J30" i="9"/>
  <c r="K30" i="9"/>
  <c r="L30" i="9"/>
  <c r="M30" i="9"/>
  <c r="N30" i="9"/>
  <c r="D31" i="9"/>
  <c r="E31" i="9"/>
  <c r="F31" i="9"/>
  <c r="G31" i="9"/>
  <c r="H31" i="9"/>
  <c r="I31" i="9"/>
  <c r="J31" i="9"/>
  <c r="K31" i="9"/>
  <c r="L31" i="9"/>
  <c r="M31" i="9"/>
  <c r="N31" i="9"/>
  <c r="D32" i="9"/>
  <c r="E32" i="9"/>
  <c r="F32" i="9"/>
  <c r="G32" i="9"/>
  <c r="H32" i="9"/>
  <c r="I32" i="9"/>
  <c r="J32" i="9"/>
  <c r="K32" i="9"/>
  <c r="L32" i="9"/>
  <c r="M32" i="9"/>
  <c r="N32" i="9"/>
  <c r="E22" i="9"/>
  <c r="F22" i="9"/>
  <c r="G22" i="9"/>
  <c r="H22" i="9"/>
  <c r="I22" i="9"/>
  <c r="J22" i="9"/>
  <c r="K22" i="9"/>
  <c r="L22" i="9"/>
  <c r="M22" i="9"/>
  <c r="N22" i="9"/>
  <c r="D22" i="9"/>
  <c r="N21" i="9"/>
  <c r="M21" i="9"/>
  <c r="L21" i="9"/>
  <c r="K21" i="9"/>
  <c r="J21" i="9"/>
  <c r="I21" i="9"/>
  <c r="H21" i="9"/>
  <c r="G21" i="9"/>
  <c r="F21" i="9"/>
  <c r="E21" i="9"/>
  <c r="C20" i="10"/>
  <c r="C21" i="10"/>
  <c r="C22" i="10"/>
  <c r="M20" i="10"/>
  <c r="M21" i="10"/>
  <c r="M22" i="10"/>
  <c r="G21" i="10"/>
  <c r="G22" i="10"/>
  <c r="H20" i="10"/>
  <c r="H21" i="10"/>
  <c r="H22" i="10"/>
  <c r="I20" i="10"/>
  <c r="I21" i="10"/>
  <c r="I22" i="10"/>
  <c r="P20" i="10"/>
  <c r="P21" i="10"/>
  <c r="P22" i="10"/>
  <c r="L20" i="10"/>
  <c r="L21" i="10"/>
  <c r="L22" i="10"/>
  <c r="E20" i="10"/>
  <c r="E21" i="10"/>
  <c r="E22" i="10"/>
  <c r="E4" i="10"/>
  <c r="O20" i="10"/>
  <c r="O21" i="10"/>
  <c r="O22" i="10"/>
  <c r="K20" i="10"/>
  <c r="K21" i="10"/>
  <c r="K22" i="10"/>
  <c r="D21" i="10"/>
  <c r="D22" i="10"/>
  <c r="L8" i="9"/>
  <c r="D18" i="9"/>
  <c r="E18" i="9"/>
  <c r="F18" i="9"/>
  <c r="G18" i="9"/>
  <c r="H18" i="9"/>
  <c r="I18" i="9"/>
  <c r="J18" i="9"/>
  <c r="K18" i="9"/>
  <c r="L18" i="9"/>
  <c r="M18" i="9"/>
  <c r="N18" i="9"/>
  <c r="D9" i="9"/>
  <c r="E9" i="9"/>
  <c r="F9" i="9"/>
  <c r="G9" i="9"/>
  <c r="H9" i="9"/>
  <c r="I9" i="9"/>
  <c r="J9" i="9"/>
  <c r="K9" i="9"/>
  <c r="L9" i="9"/>
  <c r="M9" i="9"/>
  <c r="N9" i="9"/>
  <c r="D10" i="9"/>
  <c r="E10" i="9"/>
  <c r="F10" i="9"/>
  <c r="G10" i="9"/>
  <c r="H10" i="9"/>
  <c r="I10" i="9"/>
  <c r="J10" i="9"/>
  <c r="K10" i="9"/>
  <c r="L10" i="9"/>
  <c r="M10" i="9"/>
  <c r="N10" i="9"/>
  <c r="D11" i="9"/>
  <c r="E11" i="9"/>
  <c r="F11" i="9"/>
  <c r="G11" i="9"/>
  <c r="H11" i="9"/>
  <c r="I11" i="9"/>
  <c r="J11" i="9"/>
  <c r="K11" i="9"/>
  <c r="L11" i="9"/>
  <c r="M11" i="9"/>
  <c r="N11" i="9"/>
  <c r="D12" i="9"/>
  <c r="E12" i="9"/>
  <c r="F12" i="9"/>
  <c r="G12" i="9"/>
  <c r="H12" i="9"/>
  <c r="I12" i="9"/>
  <c r="J12" i="9"/>
  <c r="K12" i="9"/>
  <c r="L12" i="9"/>
  <c r="M12" i="9"/>
  <c r="N12" i="9"/>
  <c r="D13" i="9"/>
  <c r="E13" i="9"/>
  <c r="F13" i="9"/>
  <c r="G13" i="9"/>
  <c r="H13" i="9"/>
  <c r="I13" i="9"/>
  <c r="J13" i="9"/>
  <c r="K13" i="9"/>
  <c r="L13" i="9"/>
  <c r="M13" i="9"/>
  <c r="N13" i="9"/>
  <c r="D14" i="9"/>
  <c r="E14" i="9"/>
  <c r="F14" i="9"/>
  <c r="G14" i="9"/>
  <c r="H14" i="9"/>
  <c r="I14" i="9"/>
  <c r="J14" i="9"/>
  <c r="K14" i="9"/>
  <c r="L14" i="9"/>
  <c r="M14" i="9"/>
  <c r="N14" i="9"/>
  <c r="D15" i="9"/>
  <c r="E15" i="9"/>
  <c r="F15" i="9"/>
  <c r="G15" i="9"/>
  <c r="H15" i="9"/>
  <c r="I15" i="9"/>
  <c r="J15" i="9"/>
  <c r="K15" i="9"/>
  <c r="L15" i="9"/>
  <c r="M15" i="9"/>
  <c r="N15" i="9"/>
  <c r="D16" i="9"/>
  <c r="E16" i="9"/>
  <c r="F16" i="9"/>
  <c r="G16" i="9"/>
  <c r="H16" i="9"/>
  <c r="I16" i="9"/>
  <c r="J16" i="9"/>
  <c r="K16" i="9"/>
  <c r="L16" i="9"/>
  <c r="M16" i="9"/>
  <c r="N16" i="9"/>
  <c r="D17" i="9"/>
  <c r="E17" i="9"/>
  <c r="F17" i="9"/>
  <c r="G17" i="9"/>
  <c r="H17" i="9"/>
  <c r="I17" i="9"/>
  <c r="J17" i="9"/>
  <c r="K17" i="9"/>
  <c r="L17" i="9"/>
  <c r="M17" i="9"/>
  <c r="N17" i="9"/>
  <c r="E8" i="9"/>
  <c r="F8" i="9"/>
  <c r="G8" i="9"/>
  <c r="H8" i="9"/>
  <c r="I8" i="9"/>
  <c r="J8" i="9"/>
  <c r="K8" i="9"/>
  <c r="M8" i="9"/>
  <c r="N8" i="9"/>
  <c r="D8" i="9"/>
  <c r="AR21" i="8"/>
  <c r="AO19" i="8"/>
  <c r="C3" i="9"/>
  <c r="N7" i="9"/>
  <c r="J7" i="9"/>
  <c r="F7" i="9"/>
  <c r="AP19" i="8"/>
  <c r="G7" i="9"/>
  <c r="K7" i="9"/>
  <c r="H7" i="9"/>
  <c r="L7" i="9"/>
  <c r="E7" i="9"/>
  <c r="I7" i="9"/>
  <c r="M7" i="9"/>
  <c r="AS33" i="8"/>
  <c r="AT33" i="8"/>
  <c r="AR33" i="8"/>
  <c r="AU32" i="8"/>
  <c r="AS32" i="8"/>
  <c r="AR32" i="8"/>
  <c r="D28" i="6"/>
  <c r="E27" i="6"/>
  <c r="D27" i="6"/>
  <c r="E25" i="6"/>
  <c r="D24" i="6"/>
  <c r="E23" i="6"/>
  <c r="AQ19" i="8"/>
  <c r="AR19" i="8"/>
  <c r="AS19" i="8"/>
  <c r="AT19" i="8"/>
  <c r="AU19" i="8"/>
  <c r="AV19" i="8"/>
  <c r="AW19" i="8"/>
  <c r="AX19" i="8"/>
  <c r="AY19" i="8"/>
  <c r="AP20" i="8"/>
  <c r="AQ20" i="8"/>
  <c r="AR20" i="8"/>
  <c r="AS20" i="8"/>
  <c r="AT20" i="8"/>
  <c r="AU20" i="8"/>
  <c r="AV20" i="8"/>
  <c r="AW20" i="8"/>
  <c r="AX20" i="8"/>
  <c r="AY20" i="8"/>
  <c r="AP21" i="8"/>
  <c r="AQ21" i="8"/>
  <c r="AS21" i="8"/>
  <c r="AT21" i="8"/>
  <c r="AU21" i="8"/>
  <c r="AV21" i="8"/>
  <c r="AW21" i="8"/>
  <c r="AX21" i="8"/>
  <c r="AY21" i="8"/>
  <c r="AP22" i="8"/>
  <c r="AQ22" i="8"/>
  <c r="AR22" i="8"/>
  <c r="AS22" i="8"/>
  <c r="AT22" i="8"/>
  <c r="AU22" i="8"/>
  <c r="AV22" i="8"/>
  <c r="AW22" i="8"/>
  <c r="AX22" i="8"/>
  <c r="AY22" i="8"/>
  <c r="AP23" i="8"/>
  <c r="AQ23" i="8"/>
  <c r="AR23" i="8"/>
  <c r="AS23" i="8"/>
  <c r="AT23" i="8"/>
  <c r="AU23" i="8"/>
  <c r="AV23" i="8"/>
  <c r="AW23" i="8"/>
  <c r="AX23" i="8"/>
  <c r="AY23" i="8"/>
  <c r="AP24" i="8"/>
  <c r="AQ24" i="8"/>
  <c r="AR24" i="8"/>
  <c r="AS24" i="8"/>
  <c r="AT24" i="8"/>
  <c r="AU24" i="8"/>
  <c r="AV24" i="8"/>
  <c r="AW24" i="8"/>
  <c r="AX24" i="8"/>
  <c r="AY24" i="8"/>
  <c r="AP25" i="8"/>
  <c r="AQ25" i="8"/>
  <c r="AR25" i="8"/>
  <c r="AS25" i="8"/>
  <c r="AT25" i="8"/>
  <c r="AU25" i="8"/>
  <c r="AV25" i="8"/>
  <c r="AW25" i="8"/>
  <c r="AX25" i="8"/>
  <c r="AY25" i="8"/>
  <c r="AP26" i="8"/>
  <c r="AQ26" i="8"/>
  <c r="AR26" i="8"/>
  <c r="AS26" i="8"/>
  <c r="AT26" i="8"/>
  <c r="AU26" i="8"/>
  <c r="AV26" i="8"/>
  <c r="AW26" i="8"/>
  <c r="AX26" i="8"/>
  <c r="AY26" i="8"/>
  <c r="AP27" i="8"/>
  <c r="AQ27" i="8"/>
  <c r="AR27" i="8"/>
  <c r="AS27" i="8"/>
  <c r="AT27" i="8"/>
  <c r="AU27" i="8"/>
  <c r="AV27" i="8"/>
  <c r="AW27" i="8"/>
  <c r="AX27" i="8"/>
  <c r="AY27" i="8"/>
  <c r="AP28" i="8"/>
  <c r="AQ28" i="8"/>
  <c r="AR28" i="8"/>
  <c r="AS28" i="8"/>
  <c r="AT28" i="8"/>
  <c r="AU28" i="8"/>
  <c r="AV28" i="8"/>
  <c r="AW28" i="8"/>
  <c r="AX28" i="8"/>
  <c r="AY28" i="8"/>
  <c r="AP29" i="8"/>
  <c r="AQ29" i="8"/>
  <c r="AR29" i="8"/>
  <c r="AS29" i="8"/>
  <c r="AT29" i="8"/>
  <c r="AU29" i="8"/>
  <c r="AV29" i="8"/>
  <c r="AW29" i="8"/>
  <c r="AX29" i="8"/>
  <c r="AY29" i="8"/>
  <c r="AO20" i="8"/>
  <c r="AO21" i="8"/>
  <c r="AO22" i="8"/>
  <c r="AO23" i="8"/>
  <c r="AO24" i="8"/>
  <c r="AO25" i="8"/>
  <c r="AO26" i="8"/>
  <c r="AO27" i="8"/>
  <c r="AO28" i="8"/>
  <c r="AO29" i="8"/>
  <c r="AP5" i="8"/>
  <c r="AQ5" i="8"/>
  <c r="AR5" i="8"/>
  <c r="AS5" i="8"/>
  <c r="AT5" i="8"/>
  <c r="AU5" i="8"/>
  <c r="AV5" i="8"/>
  <c r="AW5" i="8"/>
  <c r="AX5" i="8"/>
  <c r="AY5" i="8"/>
  <c r="AP6" i="8"/>
  <c r="AQ6" i="8"/>
  <c r="AR6" i="8"/>
  <c r="AS6" i="8"/>
  <c r="AT6" i="8"/>
  <c r="AU6" i="8"/>
  <c r="AV6" i="8"/>
  <c r="AW6" i="8"/>
  <c r="AX6" i="8"/>
  <c r="AY6" i="8"/>
  <c r="AP7" i="8"/>
  <c r="AQ7" i="8"/>
  <c r="AR7" i="8"/>
  <c r="AS7" i="8"/>
  <c r="AT7" i="8"/>
  <c r="AU7" i="8"/>
  <c r="AV7" i="8"/>
  <c r="AW7" i="8"/>
  <c r="AX7" i="8"/>
  <c r="AY7" i="8"/>
  <c r="AP8" i="8"/>
  <c r="AQ8" i="8"/>
  <c r="AR8" i="8"/>
  <c r="AS8" i="8"/>
  <c r="AT8" i="8"/>
  <c r="AU8" i="8"/>
  <c r="AV8" i="8"/>
  <c r="AW8" i="8"/>
  <c r="AX8" i="8"/>
  <c r="AY8" i="8"/>
  <c r="AP9" i="8"/>
  <c r="AQ9" i="8"/>
  <c r="AR9" i="8"/>
  <c r="AS9" i="8"/>
  <c r="AT9" i="8"/>
  <c r="AU9" i="8"/>
  <c r="AV9" i="8"/>
  <c r="AW9" i="8"/>
  <c r="AX9" i="8"/>
  <c r="AY9" i="8"/>
  <c r="AP10" i="8"/>
  <c r="AQ10" i="8"/>
  <c r="AR10" i="8"/>
  <c r="AS10" i="8"/>
  <c r="AT10" i="8"/>
  <c r="AU10" i="8"/>
  <c r="AV10" i="8"/>
  <c r="AW10" i="8"/>
  <c r="AX10" i="8"/>
  <c r="AY10" i="8"/>
  <c r="AP11" i="8"/>
  <c r="AQ11" i="8"/>
  <c r="AR11" i="8"/>
  <c r="AS11" i="8"/>
  <c r="AT11" i="8"/>
  <c r="AU11" i="8"/>
  <c r="AV11" i="8"/>
  <c r="AW11" i="8"/>
  <c r="AX11" i="8"/>
  <c r="AY11" i="8"/>
  <c r="AP12" i="8"/>
  <c r="AQ12" i="8"/>
  <c r="AR12" i="8"/>
  <c r="AS12" i="8"/>
  <c r="AT12" i="8"/>
  <c r="AU12" i="8"/>
  <c r="AV12" i="8"/>
  <c r="AW12" i="8"/>
  <c r="AX12" i="8"/>
  <c r="AY12" i="8"/>
  <c r="AP13" i="8"/>
  <c r="AQ13" i="8"/>
  <c r="AR13" i="8"/>
  <c r="AS13" i="8"/>
  <c r="AT13" i="8"/>
  <c r="AU13" i="8"/>
  <c r="AV13" i="8"/>
  <c r="AW13" i="8"/>
  <c r="AX13" i="8"/>
  <c r="AY13" i="8"/>
  <c r="AP14" i="8"/>
  <c r="AQ14" i="8"/>
  <c r="AR14" i="8"/>
  <c r="AS14" i="8"/>
  <c r="AT14" i="8"/>
  <c r="AU14" i="8"/>
  <c r="AV14" i="8"/>
  <c r="AW14" i="8"/>
  <c r="AX14" i="8"/>
  <c r="AY14" i="8"/>
  <c r="AP15" i="8"/>
  <c r="AQ15" i="8"/>
  <c r="AR15" i="8"/>
  <c r="AS15" i="8"/>
  <c r="AT15" i="8"/>
  <c r="AU15" i="8"/>
  <c r="AV15" i="8"/>
  <c r="AW15" i="8"/>
  <c r="AX15" i="8"/>
  <c r="AY15" i="8"/>
  <c r="AO6" i="8"/>
  <c r="AO7" i="8"/>
  <c r="AO8" i="8"/>
  <c r="AO9" i="8"/>
  <c r="AO10" i="8"/>
  <c r="AO11" i="8"/>
  <c r="AO12" i="8"/>
  <c r="AO13" i="8"/>
  <c r="AO14" i="8"/>
  <c r="AO15" i="8"/>
  <c r="AO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U6" i="8"/>
  <c r="U7" i="8"/>
  <c r="U8" i="8"/>
  <c r="U9" i="8"/>
  <c r="U10" i="8"/>
  <c r="U11" i="8"/>
  <c r="U12" i="8"/>
  <c r="U13" i="8"/>
  <c r="U14" i="8"/>
  <c r="U15" i="8"/>
  <c r="U5" i="8"/>
  <c r="AE19" i="7"/>
  <c r="AE18" i="7"/>
  <c r="AA19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3" i="8"/>
  <c r="E13" i="8"/>
  <c r="D13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4" i="8"/>
  <c r="D8" i="8"/>
  <c r="E8" i="8"/>
  <c r="F8" i="8"/>
  <c r="D9" i="8"/>
  <c r="E9" i="8"/>
  <c r="F9" i="8"/>
  <c r="D7" i="8"/>
  <c r="E7" i="8"/>
  <c r="F7" i="8"/>
  <c r="E4" i="8"/>
  <c r="F4" i="8"/>
  <c r="E5" i="8"/>
  <c r="F5" i="8"/>
  <c r="E6" i="8"/>
  <c r="F6" i="8"/>
  <c r="E3" i="8"/>
  <c r="F3" i="8"/>
  <c r="M3" i="8"/>
  <c r="M4" i="8"/>
  <c r="D4" i="8"/>
  <c r="D5" i="8"/>
  <c r="N3" i="8"/>
  <c r="D6" i="8"/>
  <c r="N4" i="8"/>
  <c r="D3" i="8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3" i="7"/>
  <c r="I19" i="7"/>
  <c r="I18" i="7"/>
  <c r="T19" i="7"/>
  <c r="T18" i="7"/>
  <c r="F23" i="7"/>
  <c r="D23" i="7"/>
  <c r="F18" i="7"/>
  <c r="C13" i="7"/>
  <c r="F12" i="6"/>
  <c r="G12" i="6"/>
  <c r="D12" i="6"/>
  <c r="C12" i="6"/>
  <c r="D7" i="6"/>
  <c r="C7" i="6"/>
  <c r="M75" i="1"/>
  <c r="M76" i="1"/>
  <c r="M77" i="1"/>
  <c r="M78" i="1"/>
  <c r="M79" i="1"/>
  <c r="M80" i="1"/>
  <c r="L75" i="1"/>
  <c r="L76" i="1"/>
  <c r="L77" i="1"/>
  <c r="L78" i="1"/>
  <c r="L80" i="1"/>
  <c r="L79" i="1"/>
  <c r="K75" i="1"/>
  <c r="K76" i="1"/>
  <c r="K77" i="1"/>
  <c r="K79" i="1"/>
  <c r="K80" i="1"/>
  <c r="K78" i="1"/>
  <c r="I75" i="1"/>
  <c r="J75" i="1"/>
  <c r="J76" i="1"/>
  <c r="J78" i="1"/>
  <c r="J79" i="1"/>
  <c r="J80" i="1"/>
  <c r="J77" i="1"/>
  <c r="I77" i="1"/>
  <c r="I78" i="1"/>
  <c r="I79" i="1"/>
  <c r="I80" i="1"/>
  <c r="I76" i="1"/>
  <c r="H76" i="1"/>
  <c r="H77" i="1"/>
  <c r="H78" i="1"/>
  <c r="H79" i="1"/>
  <c r="H80" i="1"/>
  <c r="H75" i="1"/>
  <c r="C17" i="4"/>
  <c r="B17" i="4"/>
  <c r="D13" i="4"/>
  <c r="H5" i="4"/>
  <c r="H4" i="4"/>
  <c r="G5" i="4"/>
  <c r="G4" i="4"/>
  <c r="F14" i="5"/>
  <c r="E14" i="5"/>
  <c r="F5" i="4"/>
  <c r="F4" i="4"/>
  <c r="E5" i="4"/>
  <c r="E4" i="4"/>
  <c r="D5" i="4"/>
  <c r="D4" i="4"/>
  <c r="D18" i="3"/>
  <c r="D19" i="3"/>
  <c r="D20" i="3"/>
  <c r="D21" i="3"/>
  <c r="D22" i="3"/>
  <c r="D23" i="3"/>
  <c r="D24" i="3"/>
  <c r="D25" i="3"/>
  <c r="D26" i="3"/>
  <c r="D27" i="3"/>
  <c r="D17" i="3"/>
  <c r="C13" i="3"/>
  <c r="D8" i="3"/>
  <c r="D9" i="3"/>
  <c r="C8" i="3"/>
  <c r="C9" i="3"/>
  <c r="D4" i="3"/>
  <c r="C4" i="3"/>
  <c r="D3" i="3"/>
  <c r="C3" i="3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6" i="2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T45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U45" i="1"/>
  <c r="V45" i="1"/>
  <c r="W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5" i="1"/>
</calcChain>
</file>

<file path=xl/sharedStrings.xml><?xml version="1.0" encoding="utf-8"?>
<sst xmlns="http://schemas.openxmlformats.org/spreadsheetml/2006/main" count="322" uniqueCount="188">
  <si>
    <t>preference probabilitiy</t>
  </si>
  <si>
    <t>preference for alternate patch (prefB)</t>
  </si>
  <si>
    <t>preference for current patch (prefA)</t>
  </si>
  <si>
    <t>prefB is constrained to 0.1-1</t>
  </si>
  <si>
    <t>PrefB</t>
  </si>
  <si>
    <t>Dist = -1076t + 16077</t>
  </si>
  <si>
    <t>Dist</t>
  </si>
  <si>
    <t>t</t>
  </si>
  <si>
    <t>Daily distance moved by monarchs</t>
  </si>
  <si>
    <t>t is the number of steps (days) since simulation began/monarch eclosed</t>
  </si>
  <si>
    <t>R=1</t>
  </si>
  <si>
    <t>R=0</t>
  </si>
  <si>
    <t>D=0.2</t>
  </si>
  <si>
    <t>change in angle (rads)</t>
  </si>
  <si>
    <t>change in angle (deg)</t>
  </si>
  <si>
    <t>D=0.8</t>
  </si>
  <si>
    <t>D=</t>
  </si>
  <si>
    <t>R=</t>
  </si>
  <si>
    <t>R</t>
  </si>
  <si>
    <t>xllcorner</t>
  </si>
  <si>
    <t>yllcorner</t>
  </si>
  <si>
    <t>xSize</t>
  </si>
  <si>
    <t>ySize</t>
  </si>
  <si>
    <t>p</t>
  </si>
  <si>
    <t>cover</t>
  </si>
  <si>
    <t>cellSize</t>
  </si>
  <si>
    <t>memory error for 10m cells</t>
  </si>
  <si>
    <t>Pleasants and Oberhauser 2013</t>
  </si>
  <si>
    <t>Table 3</t>
  </si>
  <si>
    <t>mean</t>
  </si>
  <si>
    <t>Year</t>
  </si>
  <si>
    <t>eggs per plant non ag</t>
  </si>
  <si>
    <t>eggs per plant ag</t>
  </si>
  <si>
    <t>filename</t>
  </si>
  <si>
    <t>frag6</t>
  </si>
  <si>
    <t>frag5</t>
  </si>
  <si>
    <t>frag4</t>
  </si>
  <si>
    <t>frag7</t>
  </si>
  <si>
    <t>frag8</t>
  </si>
  <si>
    <t>EliminatePo1</t>
  </si>
  <si>
    <t>area</t>
  </si>
  <si>
    <t>squared</t>
  </si>
  <si>
    <t>EliminatePo2</t>
  </si>
  <si>
    <t>Corn/bean</t>
  </si>
  <si>
    <t>Forest</t>
  </si>
  <si>
    <t>Road ROWs</t>
  </si>
  <si>
    <t>Grass/Pasture</t>
  </si>
  <si>
    <t>Other</t>
  </si>
  <si>
    <t>Wetlands</t>
  </si>
  <si>
    <t>Pref Value</t>
  </si>
  <si>
    <t>leaving here</t>
  </si>
  <si>
    <t>deciding to go here</t>
  </si>
  <si>
    <t>prefA</t>
  </si>
  <si>
    <t>ROW MW</t>
  </si>
  <si>
    <t>CRP</t>
  </si>
  <si>
    <t>Lat/long</t>
  </si>
  <si>
    <t>Story Co</t>
  </si>
  <si>
    <t>SW corner</t>
  </si>
  <si>
    <t>lat</t>
  </si>
  <si>
    <t>long</t>
  </si>
  <si>
    <t>NE corner</t>
  </si>
  <si>
    <t>Testshapefile3</t>
  </si>
  <si>
    <t>Slightly inside</t>
  </si>
  <si>
    <t>Eggs per day</t>
  </si>
  <si>
    <t>Day</t>
  </si>
  <si>
    <t>Total</t>
  </si>
  <si>
    <t>steps per day</t>
  </si>
  <si>
    <t>days</t>
  </si>
  <si>
    <t>total ticks</t>
  </si>
  <si>
    <t>14 days</t>
  </si>
  <si>
    <t>10 days</t>
  </si>
  <si>
    <t>Est Eggs per day</t>
  </si>
  <si>
    <t>Calc Eggs per day</t>
  </si>
  <si>
    <t>Distance</t>
  </si>
  <si>
    <t>ProbEggs</t>
  </si>
  <si>
    <t>multiplied</t>
  </si>
  <si>
    <t>divided</t>
  </si>
  <si>
    <t>various other trys</t>
  </si>
  <si>
    <t>y=0.9x^-1</t>
  </si>
  <si>
    <t>y=ax^b</t>
  </si>
  <si>
    <t>log(y) = log(a)+b*log(x)</t>
  </si>
  <si>
    <t>ln(0.9)-1*ln(dist)</t>
  </si>
  <si>
    <t>probMove</t>
  </si>
  <si>
    <t>Logit function</t>
  </si>
  <si>
    <t>Beta1 (eggs)</t>
  </si>
  <si>
    <t>Beta2 (dist)</t>
  </si>
  <si>
    <t>Function from Dixon</t>
  </si>
  <si>
    <t>Distance parameter</t>
  </si>
  <si>
    <t>Destination Coords</t>
  </si>
  <si>
    <t>Original Coords</t>
  </si>
  <si>
    <t>Longitude</t>
  </si>
  <si>
    <t>Latitude</t>
  </si>
  <si>
    <t>Distance in m calc'd by JTS</t>
  </si>
  <si>
    <t>Distance in lat/long units</t>
  </si>
  <si>
    <t>a^2+b^2=c^2</t>
  </si>
  <si>
    <t>Lat/long distance</t>
  </si>
  <si>
    <t>calc'd by DistanceOp</t>
  </si>
  <si>
    <t>calc'd by JTS.orthodromicDistance</t>
  </si>
  <si>
    <t>My calcs in Excel</t>
  </si>
  <si>
    <t>exact same as distance calc'd by DistanceOp, prob uses same equation</t>
  </si>
  <si>
    <t>Converting Lat/Long units to meters</t>
  </si>
  <si>
    <t>from http://msi.nga.mil/MSISiteContent/StaticFiles/Calculators/degree.html</t>
  </si>
  <si>
    <t>Conversion factors at this lat</t>
  </si>
  <si>
    <t>Midpoint of latitude</t>
  </si>
  <si>
    <t>Lat/longs in meters</t>
  </si>
  <si>
    <t>Same as distance calc'd by JTS to 2 decimal places (1cm)</t>
  </si>
  <si>
    <t>Monarch density</t>
  </si>
  <si>
    <t>10 per square mile</t>
  </si>
  <si>
    <t>Min</t>
  </si>
  <si>
    <t>Max</t>
  </si>
  <si>
    <t>perception distance=</t>
  </si>
  <si>
    <t>Area</t>
  </si>
  <si>
    <t>Max and Min Area</t>
  </si>
  <si>
    <t>intercept=</t>
  </si>
  <si>
    <t>This is the scaling factor</t>
  </si>
  <si>
    <t>This is the resulting prob = prob*scalar</t>
  </si>
  <si>
    <t>Area of polygons in shapefile is in lat/long units</t>
  </si>
  <si>
    <t xml:space="preserve">Max </t>
  </si>
  <si>
    <t xml:space="preserve">Mean </t>
  </si>
  <si>
    <t>x1000,000</t>
  </si>
  <si>
    <t>this is probably 50 x 50 m = 2500 m^2</t>
  </si>
  <si>
    <t>parameters for logistic equation</t>
  </si>
  <si>
    <t>steepness k</t>
  </si>
  <si>
    <t>midpoint x_0</t>
  </si>
  <si>
    <t>area of nongmo soybean field in test shapefile</t>
  </si>
  <si>
    <t>m^2</t>
  </si>
  <si>
    <t>lat/lon</t>
  </si>
  <si>
    <t>conversion factor</t>
  </si>
  <si>
    <t>area (m^2)</t>
  </si>
  <si>
    <t>ha</t>
  </si>
  <si>
    <t>sq mile</t>
  </si>
  <si>
    <t>area of 100m circle</t>
  </si>
  <si>
    <t>RunningSum</t>
  </si>
  <si>
    <t>x5</t>
  </si>
  <si>
    <t>Multiplier</t>
  </si>
  <si>
    <t>Habitat Type</t>
  </si>
  <si>
    <t>Habitat Preference Value</t>
  </si>
  <si>
    <t>Probability of laying eggs=MW density</t>
  </si>
  <si>
    <t>CRP Non-wet</t>
  </si>
  <si>
    <t>Road ROW MW = 60-100+ sq m (30%)</t>
  </si>
  <si>
    <t>Road ROW MW = 20-60 sq m (23%)</t>
  </si>
  <si>
    <t>Road ROW MW = 5-20 sq m (24%)</t>
  </si>
  <si>
    <t>Railroad ROW</t>
  </si>
  <si>
    <t>Bioreactors</t>
  </si>
  <si>
    <t>Riparian Buffers/other NRS TBD</t>
  </si>
  <si>
    <t>CRP wet</t>
  </si>
  <si>
    <t>Non-Glyphosate Soybean (4%)</t>
  </si>
  <si>
    <t>Non-Glyphosate Corn (12%)</t>
  </si>
  <si>
    <t>Road ROW MW = 1-5 sq m (7%)</t>
  </si>
  <si>
    <t>Low Intensity/Open Space Dev EXURBAN</t>
  </si>
  <si>
    <t>Glyphosate Corn (88%)</t>
  </si>
  <si>
    <t>Glyphosate Soybean (96%)</t>
  </si>
  <si>
    <t>Road ROW MW = 0 (16%)</t>
  </si>
  <si>
    <t>Low Intensity/Open Space Dev URBAN</t>
  </si>
  <si>
    <t>Water/Barren/Other</t>
  </si>
  <si>
    <t>Med/High Intensity Development</t>
  </si>
  <si>
    <t>Other – cotton/rice/etc etc</t>
  </si>
  <si>
    <t>Original</t>
  </si>
  <si>
    <t>probEggs</t>
  </si>
  <si>
    <t xml:space="preserve">  </t>
  </si>
  <si>
    <t>Parameters for final, correct logistic equation</t>
  </si>
  <si>
    <t>Area (lat long) as directly from ArcMap</t>
  </si>
  <si>
    <t>multiplier</t>
  </si>
  <si>
    <t>Area (lat long) x 1,000,000 - used in code</t>
  </si>
  <si>
    <t>Current directionality changes from 0.75 in bad fields to 0.25 in good fields</t>
  </si>
  <si>
    <t>y = - (maxdir - mindir)/(range of probEggs=0.1) + maxdir</t>
  </si>
  <si>
    <t>maxdir</t>
  </si>
  <si>
    <t>mindir</t>
  </si>
  <si>
    <t>range</t>
  </si>
  <si>
    <t>Directionality</t>
  </si>
  <si>
    <t>Table for ms</t>
  </si>
  <si>
    <t>Cumulative Area (m2)</t>
  </si>
  <si>
    <t>No. of Polygons</t>
  </si>
  <si>
    <t>Low Intensity/Open Space Dev</t>
  </si>
  <si>
    <t>Other – primarily alfalfa</t>
  </si>
  <si>
    <t>Cumulative Area (ha)</t>
  </si>
  <si>
    <t>Cumulative Area (km2)</t>
  </si>
  <si>
    <t>area (m^2)/10000 = ha</t>
  </si>
  <si>
    <t>PARAMETERS for area in M^2 and HA</t>
  </si>
  <si>
    <t>New probMove values</t>
  </si>
  <si>
    <t>x</t>
  </si>
  <si>
    <t>Changed</t>
  </si>
  <si>
    <t>Steve's Idea for probEggs</t>
  </si>
  <si>
    <t>Test Case 1</t>
  </si>
  <si>
    <t>Land-cover type</t>
  </si>
  <si>
    <t>Model Case 1</t>
  </si>
  <si>
    <t>Model Case 2</t>
  </si>
  <si>
    <t>probEggs=probMove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</si>
</sst>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3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1" fillId="0" borderId="0" xfId="0" applyNumberFormat="1" applyFont="1"/>
    <xf numFmtId="3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Prob(leave)</a:t>
            </a:r>
            <a:r>
              <a:rPr lang="en-US" baseline="0"/>
              <a:t> = prefB/(prefB+prefA)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4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'pref values'!$B$31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'pref values'!$C$30:$W$30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'pref values'!$C$31:$W$31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'pref values'!$B$32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'pref values'!$C$30:$W$30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'pref values'!$C$32:$W$32</c:f>
              <c:numCache>
                <c:formatCode>0.00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0.16666666666666669</c:v>
                </c:pt>
                <c:pt idx="6">
                  <c:v>0.14285714285714288</c:v>
                </c:pt>
                <c:pt idx="7">
                  <c:v>0.12500000000000003</c:v>
                </c:pt>
                <c:pt idx="8">
                  <c:v>0.11111111111111112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5.5555555555555559E-2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</c:numCache>
            </c:numRef>
          </c:val>
        </c:ser>
        <c:ser>
          <c:idx val="2"/>
          <c:order val="2"/>
          <c:tx>
            <c:strRef>
              <c:f>'pref values'!$B$33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'pref values'!$C$30:$W$30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'pref values'!$C$33:$W$33</c:f>
              <c:numCache>
                <c:formatCode>0.00</c:formatCode>
                <c:ptCount val="21"/>
                <c:pt idx="0">
                  <c:v>1</c:v>
                </c:pt>
                <c:pt idx="1">
                  <c:v>0.66666666666666663</c:v>
                </c:pt>
                <c:pt idx="2">
                  <c:v>0.5</c:v>
                </c:pt>
                <c:pt idx="3">
                  <c:v>0.4</c:v>
                </c:pt>
                <c:pt idx="4">
                  <c:v>0.33333333333333331</c:v>
                </c:pt>
                <c:pt idx="5">
                  <c:v>0.28571428571428575</c:v>
                </c:pt>
                <c:pt idx="6">
                  <c:v>0.25</c:v>
                </c:pt>
                <c:pt idx="7">
                  <c:v>0.22222222222222227</c:v>
                </c:pt>
                <c:pt idx="8">
                  <c:v>0.2</c:v>
                </c:pt>
                <c:pt idx="9">
                  <c:v>0.18181818181818182</c:v>
                </c:pt>
                <c:pt idx="10">
                  <c:v>0.16666666666666669</c:v>
                </c:pt>
                <c:pt idx="11">
                  <c:v>0.15384615384615385</c:v>
                </c:pt>
                <c:pt idx="12">
                  <c:v>0.14285714285714288</c:v>
                </c:pt>
                <c:pt idx="13">
                  <c:v>0.13333333333333333</c:v>
                </c:pt>
                <c:pt idx="14">
                  <c:v>0.12500000000000003</c:v>
                </c:pt>
                <c:pt idx="15">
                  <c:v>0.11764705882352942</c:v>
                </c:pt>
                <c:pt idx="16">
                  <c:v>0.11111111111111112</c:v>
                </c:pt>
                <c:pt idx="17">
                  <c:v>0.10526315789473685</c:v>
                </c:pt>
                <c:pt idx="18">
                  <c:v>0.1</c:v>
                </c:pt>
                <c:pt idx="19">
                  <c:v>9.5238095238095233E-2</c:v>
                </c:pt>
                <c:pt idx="20">
                  <c:v>9.0909090909090912E-2</c:v>
                </c:pt>
              </c:numCache>
            </c:numRef>
          </c:val>
        </c:ser>
        <c:ser>
          <c:idx val="3"/>
          <c:order val="3"/>
          <c:tx>
            <c:strRef>
              <c:f>'pref values'!$B$34</c:f>
              <c:strCache>
                <c:ptCount val="1"/>
                <c:pt idx="0">
                  <c:v>0.15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'pref values'!$C$30:$W$30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'pref values'!$C$34:$W$34</c:f>
              <c:numCache>
                <c:formatCode>0.00</c:formatCode>
                <c:ptCount val="21"/>
                <c:pt idx="0">
                  <c:v>1</c:v>
                </c:pt>
                <c:pt idx="1">
                  <c:v>0.74999999999999989</c:v>
                </c:pt>
                <c:pt idx="2">
                  <c:v>0.6</c:v>
                </c:pt>
                <c:pt idx="3">
                  <c:v>0.5</c:v>
                </c:pt>
                <c:pt idx="4">
                  <c:v>0.4285714285714286</c:v>
                </c:pt>
                <c:pt idx="5">
                  <c:v>0.37499999999999994</c:v>
                </c:pt>
                <c:pt idx="6">
                  <c:v>0.33333333333333337</c:v>
                </c:pt>
                <c:pt idx="7">
                  <c:v>0.3</c:v>
                </c:pt>
                <c:pt idx="8">
                  <c:v>0.27272727272727271</c:v>
                </c:pt>
                <c:pt idx="9">
                  <c:v>0.25</c:v>
                </c:pt>
                <c:pt idx="10">
                  <c:v>0.23076923076923075</c:v>
                </c:pt>
                <c:pt idx="11">
                  <c:v>0.21428571428571425</c:v>
                </c:pt>
                <c:pt idx="12">
                  <c:v>0.19999999999999998</c:v>
                </c:pt>
                <c:pt idx="13">
                  <c:v>0.18749999999999997</c:v>
                </c:pt>
                <c:pt idx="14">
                  <c:v>0.17647058823529413</c:v>
                </c:pt>
                <c:pt idx="15">
                  <c:v>0.16666666666666666</c:v>
                </c:pt>
                <c:pt idx="16">
                  <c:v>0.15789473684210525</c:v>
                </c:pt>
                <c:pt idx="17">
                  <c:v>0.15</c:v>
                </c:pt>
                <c:pt idx="18">
                  <c:v>0.14285714285714285</c:v>
                </c:pt>
                <c:pt idx="19">
                  <c:v>0.13636363636363638</c:v>
                </c:pt>
                <c:pt idx="20">
                  <c:v>0.13043478260869565</c:v>
                </c:pt>
              </c:numCache>
            </c:numRef>
          </c:val>
        </c:ser>
        <c:ser>
          <c:idx val="4"/>
          <c:order val="4"/>
          <c:tx>
            <c:strRef>
              <c:f>'pref values'!$B$35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'pref values'!$C$30:$W$30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'pref values'!$C$35:$W$35</c:f>
              <c:numCache>
                <c:formatCode>0.00</c:formatCode>
                <c:ptCount val="21"/>
                <c:pt idx="0">
                  <c:v>1</c:v>
                </c:pt>
                <c:pt idx="1">
                  <c:v>0.8</c:v>
                </c:pt>
                <c:pt idx="2">
                  <c:v>0.66666666666666663</c:v>
                </c:pt>
                <c:pt idx="3">
                  <c:v>0.57142857142857151</c:v>
                </c:pt>
                <c:pt idx="4">
                  <c:v>0.5</c:v>
                </c:pt>
                <c:pt idx="5">
                  <c:v>0.44444444444444448</c:v>
                </c:pt>
                <c:pt idx="6">
                  <c:v>0.4</c:v>
                </c:pt>
                <c:pt idx="7">
                  <c:v>0.36363636363636365</c:v>
                </c:pt>
                <c:pt idx="8">
                  <c:v>0.33333333333333331</c:v>
                </c:pt>
                <c:pt idx="9">
                  <c:v>0.30769230769230771</c:v>
                </c:pt>
                <c:pt idx="10">
                  <c:v>0.28571428571428575</c:v>
                </c:pt>
                <c:pt idx="11">
                  <c:v>0.26666666666666666</c:v>
                </c:pt>
                <c:pt idx="12">
                  <c:v>0.25</c:v>
                </c:pt>
                <c:pt idx="13">
                  <c:v>0.23529411764705882</c:v>
                </c:pt>
                <c:pt idx="14">
                  <c:v>0.22222222222222227</c:v>
                </c:pt>
                <c:pt idx="15">
                  <c:v>0.2105263157894737</c:v>
                </c:pt>
                <c:pt idx="16">
                  <c:v>0.2</c:v>
                </c:pt>
                <c:pt idx="17">
                  <c:v>0.19047619047619047</c:v>
                </c:pt>
                <c:pt idx="18">
                  <c:v>0.18181818181818182</c:v>
                </c:pt>
                <c:pt idx="19">
                  <c:v>0.17391304347826089</c:v>
                </c:pt>
                <c:pt idx="20">
                  <c:v>0.16666666666666669</c:v>
                </c:pt>
              </c:numCache>
            </c:numRef>
          </c:val>
        </c:ser>
        <c:ser>
          <c:idx val="5"/>
          <c:order val="5"/>
          <c:tx>
            <c:strRef>
              <c:f>'pref values'!$B$36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'pref values'!$C$30:$W$30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'pref values'!$C$36:$W$36</c:f>
              <c:numCache>
                <c:formatCode>0.00</c:formatCode>
                <c:ptCount val="21"/>
                <c:pt idx="0">
                  <c:v>1</c:v>
                </c:pt>
                <c:pt idx="1">
                  <c:v>0.83333333333333337</c:v>
                </c:pt>
                <c:pt idx="2">
                  <c:v>0.7142857142857143</c:v>
                </c:pt>
                <c:pt idx="3">
                  <c:v>0.625</c:v>
                </c:pt>
                <c:pt idx="4">
                  <c:v>0.55555555555555558</c:v>
                </c:pt>
                <c:pt idx="5">
                  <c:v>0.5</c:v>
                </c:pt>
                <c:pt idx="6">
                  <c:v>0.45454545454545453</c:v>
                </c:pt>
                <c:pt idx="7">
                  <c:v>0.41666666666666669</c:v>
                </c:pt>
                <c:pt idx="8">
                  <c:v>0.38461538461538458</c:v>
                </c:pt>
                <c:pt idx="9">
                  <c:v>0.35714285714285715</c:v>
                </c:pt>
                <c:pt idx="10">
                  <c:v>0.33333333333333331</c:v>
                </c:pt>
                <c:pt idx="11">
                  <c:v>0.3125</c:v>
                </c:pt>
                <c:pt idx="12">
                  <c:v>0.29411764705882354</c:v>
                </c:pt>
                <c:pt idx="13">
                  <c:v>0.27777777777777779</c:v>
                </c:pt>
                <c:pt idx="14">
                  <c:v>0.26315789473684209</c:v>
                </c:pt>
                <c:pt idx="15">
                  <c:v>0.25</c:v>
                </c:pt>
                <c:pt idx="16">
                  <c:v>0.23809523809523808</c:v>
                </c:pt>
                <c:pt idx="17">
                  <c:v>0.22727272727272727</c:v>
                </c:pt>
                <c:pt idx="18">
                  <c:v>0.21739130434782611</c:v>
                </c:pt>
                <c:pt idx="19">
                  <c:v>0.20833333333333334</c:v>
                </c:pt>
                <c:pt idx="20">
                  <c:v>0.2</c:v>
                </c:pt>
              </c:numCache>
            </c:numRef>
          </c:val>
        </c:ser>
        <c:ser>
          <c:idx val="6"/>
          <c:order val="6"/>
          <c:tx>
            <c:strRef>
              <c:f>'pref values'!$B$37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'pref values'!$C$30:$W$30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'pref values'!$C$37:$W$37</c:f>
              <c:numCache>
                <c:formatCode>0.00</c:formatCode>
                <c:ptCount val="21"/>
                <c:pt idx="0">
                  <c:v>1</c:v>
                </c:pt>
                <c:pt idx="1">
                  <c:v>0.85714285714285721</c:v>
                </c:pt>
                <c:pt idx="2">
                  <c:v>0.74999999999999989</c:v>
                </c:pt>
                <c:pt idx="3">
                  <c:v>0.66666666666666674</c:v>
                </c:pt>
                <c:pt idx="4">
                  <c:v>0.6</c:v>
                </c:pt>
                <c:pt idx="5">
                  <c:v>0.54545454545454541</c:v>
                </c:pt>
                <c:pt idx="6">
                  <c:v>0.5</c:v>
                </c:pt>
                <c:pt idx="7">
                  <c:v>0.46153846153846156</c:v>
                </c:pt>
                <c:pt idx="8">
                  <c:v>0.4285714285714286</c:v>
                </c:pt>
                <c:pt idx="9">
                  <c:v>0.39999999999999997</c:v>
                </c:pt>
                <c:pt idx="10">
                  <c:v>0.37499999999999994</c:v>
                </c:pt>
                <c:pt idx="11">
                  <c:v>0.3529411764705882</c:v>
                </c:pt>
                <c:pt idx="12">
                  <c:v>0.33333333333333337</c:v>
                </c:pt>
                <c:pt idx="13">
                  <c:v>0.31578947368421051</c:v>
                </c:pt>
                <c:pt idx="14">
                  <c:v>0.3</c:v>
                </c:pt>
                <c:pt idx="15">
                  <c:v>0.2857142857142857</c:v>
                </c:pt>
                <c:pt idx="16">
                  <c:v>0.27272727272727271</c:v>
                </c:pt>
                <c:pt idx="17">
                  <c:v>0.2608695652173913</c:v>
                </c:pt>
                <c:pt idx="18">
                  <c:v>0.25</c:v>
                </c:pt>
                <c:pt idx="19">
                  <c:v>0.24</c:v>
                </c:pt>
                <c:pt idx="20">
                  <c:v>0.23076923076923075</c:v>
                </c:pt>
              </c:numCache>
            </c:numRef>
          </c:val>
        </c:ser>
        <c:ser>
          <c:idx val="7"/>
          <c:order val="7"/>
          <c:tx>
            <c:strRef>
              <c:f>'pref values'!$B$38</c:f>
              <c:strCache>
                <c:ptCount val="1"/>
                <c:pt idx="0">
                  <c:v>0.35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'pref values'!$C$30:$W$30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'pref values'!$C$38:$W$38</c:f>
              <c:numCache>
                <c:formatCode>0.00</c:formatCode>
                <c:ptCount val="21"/>
                <c:pt idx="0">
                  <c:v>1</c:v>
                </c:pt>
                <c:pt idx="1">
                  <c:v>0.875</c:v>
                </c:pt>
                <c:pt idx="2">
                  <c:v>0.77777777777777779</c:v>
                </c:pt>
                <c:pt idx="3">
                  <c:v>0.7</c:v>
                </c:pt>
                <c:pt idx="4">
                  <c:v>0.63636363636363624</c:v>
                </c:pt>
                <c:pt idx="5">
                  <c:v>0.58333333333333337</c:v>
                </c:pt>
                <c:pt idx="6">
                  <c:v>0.53846153846153855</c:v>
                </c:pt>
                <c:pt idx="7">
                  <c:v>0.5</c:v>
                </c:pt>
                <c:pt idx="8">
                  <c:v>0.46666666666666662</c:v>
                </c:pt>
                <c:pt idx="9">
                  <c:v>0.43749999999999994</c:v>
                </c:pt>
                <c:pt idx="10">
                  <c:v>0.41176470588235292</c:v>
                </c:pt>
                <c:pt idx="11">
                  <c:v>0.38888888888888884</c:v>
                </c:pt>
                <c:pt idx="12">
                  <c:v>0.36842105263157893</c:v>
                </c:pt>
                <c:pt idx="13">
                  <c:v>0.35</c:v>
                </c:pt>
                <c:pt idx="14">
                  <c:v>0.33333333333333337</c:v>
                </c:pt>
                <c:pt idx="15">
                  <c:v>0.31818181818181812</c:v>
                </c:pt>
                <c:pt idx="16">
                  <c:v>0.30434782608695654</c:v>
                </c:pt>
                <c:pt idx="17">
                  <c:v>0.29166666666666669</c:v>
                </c:pt>
                <c:pt idx="18">
                  <c:v>0.27999999999999997</c:v>
                </c:pt>
                <c:pt idx="19">
                  <c:v>0.26923076923076927</c:v>
                </c:pt>
                <c:pt idx="20">
                  <c:v>0.25925925925925924</c:v>
                </c:pt>
              </c:numCache>
            </c:numRef>
          </c:val>
        </c:ser>
        <c:ser>
          <c:idx val="8"/>
          <c:order val="8"/>
          <c:tx>
            <c:strRef>
              <c:f>'pref values'!$B$39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'pref values'!$C$30:$W$30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'pref values'!$C$39:$W$39</c:f>
              <c:numCache>
                <c:formatCode>0.00</c:formatCode>
                <c:ptCount val="21"/>
                <c:pt idx="0">
                  <c:v>1</c:v>
                </c:pt>
                <c:pt idx="1">
                  <c:v>0.88888888888888895</c:v>
                </c:pt>
                <c:pt idx="2">
                  <c:v>0.8</c:v>
                </c:pt>
                <c:pt idx="3">
                  <c:v>0.72727272727272729</c:v>
                </c:pt>
                <c:pt idx="4">
                  <c:v>0.66666666666666663</c:v>
                </c:pt>
                <c:pt idx="5">
                  <c:v>0.61538461538461542</c:v>
                </c:pt>
                <c:pt idx="6">
                  <c:v>0.57142857142857151</c:v>
                </c:pt>
                <c:pt idx="7">
                  <c:v>0.53333333333333333</c:v>
                </c:pt>
                <c:pt idx="8">
                  <c:v>0.5</c:v>
                </c:pt>
                <c:pt idx="9">
                  <c:v>0.47058823529411764</c:v>
                </c:pt>
                <c:pt idx="10">
                  <c:v>0.44444444444444448</c:v>
                </c:pt>
                <c:pt idx="11">
                  <c:v>0.42105263157894735</c:v>
                </c:pt>
                <c:pt idx="12">
                  <c:v>0.4</c:v>
                </c:pt>
                <c:pt idx="13">
                  <c:v>0.38095238095238093</c:v>
                </c:pt>
                <c:pt idx="14">
                  <c:v>0.36363636363636365</c:v>
                </c:pt>
                <c:pt idx="15">
                  <c:v>0.34782608695652178</c:v>
                </c:pt>
                <c:pt idx="16">
                  <c:v>0.33333333333333331</c:v>
                </c:pt>
                <c:pt idx="17">
                  <c:v>0.32</c:v>
                </c:pt>
                <c:pt idx="18">
                  <c:v>0.30769230769230771</c:v>
                </c:pt>
                <c:pt idx="19">
                  <c:v>0.29629629629629628</c:v>
                </c:pt>
                <c:pt idx="20">
                  <c:v>0.28571428571428575</c:v>
                </c:pt>
              </c:numCache>
            </c:numRef>
          </c:val>
        </c:ser>
        <c:ser>
          <c:idx val="9"/>
          <c:order val="9"/>
          <c:tx>
            <c:strRef>
              <c:f>'pref values'!$B$40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'pref values'!$C$30:$W$30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'pref values'!$C$40:$W$40</c:f>
              <c:numCache>
                <c:formatCode>0.00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0.81818181818181812</c:v>
                </c:pt>
                <c:pt idx="3">
                  <c:v>0.75</c:v>
                </c:pt>
                <c:pt idx="4">
                  <c:v>0.69230769230769229</c:v>
                </c:pt>
                <c:pt idx="5">
                  <c:v>0.6428571428571429</c:v>
                </c:pt>
                <c:pt idx="6">
                  <c:v>0.6</c:v>
                </c:pt>
                <c:pt idx="7">
                  <c:v>0.5625</c:v>
                </c:pt>
                <c:pt idx="8">
                  <c:v>0.52941176470588236</c:v>
                </c:pt>
                <c:pt idx="9">
                  <c:v>0.5</c:v>
                </c:pt>
                <c:pt idx="10">
                  <c:v>0.47368421052631582</c:v>
                </c:pt>
                <c:pt idx="11">
                  <c:v>0.45</c:v>
                </c:pt>
                <c:pt idx="12">
                  <c:v>0.42857142857142855</c:v>
                </c:pt>
                <c:pt idx="13">
                  <c:v>0.40909090909090906</c:v>
                </c:pt>
                <c:pt idx="14">
                  <c:v>0.39130434782608697</c:v>
                </c:pt>
                <c:pt idx="15">
                  <c:v>0.375</c:v>
                </c:pt>
                <c:pt idx="16">
                  <c:v>0.36</c:v>
                </c:pt>
                <c:pt idx="17">
                  <c:v>0.34615384615384615</c:v>
                </c:pt>
                <c:pt idx="18">
                  <c:v>0.33333333333333331</c:v>
                </c:pt>
                <c:pt idx="19">
                  <c:v>0.32142857142857145</c:v>
                </c:pt>
                <c:pt idx="20">
                  <c:v>0.31034482758620691</c:v>
                </c:pt>
              </c:numCache>
            </c:numRef>
          </c:val>
        </c:ser>
        <c:ser>
          <c:idx val="10"/>
          <c:order val="10"/>
          <c:tx>
            <c:strRef>
              <c:f>'pref values'!$B$41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'pref values'!$C$30:$W$30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'pref values'!$C$41:$W$41</c:f>
              <c:numCache>
                <c:formatCode>0.00</c:formatCode>
                <c:ptCount val="21"/>
                <c:pt idx="0">
                  <c:v>1</c:v>
                </c:pt>
                <c:pt idx="1">
                  <c:v>0.90909090909090906</c:v>
                </c:pt>
                <c:pt idx="2">
                  <c:v>0.83333333333333337</c:v>
                </c:pt>
                <c:pt idx="3">
                  <c:v>0.76923076923076916</c:v>
                </c:pt>
                <c:pt idx="4">
                  <c:v>0.7142857142857143</c:v>
                </c:pt>
                <c:pt idx="5">
                  <c:v>0.66666666666666663</c:v>
                </c:pt>
                <c:pt idx="6">
                  <c:v>0.625</c:v>
                </c:pt>
                <c:pt idx="7">
                  <c:v>0.58823529411764708</c:v>
                </c:pt>
                <c:pt idx="8">
                  <c:v>0.55555555555555558</c:v>
                </c:pt>
                <c:pt idx="9">
                  <c:v>0.52631578947368418</c:v>
                </c:pt>
                <c:pt idx="10">
                  <c:v>0.5</c:v>
                </c:pt>
                <c:pt idx="11">
                  <c:v>0.47619047619047616</c:v>
                </c:pt>
                <c:pt idx="12">
                  <c:v>0.45454545454545453</c:v>
                </c:pt>
                <c:pt idx="13">
                  <c:v>0.43478260869565222</c:v>
                </c:pt>
                <c:pt idx="14">
                  <c:v>0.41666666666666669</c:v>
                </c:pt>
                <c:pt idx="15">
                  <c:v>0.4</c:v>
                </c:pt>
                <c:pt idx="16">
                  <c:v>0.38461538461538458</c:v>
                </c:pt>
                <c:pt idx="17">
                  <c:v>0.37037037037037035</c:v>
                </c:pt>
                <c:pt idx="18">
                  <c:v>0.35714285714285715</c:v>
                </c:pt>
                <c:pt idx="19">
                  <c:v>0.34482758620689657</c:v>
                </c:pt>
                <c:pt idx="20">
                  <c:v>0.33333333333333331</c:v>
                </c:pt>
              </c:numCache>
            </c:numRef>
          </c:val>
        </c:ser>
        <c:ser>
          <c:idx val="11"/>
          <c:order val="11"/>
          <c:tx>
            <c:strRef>
              <c:f>'pref values'!$B$42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'pref values'!$C$30:$W$30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'pref values'!$C$42:$W$42</c:f>
              <c:numCache>
                <c:formatCode>0.00</c:formatCode>
                <c:ptCount val="21"/>
                <c:pt idx="0">
                  <c:v>1</c:v>
                </c:pt>
                <c:pt idx="1">
                  <c:v>0.91666666666666663</c:v>
                </c:pt>
                <c:pt idx="2">
                  <c:v>0.84615384615384615</c:v>
                </c:pt>
                <c:pt idx="3">
                  <c:v>0.7857142857142857</c:v>
                </c:pt>
                <c:pt idx="4">
                  <c:v>0.73333333333333339</c:v>
                </c:pt>
                <c:pt idx="5">
                  <c:v>0.6875</c:v>
                </c:pt>
                <c:pt idx="6">
                  <c:v>0.6470588235294118</c:v>
                </c:pt>
                <c:pt idx="7">
                  <c:v>0.61111111111111116</c:v>
                </c:pt>
                <c:pt idx="8">
                  <c:v>0.57894736842105265</c:v>
                </c:pt>
                <c:pt idx="9">
                  <c:v>0.55000000000000004</c:v>
                </c:pt>
                <c:pt idx="10">
                  <c:v>0.52380952380952384</c:v>
                </c:pt>
                <c:pt idx="11">
                  <c:v>0.5</c:v>
                </c:pt>
                <c:pt idx="12">
                  <c:v>0.47826086956521746</c:v>
                </c:pt>
                <c:pt idx="13">
                  <c:v>0.45833333333333331</c:v>
                </c:pt>
                <c:pt idx="14">
                  <c:v>0.44000000000000006</c:v>
                </c:pt>
                <c:pt idx="15">
                  <c:v>0.42307692307692307</c:v>
                </c:pt>
                <c:pt idx="16">
                  <c:v>0.40740740740740744</c:v>
                </c:pt>
                <c:pt idx="17">
                  <c:v>0.3928571428571429</c:v>
                </c:pt>
                <c:pt idx="18">
                  <c:v>0.37931034482758619</c:v>
                </c:pt>
                <c:pt idx="19">
                  <c:v>0.3666666666666667</c:v>
                </c:pt>
                <c:pt idx="20">
                  <c:v>0.35483870967741937</c:v>
                </c:pt>
              </c:numCache>
            </c:numRef>
          </c:val>
        </c:ser>
        <c:ser>
          <c:idx val="12"/>
          <c:order val="12"/>
          <c:tx>
            <c:strRef>
              <c:f>'pref values'!$B$43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'pref values'!$C$30:$W$30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'pref values'!$C$43:$W$43</c:f>
              <c:numCache>
                <c:formatCode>0.00</c:formatCode>
                <c:ptCount val="21"/>
                <c:pt idx="0">
                  <c:v>1</c:v>
                </c:pt>
                <c:pt idx="1">
                  <c:v>0.92307692307692302</c:v>
                </c:pt>
                <c:pt idx="2">
                  <c:v>0.85714285714285721</c:v>
                </c:pt>
                <c:pt idx="3">
                  <c:v>0.79999999999999993</c:v>
                </c:pt>
                <c:pt idx="4">
                  <c:v>0.74999999999999989</c:v>
                </c:pt>
                <c:pt idx="5">
                  <c:v>0.70588235294117652</c:v>
                </c:pt>
                <c:pt idx="6">
                  <c:v>0.66666666666666674</c:v>
                </c:pt>
                <c:pt idx="7">
                  <c:v>0.63157894736842102</c:v>
                </c:pt>
                <c:pt idx="8">
                  <c:v>0.6</c:v>
                </c:pt>
                <c:pt idx="9">
                  <c:v>0.5714285714285714</c:v>
                </c:pt>
                <c:pt idx="10">
                  <c:v>0.54545454545454541</c:v>
                </c:pt>
                <c:pt idx="11">
                  <c:v>0.52173913043478259</c:v>
                </c:pt>
                <c:pt idx="12">
                  <c:v>0.5</c:v>
                </c:pt>
                <c:pt idx="13">
                  <c:v>0.48</c:v>
                </c:pt>
                <c:pt idx="14">
                  <c:v>0.46153846153846156</c:v>
                </c:pt>
                <c:pt idx="15">
                  <c:v>0.44444444444444442</c:v>
                </c:pt>
                <c:pt idx="16">
                  <c:v>0.4285714285714286</c:v>
                </c:pt>
                <c:pt idx="17">
                  <c:v>0.41379310344827586</c:v>
                </c:pt>
                <c:pt idx="18">
                  <c:v>0.39999999999999997</c:v>
                </c:pt>
                <c:pt idx="19">
                  <c:v>0.38709677419354843</c:v>
                </c:pt>
                <c:pt idx="20">
                  <c:v>0.37499999999999994</c:v>
                </c:pt>
              </c:numCache>
            </c:numRef>
          </c:val>
        </c:ser>
        <c:ser>
          <c:idx val="13"/>
          <c:order val="13"/>
          <c:tx>
            <c:strRef>
              <c:f>'pref values'!$B$44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'pref values'!$C$30:$W$30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'pref values'!$C$44:$W$44</c:f>
              <c:numCache>
                <c:formatCode>0.00</c:formatCode>
                <c:ptCount val="21"/>
                <c:pt idx="0">
                  <c:v>1</c:v>
                </c:pt>
                <c:pt idx="1">
                  <c:v>0.92857142857142849</c:v>
                </c:pt>
                <c:pt idx="2">
                  <c:v>0.8666666666666667</c:v>
                </c:pt>
                <c:pt idx="3">
                  <c:v>0.8125</c:v>
                </c:pt>
                <c:pt idx="4">
                  <c:v>0.76470588235294112</c:v>
                </c:pt>
                <c:pt idx="5">
                  <c:v>0.72222222222222221</c:v>
                </c:pt>
                <c:pt idx="6">
                  <c:v>0.68421052631578949</c:v>
                </c:pt>
                <c:pt idx="7">
                  <c:v>0.65</c:v>
                </c:pt>
                <c:pt idx="8">
                  <c:v>0.61904761904761907</c:v>
                </c:pt>
                <c:pt idx="9">
                  <c:v>0.59090909090909083</c:v>
                </c:pt>
                <c:pt idx="10">
                  <c:v>0.56521739130434789</c:v>
                </c:pt>
                <c:pt idx="11">
                  <c:v>0.54166666666666663</c:v>
                </c:pt>
                <c:pt idx="12">
                  <c:v>0.52</c:v>
                </c:pt>
                <c:pt idx="13">
                  <c:v>0.5</c:v>
                </c:pt>
                <c:pt idx="14">
                  <c:v>0.48148148148148145</c:v>
                </c:pt>
                <c:pt idx="15">
                  <c:v>0.46428571428571436</c:v>
                </c:pt>
                <c:pt idx="16">
                  <c:v>0.44827586206896547</c:v>
                </c:pt>
                <c:pt idx="17">
                  <c:v>0.43333333333333335</c:v>
                </c:pt>
                <c:pt idx="18">
                  <c:v>0.41935483870967744</c:v>
                </c:pt>
                <c:pt idx="19">
                  <c:v>0.40625</c:v>
                </c:pt>
                <c:pt idx="20">
                  <c:v>0.39393939393939398</c:v>
                </c:pt>
              </c:numCache>
            </c:numRef>
          </c:val>
        </c:ser>
        <c:ser>
          <c:idx val="14"/>
          <c:order val="14"/>
          <c:tx>
            <c:strRef>
              <c:f>'pref values'!$B$45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'pref values'!$C$30:$W$30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'pref values'!$C$45:$W$45</c:f>
              <c:numCache>
                <c:formatCode>0.00</c:formatCode>
                <c:ptCount val="21"/>
                <c:pt idx="0">
                  <c:v>1</c:v>
                </c:pt>
                <c:pt idx="1">
                  <c:v>0.93333333333333324</c:v>
                </c:pt>
                <c:pt idx="2">
                  <c:v>0.875</c:v>
                </c:pt>
                <c:pt idx="3">
                  <c:v>0.82352941176470584</c:v>
                </c:pt>
                <c:pt idx="4">
                  <c:v>0.77777777777777779</c:v>
                </c:pt>
                <c:pt idx="5">
                  <c:v>0.73684210526315785</c:v>
                </c:pt>
                <c:pt idx="6">
                  <c:v>0.7</c:v>
                </c:pt>
                <c:pt idx="7">
                  <c:v>0.66666666666666674</c:v>
                </c:pt>
                <c:pt idx="8">
                  <c:v>0.63636363636363624</c:v>
                </c:pt>
                <c:pt idx="9">
                  <c:v>0.60869565217391308</c:v>
                </c:pt>
                <c:pt idx="10">
                  <c:v>0.58333333333333337</c:v>
                </c:pt>
                <c:pt idx="11">
                  <c:v>0.55999999999999994</c:v>
                </c:pt>
                <c:pt idx="12">
                  <c:v>0.53846153846153855</c:v>
                </c:pt>
                <c:pt idx="13">
                  <c:v>0.51851851851851849</c:v>
                </c:pt>
                <c:pt idx="14">
                  <c:v>0.5</c:v>
                </c:pt>
                <c:pt idx="15">
                  <c:v>0.48275862068965514</c:v>
                </c:pt>
                <c:pt idx="16">
                  <c:v>0.46666666666666662</c:v>
                </c:pt>
                <c:pt idx="17">
                  <c:v>0.45161290322580649</c:v>
                </c:pt>
                <c:pt idx="18">
                  <c:v>0.43749999999999994</c:v>
                </c:pt>
                <c:pt idx="19">
                  <c:v>0.42424242424242425</c:v>
                </c:pt>
                <c:pt idx="20">
                  <c:v>0.41176470588235292</c:v>
                </c:pt>
              </c:numCache>
            </c:numRef>
          </c:val>
        </c:ser>
        <c:ser>
          <c:idx val="15"/>
          <c:order val="15"/>
          <c:tx>
            <c:strRef>
              <c:f>'pref values'!$B$46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'pref values'!$C$30:$W$30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'pref values'!$C$46:$W$46</c:f>
              <c:numCache>
                <c:formatCode>0.00</c:formatCode>
                <c:ptCount val="21"/>
                <c:pt idx="0">
                  <c:v>1</c:v>
                </c:pt>
                <c:pt idx="1">
                  <c:v>0.9375</c:v>
                </c:pt>
                <c:pt idx="2">
                  <c:v>0.88235294117647056</c:v>
                </c:pt>
                <c:pt idx="3">
                  <c:v>0.83333333333333326</c:v>
                </c:pt>
                <c:pt idx="4">
                  <c:v>0.78947368421052633</c:v>
                </c:pt>
                <c:pt idx="5">
                  <c:v>0.75</c:v>
                </c:pt>
                <c:pt idx="6">
                  <c:v>0.7142857142857143</c:v>
                </c:pt>
                <c:pt idx="7">
                  <c:v>0.68181818181818177</c:v>
                </c:pt>
                <c:pt idx="8">
                  <c:v>0.65217391304347827</c:v>
                </c:pt>
                <c:pt idx="9">
                  <c:v>0.625</c:v>
                </c:pt>
                <c:pt idx="10">
                  <c:v>0.6</c:v>
                </c:pt>
                <c:pt idx="11">
                  <c:v>0.57692307692307687</c:v>
                </c:pt>
                <c:pt idx="12">
                  <c:v>0.55555555555555547</c:v>
                </c:pt>
                <c:pt idx="13">
                  <c:v>0.5357142857142857</c:v>
                </c:pt>
                <c:pt idx="14">
                  <c:v>0.51724137931034486</c:v>
                </c:pt>
                <c:pt idx="15">
                  <c:v>0.5</c:v>
                </c:pt>
                <c:pt idx="16">
                  <c:v>0.48387096774193544</c:v>
                </c:pt>
                <c:pt idx="17">
                  <c:v>0.46875</c:v>
                </c:pt>
                <c:pt idx="18">
                  <c:v>0.45454545454545459</c:v>
                </c:pt>
                <c:pt idx="19">
                  <c:v>0.44117647058823528</c:v>
                </c:pt>
                <c:pt idx="20">
                  <c:v>0.42857142857142855</c:v>
                </c:pt>
              </c:numCache>
            </c:numRef>
          </c:val>
        </c:ser>
        <c:ser>
          <c:idx val="16"/>
          <c:order val="16"/>
          <c:tx>
            <c:strRef>
              <c:f>'pref values'!$B$47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'pref values'!$C$30:$W$30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'pref values'!$C$47:$W$47</c:f>
              <c:numCache>
                <c:formatCode>0.00</c:formatCode>
                <c:ptCount val="21"/>
                <c:pt idx="0">
                  <c:v>1</c:v>
                </c:pt>
                <c:pt idx="1">
                  <c:v>0.94117647058823528</c:v>
                </c:pt>
                <c:pt idx="2">
                  <c:v>0.88888888888888895</c:v>
                </c:pt>
                <c:pt idx="3">
                  <c:v>0.84210526315789469</c:v>
                </c:pt>
                <c:pt idx="4">
                  <c:v>0.8</c:v>
                </c:pt>
                <c:pt idx="5">
                  <c:v>0.76190476190476186</c:v>
                </c:pt>
                <c:pt idx="6">
                  <c:v>0.72727272727272729</c:v>
                </c:pt>
                <c:pt idx="7">
                  <c:v>0.69565217391304357</c:v>
                </c:pt>
                <c:pt idx="8">
                  <c:v>0.66666666666666663</c:v>
                </c:pt>
                <c:pt idx="9">
                  <c:v>0.64</c:v>
                </c:pt>
                <c:pt idx="10">
                  <c:v>0.61538461538461542</c:v>
                </c:pt>
                <c:pt idx="11">
                  <c:v>0.59259259259259256</c:v>
                </c:pt>
                <c:pt idx="12">
                  <c:v>0.57142857142857151</c:v>
                </c:pt>
                <c:pt idx="13">
                  <c:v>0.55172413793103448</c:v>
                </c:pt>
                <c:pt idx="14">
                  <c:v>0.53333333333333333</c:v>
                </c:pt>
                <c:pt idx="15">
                  <c:v>0.5161290322580645</c:v>
                </c:pt>
                <c:pt idx="16">
                  <c:v>0.5</c:v>
                </c:pt>
                <c:pt idx="17">
                  <c:v>0.48484848484848492</c:v>
                </c:pt>
                <c:pt idx="18">
                  <c:v>0.47058823529411764</c:v>
                </c:pt>
                <c:pt idx="19">
                  <c:v>0.45714285714285718</c:v>
                </c:pt>
                <c:pt idx="20">
                  <c:v>0.44444444444444448</c:v>
                </c:pt>
              </c:numCache>
            </c:numRef>
          </c:val>
        </c:ser>
        <c:ser>
          <c:idx val="17"/>
          <c:order val="17"/>
          <c:tx>
            <c:strRef>
              <c:f>'pref values'!$B$48</c:f>
              <c:strCache>
                <c:ptCount val="1"/>
                <c:pt idx="0">
                  <c:v>0.85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'pref values'!$C$30:$W$30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'pref values'!$C$48:$W$48</c:f>
              <c:numCache>
                <c:formatCode>0.00</c:formatCode>
                <c:ptCount val="21"/>
                <c:pt idx="0">
                  <c:v>1</c:v>
                </c:pt>
                <c:pt idx="1">
                  <c:v>0.94444444444444442</c:v>
                </c:pt>
                <c:pt idx="2">
                  <c:v>0.89473684210526316</c:v>
                </c:pt>
                <c:pt idx="3">
                  <c:v>0.85</c:v>
                </c:pt>
                <c:pt idx="4">
                  <c:v>0.80952380952380942</c:v>
                </c:pt>
                <c:pt idx="5">
                  <c:v>0.7727272727272726</c:v>
                </c:pt>
                <c:pt idx="6">
                  <c:v>0.73913043478260876</c:v>
                </c:pt>
                <c:pt idx="7">
                  <c:v>0.70833333333333337</c:v>
                </c:pt>
                <c:pt idx="8">
                  <c:v>0.67999999999999994</c:v>
                </c:pt>
                <c:pt idx="9">
                  <c:v>0.65384615384615385</c:v>
                </c:pt>
                <c:pt idx="10">
                  <c:v>0.62962962962962954</c:v>
                </c:pt>
                <c:pt idx="11">
                  <c:v>0.60714285714285721</c:v>
                </c:pt>
                <c:pt idx="12">
                  <c:v>0.58620689655172409</c:v>
                </c:pt>
                <c:pt idx="13">
                  <c:v>0.56666666666666665</c:v>
                </c:pt>
                <c:pt idx="14">
                  <c:v>0.54838709677419362</c:v>
                </c:pt>
                <c:pt idx="15">
                  <c:v>0.53125</c:v>
                </c:pt>
                <c:pt idx="16">
                  <c:v>0.51515151515151514</c:v>
                </c:pt>
                <c:pt idx="17">
                  <c:v>0.5</c:v>
                </c:pt>
                <c:pt idx="18">
                  <c:v>0.48571428571428571</c:v>
                </c:pt>
                <c:pt idx="19">
                  <c:v>0.47222222222222227</c:v>
                </c:pt>
                <c:pt idx="20">
                  <c:v>0.45945945945945943</c:v>
                </c:pt>
              </c:numCache>
            </c:numRef>
          </c:val>
        </c:ser>
        <c:ser>
          <c:idx val="18"/>
          <c:order val="18"/>
          <c:tx>
            <c:strRef>
              <c:f>'pref values'!$B$49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'pref values'!$C$30:$W$30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'pref values'!$C$49:$W$49</c:f>
              <c:numCache>
                <c:formatCode>0.00</c:formatCode>
                <c:ptCount val="21"/>
                <c:pt idx="0">
                  <c:v>1</c:v>
                </c:pt>
                <c:pt idx="1">
                  <c:v>0.94736842105263153</c:v>
                </c:pt>
                <c:pt idx="2">
                  <c:v>0.9</c:v>
                </c:pt>
                <c:pt idx="3">
                  <c:v>0.8571428571428571</c:v>
                </c:pt>
                <c:pt idx="4">
                  <c:v>0.81818181818181812</c:v>
                </c:pt>
                <c:pt idx="5">
                  <c:v>0.78260869565217395</c:v>
                </c:pt>
                <c:pt idx="6">
                  <c:v>0.75</c:v>
                </c:pt>
                <c:pt idx="7">
                  <c:v>0.72</c:v>
                </c:pt>
                <c:pt idx="8">
                  <c:v>0.69230769230769229</c:v>
                </c:pt>
                <c:pt idx="9">
                  <c:v>0.66666666666666663</c:v>
                </c:pt>
                <c:pt idx="10">
                  <c:v>0.6428571428571429</c:v>
                </c:pt>
                <c:pt idx="11">
                  <c:v>0.6206896551724137</c:v>
                </c:pt>
                <c:pt idx="12">
                  <c:v>0.6</c:v>
                </c:pt>
                <c:pt idx="13">
                  <c:v>0.58064516129032262</c:v>
                </c:pt>
                <c:pt idx="14">
                  <c:v>0.5625</c:v>
                </c:pt>
                <c:pt idx="15">
                  <c:v>0.54545454545454553</c:v>
                </c:pt>
                <c:pt idx="16">
                  <c:v>0.52941176470588236</c:v>
                </c:pt>
                <c:pt idx="17">
                  <c:v>0.51428571428571435</c:v>
                </c:pt>
                <c:pt idx="18">
                  <c:v>0.5</c:v>
                </c:pt>
                <c:pt idx="19">
                  <c:v>0.48648648648648646</c:v>
                </c:pt>
                <c:pt idx="20">
                  <c:v>0.47368421052631582</c:v>
                </c:pt>
              </c:numCache>
            </c:numRef>
          </c:val>
        </c:ser>
        <c:ser>
          <c:idx val="19"/>
          <c:order val="19"/>
          <c:tx>
            <c:strRef>
              <c:f>'pref values'!$B$50</c:f>
              <c:strCache>
                <c:ptCount val="1"/>
                <c:pt idx="0">
                  <c:v>0.95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'pref values'!$C$30:$W$30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'pref values'!$C$50:$W$50</c:f>
              <c:numCache>
                <c:formatCode>0.00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0.90476190476190466</c:v>
                </c:pt>
                <c:pt idx="3">
                  <c:v>0.86363636363636365</c:v>
                </c:pt>
                <c:pt idx="4">
                  <c:v>0.82608695652173914</c:v>
                </c:pt>
                <c:pt idx="5">
                  <c:v>0.79166666666666663</c:v>
                </c:pt>
                <c:pt idx="6">
                  <c:v>0.76</c:v>
                </c:pt>
                <c:pt idx="7">
                  <c:v>0.73076923076923084</c:v>
                </c:pt>
                <c:pt idx="8">
                  <c:v>0.70370370370370361</c:v>
                </c:pt>
                <c:pt idx="9">
                  <c:v>0.6785714285714286</c:v>
                </c:pt>
                <c:pt idx="10">
                  <c:v>0.65517241379310343</c:v>
                </c:pt>
                <c:pt idx="11">
                  <c:v>0.6333333333333333</c:v>
                </c:pt>
                <c:pt idx="12">
                  <c:v>0.61290322580645162</c:v>
                </c:pt>
                <c:pt idx="13">
                  <c:v>0.59374999999999989</c:v>
                </c:pt>
                <c:pt idx="14">
                  <c:v>0.5757575757575758</c:v>
                </c:pt>
                <c:pt idx="15">
                  <c:v>0.55882352941176472</c:v>
                </c:pt>
                <c:pt idx="16">
                  <c:v>0.54285714285714282</c:v>
                </c:pt>
                <c:pt idx="17">
                  <c:v>0.52777777777777779</c:v>
                </c:pt>
                <c:pt idx="18">
                  <c:v>0.51351351351351349</c:v>
                </c:pt>
                <c:pt idx="19">
                  <c:v>0.5</c:v>
                </c:pt>
                <c:pt idx="20">
                  <c:v>0.48717948717948717</c:v>
                </c:pt>
              </c:numCache>
            </c:numRef>
          </c:val>
        </c:ser>
        <c:ser>
          <c:idx val="20"/>
          <c:order val="20"/>
          <c:tx>
            <c:strRef>
              <c:f>'pref values'!$B$51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'pref values'!$C$30:$W$30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'pref values'!$C$51:$W$51</c:f>
              <c:numCache>
                <c:formatCode>0.00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0.90909090909090906</c:v>
                </c:pt>
                <c:pt idx="3">
                  <c:v>0.86956521739130443</c:v>
                </c:pt>
                <c:pt idx="4">
                  <c:v>0.83333333333333337</c:v>
                </c:pt>
                <c:pt idx="5">
                  <c:v>0.8</c:v>
                </c:pt>
                <c:pt idx="6">
                  <c:v>0.76923076923076916</c:v>
                </c:pt>
                <c:pt idx="7">
                  <c:v>0.7407407407407407</c:v>
                </c:pt>
                <c:pt idx="8">
                  <c:v>0.7142857142857143</c:v>
                </c:pt>
                <c:pt idx="9">
                  <c:v>0.68965517241379315</c:v>
                </c:pt>
                <c:pt idx="10">
                  <c:v>0.66666666666666663</c:v>
                </c:pt>
                <c:pt idx="11">
                  <c:v>0.64516129032258063</c:v>
                </c:pt>
                <c:pt idx="12">
                  <c:v>0.625</c:v>
                </c:pt>
                <c:pt idx="13">
                  <c:v>0.60606060606060608</c:v>
                </c:pt>
                <c:pt idx="14">
                  <c:v>0.58823529411764708</c:v>
                </c:pt>
                <c:pt idx="15">
                  <c:v>0.5714285714285714</c:v>
                </c:pt>
                <c:pt idx="16">
                  <c:v>0.55555555555555558</c:v>
                </c:pt>
                <c:pt idx="17">
                  <c:v>0.54054054054054046</c:v>
                </c:pt>
                <c:pt idx="18">
                  <c:v>0.52631578947368418</c:v>
                </c:pt>
                <c:pt idx="19">
                  <c:v>0.51282051282051289</c:v>
                </c:pt>
                <c:pt idx="20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2862496"/>
        <c:axId val="302863056"/>
        <c:axId val="90073968"/>
      </c:bar3DChart>
      <c:catAx>
        <c:axId val="30286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prefA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63056"/>
        <c:crosses val="autoZero"/>
        <c:auto val="1"/>
        <c:lblAlgn val="ctr"/>
        <c:lblOffset val="100"/>
        <c:noMultiLvlLbl val="0"/>
      </c:catAx>
      <c:valAx>
        <c:axId val="3028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Prob(Leave)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62496"/>
        <c:crosses val="autoZero"/>
        <c:crossBetween val="between"/>
      </c:valAx>
      <c:serAx>
        <c:axId val="9007396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prefB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6305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MemorybyArea!$Z$32</c:f>
              <c:strCache>
                <c:ptCount val="1"/>
                <c:pt idx="0">
                  <c:v>Multiplier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MemorybyArea!$Y$33:$Y$42</c:f>
              <c:numCache>
                <c:formatCode>General</c:formatCode>
                <c:ptCount val="10"/>
                <c:pt idx="0">
                  <c:v>2347.2212667222529</c:v>
                </c:pt>
                <c:pt idx="1">
                  <c:v>4602.3946406318682</c:v>
                </c:pt>
                <c:pt idx="2">
                  <c:v>6903.5919609478024</c:v>
                </c:pt>
                <c:pt idx="3">
                  <c:v>9204.7892812637365</c:v>
                </c:pt>
                <c:pt idx="4">
                  <c:v>11505.986601579671</c:v>
                </c:pt>
                <c:pt idx="5">
                  <c:v>13807.183921895605</c:v>
                </c:pt>
                <c:pt idx="6">
                  <c:v>16108.381242211541</c:v>
                </c:pt>
                <c:pt idx="7">
                  <c:v>18409.578562527473</c:v>
                </c:pt>
                <c:pt idx="8">
                  <c:v>27614.367843791209</c:v>
                </c:pt>
                <c:pt idx="9">
                  <c:v>36819.157125054946</c:v>
                </c:pt>
              </c:numCache>
            </c:numRef>
          </c:xVal>
          <c:yVal>
            <c:numRef>
              <c:f>MemorybyArea!$Z$33:$Z$42</c:f>
              <c:numCache>
                <c:formatCode>General</c:formatCode>
                <c:ptCount val="10"/>
                <c:pt idx="0">
                  <c:v>0.18392172741950427</c:v>
                </c:pt>
                <c:pt idx="1">
                  <c:v>0.2689414213699951</c:v>
                </c:pt>
                <c:pt idx="2">
                  <c:v>0.37754066879814541</c:v>
                </c:pt>
                <c:pt idx="3">
                  <c:v>0.5</c:v>
                </c:pt>
                <c:pt idx="4">
                  <c:v>0.62245933120185459</c:v>
                </c:pt>
                <c:pt idx="5">
                  <c:v>0.7310585786300049</c:v>
                </c:pt>
                <c:pt idx="6">
                  <c:v>0.81757447619364365</c:v>
                </c:pt>
                <c:pt idx="7">
                  <c:v>0.88079707797788231</c:v>
                </c:pt>
                <c:pt idx="8">
                  <c:v>0.98201379003790845</c:v>
                </c:pt>
                <c:pt idx="9">
                  <c:v>0.99752737684336534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94848"/>
        <c:axId val="304095408"/>
      </c:scatterChart>
      <c:valAx>
        <c:axId val="3040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95408"/>
        <c:crosses val="autoZero"/>
        <c:crossBetween val="midCat"/>
      </c:valAx>
      <c:valAx>
        <c:axId val="3040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9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probEggs!$J$23</c:f>
              <c:strCache>
                <c:ptCount val="1"/>
                <c:pt idx="0">
                  <c:v>probMove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probEggs!$I$24:$I$40</c:f>
              <c:numCache>
                <c:formatCode>General</c:formatCode>
                <c:ptCount val="17"/>
                <c:pt idx="0">
                  <c:v>0.09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0.05</c:v>
                </c:pt>
                <c:pt idx="7">
                  <c:v>0.05</c:v>
                </c:pt>
                <c:pt idx="8">
                  <c:v>0.02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probEggs!$J$24:$J$40</c:f>
              <c:numCache>
                <c:formatCode>General</c:formatCode>
                <c:ptCount val="17"/>
                <c:pt idx="0">
                  <c:v>0.09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0.05</c:v>
                </c:pt>
                <c:pt idx="7">
                  <c:v>0.05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probEggs!$L$22</c:f>
              <c:strCache>
                <c:ptCount val="1"/>
                <c:pt idx="0">
                  <c:v>Steve's Idea for probEggs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probEggs!$L$24:$L$40</c:f>
              <c:numCache>
                <c:formatCode>General</c:formatCode>
                <c:ptCount val="17"/>
                <c:pt idx="0">
                  <c:v>0.06</c:v>
                </c:pt>
                <c:pt idx="1">
                  <c:v>5.5E-2</c:v>
                </c:pt>
                <c:pt idx="2">
                  <c:v>5.5E-2</c:v>
                </c:pt>
                <c:pt idx="3">
                  <c:v>5.5E-2</c:v>
                </c:pt>
                <c:pt idx="4">
                  <c:v>0.05</c:v>
                </c:pt>
                <c:pt idx="5">
                  <c:v>0.05</c:v>
                </c:pt>
                <c:pt idx="6">
                  <c:v>0.03</c:v>
                </c:pt>
                <c:pt idx="7">
                  <c:v>0.03</c:v>
                </c:pt>
                <c:pt idx="8">
                  <c:v>0.01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probEggs!$M$24:$M$40</c:f>
              <c:numCache>
                <c:formatCode>General</c:formatCode>
                <c:ptCount val="17"/>
                <c:pt idx="0">
                  <c:v>0.09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0.05</c:v>
                </c:pt>
                <c:pt idx="7">
                  <c:v>0.05</c:v>
                </c:pt>
                <c:pt idx="8">
                  <c:v>0.02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98208"/>
        <c:axId val="304098768"/>
      </c:scatterChart>
      <c:valAx>
        <c:axId val="30409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98768"/>
        <c:crosses val="autoZero"/>
        <c:crossBetween val="midCat"/>
      </c:valAx>
      <c:valAx>
        <c:axId val="3040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9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 dist'!$B$5</c:f>
              <c:strCache>
                <c:ptCount val="1"/>
                <c:pt idx="0">
                  <c:v>Dist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dist'!$A$6:$A$19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'max dist'!$B$6:$B$19</c:f>
              <c:numCache>
                <c:formatCode>General</c:formatCode>
                <c:ptCount val="14"/>
                <c:pt idx="0">
                  <c:v>15001</c:v>
                </c:pt>
                <c:pt idx="1">
                  <c:v>13925</c:v>
                </c:pt>
                <c:pt idx="2">
                  <c:v>12849</c:v>
                </c:pt>
                <c:pt idx="3">
                  <c:v>11773</c:v>
                </c:pt>
                <c:pt idx="4">
                  <c:v>10697</c:v>
                </c:pt>
                <c:pt idx="5">
                  <c:v>9621</c:v>
                </c:pt>
                <c:pt idx="6">
                  <c:v>8545</c:v>
                </c:pt>
                <c:pt idx="7">
                  <c:v>7469</c:v>
                </c:pt>
                <c:pt idx="8">
                  <c:v>6393</c:v>
                </c:pt>
                <c:pt idx="9">
                  <c:v>5317</c:v>
                </c:pt>
                <c:pt idx="10">
                  <c:v>4241</c:v>
                </c:pt>
                <c:pt idx="11">
                  <c:v>3165</c:v>
                </c:pt>
                <c:pt idx="12">
                  <c:v>2089</c:v>
                </c:pt>
                <c:pt idx="13">
                  <c:v>1013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06128"/>
        <c:axId val="302106688"/>
      </c:scatterChart>
      <c:valAx>
        <c:axId val="3021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06688"/>
        <c:crosses val="autoZero"/>
        <c:crossBetween val="midCat"/>
      </c:valAx>
      <c:valAx>
        <c:axId val="3021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0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17152230971128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66616360454943"/>
                  <c:y val="3.036417322834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'max dist'!$A$21:$A$30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'max dist'!$B$21:$B$30</c:f>
              <c:numCache>
                <c:formatCode>General</c:formatCode>
                <c:ptCount val="10"/>
                <c:pt idx="0" formatCode="0">
                  <c:v>10000</c:v>
                </c:pt>
                <c:pt idx="1">
                  <c:v>9500</c:v>
                </c:pt>
                <c:pt idx="2" formatCode="0">
                  <c:v>9000</c:v>
                </c:pt>
                <c:pt idx="3">
                  <c:v>8500</c:v>
                </c:pt>
                <c:pt idx="4" formatCode="0">
                  <c:v>8000</c:v>
                </c:pt>
                <c:pt idx="5">
                  <c:v>7500</c:v>
                </c:pt>
                <c:pt idx="6" formatCode="0">
                  <c:v>7000</c:v>
                </c:pt>
                <c:pt idx="7">
                  <c:v>6500</c:v>
                </c:pt>
                <c:pt idx="8" formatCode="0">
                  <c:v>6000</c:v>
                </c:pt>
                <c:pt idx="9" formatCode="0">
                  <c:v>5500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08928"/>
        <c:axId val="302109488"/>
      </c:scatterChart>
      <c:valAx>
        <c:axId val="3021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09488"/>
        <c:crosses val="autoZero"/>
        <c:crossBetween val="midCat"/>
      </c:valAx>
      <c:valAx>
        <c:axId val="3021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 rand walk'!$D$16</c:f>
              <c:strCache>
                <c:ptCount val="1"/>
                <c:pt idx="0">
                  <c:v>change in angle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 rand walk'!$C$17:$C$27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'corr rand walk'!$D$17:$D$27</c:f>
              <c:numCache>
                <c:formatCode>General</c:formatCode>
                <c:ptCount val="11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63</c:v>
                </c:pt>
                <c:pt idx="8">
                  <c:v>72</c:v>
                </c:pt>
                <c:pt idx="9">
                  <c:v>81</c:v>
                </c:pt>
                <c:pt idx="10">
                  <c:v>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856352"/>
        <c:axId val="301856912"/>
      </c:scatterChart>
      <c:valAx>
        <c:axId val="30185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56912"/>
        <c:crosses val="autoZero"/>
        <c:crossBetween val="midCat"/>
      </c:valAx>
      <c:valAx>
        <c:axId val="3018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5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Eggsperday!$I$2</c:f>
              <c:strCache>
                <c:ptCount val="1"/>
                <c:pt idx="0">
                  <c:v>Est Eggs per day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6.5647856517935255E-2"/>
                  <c:y val="-0.48894284047827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Eggsperday!$H$3:$H$16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Eggsperday!$I$3:$I$16</c:f>
              <c:numCache>
                <c:formatCode>General</c:formatCode>
                <c:ptCount val="14"/>
                <c:pt idx="0">
                  <c:v>80</c:v>
                </c:pt>
                <c:pt idx="1">
                  <c:v>62</c:v>
                </c:pt>
                <c:pt idx="2">
                  <c:v>50</c:v>
                </c:pt>
                <c:pt idx="3">
                  <c:v>40</c:v>
                </c:pt>
                <c:pt idx="4">
                  <c:v>33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13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859152"/>
        <c:axId val="301859712"/>
      </c:scatterChart>
      <c:valAx>
        <c:axId val="3018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59712"/>
        <c:crosses val="autoZero"/>
        <c:crossBetween val="midCat"/>
      </c:valAx>
      <c:valAx>
        <c:axId val="3018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Eggs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5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Eggsperday!$F$2</c:f>
              <c:strCache>
                <c:ptCount val="1"/>
                <c:pt idx="0">
                  <c:v>Eggs per day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780883639545058"/>
                  <c:y val="-2.54746281714785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Eggsperday!$E$3:$E$16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Eggsperday!$F$3:$F$16</c:f>
              <c:numCache>
                <c:formatCode>General</c:formatCode>
                <c:ptCount val="14"/>
                <c:pt idx="0">
                  <c:v>50</c:v>
                </c:pt>
                <c:pt idx="1">
                  <c:v>46</c:v>
                </c:pt>
                <c:pt idx="2">
                  <c:v>42</c:v>
                </c:pt>
                <c:pt idx="3">
                  <c:v>38</c:v>
                </c:pt>
                <c:pt idx="4">
                  <c:v>35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21</c:v>
                </c:pt>
                <c:pt idx="9">
                  <c:v>17</c:v>
                </c:pt>
                <c:pt idx="10">
                  <c:v>14</c:v>
                </c:pt>
                <c:pt idx="11">
                  <c:v>10</c:v>
                </c:pt>
                <c:pt idx="12">
                  <c:v>7</c:v>
                </c:pt>
                <c:pt idx="1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861952"/>
        <c:axId val="304505008"/>
      </c:scatterChart>
      <c:valAx>
        <c:axId val="30186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05008"/>
        <c:crosses val="autoZero"/>
        <c:crossBetween val="midCat"/>
      </c:valAx>
      <c:valAx>
        <c:axId val="3045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6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9.3655949256342963E-2"/>
                  <c:y val="-0.55933654126567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Eggsperday!$S$3:$S$16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Eggsperday!$T$3:$T$16</c:f>
              <c:numCache>
                <c:formatCode>General</c:formatCode>
                <c:ptCount val="14"/>
                <c:pt idx="0">
                  <c:v>81</c:v>
                </c:pt>
                <c:pt idx="1">
                  <c:v>61</c:v>
                </c:pt>
                <c:pt idx="2">
                  <c:v>49</c:v>
                </c:pt>
                <c:pt idx="3">
                  <c:v>40</c:v>
                </c:pt>
                <c:pt idx="4">
                  <c:v>34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13</c:v>
                </c:pt>
                <c:pt idx="10">
                  <c:v>11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507248"/>
        <c:axId val="304507808"/>
      </c:scatterChart>
      <c:valAx>
        <c:axId val="30450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07808"/>
        <c:crosses val="autoZero"/>
        <c:crossBetween val="midCat"/>
      </c:valAx>
      <c:valAx>
        <c:axId val="3045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0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Eggsperday!$AE$2</c:f>
              <c:strCache>
                <c:ptCount val="1"/>
                <c:pt idx="0">
                  <c:v>Calc Eggs per day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908661417322834"/>
                  <c:y val="-7.05781568970545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Eggsperday!$AD$3:$AD$16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Eggsperday!$AE$3:$AE$16</c:f>
              <c:numCache>
                <c:formatCode>General</c:formatCode>
                <c:ptCount val="14"/>
                <c:pt idx="0">
                  <c:v>50</c:v>
                </c:pt>
                <c:pt idx="1">
                  <c:v>48</c:v>
                </c:pt>
                <c:pt idx="2">
                  <c:v>46</c:v>
                </c:pt>
                <c:pt idx="3">
                  <c:v>44</c:v>
                </c:pt>
                <c:pt idx="4">
                  <c:v>42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34</c:v>
                </c:pt>
                <c:pt idx="9">
                  <c:v>32</c:v>
                </c:pt>
                <c:pt idx="10">
                  <c:v>30</c:v>
                </c:pt>
                <c:pt idx="11">
                  <c:v>28</c:v>
                </c:pt>
                <c:pt idx="12">
                  <c:v>26</c:v>
                </c:pt>
                <c:pt idx="13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510048"/>
        <c:axId val="304510608"/>
      </c:scatterChart>
      <c:valAx>
        <c:axId val="3045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10608"/>
        <c:crosses val="autoZero"/>
        <c:crossBetween val="midCat"/>
      </c:valAx>
      <c:valAx>
        <c:axId val="3045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ScalebyDist!$G$12</c:f>
              <c:strCache>
                <c:ptCount val="1"/>
                <c:pt idx="0">
                  <c:v>probMove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937926509186351"/>
                  <c:y val="3.2623578302712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ScalebyDist!$B$13:$B$113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ScalebyDist!$G$13:$G$113</c:f>
              <c:numCache>
                <c:formatCode>General</c:formatCode>
                <c:ptCount val="101"/>
                <c:pt idx="0">
                  <c:v>0.9</c:v>
                </c:pt>
                <c:pt idx="1">
                  <c:v>0.89600000000000002</c:v>
                </c:pt>
                <c:pt idx="2">
                  <c:v>0.89200000000000002</c:v>
                </c:pt>
                <c:pt idx="3">
                  <c:v>0.88800000000000001</c:v>
                </c:pt>
                <c:pt idx="4">
                  <c:v>0.88400000000000001</c:v>
                </c:pt>
                <c:pt idx="5">
                  <c:v>0.88</c:v>
                </c:pt>
                <c:pt idx="6">
                  <c:v>0.876</c:v>
                </c:pt>
                <c:pt idx="7">
                  <c:v>0.872</c:v>
                </c:pt>
                <c:pt idx="8">
                  <c:v>0.86799999999999999</c:v>
                </c:pt>
                <c:pt idx="9">
                  <c:v>0.86399999999999999</c:v>
                </c:pt>
                <c:pt idx="10">
                  <c:v>0.86</c:v>
                </c:pt>
                <c:pt idx="11">
                  <c:v>0.85599999999999998</c:v>
                </c:pt>
                <c:pt idx="12">
                  <c:v>0.85199999999999998</c:v>
                </c:pt>
                <c:pt idx="13">
                  <c:v>0.84799999999999998</c:v>
                </c:pt>
                <c:pt idx="14">
                  <c:v>0.84399999999999997</c:v>
                </c:pt>
                <c:pt idx="15">
                  <c:v>0.84000000000000008</c:v>
                </c:pt>
                <c:pt idx="16">
                  <c:v>0.83600000000000008</c:v>
                </c:pt>
                <c:pt idx="17">
                  <c:v>0.83200000000000007</c:v>
                </c:pt>
                <c:pt idx="18">
                  <c:v>0.82800000000000007</c:v>
                </c:pt>
                <c:pt idx="19">
                  <c:v>0.82400000000000007</c:v>
                </c:pt>
                <c:pt idx="20">
                  <c:v>0.82000000000000006</c:v>
                </c:pt>
                <c:pt idx="21">
                  <c:v>0.81600000000000006</c:v>
                </c:pt>
                <c:pt idx="22">
                  <c:v>0.81200000000000006</c:v>
                </c:pt>
                <c:pt idx="23">
                  <c:v>0.80800000000000005</c:v>
                </c:pt>
                <c:pt idx="24">
                  <c:v>0.80400000000000005</c:v>
                </c:pt>
                <c:pt idx="25">
                  <c:v>0.8</c:v>
                </c:pt>
                <c:pt idx="26">
                  <c:v>0.79600000000000004</c:v>
                </c:pt>
                <c:pt idx="27">
                  <c:v>0.79200000000000004</c:v>
                </c:pt>
                <c:pt idx="28">
                  <c:v>0.78800000000000003</c:v>
                </c:pt>
                <c:pt idx="29">
                  <c:v>0.78400000000000003</c:v>
                </c:pt>
                <c:pt idx="30">
                  <c:v>0.78</c:v>
                </c:pt>
                <c:pt idx="31">
                  <c:v>0.77600000000000002</c:v>
                </c:pt>
                <c:pt idx="32">
                  <c:v>0.77200000000000002</c:v>
                </c:pt>
                <c:pt idx="33">
                  <c:v>0.76800000000000002</c:v>
                </c:pt>
                <c:pt idx="34">
                  <c:v>0.76400000000000001</c:v>
                </c:pt>
                <c:pt idx="35">
                  <c:v>0.76</c:v>
                </c:pt>
                <c:pt idx="36">
                  <c:v>0.75600000000000001</c:v>
                </c:pt>
                <c:pt idx="37">
                  <c:v>0.752</c:v>
                </c:pt>
                <c:pt idx="38">
                  <c:v>0.748</c:v>
                </c:pt>
                <c:pt idx="39">
                  <c:v>0.74399999999999999</c:v>
                </c:pt>
                <c:pt idx="40">
                  <c:v>0.74</c:v>
                </c:pt>
                <c:pt idx="41">
                  <c:v>0.73599999999999999</c:v>
                </c:pt>
                <c:pt idx="42">
                  <c:v>0.73199999999999998</c:v>
                </c:pt>
                <c:pt idx="43">
                  <c:v>0.72799999999999998</c:v>
                </c:pt>
                <c:pt idx="44">
                  <c:v>0.72399999999999998</c:v>
                </c:pt>
                <c:pt idx="45">
                  <c:v>0.72</c:v>
                </c:pt>
                <c:pt idx="46">
                  <c:v>0.71599999999999997</c:v>
                </c:pt>
                <c:pt idx="47">
                  <c:v>0.71199999999999997</c:v>
                </c:pt>
                <c:pt idx="48">
                  <c:v>0.70799999999999996</c:v>
                </c:pt>
                <c:pt idx="49">
                  <c:v>0.70399999999999996</c:v>
                </c:pt>
                <c:pt idx="50">
                  <c:v>0.7</c:v>
                </c:pt>
                <c:pt idx="51">
                  <c:v>0.69599999999999995</c:v>
                </c:pt>
                <c:pt idx="52">
                  <c:v>0.69199999999999995</c:v>
                </c:pt>
                <c:pt idx="53">
                  <c:v>0.68800000000000006</c:v>
                </c:pt>
                <c:pt idx="54">
                  <c:v>0.68400000000000005</c:v>
                </c:pt>
                <c:pt idx="55">
                  <c:v>0.68</c:v>
                </c:pt>
                <c:pt idx="56">
                  <c:v>0.67600000000000005</c:v>
                </c:pt>
                <c:pt idx="57">
                  <c:v>0.67200000000000004</c:v>
                </c:pt>
                <c:pt idx="58">
                  <c:v>0.66800000000000004</c:v>
                </c:pt>
                <c:pt idx="59">
                  <c:v>0.66400000000000003</c:v>
                </c:pt>
                <c:pt idx="60">
                  <c:v>0.66</c:v>
                </c:pt>
                <c:pt idx="61">
                  <c:v>0.65600000000000003</c:v>
                </c:pt>
                <c:pt idx="62">
                  <c:v>0.65200000000000002</c:v>
                </c:pt>
                <c:pt idx="63">
                  <c:v>0.64800000000000002</c:v>
                </c:pt>
                <c:pt idx="64">
                  <c:v>0.64400000000000002</c:v>
                </c:pt>
                <c:pt idx="65">
                  <c:v>0.64</c:v>
                </c:pt>
                <c:pt idx="66">
                  <c:v>0.63600000000000001</c:v>
                </c:pt>
                <c:pt idx="67">
                  <c:v>0.63200000000000001</c:v>
                </c:pt>
                <c:pt idx="68">
                  <c:v>0.628</c:v>
                </c:pt>
                <c:pt idx="69">
                  <c:v>0.624</c:v>
                </c:pt>
                <c:pt idx="70">
                  <c:v>0.62</c:v>
                </c:pt>
                <c:pt idx="71">
                  <c:v>0.61599999999999999</c:v>
                </c:pt>
                <c:pt idx="72">
                  <c:v>0.61199999999999999</c:v>
                </c:pt>
                <c:pt idx="73">
                  <c:v>0.6080000000000001</c:v>
                </c:pt>
                <c:pt idx="74">
                  <c:v>0.60400000000000009</c:v>
                </c:pt>
                <c:pt idx="75">
                  <c:v>0.60000000000000009</c:v>
                </c:pt>
                <c:pt idx="76">
                  <c:v>0.59600000000000009</c:v>
                </c:pt>
                <c:pt idx="77">
                  <c:v>0.59200000000000008</c:v>
                </c:pt>
                <c:pt idx="78">
                  <c:v>0.58800000000000008</c:v>
                </c:pt>
                <c:pt idx="79">
                  <c:v>0.58400000000000007</c:v>
                </c:pt>
                <c:pt idx="80">
                  <c:v>0.58000000000000007</c:v>
                </c:pt>
                <c:pt idx="81">
                  <c:v>0.57600000000000007</c:v>
                </c:pt>
                <c:pt idx="82">
                  <c:v>0.57200000000000006</c:v>
                </c:pt>
                <c:pt idx="83">
                  <c:v>0.56800000000000006</c:v>
                </c:pt>
                <c:pt idx="84">
                  <c:v>0.56400000000000006</c:v>
                </c:pt>
                <c:pt idx="85">
                  <c:v>0.56000000000000005</c:v>
                </c:pt>
                <c:pt idx="86">
                  <c:v>0.55600000000000005</c:v>
                </c:pt>
                <c:pt idx="87">
                  <c:v>0.55200000000000005</c:v>
                </c:pt>
                <c:pt idx="88">
                  <c:v>0.54800000000000004</c:v>
                </c:pt>
                <c:pt idx="89">
                  <c:v>0.54400000000000004</c:v>
                </c:pt>
                <c:pt idx="90">
                  <c:v>0.54</c:v>
                </c:pt>
                <c:pt idx="91">
                  <c:v>0.53600000000000003</c:v>
                </c:pt>
                <c:pt idx="92">
                  <c:v>0.53200000000000003</c:v>
                </c:pt>
                <c:pt idx="93">
                  <c:v>0.52800000000000002</c:v>
                </c:pt>
                <c:pt idx="94">
                  <c:v>0.52400000000000002</c:v>
                </c:pt>
                <c:pt idx="95">
                  <c:v>0.52</c:v>
                </c:pt>
                <c:pt idx="96">
                  <c:v>0.51600000000000001</c:v>
                </c:pt>
                <c:pt idx="97">
                  <c:v>0.51200000000000001</c:v>
                </c:pt>
                <c:pt idx="98">
                  <c:v>0.50800000000000001</c:v>
                </c:pt>
                <c:pt idx="99">
                  <c:v>0.504</c:v>
                </c:pt>
                <c:pt idx="100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92048"/>
        <c:axId val="304092608"/>
      </c:scatterChart>
      <c:valAx>
        <c:axId val="30409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92608"/>
        <c:crosses val="autoZero"/>
        <c:crossBetween val="midCat"/>
      </c:valAx>
      <c:valAx>
        <c:axId val="3040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9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110489</xdr:colOff>
      <xdr:row>48</xdr:row>
      <xdr:rowOff>73341</xdr:rowOff>
    </xdr:from>
    <xdr:to>
      <xdr:col>16</xdr:col>
      <xdr:colOff>329564</xdr:colOff>
      <xdr:row>69</xdr:row>
      <xdr:rowOff>40004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3</xdr:row>
      <xdr:rowOff>138112</xdr:rowOff>
    </xdr:from>
    <xdr:to>
      <xdr:col>11</xdr:col>
      <xdr:colOff>133350</xdr:colOff>
      <xdr:row>18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449580</xdr:colOff>
      <xdr:row>18</xdr:row>
      <xdr:rowOff>152400</xdr:rowOff>
    </xdr:from>
    <xdr:to>
      <xdr:col>11</xdr:col>
      <xdr:colOff>144780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13</xdr:row>
      <xdr:rowOff>52387</xdr:rowOff>
    </xdr:from>
    <xdr:to>
      <xdr:col>15</xdr:col>
      <xdr:colOff>495300</xdr:colOff>
      <xdr:row>27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1</xdr:row>
      <xdr:rowOff>129540</xdr:rowOff>
    </xdr:from>
    <xdr:to>
      <xdr:col>16</xdr:col>
      <xdr:colOff>601980</xdr:colOff>
      <xdr:row>16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24</xdr:row>
      <xdr:rowOff>99060</xdr:rowOff>
    </xdr:from>
    <xdr:to>
      <xdr:col>8</xdr:col>
      <xdr:colOff>533400</xdr:colOff>
      <xdr:row>39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7620</xdr:colOff>
      <xdr:row>1</xdr:row>
      <xdr:rowOff>175260</xdr:rowOff>
    </xdr:from>
    <xdr:to>
      <xdr:col>28</xdr:col>
      <xdr:colOff>312420</xdr:colOff>
      <xdr:row>16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182880</xdr:colOff>
      <xdr:row>2</xdr:row>
      <xdr:rowOff>34290</xdr:rowOff>
    </xdr:from>
    <xdr:to>
      <xdr:col>40</xdr:col>
      <xdr:colOff>487680</xdr:colOff>
      <xdr:row>17</xdr:row>
      <xdr:rowOff>34290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12</xdr:row>
      <xdr:rowOff>68580</xdr:rowOff>
    </xdr:from>
    <xdr:to>
      <xdr:col>14</xdr:col>
      <xdr:colOff>495300</xdr:colOff>
      <xdr:row>27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502920</xdr:colOff>
      <xdr:row>31</xdr:row>
      <xdr:rowOff>41910</xdr:rowOff>
    </xdr:from>
    <xdr:to>
      <xdr:col>26</xdr:col>
      <xdr:colOff>198120</xdr:colOff>
      <xdr:row>46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1874520</xdr:colOff>
      <xdr:row>41</xdr:row>
      <xdr:rowOff>125730</xdr:rowOff>
    </xdr:from>
    <xdr:to>
      <xdr:col>11</xdr:col>
      <xdr:colOff>1074420</xdr:colOff>
      <xdr:row>56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2"/>
  <sheetViews>
    <sheetView topLeftCell="A56" workbookViewId="0">
      <selection activeCell="B79" sqref="B79"/>
    </sheetView>
  </sheetViews>
  <sheetFormatPr defaultRowHeight="14.4" x14ac:dyDescent="0.3"/>
  <cols>
    <col min="1" max="1" width="13.21875" customWidth="1"/>
    <col min="7" max="7" width="12.21875" customWidth="1"/>
  </cols>
  <sheetData>
    <row r="2" spans="1:23" x14ac:dyDescent="0.3">
      <c r="B2" t="s">
        <v>0</v>
      </c>
      <c r="F2" t="s">
        <v>3</v>
      </c>
    </row>
    <row r="4" spans="1:23" x14ac:dyDescent="0.3">
      <c r="A4" t="s">
        <v>1</v>
      </c>
    </row>
    <row r="5" spans="1:23" x14ac:dyDescent="0.3">
      <c r="B5" s="1">
        <v>1</v>
      </c>
      <c r="C5">
        <f>$B5/($B5+C$26)</f>
        <v>1</v>
      </c>
      <c r="D5">
        <f t="shared" ref="D5:W18" si="0">$B5/($B5+D$26)</f>
        <v>0.95238095238095233</v>
      </c>
      <c r="E5">
        <f t="shared" si="0"/>
        <v>0.90909090909090906</v>
      </c>
      <c r="F5">
        <f t="shared" si="0"/>
        <v>0.86956521739130443</v>
      </c>
      <c r="G5">
        <f t="shared" si="0"/>
        <v>0.83333333333333337</v>
      </c>
      <c r="H5">
        <f t="shared" si="0"/>
        <v>0.8</v>
      </c>
      <c r="I5">
        <f t="shared" si="0"/>
        <v>0.76923076923076916</v>
      </c>
      <c r="J5">
        <f t="shared" si="0"/>
        <v>0.7407407407407407</v>
      </c>
      <c r="K5">
        <f t="shared" si="0"/>
        <v>0.7142857142857143</v>
      </c>
      <c r="L5">
        <f t="shared" si="0"/>
        <v>0.68965517241379315</v>
      </c>
      <c r="M5">
        <f t="shared" si="0"/>
        <v>0.66666666666666663</v>
      </c>
      <c r="N5">
        <f t="shared" si="0"/>
        <v>0.64516129032258063</v>
      </c>
      <c r="O5">
        <f t="shared" si="0"/>
        <v>0.625</v>
      </c>
      <c r="P5">
        <f t="shared" si="0"/>
        <v>0.60606060606060608</v>
      </c>
      <c r="Q5">
        <f t="shared" si="0"/>
        <v>0.58823529411764708</v>
      </c>
      <c r="R5">
        <f t="shared" si="0"/>
        <v>0.5714285714285714</v>
      </c>
      <c r="S5">
        <f t="shared" si="0"/>
        <v>0.55555555555555558</v>
      </c>
      <c r="T5">
        <f t="shared" si="0"/>
        <v>0.54054054054054046</v>
      </c>
      <c r="U5">
        <f t="shared" si="0"/>
        <v>0.52631578947368418</v>
      </c>
      <c r="V5">
        <f t="shared" si="0"/>
        <v>0.51282051282051289</v>
      </c>
      <c r="W5">
        <f t="shared" si="0"/>
        <v>0.5</v>
      </c>
    </row>
    <row r="6" spans="1:23" x14ac:dyDescent="0.3">
      <c r="B6" s="1">
        <v>0.95</v>
      </c>
      <c r="C6">
        <f t="shared" ref="C6:R25" si="1">$B6/($B6+C$26)</f>
        <v>1</v>
      </c>
      <c r="D6">
        <f t="shared" si="1"/>
        <v>0.95</v>
      </c>
      <c r="E6">
        <f t="shared" si="1"/>
        <v>0.90476190476190466</v>
      </c>
      <c r="F6">
        <f t="shared" si="1"/>
        <v>0.86363636363636365</v>
      </c>
      <c r="G6">
        <f t="shared" si="1"/>
        <v>0.82608695652173914</v>
      </c>
      <c r="H6">
        <f t="shared" si="1"/>
        <v>0.79166666666666663</v>
      </c>
      <c r="I6">
        <f t="shared" si="1"/>
        <v>0.76</v>
      </c>
      <c r="J6">
        <f t="shared" si="1"/>
        <v>0.73076923076923084</v>
      </c>
      <c r="K6">
        <f t="shared" si="1"/>
        <v>0.70370370370370361</v>
      </c>
      <c r="L6">
        <f t="shared" si="1"/>
        <v>0.6785714285714286</v>
      </c>
      <c r="M6">
        <f t="shared" si="1"/>
        <v>0.65517241379310343</v>
      </c>
      <c r="N6">
        <f t="shared" si="1"/>
        <v>0.6333333333333333</v>
      </c>
      <c r="O6">
        <f t="shared" si="1"/>
        <v>0.61290322580645162</v>
      </c>
      <c r="P6">
        <f t="shared" si="1"/>
        <v>0.59374999999999989</v>
      </c>
      <c r="Q6">
        <f t="shared" si="1"/>
        <v>0.5757575757575758</v>
      </c>
      <c r="R6">
        <f t="shared" si="1"/>
        <v>0.55882352941176472</v>
      </c>
      <c r="S6">
        <f t="shared" si="0"/>
        <v>0.54285714285714282</v>
      </c>
      <c r="T6">
        <f t="shared" si="0"/>
        <v>0.52777777777777779</v>
      </c>
      <c r="U6">
        <f t="shared" si="0"/>
        <v>0.51351351351351349</v>
      </c>
      <c r="V6">
        <f t="shared" si="0"/>
        <v>0.5</v>
      </c>
      <c r="W6">
        <f t="shared" si="0"/>
        <v>0.48717948717948717</v>
      </c>
    </row>
    <row r="7" spans="1:23" x14ac:dyDescent="0.3">
      <c r="B7" s="1">
        <v>0.9</v>
      </c>
      <c r="C7">
        <f t="shared" si="1"/>
        <v>1</v>
      </c>
      <c r="D7">
        <f t="shared" si="0"/>
        <v>0.94736842105263153</v>
      </c>
      <c r="E7">
        <f t="shared" si="0"/>
        <v>0.9</v>
      </c>
      <c r="F7">
        <f t="shared" si="0"/>
        <v>0.8571428571428571</v>
      </c>
      <c r="G7">
        <f t="shared" si="0"/>
        <v>0.81818181818181812</v>
      </c>
      <c r="H7">
        <f t="shared" si="0"/>
        <v>0.78260869565217395</v>
      </c>
      <c r="I7">
        <f t="shared" si="0"/>
        <v>0.75</v>
      </c>
      <c r="J7">
        <f t="shared" si="0"/>
        <v>0.72</v>
      </c>
      <c r="K7">
        <f t="shared" si="0"/>
        <v>0.69230769230769229</v>
      </c>
      <c r="L7">
        <f t="shared" si="0"/>
        <v>0.66666666666666663</v>
      </c>
      <c r="M7">
        <f t="shared" si="0"/>
        <v>0.6428571428571429</v>
      </c>
      <c r="N7">
        <f t="shared" si="0"/>
        <v>0.6206896551724137</v>
      </c>
      <c r="O7">
        <f t="shared" si="0"/>
        <v>0.6</v>
      </c>
      <c r="P7">
        <f t="shared" si="0"/>
        <v>0.58064516129032262</v>
      </c>
      <c r="Q7">
        <f t="shared" si="0"/>
        <v>0.5625</v>
      </c>
      <c r="R7">
        <f t="shared" si="0"/>
        <v>0.54545454545454553</v>
      </c>
      <c r="S7">
        <f t="shared" si="0"/>
        <v>0.52941176470588236</v>
      </c>
      <c r="T7">
        <f t="shared" si="0"/>
        <v>0.51428571428571435</v>
      </c>
      <c r="U7">
        <f t="shared" si="0"/>
        <v>0.5</v>
      </c>
      <c r="V7">
        <f t="shared" si="0"/>
        <v>0.48648648648648646</v>
      </c>
      <c r="W7">
        <f t="shared" si="0"/>
        <v>0.47368421052631582</v>
      </c>
    </row>
    <row r="8" spans="1:23" x14ac:dyDescent="0.3">
      <c r="B8" s="1">
        <v>0.85</v>
      </c>
      <c r="C8">
        <f t="shared" si="1"/>
        <v>1</v>
      </c>
      <c r="D8">
        <f t="shared" si="0"/>
        <v>0.94444444444444442</v>
      </c>
      <c r="E8">
        <f t="shared" si="0"/>
        <v>0.89473684210526316</v>
      </c>
      <c r="F8">
        <f t="shared" si="0"/>
        <v>0.85</v>
      </c>
      <c r="G8">
        <f t="shared" si="0"/>
        <v>0.80952380952380942</v>
      </c>
      <c r="H8">
        <f t="shared" si="0"/>
        <v>0.7727272727272726</v>
      </c>
      <c r="I8">
        <f t="shared" si="0"/>
        <v>0.73913043478260876</v>
      </c>
      <c r="J8">
        <f t="shared" si="0"/>
        <v>0.70833333333333337</v>
      </c>
      <c r="K8">
        <f t="shared" si="0"/>
        <v>0.67999999999999994</v>
      </c>
      <c r="L8">
        <f t="shared" si="0"/>
        <v>0.65384615384615385</v>
      </c>
      <c r="M8">
        <f t="shared" si="0"/>
        <v>0.62962962962962954</v>
      </c>
      <c r="N8">
        <f t="shared" si="0"/>
        <v>0.60714285714285721</v>
      </c>
      <c r="O8">
        <f t="shared" si="0"/>
        <v>0.58620689655172409</v>
      </c>
      <c r="P8">
        <f t="shared" si="0"/>
        <v>0.56666666666666665</v>
      </c>
      <c r="Q8">
        <f t="shared" si="0"/>
        <v>0.54838709677419362</v>
      </c>
      <c r="R8">
        <f t="shared" si="0"/>
        <v>0.53125</v>
      </c>
      <c r="S8">
        <f t="shared" si="0"/>
        <v>0.51515151515151514</v>
      </c>
      <c r="T8">
        <f t="shared" si="0"/>
        <v>0.5</v>
      </c>
      <c r="U8">
        <f t="shared" si="0"/>
        <v>0.48571428571428571</v>
      </c>
      <c r="V8">
        <f t="shared" si="0"/>
        <v>0.47222222222222227</v>
      </c>
      <c r="W8">
        <f t="shared" si="0"/>
        <v>0.45945945945945943</v>
      </c>
    </row>
    <row r="9" spans="1:23" x14ac:dyDescent="0.3">
      <c r="B9" s="1">
        <v>0.8</v>
      </c>
      <c r="C9">
        <f t="shared" si="1"/>
        <v>1</v>
      </c>
      <c r="D9">
        <f t="shared" si="0"/>
        <v>0.94117647058823528</v>
      </c>
      <c r="E9">
        <f t="shared" si="0"/>
        <v>0.88888888888888895</v>
      </c>
      <c r="F9">
        <f t="shared" si="0"/>
        <v>0.84210526315789469</v>
      </c>
      <c r="G9">
        <f t="shared" si="0"/>
        <v>0.8</v>
      </c>
      <c r="H9">
        <f t="shared" si="0"/>
        <v>0.76190476190476186</v>
      </c>
      <c r="I9">
        <f t="shared" si="0"/>
        <v>0.72727272727272729</v>
      </c>
      <c r="J9">
        <f t="shared" si="0"/>
        <v>0.69565217391304357</v>
      </c>
      <c r="K9">
        <f t="shared" si="0"/>
        <v>0.66666666666666663</v>
      </c>
      <c r="L9">
        <f t="shared" si="0"/>
        <v>0.64</v>
      </c>
      <c r="M9">
        <f t="shared" si="0"/>
        <v>0.61538461538461542</v>
      </c>
      <c r="N9">
        <f t="shared" si="0"/>
        <v>0.59259259259259256</v>
      </c>
      <c r="O9">
        <f t="shared" si="0"/>
        <v>0.57142857142857151</v>
      </c>
      <c r="P9">
        <f t="shared" si="0"/>
        <v>0.55172413793103448</v>
      </c>
      <c r="Q9">
        <f t="shared" si="0"/>
        <v>0.53333333333333333</v>
      </c>
      <c r="R9">
        <f t="shared" si="0"/>
        <v>0.5161290322580645</v>
      </c>
      <c r="S9">
        <f t="shared" si="0"/>
        <v>0.5</v>
      </c>
      <c r="T9">
        <f t="shared" si="0"/>
        <v>0.48484848484848492</v>
      </c>
      <c r="U9">
        <f t="shared" si="0"/>
        <v>0.47058823529411764</v>
      </c>
      <c r="V9">
        <f t="shared" si="0"/>
        <v>0.45714285714285718</v>
      </c>
      <c r="W9">
        <f t="shared" si="0"/>
        <v>0.44444444444444448</v>
      </c>
    </row>
    <row r="10" spans="1:23" x14ac:dyDescent="0.3">
      <c r="B10" s="1">
        <v>0.75</v>
      </c>
      <c r="C10">
        <f t="shared" si="1"/>
        <v>1</v>
      </c>
      <c r="D10">
        <f t="shared" si="0"/>
        <v>0.9375</v>
      </c>
      <c r="E10">
        <f t="shared" si="0"/>
        <v>0.88235294117647056</v>
      </c>
      <c r="F10">
        <f t="shared" si="0"/>
        <v>0.83333333333333326</v>
      </c>
      <c r="G10">
        <f t="shared" si="0"/>
        <v>0.78947368421052633</v>
      </c>
      <c r="H10">
        <f t="shared" si="0"/>
        <v>0.75</v>
      </c>
      <c r="I10">
        <f t="shared" si="0"/>
        <v>0.7142857142857143</v>
      </c>
      <c r="J10">
        <f t="shared" si="0"/>
        <v>0.68181818181818177</v>
      </c>
      <c r="K10">
        <f t="shared" si="0"/>
        <v>0.65217391304347827</v>
      </c>
      <c r="L10">
        <f t="shared" si="0"/>
        <v>0.625</v>
      </c>
      <c r="M10">
        <f t="shared" si="0"/>
        <v>0.6</v>
      </c>
      <c r="N10">
        <f t="shared" si="0"/>
        <v>0.57692307692307687</v>
      </c>
      <c r="O10">
        <f t="shared" si="0"/>
        <v>0.55555555555555547</v>
      </c>
      <c r="P10">
        <f t="shared" si="0"/>
        <v>0.5357142857142857</v>
      </c>
      <c r="Q10">
        <f t="shared" si="0"/>
        <v>0.51724137931034486</v>
      </c>
      <c r="R10">
        <f t="shared" si="0"/>
        <v>0.5</v>
      </c>
      <c r="S10">
        <f t="shared" si="0"/>
        <v>0.48387096774193544</v>
      </c>
      <c r="T10">
        <f t="shared" si="0"/>
        <v>0.46875</v>
      </c>
      <c r="U10">
        <f t="shared" si="0"/>
        <v>0.45454545454545459</v>
      </c>
      <c r="V10">
        <f t="shared" si="0"/>
        <v>0.44117647058823528</v>
      </c>
      <c r="W10">
        <f t="shared" si="0"/>
        <v>0.42857142857142855</v>
      </c>
    </row>
    <row r="11" spans="1:23" x14ac:dyDescent="0.3">
      <c r="B11" s="1">
        <v>0.7</v>
      </c>
      <c r="C11">
        <f t="shared" si="1"/>
        <v>1</v>
      </c>
      <c r="D11">
        <f t="shared" si="0"/>
        <v>0.93333333333333324</v>
      </c>
      <c r="E11">
        <f t="shared" si="0"/>
        <v>0.875</v>
      </c>
      <c r="F11">
        <f t="shared" si="0"/>
        <v>0.82352941176470584</v>
      </c>
      <c r="G11">
        <f t="shared" si="0"/>
        <v>0.77777777777777779</v>
      </c>
      <c r="H11">
        <f t="shared" si="0"/>
        <v>0.73684210526315785</v>
      </c>
      <c r="I11">
        <f t="shared" si="0"/>
        <v>0.7</v>
      </c>
      <c r="J11">
        <f t="shared" si="0"/>
        <v>0.66666666666666674</v>
      </c>
      <c r="K11">
        <f t="shared" si="0"/>
        <v>0.63636363636363624</v>
      </c>
      <c r="L11">
        <f t="shared" si="0"/>
        <v>0.60869565217391308</v>
      </c>
      <c r="M11">
        <f t="shared" si="0"/>
        <v>0.58333333333333337</v>
      </c>
      <c r="N11">
        <f t="shared" si="0"/>
        <v>0.55999999999999994</v>
      </c>
      <c r="O11">
        <f t="shared" si="0"/>
        <v>0.53846153846153855</v>
      </c>
      <c r="P11">
        <f t="shared" si="0"/>
        <v>0.51851851851851849</v>
      </c>
      <c r="Q11">
        <f t="shared" si="0"/>
        <v>0.5</v>
      </c>
      <c r="R11">
        <f t="shared" si="0"/>
        <v>0.48275862068965514</v>
      </c>
      <c r="S11">
        <f t="shared" si="0"/>
        <v>0.46666666666666662</v>
      </c>
      <c r="T11">
        <f t="shared" si="0"/>
        <v>0.45161290322580649</v>
      </c>
      <c r="U11">
        <f t="shared" si="0"/>
        <v>0.43749999999999994</v>
      </c>
      <c r="V11">
        <f t="shared" si="0"/>
        <v>0.42424242424242425</v>
      </c>
      <c r="W11">
        <f t="shared" si="0"/>
        <v>0.41176470588235292</v>
      </c>
    </row>
    <row r="12" spans="1:23" x14ac:dyDescent="0.3">
      <c r="B12" s="1">
        <v>0.65</v>
      </c>
      <c r="C12">
        <f t="shared" si="1"/>
        <v>1</v>
      </c>
      <c r="D12">
        <f t="shared" si="0"/>
        <v>0.92857142857142849</v>
      </c>
      <c r="E12">
        <f t="shared" si="0"/>
        <v>0.8666666666666667</v>
      </c>
      <c r="F12">
        <f t="shared" si="0"/>
        <v>0.8125</v>
      </c>
      <c r="G12">
        <f t="shared" si="0"/>
        <v>0.76470588235294112</v>
      </c>
      <c r="H12">
        <f t="shared" si="0"/>
        <v>0.72222222222222221</v>
      </c>
      <c r="I12">
        <f t="shared" si="0"/>
        <v>0.68421052631578949</v>
      </c>
      <c r="J12">
        <f t="shared" si="0"/>
        <v>0.65</v>
      </c>
      <c r="K12">
        <f t="shared" si="0"/>
        <v>0.61904761904761907</v>
      </c>
      <c r="L12">
        <f t="shared" si="0"/>
        <v>0.59090909090909083</v>
      </c>
      <c r="M12">
        <f t="shared" si="0"/>
        <v>0.56521739130434789</v>
      </c>
      <c r="N12">
        <f t="shared" si="0"/>
        <v>0.54166666666666663</v>
      </c>
      <c r="O12">
        <f t="shared" si="0"/>
        <v>0.52</v>
      </c>
      <c r="P12">
        <f t="shared" si="0"/>
        <v>0.5</v>
      </c>
      <c r="Q12">
        <f t="shared" si="0"/>
        <v>0.48148148148148145</v>
      </c>
      <c r="R12">
        <f t="shared" si="0"/>
        <v>0.46428571428571436</v>
      </c>
      <c r="S12">
        <f t="shared" si="0"/>
        <v>0.44827586206896547</v>
      </c>
      <c r="T12">
        <f t="shared" si="0"/>
        <v>0.43333333333333335</v>
      </c>
      <c r="U12">
        <f t="shared" si="0"/>
        <v>0.41935483870967744</v>
      </c>
      <c r="V12">
        <f t="shared" si="0"/>
        <v>0.40625</v>
      </c>
      <c r="W12">
        <f t="shared" si="0"/>
        <v>0.39393939393939398</v>
      </c>
    </row>
    <row r="13" spans="1:23" x14ac:dyDescent="0.3">
      <c r="B13" s="1">
        <v>0.6</v>
      </c>
      <c r="C13">
        <f t="shared" si="1"/>
        <v>1</v>
      </c>
      <c r="D13">
        <f t="shared" si="0"/>
        <v>0.92307692307692302</v>
      </c>
      <c r="E13">
        <f t="shared" si="0"/>
        <v>0.85714285714285721</v>
      </c>
      <c r="F13">
        <f t="shared" si="0"/>
        <v>0.79999999999999993</v>
      </c>
      <c r="G13">
        <f t="shared" si="0"/>
        <v>0.74999999999999989</v>
      </c>
      <c r="H13">
        <f t="shared" si="0"/>
        <v>0.70588235294117652</v>
      </c>
      <c r="I13">
        <f t="shared" si="0"/>
        <v>0.66666666666666674</v>
      </c>
      <c r="J13">
        <f t="shared" si="0"/>
        <v>0.63157894736842102</v>
      </c>
      <c r="K13">
        <f t="shared" si="0"/>
        <v>0.6</v>
      </c>
      <c r="L13">
        <f t="shared" si="0"/>
        <v>0.5714285714285714</v>
      </c>
      <c r="M13">
        <f t="shared" si="0"/>
        <v>0.54545454545454541</v>
      </c>
      <c r="N13">
        <f t="shared" si="0"/>
        <v>0.52173913043478259</v>
      </c>
      <c r="O13">
        <f t="shared" si="0"/>
        <v>0.5</v>
      </c>
      <c r="P13">
        <f t="shared" si="0"/>
        <v>0.48</v>
      </c>
      <c r="Q13">
        <f t="shared" si="0"/>
        <v>0.46153846153846156</v>
      </c>
      <c r="R13">
        <f t="shared" si="0"/>
        <v>0.44444444444444442</v>
      </c>
      <c r="S13">
        <f t="shared" si="0"/>
        <v>0.4285714285714286</v>
      </c>
      <c r="T13">
        <f t="shared" si="0"/>
        <v>0.41379310344827586</v>
      </c>
      <c r="U13">
        <f t="shared" si="0"/>
        <v>0.39999999999999997</v>
      </c>
      <c r="V13">
        <f t="shared" si="0"/>
        <v>0.38709677419354843</v>
      </c>
      <c r="W13">
        <f t="shared" si="0"/>
        <v>0.37499999999999994</v>
      </c>
    </row>
    <row r="14" spans="1:23" x14ac:dyDescent="0.3">
      <c r="B14" s="1">
        <v>0.55000000000000004</v>
      </c>
      <c r="C14">
        <f t="shared" si="1"/>
        <v>1</v>
      </c>
      <c r="D14">
        <f t="shared" si="0"/>
        <v>0.91666666666666663</v>
      </c>
      <c r="E14">
        <f t="shared" si="0"/>
        <v>0.84615384615384615</v>
      </c>
      <c r="F14">
        <f t="shared" si="0"/>
        <v>0.7857142857142857</v>
      </c>
      <c r="G14">
        <f t="shared" si="0"/>
        <v>0.73333333333333339</v>
      </c>
      <c r="H14">
        <f t="shared" si="0"/>
        <v>0.6875</v>
      </c>
      <c r="I14">
        <f t="shared" si="0"/>
        <v>0.6470588235294118</v>
      </c>
      <c r="J14">
        <f t="shared" si="0"/>
        <v>0.61111111111111116</v>
      </c>
      <c r="K14">
        <f t="shared" si="0"/>
        <v>0.57894736842105265</v>
      </c>
      <c r="L14">
        <f t="shared" si="0"/>
        <v>0.55000000000000004</v>
      </c>
      <c r="M14">
        <f t="shared" si="0"/>
        <v>0.52380952380952384</v>
      </c>
      <c r="N14">
        <f t="shared" si="0"/>
        <v>0.5</v>
      </c>
      <c r="O14">
        <f t="shared" si="0"/>
        <v>0.47826086956521746</v>
      </c>
      <c r="P14">
        <f t="shared" si="0"/>
        <v>0.45833333333333331</v>
      </c>
      <c r="Q14">
        <f t="shared" si="0"/>
        <v>0.44000000000000006</v>
      </c>
      <c r="R14">
        <f t="shared" si="0"/>
        <v>0.42307692307692307</v>
      </c>
      <c r="S14">
        <f t="shared" si="0"/>
        <v>0.40740740740740744</v>
      </c>
      <c r="T14">
        <f t="shared" si="0"/>
        <v>0.3928571428571429</v>
      </c>
      <c r="U14">
        <f t="shared" si="0"/>
        <v>0.37931034482758619</v>
      </c>
      <c r="V14">
        <f t="shared" si="0"/>
        <v>0.3666666666666667</v>
      </c>
      <c r="W14">
        <f t="shared" si="0"/>
        <v>0.35483870967741937</v>
      </c>
    </row>
    <row r="15" spans="1:23" x14ac:dyDescent="0.3">
      <c r="B15" s="1">
        <v>0.5</v>
      </c>
      <c r="C15">
        <f t="shared" si="1"/>
        <v>1</v>
      </c>
      <c r="D15">
        <f t="shared" si="0"/>
        <v>0.90909090909090906</v>
      </c>
      <c r="E15">
        <f t="shared" si="0"/>
        <v>0.83333333333333337</v>
      </c>
      <c r="F15">
        <f t="shared" si="0"/>
        <v>0.76923076923076916</v>
      </c>
      <c r="G15">
        <f t="shared" si="0"/>
        <v>0.7142857142857143</v>
      </c>
      <c r="H15">
        <f t="shared" si="0"/>
        <v>0.66666666666666663</v>
      </c>
      <c r="I15">
        <f t="shared" si="0"/>
        <v>0.625</v>
      </c>
      <c r="J15">
        <f t="shared" si="0"/>
        <v>0.58823529411764708</v>
      </c>
      <c r="K15">
        <f t="shared" si="0"/>
        <v>0.55555555555555558</v>
      </c>
      <c r="L15">
        <f t="shared" si="0"/>
        <v>0.52631578947368418</v>
      </c>
      <c r="M15">
        <f t="shared" si="0"/>
        <v>0.5</v>
      </c>
      <c r="N15">
        <f t="shared" si="0"/>
        <v>0.47619047619047616</v>
      </c>
      <c r="O15">
        <f t="shared" si="0"/>
        <v>0.45454545454545453</v>
      </c>
      <c r="P15">
        <f t="shared" si="0"/>
        <v>0.43478260869565222</v>
      </c>
      <c r="Q15">
        <f t="shared" si="0"/>
        <v>0.41666666666666669</v>
      </c>
      <c r="R15">
        <f t="shared" si="0"/>
        <v>0.4</v>
      </c>
      <c r="S15">
        <f t="shared" si="0"/>
        <v>0.38461538461538458</v>
      </c>
      <c r="T15">
        <f t="shared" si="0"/>
        <v>0.37037037037037035</v>
      </c>
      <c r="U15">
        <f t="shared" si="0"/>
        <v>0.35714285714285715</v>
      </c>
      <c r="V15">
        <f t="shared" si="0"/>
        <v>0.34482758620689657</v>
      </c>
      <c r="W15">
        <f t="shared" si="0"/>
        <v>0.33333333333333331</v>
      </c>
    </row>
    <row r="16" spans="1:23" x14ac:dyDescent="0.3">
      <c r="B16" s="1">
        <v>0.45</v>
      </c>
      <c r="C16">
        <f t="shared" si="1"/>
        <v>1</v>
      </c>
      <c r="D16">
        <f t="shared" si="0"/>
        <v>0.9</v>
      </c>
      <c r="E16">
        <f t="shared" si="0"/>
        <v>0.81818181818181812</v>
      </c>
      <c r="F16">
        <f t="shared" si="0"/>
        <v>0.75</v>
      </c>
      <c r="G16">
        <f t="shared" si="0"/>
        <v>0.69230769230769229</v>
      </c>
      <c r="H16">
        <f t="shared" si="0"/>
        <v>0.6428571428571429</v>
      </c>
      <c r="I16">
        <f t="shared" si="0"/>
        <v>0.6</v>
      </c>
      <c r="J16">
        <f t="shared" si="0"/>
        <v>0.5625</v>
      </c>
      <c r="K16">
        <f t="shared" si="0"/>
        <v>0.52941176470588236</v>
      </c>
      <c r="L16">
        <f t="shared" si="0"/>
        <v>0.5</v>
      </c>
      <c r="M16">
        <f t="shared" si="0"/>
        <v>0.47368421052631582</v>
      </c>
      <c r="N16">
        <f t="shared" si="0"/>
        <v>0.45</v>
      </c>
      <c r="O16">
        <f t="shared" si="0"/>
        <v>0.42857142857142855</v>
      </c>
      <c r="P16">
        <f t="shared" si="0"/>
        <v>0.40909090909090906</v>
      </c>
      <c r="Q16">
        <f t="shared" si="0"/>
        <v>0.39130434782608697</v>
      </c>
      <c r="R16">
        <f t="shared" si="0"/>
        <v>0.375</v>
      </c>
      <c r="S16">
        <f t="shared" si="0"/>
        <v>0.36</v>
      </c>
      <c r="T16">
        <f t="shared" si="0"/>
        <v>0.34615384615384615</v>
      </c>
      <c r="U16">
        <f t="shared" si="0"/>
        <v>0.33333333333333331</v>
      </c>
      <c r="V16">
        <f t="shared" si="0"/>
        <v>0.32142857142857145</v>
      </c>
      <c r="W16">
        <f t="shared" si="0"/>
        <v>0.31034482758620691</v>
      </c>
    </row>
    <row r="17" spans="2:23" x14ac:dyDescent="0.3">
      <c r="B17" s="1">
        <v>0.4</v>
      </c>
      <c r="C17">
        <f t="shared" si="1"/>
        <v>1</v>
      </c>
      <c r="D17">
        <f t="shared" si="0"/>
        <v>0.88888888888888895</v>
      </c>
      <c r="E17">
        <f t="shared" si="0"/>
        <v>0.8</v>
      </c>
      <c r="F17">
        <f t="shared" si="0"/>
        <v>0.72727272727272729</v>
      </c>
      <c r="G17">
        <f t="shared" si="0"/>
        <v>0.66666666666666663</v>
      </c>
      <c r="H17">
        <f t="shared" si="0"/>
        <v>0.61538461538461542</v>
      </c>
      <c r="I17">
        <f t="shared" si="0"/>
        <v>0.57142857142857151</v>
      </c>
      <c r="J17">
        <f t="shared" si="0"/>
        <v>0.53333333333333333</v>
      </c>
      <c r="K17">
        <f t="shared" si="0"/>
        <v>0.5</v>
      </c>
      <c r="L17">
        <f t="shared" si="0"/>
        <v>0.47058823529411764</v>
      </c>
      <c r="M17">
        <f t="shared" si="0"/>
        <v>0.44444444444444448</v>
      </c>
      <c r="N17">
        <f t="shared" si="0"/>
        <v>0.42105263157894735</v>
      </c>
      <c r="O17">
        <f t="shared" si="0"/>
        <v>0.4</v>
      </c>
      <c r="P17">
        <f t="shared" si="0"/>
        <v>0.38095238095238093</v>
      </c>
      <c r="Q17">
        <f t="shared" si="0"/>
        <v>0.36363636363636365</v>
      </c>
      <c r="R17">
        <f t="shared" si="0"/>
        <v>0.34782608695652178</v>
      </c>
      <c r="S17">
        <f t="shared" si="0"/>
        <v>0.33333333333333331</v>
      </c>
      <c r="T17">
        <f t="shared" si="0"/>
        <v>0.32</v>
      </c>
      <c r="U17">
        <f t="shared" si="0"/>
        <v>0.30769230769230771</v>
      </c>
      <c r="V17">
        <f t="shared" si="0"/>
        <v>0.29629629629629628</v>
      </c>
      <c r="W17">
        <f t="shared" si="0"/>
        <v>0.28571428571428575</v>
      </c>
    </row>
    <row r="18" spans="2:23" x14ac:dyDescent="0.3">
      <c r="B18" s="1">
        <v>0.35</v>
      </c>
      <c r="C18">
        <f t="shared" si="1"/>
        <v>1</v>
      </c>
      <c r="D18">
        <f t="shared" si="0"/>
        <v>0.875</v>
      </c>
      <c r="E18">
        <f t="shared" si="0"/>
        <v>0.77777777777777779</v>
      </c>
      <c r="F18">
        <f t="shared" si="0"/>
        <v>0.7</v>
      </c>
      <c r="G18">
        <f t="shared" si="0"/>
        <v>0.63636363636363624</v>
      </c>
      <c r="H18">
        <f t="shared" si="0"/>
        <v>0.58333333333333337</v>
      </c>
      <c r="I18">
        <f t="shared" si="0"/>
        <v>0.53846153846153855</v>
      </c>
      <c r="J18">
        <f t="shared" si="0"/>
        <v>0.5</v>
      </c>
      <c r="K18">
        <f t="shared" si="0"/>
        <v>0.46666666666666662</v>
      </c>
      <c r="L18">
        <f t="shared" si="0"/>
        <v>0.43749999999999994</v>
      </c>
      <c r="M18">
        <f t="shared" si="0"/>
        <v>0.41176470588235292</v>
      </c>
      <c r="N18">
        <f t="shared" ref="D18:W25" si="2">$B18/($B18+N$26)</f>
        <v>0.38888888888888884</v>
      </c>
      <c r="O18">
        <f t="shared" si="2"/>
        <v>0.36842105263157893</v>
      </c>
      <c r="P18">
        <f t="shared" si="2"/>
        <v>0.35</v>
      </c>
      <c r="Q18">
        <f t="shared" si="2"/>
        <v>0.33333333333333337</v>
      </c>
      <c r="R18">
        <f t="shared" si="2"/>
        <v>0.31818181818181812</v>
      </c>
      <c r="S18">
        <f t="shared" si="2"/>
        <v>0.30434782608695654</v>
      </c>
      <c r="T18">
        <f t="shared" si="2"/>
        <v>0.29166666666666669</v>
      </c>
      <c r="U18">
        <f t="shared" si="2"/>
        <v>0.27999999999999997</v>
      </c>
      <c r="V18">
        <f t="shared" si="2"/>
        <v>0.26923076923076927</v>
      </c>
      <c r="W18">
        <f t="shared" si="2"/>
        <v>0.25925925925925924</v>
      </c>
    </row>
    <row r="19" spans="2:23" x14ac:dyDescent="0.3">
      <c r="B19" s="1">
        <v>0.3</v>
      </c>
      <c r="C19">
        <f t="shared" si="1"/>
        <v>1</v>
      </c>
      <c r="D19">
        <f t="shared" si="2"/>
        <v>0.85714285714285721</v>
      </c>
      <c r="E19">
        <f t="shared" si="2"/>
        <v>0.74999999999999989</v>
      </c>
      <c r="F19">
        <f t="shared" si="2"/>
        <v>0.66666666666666674</v>
      </c>
      <c r="G19">
        <f t="shared" si="2"/>
        <v>0.6</v>
      </c>
      <c r="H19">
        <f t="shared" si="2"/>
        <v>0.54545454545454541</v>
      </c>
      <c r="I19">
        <f t="shared" si="2"/>
        <v>0.5</v>
      </c>
      <c r="J19">
        <f t="shared" si="2"/>
        <v>0.46153846153846156</v>
      </c>
      <c r="K19">
        <f t="shared" si="2"/>
        <v>0.4285714285714286</v>
      </c>
      <c r="L19">
        <f t="shared" si="2"/>
        <v>0.39999999999999997</v>
      </c>
      <c r="M19">
        <f t="shared" si="2"/>
        <v>0.37499999999999994</v>
      </c>
      <c r="N19">
        <f t="shared" si="2"/>
        <v>0.3529411764705882</v>
      </c>
      <c r="O19">
        <f t="shared" si="2"/>
        <v>0.33333333333333337</v>
      </c>
      <c r="P19">
        <f t="shared" si="2"/>
        <v>0.31578947368421051</v>
      </c>
      <c r="Q19">
        <f t="shared" si="2"/>
        <v>0.3</v>
      </c>
      <c r="R19">
        <f t="shared" si="2"/>
        <v>0.2857142857142857</v>
      </c>
      <c r="S19">
        <f t="shared" si="2"/>
        <v>0.27272727272727271</v>
      </c>
      <c r="T19">
        <f t="shared" si="2"/>
        <v>0.2608695652173913</v>
      </c>
      <c r="U19">
        <f t="shared" si="2"/>
        <v>0.25</v>
      </c>
      <c r="V19">
        <f t="shared" si="2"/>
        <v>0.24</v>
      </c>
      <c r="W19">
        <f t="shared" si="2"/>
        <v>0.23076923076923075</v>
      </c>
    </row>
    <row r="20" spans="2:23" x14ac:dyDescent="0.3">
      <c r="B20" s="1">
        <v>0.25</v>
      </c>
      <c r="C20">
        <f t="shared" si="1"/>
        <v>1</v>
      </c>
      <c r="D20">
        <f t="shared" si="2"/>
        <v>0.83333333333333337</v>
      </c>
      <c r="E20">
        <f t="shared" si="2"/>
        <v>0.7142857142857143</v>
      </c>
      <c r="F20">
        <f t="shared" si="2"/>
        <v>0.625</v>
      </c>
      <c r="G20">
        <f t="shared" si="2"/>
        <v>0.55555555555555558</v>
      </c>
      <c r="H20">
        <f t="shared" si="2"/>
        <v>0.5</v>
      </c>
      <c r="I20">
        <f t="shared" si="2"/>
        <v>0.45454545454545453</v>
      </c>
      <c r="J20">
        <f t="shared" si="2"/>
        <v>0.41666666666666669</v>
      </c>
      <c r="K20">
        <f t="shared" si="2"/>
        <v>0.38461538461538458</v>
      </c>
      <c r="L20">
        <f t="shared" si="2"/>
        <v>0.35714285714285715</v>
      </c>
      <c r="M20">
        <f t="shared" si="2"/>
        <v>0.33333333333333331</v>
      </c>
      <c r="N20">
        <f t="shared" si="2"/>
        <v>0.3125</v>
      </c>
      <c r="O20">
        <f t="shared" si="2"/>
        <v>0.29411764705882354</v>
      </c>
      <c r="P20">
        <f t="shared" si="2"/>
        <v>0.27777777777777779</v>
      </c>
      <c r="Q20">
        <f t="shared" si="2"/>
        <v>0.26315789473684209</v>
      </c>
      <c r="R20">
        <f t="shared" si="2"/>
        <v>0.25</v>
      </c>
      <c r="S20">
        <f t="shared" si="2"/>
        <v>0.23809523809523808</v>
      </c>
      <c r="T20">
        <f t="shared" si="2"/>
        <v>0.22727272727272727</v>
      </c>
      <c r="U20">
        <f t="shared" si="2"/>
        <v>0.21739130434782611</v>
      </c>
      <c r="V20">
        <f t="shared" si="2"/>
        <v>0.20833333333333334</v>
      </c>
      <c r="W20">
        <f t="shared" si="2"/>
        <v>0.2</v>
      </c>
    </row>
    <row r="21" spans="2:23" x14ac:dyDescent="0.3">
      <c r="B21" s="1">
        <v>0.2</v>
      </c>
      <c r="C21">
        <f t="shared" si="1"/>
        <v>1</v>
      </c>
      <c r="D21">
        <f t="shared" si="2"/>
        <v>0.8</v>
      </c>
      <c r="E21">
        <f t="shared" si="2"/>
        <v>0.66666666666666663</v>
      </c>
      <c r="F21">
        <f t="shared" si="2"/>
        <v>0.57142857142857151</v>
      </c>
      <c r="G21">
        <f t="shared" si="2"/>
        <v>0.5</v>
      </c>
      <c r="H21">
        <f t="shared" si="2"/>
        <v>0.44444444444444448</v>
      </c>
      <c r="I21">
        <f t="shared" si="2"/>
        <v>0.4</v>
      </c>
      <c r="J21">
        <f t="shared" si="2"/>
        <v>0.36363636363636365</v>
      </c>
      <c r="K21">
        <f t="shared" si="2"/>
        <v>0.33333333333333331</v>
      </c>
      <c r="L21">
        <f t="shared" si="2"/>
        <v>0.30769230769230771</v>
      </c>
      <c r="M21">
        <f t="shared" si="2"/>
        <v>0.28571428571428575</v>
      </c>
      <c r="N21">
        <f t="shared" si="2"/>
        <v>0.26666666666666666</v>
      </c>
      <c r="O21">
        <f t="shared" si="2"/>
        <v>0.25</v>
      </c>
      <c r="P21">
        <f t="shared" si="2"/>
        <v>0.23529411764705882</v>
      </c>
      <c r="Q21">
        <f t="shared" si="2"/>
        <v>0.22222222222222227</v>
      </c>
      <c r="R21">
        <f t="shared" si="2"/>
        <v>0.2105263157894737</v>
      </c>
      <c r="S21">
        <f t="shared" si="2"/>
        <v>0.2</v>
      </c>
      <c r="T21">
        <f t="shared" si="2"/>
        <v>0.19047619047619047</v>
      </c>
      <c r="U21">
        <f t="shared" si="2"/>
        <v>0.18181818181818182</v>
      </c>
      <c r="V21">
        <f t="shared" si="2"/>
        <v>0.17391304347826089</v>
      </c>
      <c r="W21">
        <f t="shared" si="2"/>
        <v>0.16666666666666669</v>
      </c>
    </row>
    <row r="22" spans="2:23" x14ac:dyDescent="0.3">
      <c r="B22" s="1">
        <v>0.15</v>
      </c>
      <c r="C22">
        <f t="shared" si="1"/>
        <v>1</v>
      </c>
      <c r="D22">
        <f t="shared" si="2"/>
        <v>0.74999999999999989</v>
      </c>
      <c r="E22">
        <f t="shared" si="2"/>
        <v>0.6</v>
      </c>
      <c r="F22">
        <f t="shared" si="2"/>
        <v>0.5</v>
      </c>
      <c r="G22">
        <f t="shared" si="2"/>
        <v>0.4285714285714286</v>
      </c>
      <c r="H22">
        <f t="shared" si="2"/>
        <v>0.37499999999999994</v>
      </c>
      <c r="I22">
        <f t="shared" si="2"/>
        <v>0.33333333333333337</v>
      </c>
      <c r="J22">
        <f t="shared" si="2"/>
        <v>0.3</v>
      </c>
      <c r="K22">
        <f t="shared" si="2"/>
        <v>0.27272727272727271</v>
      </c>
      <c r="L22">
        <f t="shared" si="2"/>
        <v>0.25</v>
      </c>
      <c r="M22">
        <f t="shared" si="2"/>
        <v>0.23076923076923075</v>
      </c>
      <c r="N22">
        <f t="shared" si="2"/>
        <v>0.21428571428571425</v>
      </c>
      <c r="O22">
        <f t="shared" si="2"/>
        <v>0.19999999999999998</v>
      </c>
      <c r="P22">
        <f t="shared" si="2"/>
        <v>0.18749999999999997</v>
      </c>
      <c r="Q22">
        <f t="shared" si="2"/>
        <v>0.17647058823529413</v>
      </c>
      <c r="R22">
        <f t="shared" si="2"/>
        <v>0.16666666666666666</v>
      </c>
      <c r="S22">
        <f t="shared" si="2"/>
        <v>0.15789473684210525</v>
      </c>
      <c r="T22">
        <f t="shared" si="2"/>
        <v>0.15</v>
      </c>
      <c r="U22">
        <f t="shared" si="2"/>
        <v>0.14285714285714285</v>
      </c>
      <c r="V22">
        <f t="shared" si="2"/>
        <v>0.13636363636363638</v>
      </c>
      <c r="W22">
        <f t="shared" si="2"/>
        <v>0.13043478260869565</v>
      </c>
    </row>
    <row r="23" spans="2:23" x14ac:dyDescent="0.3">
      <c r="B23" s="1">
        <v>0.1</v>
      </c>
      <c r="C23">
        <f t="shared" si="1"/>
        <v>1</v>
      </c>
      <c r="D23">
        <f t="shared" si="2"/>
        <v>0.66666666666666663</v>
      </c>
      <c r="E23">
        <f t="shared" si="2"/>
        <v>0.5</v>
      </c>
      <c r="F23">
        <f t="shared" si="2"/>
        <v>0.4</v>
      </c>
      <c r="G23">
        <f t="shared" si="2"/>
        <v>0.33333333333333331</v>
      </c>
      <c r="H23">
        <f t="shared" si="2"/>
        <v>0.28571428571428575</v>
      </c>
      <c r="I23">
        <f t="shared" si="2"/>
        <v>0.25</v>
      </c>
      <c r="J23">
        <f t="shared" si="2"/>
        <v>0.22222222222222227</v>
      </c>
      <c r="K23">
        <f t="shared" si="2"/>
        <v>0.2</v>
      </c>
      <c r="L23">
        <f t="shared" si="2"/>
        <v>0.18181818181818182</v>
      </c>
      <c r="M23">
        <f t="shared" si="2"/>
        <v>0.16666666666666669</v>
      </c>
      <c r="N23">
        <f t="shared" si="2"/>
        <v>0.15384615384615385</v>
      </c>
      <c r="O23">
        <f t="shared" si="2"/>
        <v>0.14285714285714288</v>
      </c>
      <c r="P23">
        <f t="shared" si="2"/>
        <v>0.13333333333333333</v>
      </c>
      <c r="Q23">
        <f t="shared" si="2"/>
        <v>0.12500000000000003</v>
      </c>
      <c r="R23">
        <f t="shared" si="2"/>
        <v>0.11764705882352942</v>
      </c>
      <c r="S23">
        <f t="shared" si="2"/>
        <v>0.11111111111111112</v>
      </c>
      <c r="T23">
        <f t="shared" si="2"/>
        <v>0.10526315789473685</v>
      </c>
      <c r="U23">
        <f t="shared" si="2"/>
        <v>0.1</v>
      </c>
      <c r="V23">
        <f t="shared" si="2"/>
        <v>9.5238095238095233E-2</v>
      </c>
      <c r="W23">
        <f t="shared" si="2"/>
        <v>9.0909090909090912E-2</v>
      </c>
    </row>
    <row r="24" spans="2:23" x14ac:dyDescent="0.3">
      <c r="B24" s="1">
        <v>0.05</v>
      </c>
      <c r="C24">
        <f t="shared" si="1"/>
        <v>1</v>
      </c>
      <c r="D24">
        <f t="shared" si="2"/>
        <v>0.5</v>
      </c>
      <c r="E24">
        <f t="shared" si="2"/>
        <v>0.33333333333333331</v>
      </c>
      <c r="F24">
        <f t="shared" si="2"/>
        <v>0.25</v>
      </c>
      <c r="G24">
        <f t="shared" si="2"/>
        <v>0.2</v>
      </c>
      <c r="H24">
        <f t="shared" si="2"/>
        <v>0.16666666666666669</v>
      </c>
      <c r="I24">
        <f t="shared" si="2"/>
        <v>0.14285714285714288</v>
      </c>
      <c r="J24">
        <f t="shared" si="2"/>
        <v>0.12500000000000003</v>
      </c>
      <c r="K24">
        <f t="shared" si="2"/>
        <v>0.11111111111111112</v>
      </c>
      <c r="L24">
        <f t="shared" si="2"/>
        <v>0.1</v>
      </c>
      <c r="M24">
        <f t="shared" si="2"/>
        <v>9.0909090909090912E-2</v>
      </c>
      <c r="N24">
        <f t="shared" si="2"/>
        <v>8.3333333333333329E-2</v>
      </c>
      <c r="O24">
        <f t="shared" si="2"/>
        <v>7.6923076923076927E-2</v>
      </c>
      <c r="P24">
        <f t="shared" si="2"/>
        <v>7.1428571428571425E-2</v>
      </c>
      <c r="Q24">
        <f t="shared" si="2"/>
        <v>6.6666666666666666E-2</v>
      </c>
      <c r="R24">
        <f t="shared" si="2"/>
        <v>6.25E-2</v>
      </c>
      <c r="S24">
        <f t="shared" si="2"/>
        <v>5.8823529411764705E-2</v>
      </c>
      <c r="T24">
        <f t="shared" si="2"/>
        <v>5.5555555555555559E-2</v>
      </c>
      <c r="U24">
        <f t="shared" si="2"/>
        <v>5.2631578947368418E-2</v>
      </c>
      <c r="V24">
        <f t="shared" si="2"/>
        <v>0.05</v>
      </c>
      <c r="W24">
        <f t="shared" si="2"/>
        <v>4.7619047619047616E-2</v>
      </c>
    </row>
    <row r="25" spans="2:23" x14ac:dyDescent="0.3">
      <c r="B25">
        <v>0</v>
      </c>
      <c r="C25" t="e">
        <f t="shared" si="1"/>
        <v>#DIV/0!</v>
      </c>
      <c r="D25">
        <f t="shared" si="2"/>
        <v>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</v>
      </c>
      <c r="U25">
        <f t="shared" si="2"/>
        <v>0</v>
      </c>
      <c r="V25">
        <f t="shared" si="2"/>
        <v>0</v>
      </c>
      <c r="W25">
        <f t="shared" si="2"/>
        <v>0</v>
      </c>
    </row>
    <row r="26" spans="2:23" x14ac:dyDescent="0.3">
      <c r="C26" s="1">
        <v>0</v>
      </c>
      <c r="D26" s="1">
        <v>0.05</v>
      </c>
      <c r="E26" s="1">
        <v>0.1</v>
      </c>
      <c r="F26" s="1">
        <v>0.15</v>
      </c>
      <c r="G26" s="1">
        <v>0.2</v>
      </c>
      <c r="H26" s="1">
        <v>0.25</v>
      </c>
      <c r="I26" s="1">
        <v>0.3</v>
      </c>
      <c r="J26" s="1">
        <v>0.35</v>
      </c>
      <c r="K26" s="1">
        <v>0.4</v>
      </c>
      <c r="L26" s="1">
        <v>0.45</v>
      </c>
      <c r="M26" s="1">
        <v>0.5</v>
      </c>
      <c r="N26" s="1">
        <v>0.55000000000000004</v>
      </c>
      <c r="O26" s="1">
        <v>0.6</v>
      </c>
      <c r="P26" s="1">
        <v>0.65</v>
      </c>
      <c r="Q26" s="1">
        <v>0.7</v>
      </c>
      <c r="R26" s="1">
        <v>0.75</v>
      </c>
      <c r="S26" s="1">
        <v>0.8</v>
      </c>
      <c r="T26" s="1">
        <v>0.85</v>
      </c>
      <c r="U26" s="1">
        <v>0.9</v>
      </c>
      <c r="V26" s="1">
        <v>0.95</v>
      </c>
      <c r="W26" s="1">
        <v>1</v>
      </c>
    </row>
    <row r="27" spans="2:23" x14ac:dyDescent="0.3">
      <c r="C27" t="s">
        <v>2</v>
      </c>
    </row>
    <row r="29" spans="2:23" x14ac:dyDescent="0.3">
      <c r="C29" t="s">
        <v>2</v>
      </c>
    </row>
    <row r="30" spans="2:23" x14ac:dyDescent="0.3">
      <c r="B30" s="3"/>
      <c r="C30" s="4">
        <v>0</v>
      </c>
      <c r="D30" s="4">
        <v>0.05</v>
      </c>
      <c r="E30" s="4">
        <v>0.1</v>
      </c>
      <c r="F30" s="4">
        <v>0.15</v>
      </c>
      <c r="G30" s="4">
        <v>0.2</v>
      </c>
      <c r="H30" s="4">
        <v>0.25</v>
      </c>
      <c r="I30" s="4">
        <v>0.3</v>
      </c>
      <c r="J30" s="4">
        <v>0.35</v>
      </c>
      <c r="K30" s="4">
        <v>0.4</v>
      </c>
      <c r="L30" s="4">
        <v>0.45</v>
      </c>
      <c r="M30" s="4">
        <v>0.5</v>
      </c>
      <c r="N30" s="4">
        <v>0.55000000000000004</v>
      </c>
      <c r="O30" s="4">
        <v>0.6</v>
      </c>
      <c r="P30" s="4">
        <v>0.65</v>
      </c>
      <c r="Q30" s="4">
        <v>0.7</v>
      </c>
      <c r="R30" s="4">
        <v>0.75</v>
      </c>
      <c r="S30" s="4">
        <v>0.8</v>
      </c>
      <c r="T30" s="4">
        <v>0.85</v>
      </c>
      <c r="U30" s="4">
        <v>0.9</v>
      </c>
      <c r="V30" s="4">
        <v>0.95</v>
      </c>
      <c r="W30" s="4">
        <v>1</v>
      </c>
    </row>
    <row r="31" spans="2:23" x14ac:dyDescent="0.3">
      <c r="B31">
        <v>0</v>
      </c>
      <c r="C31" s="2" t="e">
        <f t="shared" ref="C31:W31" si="3">$B31/($B31+C$30)</f>
        <v>#DIV/0!</v>
      </c>
      <c r="D31" s="2">
        <f t="shared" si="3"/>
        <v>0</v>
      </c>
      <c r="E31" s="2">
        <f t="shared" si="3"/>
        <v>0</v>
      </c>
      <c r="F31" s="2">
        <f t="shared" si="3"/>
        <v>0</v>
      </c>
      <c r="G31" s="2">
        <f t="shared" si="3"/>
        <v>0</v>
      </c>
      <c r="H31" s="2">
        <f t="shared" si="3"/>
        <v>0</v>
      </c>
      <c r="I31" s="2">
        <f t="shared" si="3"/>
        <v>0</v>
      </c>
      <c r="J31" s="2">
        <f t="shared" si="3"/>
        <v>0</v>
      </c>
      <c r="K31" s="2">
        <f t="shared" si="3"/>
        <v>0</v>
      </c>
      <c r="L31" s="2">
        <f t="shared" si="3"/>
        <v>0</v>
      </c>
      <c r="M31" s="2">
        <f t="shared" si="3"/>
        <v>0</v>
      </c>
      <c r="N31" s="2">
        <f t="shared" si="3"/>
        <v>0</v>
      </c>
      <c r="O31" s="2">
        <f t="shared" si="3"/>
        <v>0</v>
      </c>
      <c r="P31" s="2">
        <f t="shared" si="3"/>
        <v>0</v>
      </c>
      <c r="Q31" s="2">
        <f t="shared" si="3"/>
        <v>0</v>
      </c>
      <c r="R31" s="2">
        <f t="shared" si="3"/>
        <v>0</v>
      </c>
      <c r="S31" s="2">
        <f t="shared" si="3"/>
        <v>0</v>
      </c>
      <c r="T31" s="2">
        <f t="shared" si="3"/>
        <v>0</v>
      </c>
      <c r="U31" s="2">
        <f t="shared" si="3"/>
        <v>0</v>
      </c>
      <c r="V31" s="2">
        <f t="shared" si="3"/>
        <v>0</v>
      </c>
      <c r="W31" s="2">
        <f t="shared" si="3"/>
        <v>0</v>
      </c>
    </row>
    <row r="32" spans="2:23" x14ac:dyDescent="0.3">
      <c r="B32" s="1">
        <v>0.05</v>
      </c>
      <c r="C32" s="2">
        <f t="shared" ref="C32:R51" si="4">$B32/($B32+C$30)</f>
        <v>1</v>
      </c>
      <c r="D32" s="2">
        <f t="shared" ref="D32:M42" si="5">$B32/($B32+D$30)</f>
        <v>0.5</v>
      </c>
      <c r="E32" s="2">
        <f t="shared" si="5"/>
        <v>0.33333333333333331</v>
      </c>
      <c r="F32" s="2">
        <f t="shared" si="5"/>
        <v>0.25</v>
      </c>
      <c r="G32" s="2">
        <f t="shared" si="5"/>
        <v>0.2</v>
      </c>
      <c r="H32" s="2">
        <f t="shared" si="5"/>
        <v>0.16666666666666669</v>
      </c>
      <c r="I32" s="2">
        <f t="shared" si="5"/>
        <v>0.14285714285714288</v>
      </c>
      <c r="J32" s="2">
        <f t="shared" si="5"/>
        <v>0.12500000000000003</v>
      </c>
      <c r="K32" s="2">
        <f t="shared" si="5"/>
        <v>0.11111111111111112</v>
      </c>
      <c r="L32" s="2">
        <f t="shared" si="5"/>
        <v>0.1</v>
      </c>
      <c r="M32" s="2">
        <f t="shared" si="5"/>
        <v>9.0909090909090912E-2</v>
      </c>
      <c r="N32" s="2">
        <f t="shared" ref="N32:W42" si="6">$B32/($B32+N$30)</f>
        <v>8.3333333333333329E-2</v>
      </c>
      <c r="O32" s="2">
        <f t="shared" si="6"/>
        <v>7.6923076923076927E-2</v>
      </c>
      <c r="P32" s="2">
        <f t="shared" si="6"/>
        <v>7.1428571428571425E-2</v>
      </c>
      <c r="Q32" s="2">
        <f t="shared" si="6"/>
        <v>6.6666666666666666E-2</v>
      </c>
      <c r="R32" s="2">
        <f t="shared" si="6"/>
        <v>6.25E-2</v>
      </c>
      <c r="S32" s="2">
        <f t="shared" si="6"/>
        <v>5.8823529411764705E-2</v>
      </c>
      <c r="T32" s="2">
        <f t="shared" si="6"/>
        <v>5.5555555555555559E-2</v>
      </c>
      <c r="U32" s="2">
        <f t="shared" si="6"/>
        <v>5.2631578947368418E-2</v>
      </c>
      <c r="V32" s="2">
        <f t="shared" si="6"/>
        <v>0.05</v>
      </c>
      <c r="W32" s="2">
        <f t="shared" si="6"/>
        <v>4.7619047619047616E-2</v>
      </c>
    </row>
    <row r="33" spans="1:23" x14ac:dyDescent="0.3">
      <c r="A33" t="s">
        <v>4</v>
      </c>
      <c r="B33" s="1">
        <v>0.1</v>
      </c>
      <c r="C33" s="2">
        <f t="shared" si="4"/>
        <v>1</v>
      </c>
      <c r="D33" s="2">
        <f t="shared" si="5"/>
        <v>0.66666666666666663</v>
      </c>
      <c r="E33" s="2">
        <f t="shared" si="5"/>
        <v>0.5</v>
      </c>
      <c r="F33" s="2">
        <f t="shared" si="5"/>
        <v>0.4</v>
      </c>
      <c r="G33" s="2">
        <f t="shared" si="5"/>
        <v>0.33333333333333331</v>
      </c>
      <c r="H33" s="2">
        <f t="shared" si="5"/>
        <v>0.28571428571428575</v>
      </c>
      <c r="I33" s="2">
        <f t="shared" si="5"/>
        <v>0.25</v>
      </c>
      <c r="J33" s="2">
        <f t="shared" si="5"/>
        <v>0.22222222222222227</v>
      </c>
      <c r="K33" s="2">
        <f t="shared" si="5"/>
        <v>0.2</v>
      </c>
      <c r="L33" s="2">
        <f t="shared" si="5"/>
        <v>0.18181818181818182</v>
      </c>
      <c r="M33" s="2">
        <f t="shared" si="5"/>
        <v>0.16666666666666669</v>
      </c>
      <c r="N33" s="2">
        <f t="shared" si="6"/>
        <v>0.15384615384615385</v>
      </c>
      <c r="O33" s="2">
        <f t="shared" si="6"/>
        <v>0.14285714285714288</v>
      </c>
      <c r="P33" s="2">
        <f t="shared" si="6"/>
        <v>0.13333333333333333</v>
      </c>
      <c r="Q33" s="2">
        <f t="shared" si="6"/>
        <v>0.12500000000000003</v>
      </c>
      <c r="R33" s="2">
        <f t="shared" si="6"/>
        <v>0.11764705882352942</v>
      </c>
      <c r="S33" s="2">
        <f t="shared" si="6"/>
        <v>0.11111111111111112</v>
      </c>
      <c r="T33" s="2">
        <f t="shared" si="6"/>
        <v>0.10526315789473685</v>
      </c>
      <c r="U33" s="2">
        <f t="shared" si="6"/>
        <v>0.1</v>
      </c>
      <c r="V33" s="2">
        <f t="shared" si="6"/>
        <v>9.5238095238095233E-2</v>
      </c>
      <c r="W33" s="2">
        <f t="shared" si="6"/>
        <v>9.0909090909090912E-2</v>
      </c>
    </row>
    <row r="34" spans="1:23" x14ac:dyDescent="0.3">
      <c r="B34" s="1">
        <v>0.15</v>
      </c>
      <c r="C34" s="2">
        <f t="shared" si="4"/>
        <v>1</v>
      </c>
      <c r="D34" s="2">
        <f t="shared" si="5"/>
        <v>0.74999999999999989</v>
      </c>
      <c r="E34" s="2">
        <f t="shared" si="5"/>
        <v>0.6</v>
      </c>
      <c r="F34" s="2">
        <f t="shared" si="5"/>
        <v>0.5</v>
      </c>
      <c r="G34" s="2">
        <f t="shared" si="5"/>
        <v>0.4285714285714286</v>
      </c>
      <c r="H34" s="2">
        <f t="shared" si="5"/>
        <v>0.37499999999999994</v>
      </c>
      <c r="I34" s="2">
        <f t="shared" si="5"/>
        <v>0.33333333333333337</v>
      </c>
      <c r="J34" s="2">
        <f t="shared" si="5"/>
        <v>0.3</v>
      </c>
      <c r="K34" s="2">
        <f t="shared" si="5"/>
        <v>0.27272727272727271</v>
      </c>
      <c r="L34" s="2">
        <f t="shared" si="5"/>
        <v>0.25</v>
      </c>
      <c r="M34" s="2">
        <f t="shared" si="5"/>
        <v>0.23076923076923075</v>
      </c>
      <c r="N34" s="2">
        <f t="shared" si="6"/>
        <v>0.21428571428571425</v>
      </c>
      <c r="O34" s="2">
        <f t="shared" si="6"/>
        <v>0.19999999999999998</v>
      </c>
      <c r="P34" s="2">
        <f t="shared" si="6"/>
        <v>0.18749999999999997</v>
      </c>
      <c r="Q34" s="2">
        <f t="shared" si="6"/>
        <v>0.17647058823529413</v>
      </c>
      <c r="R34" s="2">
        <f t="shared" si="6"/>
        <v>0.16666666666666666</v>
      </c>
      <c r="S34" s="2">
        <f t="shared" si="6"/>
        <v>0.15789473684210525</v>
      </c>
      <c r="T34" s="2">
        <f t="shared" si="6"/>
        <v>0.15</v>
      </c>
      <c r="U34" s="2">
        <f t="shared" si="6"/>
        <v>0.14285714285714285</v>
      </c>
      <c r="V34" s="2">
        <f t="shared" si="6"/>
        <v>0.13636363636363638</v>
      </c>
      <c r="W34" s="2">
        <f t="shared" si="6"/>
        <v>0.13043478260869565</v>
      </c>
    </row>
    <row r="35" spans="1:23" x14ac:dyDescent="0.3">
      <c r="B35" s="1">
        <v>0.2</v>
      </c>
      <c r="C35" s="2">
        <f t="shared" si="4"/>
        <v>1</v>
      </c>
      <c r="D35" s="2">
        <f t="shared" si="5"/>
        <v>0.8</v>
      </c>
      <c r="E35" s="2">
        <f t="shared" si="5"/>
        <v>0.66666666666666663</v>
      </c>
      <c r="F35" s="2">
        <f t="shared" si="5"/>
        <v>0.57142857142857151</v>
      </c>
      <c r="G35" s="2">
        <f t="shared" si="5"/>
        <v>0.5</v>
      </c>
      <c r="H35" s="2">
        <f t="shared" si="5"/>
        <v>0.44444444444444448</v>
      </c>
      <c r="I35" s="2">
        <f t="shared" si="5"/>
        <v>0.4</v>
      </c>
      <c r="J35" s="2">
        <f t="shared" si="5"/>
        <v>0.36363636363636365</v>
      </c>
      <c r="K35" s="2">
        <f t="shared" si="5"/>
        <v>0.33333333333333331</v>
      </c>
      <c r="L35" s="2">
        <f t="shared" si="5"/>
        <v>0.30769230769230771</v>
      </c>
      <c r="M35" s="2">
        <f t="shared" si="5"/>
        <v>0.28571428571428575</v>
      </c>
      <c r="N35" s="2">
        <f t="shared" si="6"/>
        <v>0.26666666666666666</v>
      </c>
      <c r="O35" s="2">
        <f t="shared" si="6"/>
        <v>0.25</v>
      </c>
      <c r="P35" s="2">
        <f t="shared" si="6"/>
        <v>0.23529411764705882</v>
      </c>
      <c r="Q35" s="2">
        <f t="shared" si="6"/>
        <v>0.22222222222222227</v>
      </c>
      <c r="R35" s="2">
        <f t="shared" si="6"/>
        <v>0.2105263157894737</v>
      </c>
      <c r="S35" s="2">
        <f t="shared" si="6"/>
        <v>0.2</v>
      </c>
      <c r="T35" s="2">
        <f t="shared" si="6"/>
        <v>0.19047619047619047</v>
      </c>
      <c r="U35" s="2">
        <f t="shared" si="6"/>
        <v>0.18181818181818182</v>
      </c>
      <c r="V35" s="2">
        <f t="shared" si="6"/>
        <v>0.17391304347826089</v>
      </c>
      <c r="W35" s="2">
        <f t="shared" si="6"/>
        <v>0.16666666666666669</v>
      </c>
    </row>
    <row r="36" spans="1:23" x14ac:dyDescent="0.3">
      <c r="B36" s="1">
        <v>0.25</v>
      </c>
      <c r="C36" s="2">
        <f t="shared" si="4"/>
        <v>1</v>
      </c>
      <c r="D36" s="2">
        <f t="shared" si="5"/>
        <v>0.83333333333333337</v>
      </c>
      <c r="E36" s="2">
        <f t="shared" si="5"/>
        <v>0.7142857142857143</v>
      </c>
      <c r="F36" s="2">
        <f t="shared" si="5"/>
        <v>0.625</v>
      </c>
      <c r="G36" s="2">
        <f t="shared" si="5"/>
        <v>0.55555555555555558</v>
      </c>
      <c r="H36" s="2">
        <f t="shared" si="5"/>
        <v>0.5</v>
      </c>
      <c r="I36" s="2">
        <f t="shared" si="5"/>
        <v>0.45454545454545453</v>
      </c>
      <c r="J36" s="2">
        <f t="shared" si="5"/>
        <v>0.41666666666666669</v>
      </c>
      <c r="K36" s="2">
        <f t="shared" si="5"/>
        <v>0.38461538461538458</v>
      </c>
      <c r="L36" s="2">
        <f t="shared" si="5"/>
        <v>0.35714285714285715</v>
      </c>
      <c r="M36" s="2">
        <f t="shared" si="5"/>
        <v>0.33333333333333331</v>
      </c>
      <c r="N36" s="2">
        <f t="shared" si="6"/>
        <v>0.3125</v>
      </c>
      <c r="O36" s="2">
        <f t="shared" si="6"/>
        <v>0.29411764705882354</v>
      </c>
      <c r="P36" s="2">
        <f t="shared" si="6"/>
        <v>0.27777777777777779</v>
      </c>
      <c r="Q36" s="2">
        <f t="shared" si="6"/>
        <v>0.26315789473684209</v>
      </c>
      <c r="R36" s="2">
        <f t="shared" si="6"/>
        <v>0.25</v>
      </c>
      <c r="S36" s="2">
        <f t="shared" si="6"/>
        <v>0.23809523809523808</v>
      </c>
      <c r="T36" s="2">
        <f t="shared" si="6"/>
        <v>0.22727272727272727</v>
      </c>
      <c r="U36" s="2">
        <f t="shared" si="6"/>
        <v>0.21739130434782611</v>
      </c>
      <c r="V36" s="2">
        <f t="shared" si="6"/>
        <v>0.20833333333333334</v>
      </c>
      <c r="W36" s="2">
        <f t="shared" si="6"/>
        <v>0.2</v>
      </c>
    </row>
    <row r="37" spans="1:23" x14ac:dyDescent="0.3">
      <c r="B37" s="1">
        <v>0.3</v>
      </c>
      <c r="C37" s="2">
        <f t="shared" si="4"/>
        <v>1</v>
      </c>
      <c r="D37" s="2">
        <f t="shared" si="5"/>
        <v>0.85714285714285721</v>
      </c>
      <c r="E37" s="2">
        <f t="shared" si="5"/>
        <v>0.74999999999999989</v>
      </c>
      <c r="F37" s="2">
        <f t="shared" si="5"/>
        <v>0.66666666666666674</v>
      </c>
      <c r="G37" s="2">
        <f t="shared" si="5"/>
        <v>0.6</v>
      </c>
      <c r="H37" s="2">
        <f t="shared" si="5"/>
        <v>0.54545454545454541</v>
      </c>
      <c r="I37" s="2">
        <f t="shared" si="5"/>
        <v>0.5</v>
      </c>
      <c r="J37" s="2">
        <f t="shared" si="5"/>
        <v>0.46153846153846156</v>
      </c>
      <c r="K37" s="2">
        <f t="shared" si="5"/>
        <v>0.4285714285714286</v>
      </c>
      <c r="L37" s="2">
        <f t="shared" si="5"/>
        <v>0.39999999999999997</v>
      </c>
      <c r="M37" s="2">
        <f t="shared" si="5"/>
        <v>0.37499999999999994</v>
      </c>
      <c r="N37" s="2">
        <f t="shared" si="6"/>
        <v>0.3529411764705882</v>
      </c>
      <c r="O37" s="2">
        <f t="shared" si="6"/>
        <v>0.33333333333333337</v>
      </c>
      <c r="P37" s="2">
        <f t="shared" si="6"/>
        <v>0.31578947368421051</v>
      </c>
      <c r="Q37" s="2">
        <f t="shared" si="6"/>
        <v>0.3</v>
      </c>
      <c r="R37" s="2">
        <f t="shared" si="6"/>
        <v>0.2857142857142857</v>
      </c>
      <c r="S37" s="2">
        <f t="shared" si="6"/>
        <v>0.27272727272727271</v>
      </c>
      <c r="T37" s="2">
        <f t="shared" si="6"/>
        <v>0.2608695652173913</v>
      </c>
      <c r="U37" s="2">
        <f t="shared" si="6"/>
        <v>0.25</v>
      </c>
      <c r="V37" s="2">
        <f t="shared" si="6"/>
        <v>0.24</v>
      </c>
      <c r="W37" s="2">
        <f t="shared" si="6"/>
        <v>0.23076923076923075</v>
      </c>
    </row>
    <row r="38" spans="1:23" x14ac:dyDescent="0.3">
      <c r="B38" s="1">
        <v>0.35</v>
      </c>
      <c r="C38" s="2">
        <f t="shared" si="4"/>
        <v>1</v>
      </c>
      <c r="D38" s="2">
        <f t="shared" si="5"/>
        <v>0.875</v>
      </c>
      <c r="E38" s="2">
        <f t="shared" si="5"/>
        <v>0.77777777777777779</v>
      </c>
      <c r="F38" s="2">
        <f t="shared" si="5"/>
        <v>0.7</v>
      </c>
      <c r="G38" s="2">
        <f t="shared" si="5"/>
        <v>0.63636363636363624</v>
      </c>
      <c r="H38" s="2">
        <f t="shared" si="5"/>
        <v>0.58333333333333337</v>
      </c>
      <c r="I38" s="2">
        <f t="shared" si="5"/>
        <v>0.53846153846153855</v>
      </c>
      <c r="J38" s="2">
        <f t="shared" si="5"/>
        <v>0.5</v>
      </c>
      <c r="K38" s="2">
        <f t="shared" si="5"/>
        <v>0.46666666666666662</v>
      </c>
      <c r="L38" s="2">
        <f t="shared" si="5"/>
        <v>0.43749999999999994</v>
      </c>
      <c r="M38" s="2">
        <f t="shared" si="5"/>
        <v>0.41176470588235292</v>
      </c>
      <c r="N38" s="2">
        <f t="shared" si="6"/>
        <v>0.38888888888888884</v>
      </c>
      <c r="O38" s="2">
        <f t="shared" si="6"/>
        <v>0.36842105263157893</v>
      </c>
      <c r="P38" s="2">
        <f t="shared" si="6"/>
        <v>0.35</v>
      </c>
      <c r="Q38" s="2">
        <f t="shared" si="6"/>
        <v>0.33333333333333337</v>
      </c>
      <c r="R38" s="2">
        <f t="shared" si="6"/>
        <v>0.31818181818181812</v>
      </c>
      <c r="S38" s="2">
        <f t="shared" si="6"/>
        <v>0.30434782608695654</v>
      </c>
      <c r="T38" s="2">
        <f t="shared" si="6"/>
        <v>0.29166666666666669</v>
      </c>
      <c r="U38" s="2">
        <f t="shared" si="6"/>
        <v>0.27999999999999997</v>
      </c>
      <c r="V38" s="2">
        <f t="shared" si="6"/>
        <v>0.26923076923076927</v>
      </c>
      <c r="W38" s="2">
        <f t="shared" si="6"/>
        <v>0.25925925925925924</v>
      </c>
    </row>
    <row r="39" spans="1:23" x14ac:dyDescent="0.3">
      <c r="B39" s="1">
        <v>0.4</v>
      </c>
      <c r="C39" s="2">
        <f t="shared" si="4"/>
        <v>1</v>
      </c>
      <c r="D39" s="2">
        <f t="shared" si="5"/>
        <v>0.88888888888888895</v>
      </c>
      <c r="E39" s="2">
        <f t="shared" si="5"/>
        <v>0.8</v>
      </c>
      <c r="F39" s="2">
        <f t="shared" si="5"/>
        <v>0.72727272727272729</v>
      </c>
      <c r="G39" s="2">
        <f t="shared" si="5"/>
        <v>0.66666666666666663</v>
      </c>
      <c r="H39" s="2">
        <f t="shared" si="5"/>
        <v>0.61538461538461542</v>
      </c>
      <c r="I39" s="2">
        <f t="shared" si="5"/>
        <v>0.57142857142857151</v>
      </c>
      <c r="J39" s="2">
        <f t="shared" si="5"/>
        <v>0.53333333333333333</v>
      </c>
      <c r="K39" s="2">
        <f t="shared" si="5"/>
        <v>0.5</v>
      </c>
      <c r="L39" s="2">
        <f t="shared" si="5"/>
        <v>0.47058823529411764</v>
      </c>
      <c r="M39" s="2">
        <f t="shared" si="5"/>
        <v>0.44444444444444448</v>
      </c>
      <c r="N39" s="2">
        <f t="shared" si="6"/>
        <v>0.42105263157894735</v>
      </c>
      <c r="O39" s="2">
        <f t="shared" si="6"/>
        <v>0.4</v>
      </c>
      <c r="P39" s="2">
        <f t="shared" si="6"/>
        <v>0.38095238095238093</v>
      </c>
      <c r="Q39" s="2">
        <f t="shared" si="6"/>
        <v>0.36363636363636365</v>
      </c>
      <c r="R39" s="2">
        <f t="shared" si="6"/>
        <v>0.34782608695652178</v>
      </c>
      <c r="S39" s="2">
        <f t="shared" si="6"/>
        <v>0.33333333333333331</v>
      </c>
      <c r="T39" s="2">
        <f t="shared" si="6"/>
        <v>0.32</v>
      </c>
      <c r="U39" s="2">
        <f t="shared" si="6"/>
        <v>0.30769230769230771</v>
      </c>
      <c r="V39" s="2">
        <f t="shared" si="6"/>
        <v>0.29629629629629628</v>
      </c>
      <c r="W39" s="2">
        <f t="shared" si="6"/>
        <v>0.28571428571428575</v>
      </c>
    </row>
    <row r="40" spans="1:23" x14ac:dyDescent="0.3">
      <c r="B40" s="1">
        <v>0.45</v>
      </c>
      <c r="C40" s="2">
        <f t="shared" si="4"/>
        <v>1</v>
      </c>
      <c r="D40" s="2">
        <f t="shared" si="5"/>
        <v>0.9</v>
      </c>
      <c r="E40" s="2">
        <f t="shared" si="5"/>
        <v>0.81818181818181812</v>
      </c>
      <c r="F40" s="2">
        <f t="shared" si="5"/>
        <v>0.75</v>
      </c>
      <c r="G40" s="2">
        <f t="shared" si="5"/>
        <v>0.69230769230769229</v>
      </c>
      <c r="H40" s="2">
        <f t="shared" si="5"/>
        <v>0.6428571428571429</v>
      </c>
      <c r="I40" s="2">
        <f t="shared" si="5"/>
        <v>0.6</v>
      </c>
      <c r="J40" s="2">
        <f t="shared" si="5"/>
        <v>0.5625</v>
      </c>
      <c r="K40" s="2">
        <f t="shared" si="5"/>
        <v>0.52941176470588236</v>
      </c>
      <c r="L40" s="2">
        <f t="shared" si="5"/>
        <v>0.5</v>
      </c>
      <c r="M40" s="2">
        <f t="shared" si="5"/>
        <v>0.47368421052631582</v>
      </c>
      <c r="N40" s="2">
        <f t="shared" si="6"/>
        <v>0.45</v>
      </c>
      <c r="O40" s="2">
        <f t="shared" si="6"/>
        <v>0.42857142857142855</v>
      </c>
      <c r="P40" s="2">
        <f t="shared" si="6"/>
        <v>0.40909090909090906</v>
      </c>
      <c r="Q40" s="2">
        <f t="shared" si="6"/>
        <v>0.39130434782608697</v>
      </c>
      <c r="R40" s="2">
        <f t="shared" si="6"/>
        <v>0.375</v>
      </c>
      <c r="S40" s="2">
        <f t="shared" si="6"/>
        <v>0.36</v>
      </c>
      <c r="T40" s="2">
        <f t="shared" si="6"/>
        <v>0.34615384615384615</v>
      </c>
      <c r="U40" s="2">
        <f t="shared" si="6"/>
        <v>0.33333333333333331</v>
      </c>
      <c r="V40" s="2">
        <f t="shared" si="6"/>
        <v>0.32142857142857145</v>
      </c>
      <c r="W40" s="2">
        <f t="shared" si="6"/>
        <v>0.31034482758620691</v>
      </c>
    </row>
    <row r="41" spans="1:23" x14ac:dyDescent="0.3">
      <c r="B41" s="1">
        <v>0.5</v>
      </c>
      <c r="C41" s="2">
        <f t="shared" si="4"/>
        <v>1</v>
      </c>
      <c r="D41" s="2">
        <f t="shared" si="5"/>
        <v>0.90909090909090906</v>
      </c>
      <c r="E41" s="2">
        <f t="shared" si="5"/>
        <v>0.83333333333333337</v>
      </c>
      <c r="F41" s="2">
        <f t="shared" si="5"/>
        <v>0.76923076923076916</v>
      </c>
      <c r="G41" s="2">
        <f t="shared" si="5"/>
        <v>0.7142857142857143</v>
      </c>
      <c r="H41" s="2">
        <f t="shared" si="5"/>
        <v>0.66666666666666663</v>
      </c>
      <c r="I41" s="2">
        <f t="shared" si="5"/>
        <v>0.625</v>
      </c>
      <c r="J41" s="2">
        <f t="shared" si="5"/>
        <v>0.58823529411764708</v>
      </c>
      <c r="K41" s="2">
        <f t="shared" si="5"/>
        <v>0.55555555555555558</v>
      </c>
      <c r="L41" s="2">
        <f t="shared" si="5"/>
        <v>0.52631578947368418</v>
      </c>
      <c r="M41" s="2">
        <f t="shared" si="5"/>
        <v>0.5</v>
      </c>
      <c r="N41" s="2">
        <f t="shared" si="6"/>
        <v>0.47619047619047616</v>
      </c>
      <c r="O41" s="2">
        <f t="shared" si="6"/>
        <v>0.45454545454545453</v>
      </c>
      <c r="P41" s="2">
        <f t="shared" si="6"/>
        <v>0.43478260869565222</v>
      </c>
      <c r="Q41" s="2">
        <f t="shared" si="6"/>
        <v>0.41666666666666669</v>
      </c>
      <c r="R41" s="2">
        <f t="shared" si="6"/>
        <v>0.4</v>
      </c>
      <c r="S41" s="2">
        <f t="shared" si="6"/>
        <v>0.38461538461538458</v>
      </c>
      <c r="T41" s="2">
        <f t="shared" si="6"/>
        <v>0.37037037037037035</v>
      </c>
      <c r="U41" s="2">
        <f t="shared" si="6"/>
        <v>0.35714285714285715</v>
      </c>
      <c r="V41" s="2">
        <f t="shared" si="6"/>
        <v>0.34482758620689657</v>
      </c>
      <c r="W41" s="2">
        <f t="shared" si="6"/>
        <v>0.33333333333333331</v>
      </c>
    </row>
    <row r="42" spans="1:23" x14ac:dyDescent="0.3">
      <c r="B42" s="1">
        <v>0.55000000000000004</v>
      </c>
      <c r="C42" s="2">
        <f t="shared" si="4"/>
        <v>1</v>
      </c>
      <c r="D42" s="2">
        <f t="shared" si="5"/>
        <v>0.91666666666666663</v>
      </c>
      <c r="E42" s="2">
        <f t="shared" si="5"/>
        <v>0.84615384615384615</v>
      </c>
      <c r="F42" s="2">
        <f t="shared" si="5"/>
        <v>0.7857142857142857</v>
      </c>
      <c r="G42" s="2">
        <f t="shared" si="5"/>
        <v>0.73333333333333339</v>
      </c>
      <c r="H42" s="2">
        <f t="shared" si="5"/>
        <v>0.6875</v>
      </c>
      <c r="I42" s="2">
        <f t="shared" si="5"/>
        <v>0.6470588235294118</v>
      </c>
      <c r="J42" s="2">
        <f t="shared" si="5"/>
        <v>0.61111111111111116</v>
      </c>
      <c r="K42" s="2">
        <f t="shared" si="5"/>
        <v>0.57894736842105265</v>
      </c>
      <c r="L42" s="2">
        <f t="shared" si="5"/>
        <v>0.55000000000000004</v>
      </c>
      <c r="M42" s="2">
        <f t="shared" si="5"/>
        <v>0.52380952380952384</v>
      </c>
      <c r="N42" s="2">
        <f t="shared" si="6"/>
        <v>0.5</v>
      </c>
      <c r="O42" s="2">
        <f t="shared" si="6"/>
        <v>0.47826086956521746</v>
      </c>
      <c r="P42" s="2">
        <f t="shared" si="6"/>
        <v>0.45833333333333331</v>
      </c>
      <c r="Q42" s="2">
        <f t="shared" si="6"/>
        <v>0.44000000000000006</v>
      </c>
      <c r="R42" s="2">
        <f t="shared" si="6"/>
        <v>0.42307692307692307</v>
      </c>
      <c r="S42" s="2">
        <f t="shared" si="6"/>
        <v>0.40740740740740744</v>
      </c>
      <c r="T42" s="2">
        <f t="shared" si="6"/>
        <v>0.3928571428571429</v>
      </c>
      <c r="U42" s="2">
        <f t="shared" si="6"/>
        <v>0.37931034482758619</v>
      </c>
      <c r="V42" s="2">
        <f t="shared" si="6"/>
        <v>0.3666666666666667</v>
      </c>
      <c r="W42" s="2">
        <f t="shared" si="6"/>
        <v>0.35483870967741937</v>
      </c>
    </row>
    <row r="43" spans="1:23" x14ac:dyDescent="0.3">
      <c r="B43" s="1">
        <v>0.6</v>
      </c>
      <c r="C43" s="2">
        <f t="shared" si="4"/>
        <v>1</v>
      </c>
      <c r="D43" s="2">
        <f t="shared" ref="D43:R43" si="7">$B43/($B43+D$30)</f>
        <v>0.92307692307692302</v>
      </c>
      <c r="E43" s="2">
        <f t="shared" si="7"/>
        <v>0.85714285714285721</v>
      </c>
      <c r="F43" s="2">
        <f t="shared" si="7"/>
        <v>0.79999999999999993</v>
      </c>
      <c r="G43" s="2">
        <f t="shared" si="7"/>
        <v>0.74999999999999989</v>
      </c>
      <c r="H43" s="2">
        <f t="shared" si="7"/>
        <v>0.70588235294117652</v>
      </c>
      <c r="I43" s="2">
        <f t="shared" si="7"/>
        <v>0.66666666666666674</v>
      </c>
      <c r="J43" s="2">
        <f t="shared" si="7"/>
        <v>0.63157894736842102</v>
      </c>
      <c r="K43" s="2">
        <f t="shared" si="7"/>
        <v>0.6</v>
      </c>
      <c r="L43" s="2">
        <f t="shared" si="7"/>
        <v>0.5714285714285714</v>
      </c>
      <c r="M43" s="2">
        <f t="shared" si="7"/>
        <v>0.54545454545454541</v>
      </c>
      <c r="N43" s="2">
        <f t="shared" si="7"/>
        <v>0.52173913043478259</v>
      </c>
      <c r="O43" s="2">
        <f t="shared" si="7"/>
        <v>0.5</v>
      </c>
      <c r="P43" s="2">
        <f t="shared" si="7"/>
        <v>0.48</v>
      </c>
      <c r="Q43" s="2">
        <f t="shared" si="7"/>
        <v>0.46153846153846156</v>
      </c>
      <c r="R43" s="2">
        <f t="shared" si="7"/>
        <v>0.44444444444444442</v>
      </c>
      <c r="S43" s="2">
        <f t="shared" ref="S43:W51" si="8">$B43/($B43+S$30)</f>
        <v>0.4285714285714286</v>
      </c>
      <c r="T43" s="2">
        <f t="shared" si="8"/>
        <v>0.41379310344827586</v>
      </c>
      <c r="U43" s="2">
        <f t="shared" si="8"/>
        <v>0.39999999999999997</v>
      </c>
      <c r="V43" s="2">
        <f t="shared" si="8"/>
        <v>0.38709677419354843</v>
      </c>
      <c r="W43" s="2">
        <f t="shared" si="8"/>
        <v>0.37499999999999994</v>
      </c>
    </row>
    <row r="44" spans="1:23" x14ac:dyDescent="0.3">
      <c r="B44" s="1">
        <v>0.65</v>
      </c>
      <c r="C44" s="2">
        <f t="shared" si="4"/>
        <v>1</v>
      </c>
      <c r="D44" s="2">
        <f t="shared" si="4"/>
        <v>0.92857142857142849</v>
      </c>
      <c r="E44" s="2">
        <f t="shared" si="4"/>
        <v>0.8666666666666667</v>
      </c>
      <c r="F44" s="2">
        <f t="shared" si="4"/>
        <v>0.8125</v>
      </c>
      <c r="G44" s="2">
        <f t="shared" si="4"/>
        <v>0.76470588235294112</v>
      </c>
      <c r="H44" s="2">
        <f t="shared" si="4"/>
        <v>0.72222222222222221</v>
      </c>
      <c r="I44" s="2">
        <f t="shared" si="4"/>
        <v>0.68421052631578949</v>
      </c>
      <c r="J44" s="2">
        <f t="shared" si="4"/>
        <v>0.65</v>
      </c>
      <c r="K44" s="2">
        <f t="shared" si="4"/>
        <v>0.61904761904761907</v>
      </c>
      <c r="L44" s="2">
        <f t="shared" si="4"/>
        <v>0.59090909090909083</v>
      </c>
      <c r="M44" s="2">
        <f t="shared" si="4"/>
        <v>0.56521739130434789</v>
      </c>
      <c r="N44" s="2">
        <f t="shared" si="4"/>
        <v>0.54166666666666663</v>
      </c>
      <c r="O44" s="2">
        <f t="shared" si="4"/>
        <v>0.52</v>
      </c>
      <c r="P44" s="2">
        <f t="shared" si="4"/>
        <v>0.5</v>
      </c>
      <c r="Q44" s="2">
        <f t="shared" si="4"/>
        <v>0.48148148148148145</v>
      </c>
      <c r="R44" s="2">
        <f t="shared" si="4"/>
        <v>0.46428571428571436</v>
      </c>
      <c r="S44" s="2">
        <f t="shared" si="8"/>
        <v>0.44827586206896547</v>
      </c>
      <c r="T44" s="2">
        <f t="shared" si="8"/>
        <v>0.43333333333333335</v>
      </c>
      <c r="U44" s="2">
        <f t="shared" si="8"/>
        <v>0.41935483870967744</v>
      </c>
      <c r="V44" s="2">
        <f t="shared" si="8"/>
        <v>0.40625</v>
      </c>
      <c r="W44" s="2">
        <f t="shared" si="8"/>
        <v>0.39393939393939398</v>
      </c>
    </row>
    <row r="45" spans="1:23" x14ac:dyDescent="0.3">
      <c r="B45" s="1">
        <v>0.7</v>
      </c>
      <c r="C45" s="2">
        <f t="shared" si="4"/>
        <v>1</v>
      </c>
      <c r="D45" s="2">
        <f t="shared" si="4"/>
        <v>0.93333333333333324</v>
      </c>
      <c r="E45" s="2">
        <f t="shared" si="4"/>
        <v>0.875</v>
      </c>
      <c r="F45" s="2">
        <f t="shared" si="4"/>
        <v>0.82352941176470584</v>
      </c>
      <c r="G45" s="2">
        <f t="shared" si="4"/>
        <v>0.77777777777777779</v>
      </c>
      <c r="H45" s="2">
        <f t="shared" si="4"/>
        <v>0.73684210526315785</v>
      </c>
      <c r="I45" s="2">
        <f t="shared" si="4"/>
        <v>0.7</v>
      </c>
      <c r="J45" s="2">
        <f t="shared" si="4"/>
        <v>0.66666666666666674</v>
      </c>
      <c r="K45" s="2">
        <f t="shared" si="4"/>
        <v>0.63636363636363624</v>
      </c>
      <c r="L45" s="2">
        <f t="shared" si="4"/>
        <v>0.60869565217391308</v>
      </c>
      <c r="M45" s="2">
        <f t="shared" si="4"/>
        <v>0.58333333333333337</v>
      </c>
      <c r="N45" s="2">
        <f t="shared" si="4"/>
        <v>0.55999999999999994</v>
      </c>
      <c r="O45" s="2">
        <f t="shared" si="4"/>
        <v>0.53846153846153855</v>
      </c>
      <c r="P45" s="2">
        <f t="shared" si="4"/>
        <v>0.51851851851851849</v>
      </c>
      <c r="Q45" s="2">
        <f t="shared" si="4"/>
        <v>0.5</v>
      </c>
      <c r="R45" s="2">
        <f t="shared" si="4"/>
        <v>0.48275862068965514</v>
      </c>
      <c r="S45" s="2">
        <f t="shared" si="8"/>
        <v>0.46666666666666662</v>
      </c>
      <c r="T45" s="2">
        <f>$B45/($B45+T$30)</f>
        <v>0.45161290322580649</v>
      </c>
      <c r="U45" s="2">
        <f t="shared" si="8"/>
        <v>0.43749999999999994</v>
      </c>
      <c r="V45" s="2">
        <f t="shared" si="8"/>
        <v>0.42424242424242425</v>
      </c>
      <c r="W45" s="2">
        <f t="shared" si="8"/>
        <v>0.41176470588235292</v>
      </c>
    </row>
    <row r="46" spans="1:23" x14ac:dyDescent="0.3">
      <c r="B46" s="1">
        <v>0.75</v>
      </c>
      <c r="C46" s="2">
        <f t="shared" si="4"/>
        <v>1</v>
      </c>
      <c r="D46" s="2">
        <f t="shared" si="4"/>
        <v>0.9375</v>
      </c>
      <c r="E46" s="2">
        <f t="shared" si="4"/>
        <v>0.88235294117647056</v>
      </c>
      <c r="F46" s="2">
        <f t="shared" si="4"/>
        <v>0.83333333333333326</v>
      </c>
      <c r="G46" s="2">
        <f t="shared" si="4"/>
        <v>0.78947368421052633</v>
      </c>
      <c r="H46" s="2">
        <f t="shared" si="4"/>
        <v>0.75</v>
      </c>
      <c r="I46" s="2">
        <f t="shared" si="4"/>
        <v>0.7142857142857143</v>
      </c>
      <c r="J46" s="2">
        <f t="shared" si="4"/>
        <v>0.68181818181818177</v>
      </c>
      <c r="K46" s="2">
        <f t="shared" si="4"/>
        <v>0.65217391304347827</v>
      </c>
      <c r="L46" s="2">
        <f t="shared" si="4"/>
        <v>0.625</v>
      </c>
      <c r="M46" s="2">
        <f t="shared" si="4"/>
        <v>0.6</v>
      </c>
      <c r="N46" s="2">
        <f t="shared" si="4"/>
        <v>0.57692307692307687</v>
      </c>
      <c r="O46" s="2">
        <f t="shared" si="4"/>
        <v>0.55555555555555547</v>
      </c>
      <c r="P46" s="2">
        <f t="shared" si="4"/>
        <v>0.5357142857142857</v>
      </c>
      <c r="Q46" s="2">
        <f t="shared" si="4"/>
        <v>0.51724137931034486</v>
      </c>
      <c r="R46" s="2">
        <f t="shared" si="4"/>
        <v>0.5</v>
      </c>
      <c r="S46" s="2">
        <f t="shared" si="8"/>
        <v>0.48387096774193544</v>
      </c>
      <c r="T46" s="2">
        <f t="shared" si="8"/>
        <v>0.46875</v>
      </c>
      <c r="U46" s="2">
        <f t="shared" si="8"/>
        <v>0.45454545454545459</v>
      </c>
      <c r="V46" s="2">
        <f t="shared" si="8"/>
        <v>0.44117647058823528</v>
      </c>
      <c r="W46" s="2">
        <f t="shared" si="8"/>
        <v>0.42857142857142855</v>
      </c>
    </row>
    <row r="47" spans="1:23" x14ac:dyDescent="0.3">
      <c r="B47" s="1">
        <v>0.8</v>
      </c>
      <c r="C47" s="2">
        <f t="shared" si="4"/>
        <v>1</v>
      </c>
      <c r="D47" s="2">
        <f t="shared" si="4"/>
        <v>0.94117647058823528</v>
      </c>
      <c r="E47" s="2">
        <f t="shared" si="4"/>
        <v>0.88888888888888895</v>
      </c>
      <c r="F47" s="2">
        <f t="shared" si="4"/>
        <v>0.84210526315789469</v>
      </c>
      <c r="G47" s="2">
        <f t="shared" si="4"/>
        <v>0.8</v>
      </c>
      <c r="H47" s="2">
        <f t="shared" si="4"/>
        <v>0.76190476190476186</v>
      </c>
      <c r="I47" s="2">
        <f t="shared" si="4"/>
        <v>0.72727272727272729</v>
      </c>
      <c r="J47" s="2">
        <f t="shared" si="4"/>
        <v>0.69565217391304357</v>
      </c>
      <c r="K47" s="2">
        <f t="shared" si="4"/>
        <v>0.66666666666666663</v>
      </c>
      <c r="L47" s="2">
        <f t="shared" si="4"/>
        <v>0.64</v>
      </c>
      <c r="M47" s="2">
        <f t="shared" si="4"/>
        <v>0.61538461538461542</v>
      </c>
      <c r="N47" s="2">
        <f t="shared" si="4"/>
        <v>0.59259259259259256</v>
      </c>
      <c r="O47" s="2">
        <f t="shared" si="4"/>
        <v>0.57142857142857151</v>
      </c>
      <c r="P47" s="2">
        <f t="shared" si="4"/>
        <v>0.55172413793103448</v>
      </c>
      <c r="Q47" s="2">
        <f t="shared" si="4"/>
        <v>0.53333333333333333</v>
      </c>
      <c r="R47" s="2">
        <f t="shared" si="4"/>
        <v>0.5161290322580645</v>
      </c>
      <c r="S47" s="2">
        <f t="shared" si="8"/>
        <v>0.5</v>
      </c>
      <c r="T47" s="2">
        <f t="shared" si="8"/>
        <v>0.48484848484848492</v>
      </c>
      <c r="U47" s="2">
        <f t="shared" si="8"/>
        <v>0.47058823529411764</v>
      </c>
      <c r="V47" s="2">
        <f t="shared" si="8"/>
        <v>0.45714285714285718</v>
      </c>
      <c r="W47" s="2">
        <f t="shared" si="8"/>
        <v>0.44444444444444448</v>
      </c>
    </row>
    <row r="48" spans="1:23" x14ac:dyDescent="0.3">
      <c r="B48" s="1">
        <v>0.85</v>
      </c>
      <c r="C48" s="2">
        <f t="shared" si="4"/>
        <v>1</v>
      </c>
      <c r="D48" s="2">
        <f t="shared" si="4"/>
        <v>0.94444444444444442</v>
      </c>
      <c r="E48" s="2">
        <f t="shared" si="4"/>
        <v>0.89473684210526316</v>
      </c>
      <c r="F48" s="2">
        <f t="shared" si="4"/>
        <v>0.85</v>
      </c>
      <c r="G48" s="2">
        <f t="shared" si="4"/>
        <v>0.80952380952380942</v>
      </c>
      <c r="H48" s="2">
        <f t="shared" si="4"/>
        <v>0.7727272727272726</v>
      </c>
      <c r="I48" s="2">
        <f t="shared" si="4"/>
        <v>0.73913043478260876</v>
      </c>
      <c r="J48" s="2">
        <f t="shared" si="4"/>
        <v>0.70833333333333337</v>
      </c>
      <c r="K48" s="2">
        <f t="shared" si="4"/>
        <v>0.67999999999999994</v>
      </c>
      <c r="L48" s="2">
        <f t="shared" si="4"/>
        <v>0.65384615384615385</v>
      </c>
      <c r="M48" s="2">
        <f t="shared" si="4"/>
        <v>0.62962962962962954</v>
      </c>
      <c r="N48" s="2">
        <f t="shared" si="4"/>
        <v>0.60714285714285721</v>
      </c>
      <c r="O48" s="2">
        <f t="shared" si="4"/>
        <v>0.58620689655172409</v>
      </c>
      <c r="P48" s="2">
        <f t="shared" si="4"/>
        <v>0.56666666666666665</v>
      </c>
      <c r="Q48" s="2">
        <f t="shared" si="4"/>
        <v>0.54838709677419362</v>
      </c>
      <c r="R48" s="2">
        <f t="shared" si="4"/>
        <v>0.53125</v>
      </c>
      <c r="S48" s="2">
        <f t="shared" si="8"/>
        <v>0.51515151515151514</v>
      </c>
      <c r="T48" s="2">
        <f t="shared" si="8"/>
        <v>0.5</v>
      </c>
      <c r="U48" s="2">
        <f t="shared" si="8"/>
        <v>0.48571428571428571</v>
      </c>
      <c r="V48" s="2">
        <f t="shared" si="8"/>
        <v>0.47222222222222227</v>
      </c>
      <c r="W48" s="2">
        <f t="shared" si="8"/>
        <v>0.45945945945945943</v>
      </c>
    </row>
    <row r="49" spans="2:23" x14ac:dyDescent="0.3">
      <c r="B49" s="1">
        <v>0.9</v>
      </c>
      <c r="C49" s="2">
        <f t="shared" si="4"/>
        <v>1</v>
      </c>
      <c r="D49" s="2">
        <f t="shared" si="4"/>
        <v>0.94736842105263153</v>
      </c>
      <c r="E49" s="2">
        <f t="shared" si="4"/>
        <v>0.9</v>
      </c>
      <c r="F49" s="2">
        <f t="shared" si="4"/>
        <v>0.8571428571428571</v>
      </c>
      <c r="G49" s="2">
        <f t="shared" si="4"/>
        <v>0.81818181818181812</v>
      </c>
      <c r="H49" s="2">
        <f t="shared" si="4"/>
        <v>0.78260869565217395</v>
      </c>
      <c r="I49" s="2">
        <f t="shared" si="4"/>
        <v>0.75</v>
      </c>
      <c r="J49" s="2">
        <f t="shared" si="4"/>
        <v>0.72</v>
      </c>
      <c r="K49" s="2">
        <f t="shared" si="4"/>
        <v>0.69230769230769229</v>
      </c>
      <c r="L49" s="2">
        <f t="shared" si="4"/>
        <v>0.66666666666666663</v>
      </c>
      <c r="M49" s="2">
        <f t="shared" si="4"/>
        <v>0.6428571428571429</v>
      </c>
      <c r="N49" s="2">
        <f t="shared" si="4"/>
        <v>0.6206896551724137</v>
      </c>
      <c r="O49" s="2">
        <f t="shared" si="4"/>
        <v>0.6</v>
      </c>
      <c r="P49" s="2">
        <f t="shared" si="4"/>
        <v>0.58064516129032262</v>
      </c>
      <c r="Q49" s="2">
        <f t="shared" si="4"/>
        <v>0.5625</v>
      </c>
      <c r="R49" s="2">
        <f t="shared" si="4"/>
        <v>0.54545454545454553</v>
      </c>
      <c r="S49" s="2">
        <f t="shared" si="8"/>
        <v>0.52941176470588236</v>
      </c>
      <c r="T49" s="2">
        <f t="shared" si="8"/>
        <v>0.51428571428571435</v>
      </c>
      <c r="U49" s="2">
        <f t="shared" si="8"/>
        <v>0.5</v>
      </c>
      <c r="V49" s="2">
        <f t="shared" si="8"/>
        <v>0.48648648648648646</v>
      </c>
      <c r="W49" s="2">
        <f t="shared" si="8"/>
        <v>0.47368421052631582</v>
      </c>
    </row>
    <row r="50" spans="2:23" x14ac:dyDescent="0.3">
      <c r="B50" s="1">
        <v>0.95</v>
      </c>
      <c r="C50" s="2">
        <f t="shared" si="4"/>
        <v>1</v>
      </c>
      <c r="D50" s="2">
        <f t="shared" si="4"/>
        <v>0.95</v>
      </c>
      <c r="E50" s="2">
        <f t="shared" si="4"/>
        <v>0.90476190476190466</v>
      </c>
      <c r="F50" s="2">
        <f t="shared" si="4"/>
        <v>0.86363636363636365</v>
      </c>
      <c r="G50" s="2">
        <f t="shared" si="4"/>
        <v>0.82608695652173914</v>
      </c>
      <c r="H50" s="2">
        <f t="shared" si="4"/>
        <v>0.79166666666666663</v>
      </c>
      <c r="I50" s="2">
        <f t="shared" si="4"/>
        <v>0.76</v>
      </c>
      <c r="J50" s="2">
        <f t="shared" si="4"/>
        <v>0.73076923076923084</v>
      </c>
      <c r="K50" s="2">
        <f t="shared" si="4"/>
        <v>0.70370370370370361</v>
      </c>
      <c r="L50" s="2">
        <f t="shared" si="4"/>
        <v>0.6785714285714286</v>
      </c>
      <c r="M50" s="2">
        <f t="shared" si="4"/>
        <v>0.65517241379310343</v>
      </c>
      <c r="N50" s="2">
        <f t="shared" si="4"/>
        <v>0.6333333333333333</v>
      </c>
      <c r="O50" s="2">
        <f t="shared" si="4"/>
        <v>0.61290322580645162</v>
      </c>
      <c r="P50" s="2">
        <f t="shared" si="4"/>
        <v>0.59374999999999989</v>
      </c>
      <c r="Q50" s="2">
        <f t="shared" si="4"/>
        <v>0.5757575757575758</v>
      </c>
      <c r="R50" s="2">
        <f t="shared" si="4"/>
        <v>0.55882352941176472</v>
      </c>
      <c r="S50" s="2">
        <f t="shared" si="8"/>
        <v>0.54285714285714282</v>
      </c>
      <c r="T50" s="2">
        <f t="shared" si="8"/>
        <v>0.52777777777777779</v>
      </c>
      <c r="U50" s="2">
        <f t="shared" si="8"/>
        <v>0.51351351351351349</v>
      </c>
      <c r="V50" s="2">
        <f t="shared" si="8"/>
        <v>0.5</v>
      </c>
      <c r="W50" s="2">
        <f t="shared" si="8"/>
        <v>0.48717948717948717</v>
      </c>
    </row>
    <row r="51" spans="2:23" x14ac:dyDescent="0.3">
      <c r="B51" s="1">
        <v>1</v>
      </c>
      <c r="C51" s="2">
        <f t="shared" si="4"/>
        <v>1</v>
      </c>
      <c r="D51" s="2">
        <f t="shared" si="4"/>
        <v>0.95238095238095233</v>
      </c>
      <c r="E51" s="2">
        <f t="shared" si="4"/>
        <v>0.90909090909090906</v>
      </c>
      <c r="F51" s="2">
        <f t="shared" si="4"/>
        <v>0.86956521739130443</v>
      </c>
      <c r="G51" s="2">
        <f t="shared" si="4"/>
        <v>0.83333333333333337</v>
      </c>
      <c r="H51" s="2">
        <f t="shared" si="4"/>
        <v>0.8</v>
      </c>
      <c r="I51" s="2">
        <f t="shared" si="4"/>
        <v>0.76923076923076916</v>
      </c>
      <c r="J51" s="2">
        <f t="shared" si="4"/>
        <v>0.7407407407407407</v>
      </c>
      <c r="K51" s="2">
        <f t="shared" si="4"/>
        <v>0.7142857142857143</v>
      </c>
      <c r="L51" s="2">
        <f t="shared" si="4"/>
        <v>0.68965517241379315</v>
      </c>
      <c r="M51" s="2">
        <f t="shared" si="4"/>
        <v>0.66666666666666663</v>
      </c>
      <c r="N51" s="2">
        <f t="shared" si="4"/>
        <v>0.64516129032258063</v>
      </c>
      <c r="O51" s="2">
        <f t="shared" si="4"/>
        <v>0.625</v>
      </c>
      <c r="P51" s="2">
        <f t="shared" si="4"/>
        <v>0.60606060606060608</v>
      </c>
      <c r="Q51" s="2">
        <f t="shared" si="4"/>
        <v>0.58823529411764708</v>
      </c>
      <c r="R51" s="2">
        <f t="shared" si="4"/>
        <v>0.5714285714285714</v>
      </c>
      <c r="S51" s="2">
        <f t="shared" si="8"/>
        <v>0.55555555555555558</v>
      </c>
      <c r="T51" s="2">
        <f t="shared" si="8"/>
        <v>0.54054054054054046</v>
      </c>
      <c r="U51" s="2">
        <f t="shared" si="8"/>
        <v>0.52631578947368418</v>
      </c>
      <c r="V51" s="2">
        <f t="shared" si="8"/>
        <v>0.51282051282051289</v>
      </c>
      <c r="W51" s="2">
        <f t="shared" si="8"/>
        <v>0.5</v>
      </c>
    </row>
    <row r="73" spans="1:13" x14ac:dyDescent="0.3">
      <c r="H73" t="s">
        <v>4</v>
      </c>
      <c r="I73" t="s">
        <v>51</v>
      </c>
    </row>
    <row r="74" spans="1:13" x14ac:dyDescent="0.3">
      <c r="C74" t="s">
        <v>49</v>
      </c>
      <c r="H74" s="1">
        <v>1</v>
      </c>
      <c r="I74" s="1">
        <v>2</v>
      </c>
      <c r="J74" s="1">
        <v>3</v>
      </c>
      <c r="K74" s="1">
        <v>4</v>
      </c>
      <c r="L74" s="1" t="s">
        <v>47</v>
      </c>
      <c r="M74" s="1" t="s">
        <v>48</v>
      </c>
    </row>
    <row r="75" spans="1:13" x14ac:dyDescent="0.3">
      <c r="A75" s="1" t="s">
        <v>43</v>
      </c>
      <c r="B75">
        <v>1</v>
      </c>
      <c r="C75">
        <v>0.7</v>
      </c>
      <c r="G75" s="1">
        <v>1</v>
      </c>
      <c r="H75" s="2">
        <f>$C$75/($C$75+C75)</f>
        <v>0.5</v>
      </c>
      <c r="I75" s="2">
        <f>$C$76/($C$76+C75)</f>
        <v>0.46153846153846156</v>
      </c>
      <c r="J75" s="2">
        <f t="shared" ref="J75:J76" si="9">$C$77/($C$77+C75)</f>
        <v>0.41666666666666669</v>
      </c>
      <c r="K75" s="2">
        <f t="shared" ref="K75:K77" si="10">$C$78/($C$78+C75)</f>
        <v>0.36363636363636365</v>
      </c>
      <c r="L75" s="2">
        <f t="shared" ref="L75:L78" si="11">$C$79/($C$79+C75)</f>
        <v>0</v>
      </c>
      <c r="M75" s="2">
        <f t="shared" ref="M75:M79" si="12">$C$80/($C$80+C75)</f>
        <v>0</v>
      </c>
    </row>
    <row r="76" spans="1:13" x14ac:dyDescent="0.3">
      <c r="A76" s="1" t="s">
        <v>44</v>
      </c>
      <c r="B76">
        <v>2</v>
      </c>
      <c r="C76">
        <v>0.6</v>
      </c>
      <c r="F76" t="s">
        <v>52</v>
      </c>
      <c r="G76" s="1">
        <v>2</v>
      </c>
      <c r="H76" s="2">
        <f>$C$75/($C$75+C76)</f>
        <v>0.53846153846153855</v>
      </c>
      <c r="I76" s="2">
        <f>$C$76/($C$76+C76)</f>
        <v>0.5</v>
      </c>
      <c r="J76" s="2">
        <f t="shared" si="9"/>
        <v>0.45454545454545453</v>
      </c>
      <c r="K76" s="2">
        <f t="shared" si="10"/>
        <v>0.4</v>
      </c>
      <c r="L76" s="2">
        <f t="shared" si="11"/>
        <v>0</v>
      </c>
      <c r="M76" s="2">
        <f t="shared" si="12"/>
        <v>0</v>
      </c>
    </row>
    <row r="77" spans="1:13" x14ac:dyDescent="0.3">
      <c r="A77" s="1" t="s">
        <v>45</v>
      </c>
      <c r="B77">
        <v>3</v>
      </c>
      <c r="C77">
        <v>0.5</v>
      </c>
      <c r="F77" t="s">
        <v>2</v>
      </c>
      <c r="G77" s="1">
        <v>3</v>
      </c>
      <c r="H77" s="2">
        <f t="shared" ref="H77:H80" si="13">$C$75/($C$75+C77)</f>
        <v>0.58333333333333337</v>
      </c>
      <c r="I77" s="2">
        <f t="shared" ref="I77:I80" si="14">$C$76/($C$76+C77)</f>
        <v>0.54545454545454541</v>
      </c>
      <c r="J77" s="2">
        <f>$C$77/($C$77+C77)</f>
        <v>0.5</v>
      </c>
      <c r="K77" s="2">
        <f t="shared" si="10"/>
        <v>0.44444444444444448</v>
      </c>
      <c r="L77" s="2">
        <f t="shared" si="11"/>
        <v>0</v>
      </c>
      <c r="M77" s="2">
        <f t="shared" si="12"/>
        <v>0</v>
      </c>
    </row>
    <row r="78" spans="1:13" x14ac:dyDescent="0.3">
      <c r="A78" s="1" t="s">
        <v>46</v>
      </c>
      <c r="B78">
        <v>4</v>
      </c>
      <c r="C78">
        <v>0.4</v>
      </c>
      <c r="F78" t="s">
        <v>50</v>
      </c>
      <c r="G78" s="1">
        <v>4</v>
      </c>
      <c r="H78" s="2">
        <f t="shared" si="13"/>
        <v>0.63636363636363624</v>
      </c>
      <c r="I78" s="2">
        <f t="shared" si="14"/>
        <v>0.6</v>
      </c>
      <c r="J78" s="2">
        <f t="shared" ref="J78:J80" si="15">$C$77/($C$77+C78)</f>
        <v>0.55555555555555558</v>
      </c>
      <c r="K78" s="2">
        <f>$C$78/($C$78+C78)</f>
        <v>0.5</v>
      </c>
      <c r="L78" s="2">
        <f t="shared" si="11"/>
        <v>0</v>
      </c>
      <c r="M78" s="2">
        <f t="shared" si="12"/>
        <v>0</v>
      </c>
    </row>
    <row r="79" spans="1:13" x14ac:dyDescent="0.3">
      <c r="A79" s="1" t="s">
        <v>47</v>
      </c>
      <c r="C79">
        <v>0</v>
      </c>
      <c r="G79" s="1" t="s">
        <v>47</v>
      </c>
      <c r="H79" s="2">
        <f t="shared" si="13"/>
        <v>1</v>
      </c>
      <c r="I79" s="2">
        <f t="shared" si="14"/>
        <v>1</v>
      </c>
      <c r="J79" s="2">
        <f t="shared" si="15"/>
        <v>1</v>
      </c>
      <c r="K79" s="2">
        <f t="shared" ref="K79:K80" si="16">$C$78/($C$78+C79)</f>
        <v>1</v>
      </c>
      <c r="L79" s="2" t="e">
        <f>$C$79/($C$79+C79)</f>
        <v>#DIV/0!</v>
      </c>
      <c r="M79" s="2" t="e">
        <f t="shared" si="12"/>
        <v>#DIV/0!</v>
      </c>
    </row>
    <row r="80" spans="1:13" x14ac:dyDescent="0.3">
      <c r="A80" s="1" t="s">
        <v>48</v>
      </c>
      <c r="C80">
        <v>0</v>
      </c>
      <c r="G80" s="1" t="s">
        <v>48</v>
      </c>
      <c r="H80" s="2">
        <f t="shared" si="13"/>
        <v>1</v>
      </c>
      <c r="I80" s="2">
        <f t="shared" si="14"/>
        <v>1</v>
      </c>
      <c r="J80" s="2">
        <f t="shared" si="15"/>
        <v>1</v>
      </c>
      <c r="K80" s="2">
        <f t="shared" si="16"/>
        <v>1</v>
      </c>
      <c r="L80" s="2" t="e">
        <f>$C$79/($C$79+C80)</f>
        <v>#DIV/0!</v>
      </c>
      <c r="M80" s="2" t="e">
        <f>$C$80/($C$80+C80)</f>
        <v>#DIV/0!</v>
      </c>
    </row>
    <row r="81" spans="1:1" x14ac:dyDescent="0.3">
      <c r="A81" s="1" t="s">
        <v>53</v>
      </c>
    </row>
    <row r="82" spans="1:1" x14ac:dyDescent="0.3">
      <c r="A82" s="1" t="s">
        <v>54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6"/>
  <sheetViews>
    <sheetView topLeftCell="A16" workbookViewId="0">
      <selection activeCell="B31" sqref="B31"/>
    </sheetView>
  </sheetViews>
  <sheetFormatPr defaultRowHeight="14.4" x14ac:dyDescent="0.3"/>
  <cols>
    <col min="3" max="3" width="12" bestFit="1" customWidth="1"/>
    <col min="4" max="5" width="11" bestFit="1" customWidth="1"/>
    <col min="7" max="10" width="12" bestFit="1" customWidth="1"/>
    <col min="12" max="12" width="12" bestFit="1" customWidth="1"/>
  </cols>
  <sheetData>
    <row r="2" spans="2:16" x14ac:dyDescent="0.3">
      <c r="B2" t="s">
        <v>116</v>
      </c>
      <c r="K2" t="s">
        <v>124</v>
      </c>
    </row>
    <row r="3" spans="2:16" x14ac:dyDescent="0.3">
      <c r="D3" t="s">
        <v>119</v>
      </c>
      <c r="E3" t="s">
        <v>125</v>
      </c>
      <c r="K3" t="s">
        <v>125</v>
      </c>
      <c r="L3">
        <v>837635.82459500001</v>
      </c>
    </row>
    <row r="4" spans="2:16" x14ac:dyDescent="0.3">
      <c r="B4" t="s">
        <v>117</v>
      </c>
      <c r="C4">
        <v>3.3399999999999999E-4</v>
      </c>
      <c r="D4">
        <f>C4*1000000</f>
        <v>334</v>
      </c>
      <c r="E4">
        <f>C4*$L$6</f>
        <v>3074399.6199420881</v>
      </c>
      <c r="K4" t="s">
        <v>126</v>
      </c>
      <c r="L4">
        <v>9.1000000000000003E-5</v>
      </c>
    </row>
    <row r="5" spans="2:16" x14ac:dyDescent="0.3">
      <c r="B5" t="s">
        <v>118</v>
      </c>
      <c r="C5">
        <v>6.0000000000000002E-6</v>
      </c>
      <c r="D5">
        <f t="shared" ref="D5" si="0">C5*1000000</f>
        <v>6</v>
      </c>
      <c r="E5">
        <f t="shared" ref="E5:E6" si="1">C5*$L$6</f>
        <v>55228.735687582419</v>
      </c>
    </row>
    <row r="6" spans="2:16" x14ac:dyDescent="0.3">
      <c r="B6" t="s">
        <v>108</v>
      </c>
      <c r="C6">
        <v>2.5499999999999999E-7</v>
      </c>
      <c r="D6">
        <f>C6*1000000</f>
        <v>0.255</v>
      </c>
      <c r="E6">
        <f t="shared" si="1"/>
        <v>2347.2212667222529</v>
      </c>
      <c r="F6" t="s">
        <v>120</v>
      </c>
      <c r="K6" t="s">
        <v>127</v>
      </c>
      <c r="L6">
        <f>L3/L4</f>
        <v>9204789281.2637367</v>
      </c>
    </row>
    <row r="8" spans="2:16" x14ac:dyDescent="0.3">
      <c r="C8" t="s">
        <v>160</v>
      </c>
      <c r="H8" t="s">
        <v>121</v>
      </c>
    </row>
    <row r="9" spans="2:16" x14ac:dyDescent="0.3">
      <c r="C9" t="s">
        <v>122</v>
      </c>
      <c r="D9">
        <v>2000000</v>
      </c>
      <c r="H9" t="s">
        <v>122</v>
      </c>
      <c r="I9">
        <v>2</v>
      </c>
    </row>
    <row r="10" spans="2:16" x14ac:dyDescent="0.3">
      <c r="C10" t="s">
        <v>123</v>
      </c>
      <c r="D10">
        <v>9.9999999999999995E-7</v>
      </c>
      <c r="H10" t="s">
        <v>123</v>
      </c>
      <c r="I10">
        <v>1</v>
      </c>
    </row>
    <row r="12" spans="2:16" x14ac:dyDescent="0.3">
      <c r="C12" t="s">
        <v>163</v>
      </c>
    </row>
    <row r="13" spans="2:16" x14ac:dyDescent="0.3">
      <c r="C13">
        <v>0.255</v>
      </c>
      <c r="D13">
        <v>0.5</v>
      </c>
      <c r="E13">
        <v>0.75</v>
      </c>
      <c r="F13">
        <v>1</v>
      </c>
      <c r="G13">
        <v>1.25</v>
      </c>
      <c r="H13">
        <v>1.5</v>
      </c>
      <c r="I13">
        <v>1.75</v>
      </c>
      <c r="J13">
        <v>2</v>
      </c>
      <c r="K13">
        <v>3</v>
      </c>
      <c r="L13">
        <v>4</v>
      </c>
      <c r="M13">
        <v>5</v>
      </c>
      <c r="N13">
        <v>6</v>
      </c>
      <c r="O13">
        <v>100</v>
      </c>
      <c r="P13">
        <v>200</v>
      </c>
    </row>
    <row r="14" spans="2:16" x14ac:dyDescent="0.3">
      <c r="B14" t="s">
        <v>162</v>
      </c>
      <c r="C14">
        <f>1/(1+EXP(-$I$9*(C13-$I$10)))</f>
        <v>0.18392172741950427</v>
      </c>
      <c r="D14">
        <f t="shared" ref="D14:P14" si="2">1/(1+EXP(-$I$9*(D13-$I$10)))</f>
        <v>0.2689414213699951</v>
      </c>
      <c r="E14">
        <f t="shared" si="2"/>
        <v>0.37754066879814541</v>
      </c>
      <c r="F14">
        <f t="shared" si="2"/>
        <v>0.5</v>
      </c>
      <c r="G14">
        <f>1/(1+EXP(-$I$9*(G13-$I$10)))</f>
        <v>0.62245933120185459</v>
      </c>
      <c r="H14">
        <f t="shared" si="2"/>
        <v>0.7310585786300049</v>
      </c>
      <c r="I14">
        <f t="shared" si="2"/>
        <v>0.81757447619364365</v>
      </c>
      <c r="J14">
        <f t="shared" si="2"/>
        <v>0.88079707797788231</v>
      </c>
      <c r="K14">
        <f>1/(1+EXP(-$I$9*(K13-$I$10)))</f>
        <v>0.98201379003790845</v>
      </c>
      <c r="L14">
        <f t="shared" si="2"/>
        <v>0.99752737684336534</v>
      </c>
      <c r="M14">
        <f t="shared" si="2"/>
        <v>0.99966464986953363</v>
      </c>
      <c r="N14">
        <f t="shared" si="2"/>
        <v>0.99995460213129761</v>
      </c>
      <c r="O14">
        <f t="shared" si="2"/>
        <v>1</v>
      </c>
      <c r="P14">
        <f t="shared" si="2"/>
        <v>1</v>
      </c>
    </row>
    <row r="16" spans="2:16" x14ac:dyDescent="0.3">
      <c r="C16" t="s">
        <v>161</v>
      </c>
    </row>
    <row r="17" spans="2:26" x14ac:dyDescent="0.3">
      <c r="C17">
        <v>2.5499999999999999E-7</v>
      </c>
      <c r="D17">
        <v>4.9999999999999998E-7</v>
      </c>
      <c r="E17">
        <v>7.5000000000000002E-7</v>
      </c>
      <c r="F17">
        <v>9.9999999999999995E-7</v>
      </c>
      <c r="G17">
        <v>1.2500000000000001E-6</v>
      </c>
      <c r="H17">
        <v>1.5E-6</v>
      </c>
      <c r="I17">
        <v>1.75E-6</v>
      </c>
      <c r="J17">
        <v>1.9999999999999999E-6</v>
      </c>
      <c r="K17">
        <v>3.0000000000000001E-6</v>
      </c>
      <c r="L17">
        <v>3.9999999999999998E-6</v>
      </c>
      <c r="M17">
        <v>5.0000000000000004E-6</v>
      </c>
      <c r="N17">
        <v>6.0000000000000002E-6</v>
      </c>
      <c r="O17">
        <v>1E-4</v>
      </c>
      <c r="P17">
        <v>3.3399999999999999E-4</v>
      </c>
    </row>
    <row r="18" spans="2:26" x14ac:dyDescent="0.3">
      <c r="B18" t="s">
        <v>162</v>
      </c>
      <c r="C18">
        <f>1/(1+EXP(-$D$9*(C17-$D$10)))</f>
        <v>0.18392172741950427</v>
      </c>
      <c r="D18">
        <f t="shared" ref="D18:P18" si="3">1/(1+EXP(-$D$9*(D17-$D$10)))</f>
        <v>0.2689414213699951</v>
      </c>
      <c r="E18">
        <f t="shared" si="3"/>
        <v>0.37754066879814541</v>
      </c>
      <c r="F18">
        <f t="shared" si="3"/>
        <v>0.5</v>
      </c>
      <c r="G18">
        <f t="shared" si="3"/>
        <v>0.6224593312018547</v>
      </c>
      <c r="H18">
        <f t="shared" si="3"/>
        <v>0.7310585786300049</v>
      </c>
      <c r="I18">
        <f t="shared" si="3"/>
        <v>0.81757447619364365</v>
      </c>
      <c r="J18">
        <f t="shared" si="3"/>
        <v>0.88079707797788231</v>
      </c>
      <c r="K18">
        <f t="shared" si="3"/>
        <v>0.98201379003790845</v>
      </c>
      <c r="L18">
        <f t="shared" si="3"/>
        <v>0.99752737684336534</v>
      </c>
      <c r="M18">
        <f t="shared" si="3"/>
        <v>0.99966464986953363</v>
      </c>
      <c r="N18">
        <f t="shared" si="3"/>
        <v>0.99995460213129761</v>
      </c>
      <c r="O18">
        <f t="shared" si="3"/>
        <v>1</v>
      </c>
      <c r="P18">
        <f t="shared" si="3"/>
        <v>1</v>
      </c>
    </row>
    <row r="20" spans="2:26" x14ac:dyDescent="0.3">
      <c r="B20" t="s">
        <v>128</v>
      </c>
      <c r="C20">
        <f t="shared" ref="C20:P20" si="4">C13*$L$6/1000000</f>
        <v>2347.2212667222529</v>
      </c>
      <c r="D20">
        <f>D13*$L$6/1000000</f>
        <v>4602.3946406318682</v>
      </c>
      <c r="E20">
        <f t="shared" si="4"/>
        <v>6903.5919609478024</v>
      </c>
      <c r="F20">
        <f t="shared" si="4"/>
        <v>9204.7892812637365</v>
      </c>
      <c r="G20">
        <f>G13*$L$6/1000000</f>
        <v>11505.986601579671</v>
      </c>
      <c r="H20">
        <f t="shared" si="4"/>
        <v>13807.183921895605</v>
      </c>
      <c r="I20">
        <f t="shared" si="4"/>
        <v>16108.381242211541</v>
      </c>
      <c r="J20">
        <f t="shared" si="4"/>
        <v>18409.578562527473</v>
      </c>
      <c r="K20">
        <f t="shared" si="4"/>
        <v>27614.367843791209</v>
      </c>
      <c r="L20">
        <f t="shared" si="4"/>
        <v>36819.157125054946</v>
      </c>
      <c r="M20">
        <f t="shared" si="4"/>
        <v>46023.946406318682</v>
      </c>
      <c r="N20">
        <f t="shared" si="4"/>
        <v>55228.735687582419</v>
      </c>
      <c r="O20">
        <f t="shared" si="4"/>
        <v>920478.92812637368</v>
      </c>
      <c r="P20">
        <f t="shared" si="4"/>
        <v>1840957.8562527474</v>
      </c>
    </row>
    <row r="21" spans="2:26" x14ac:dyDescent="0.3">
      <c r="B21" t="s">
        <v>129</v>
      </c>
      <c r="C21">
        <f>C20/10000</f>
        <v>0.23472212667222531</v>
      </c>
      <c r="D21">
        <f t="shared" ref="D21:F21" si="5">D20/10000</f>
        <v>0.46023946406318683</v>
      </c>
      <c r="E21">
        <f t="shared" si="5"/>
        <v>0.69035919609478025</v>
      </c>
      <c r="F21">
        <f t="shared" si="5"/>
        <v>0.92047892812637366</v>
      </c>
      <c r="G21">
        <f t="shared" ref="G21:I21" si="6">G20/10000</f>
        <v>1.150598660157967</v>
      </c>
      <c r="H21">
        <f t="shared" si="6"/>
        <v>1.3807183921895605</v>
      </c>
      <c r="I21">
        <f t="shared" si="6"/>
        <v>1.610838124221154</v>
      </c>
      <c r="J21">
        <f t="shared" ref="J21:P21" si="7">J20/10000</f>
        <v>1.8409578562527473</v>
      </c>
      <c r="K21">
        <f t="shared" si="7"/>
        <v>2.761436784379121</v>
      </c>
      <c r="L21">
        <f t="shared" si="7"/>
        <v>3.6819157125054947</v>
      </c>
      <c r="M21">
        <f t="shared" si="7"/>
        <v>4.6023946406318679</v>
      </c>
      <c r="N21">
        <f t="shared" si="7"/>
        <v>5.522873568758242</v>
      </c>
      <c r="O21">
        <f t="shared" si="7"/>
        <v>92.047892812637372</v>
      </c>
      <c r="P21">
        <f t="shared" si="7"/>
        <v>184.09578562527474</v>
      </c>
    </row>
    <row r="22" spans="2:26" x14ac:dyDescent="0.3">
      <c r="B22" t="s">
        <v>130</v>
      </c>
      <c r="C22">
        <f>CONVERT(C21,"ha","mi^2")</f>
        <v>9.062671976581959E-4</v>
      </c>
      <c r="D22">
        <f t="shared" ref="D22:F22" si="8">CONVERT(D21,"ha","mi^2")</f>
        <v>1.7769945052121484E-3</v>
      </c>
      <c r="E22">
        <f t="shared" si="8"/>
        <v>2.665491757818223E-3</v>
      </c>
      <c r="F22">
        <f t="shared" si="8"/>
        <v>3.5539890104242969E-3</v>
      </c>
      <c r="G22">
        <f t="shared" ref="G22:I22" si="9">CONVERT(G21,"ha","mi^2")</f>
        <v>4.4424862630303708E-3</v>
      </c>
      <c r="H22">
        <f t="shared" si="9"/>
        <v>5.3309835156364459E-3</v>
      </c>
      <c r="I22">
        <f t="shared" si="9"/>
        <v>6.2194807682425211E-3</v>
      </c>
      <c r="J22">
        <f t="shared" ref="J22:P22" si="10">CONVERT(J21,"ha","mi^2")</f>
        <v>7.1079780208485937E-3</v>
      </c>
      <c r="K22">
        <f t="shared" si="10"/>
        <v>1.0661967031272892E-2</v>
      </c>
      <c r="L22">
        <f t="shared" si="10"/>
        <v>1.4215956041697187E-2</v>
      </c>
      <c r="M22">
        <f t="shared" si="10"/>
        <v>1.7769945052121483E-2</v>
      </c>
      <c r="N22">
        <f t="shared" si="10"/>
        <v>2.1323934062545784E-2</v>
      </c>
      <c r="O22">
        <f t="shared" si="10"/>
        <v>0.35539890104242977</v>
      </c>
      <c r="P22">
        <f t="shared" si="10"/>
        <v>0.71079780208485954</v>
      </c>
    </row>
    <row r="24" spans="2:26" x14ac:dyDescent="0.3">
      <c r="B24" t="s">
        <v>131</v>
      </c>
    </row>
    <row r="25" spans="2:26" x14ac:dyDescent="0.3">
      <c r="B25">
        <v>31415.926535897932</v>
      </c>
    </row>
    <row r="26" spans="2:26" x14ac:dyDescent="0.3">
      <c r="B26">
        <f>B25/10000</f>
        <v>3.1415926535897931</v>
      </c>
    </row>
    <row r="27" spans="2:26" x14ac:dyDescent="0.3">
      <c r="B27">
        <f>CONVERT(B26,"ha","mi^2")</f>
        <v>1.2129757048121094E-2</v>
      </c>
    </row>
    <row r="28" spans="2:26" x14ac:dyDescent="0.3">
      <c r="E28" t="s">
        <v>121</v>
      </c>
    </row>
    <row r="29" spans="2:26" x14ac:dyDescent="0.3">
      <c r="E29" t="s">
        <v>122</v>
      </c>
      <c r="F29">
        <v>2</v>
      </c>
    </row>
    <row r="30" spans="2:26" x14ac:dyDescent="0.3">
      <c r="B30" t="s">
        <v>178</v>
      </c>
      <c r="E30" t="s">
        <v>123</v>
      </c>
      <c r="F30">
        <v>0.92047892812637366</v>
      </c>
    </row>
    <row r="32" spans="2:26" x14ac:dyDescent="0.3">
      <c r="B32" t="s">
        <v>128</v>
      </c>
      <c r="C32">
        <v>2347.2212667222529</v>
      </c>
      <c r="D32">
        <v>4602.3946406318682</v>
      </c>
      <c r="E32">
        <v>6903.5919609478024</v>
      </c>
      <c r="F32">
        <v>9204.7892812637365</v>
      </c>
      <c r="G32">
        <v>18409.578562527473</v>
      </c>
      <c r="H32">
        <v>27614.367843791209</v>
      </c>
      <c r="I32">
        <v>36819.157125054946</v>
      </c>
      <c r="J32">
        <v>46023.946406318682</v>
      </c>
      <c r="K32">
        <v>55228.735687582419</v>
      </c>
      <c r="L32">
        <v>920478.92812637368</v>
      </c>
      <c r="M32">
        <v>1840957.8562527474</v>
      </c>
      <c r="W32" t="s">
        <v>129</v>
      </c>
      <c r="X32" t="s">
        <v>130</v>
      </c>
      <c r="Y32" t="s">
        <v>128</v>
      </c>
      <c r="Z32" t="s">
        <v>134</v>
      </c>
    </row>
    <row r="33" spans="2:26" x14ac:dyDescent="0.3">
      <c r="B33" t="s">
        <v>177</v>
      </c>
      <c r="C33">
        <f>C32/10000</f>
        <v>0.23472212667222531</v>
      </c>
      <c r="D33">
        <f t="shared" ref="D33:M33" si="11">D32/10000</f>
        <v>0.46023946406318683</v>
      </c>
      <c r="E33">
        <f t="shared" si="11"/>
        <v>0.69035919609478025</v>
      </c>
      <c r="F33">
        <f t="shared" si="11"/>
        <v>0.92047892812637366</v>
      </c>
      <c r="G33">
        <f t="shared" si="11"/>
        <v>1.8409578562527473</v>
      </c>
      <c r="H33">
        <f t="shared" si="11"/>
        <v>2.761436784379121</v>
      </c>
      <c r="I33">
        <f t="shared" si="11"/>
        <v>3.6819157125054947</v>
      </c>
      <c r="J33">
        <f t="shared" si="11"/>
        <v>4.6023946406318679</v>
      </c>
      <c r="K33">
        <f t="shared" si="11"/>
        <v>5.522873568758242</v>
      </c>
      <c r="L33">
        <f t="shared" si="11"/>
        <v>92.047892812637372</v>
      </c>
      <c r="M33">
        <f t="shared" si="11"/>
        <v>184.09578562527474</v>
      </c>
      <c r="S33">
        <v>0.255</v>
      </c>
      <c r="W33">
        <v>0.23472212667222531</v>
      </c>
      <c r="X33">
        <v>9.062671976581959E-4</v>
      </c>
      <c r="Y33">
        <v>2347.2212667222529</v>
      </c>
      <c r="Z33">
        <v>0.18392172741950427</v>
      </c>
    </row>
    <row r="34" spans="2:26" x14ac:dyDescent="0.3">
      <c r="B34" t="s">
        <v>134</v>
      </c>
      <c r="C34">
        <f>1/(1+EXP(-$F$29*(C33-$F$30)))</f>
        <v>0.2023754111810073</v>
      </c>
      <c r="D34">
        <f t="shared" ref="D34:M34" si="12">1/(1+EXP(-$F$29*(D33-$F$30)))</f>
        <v>0.28486031944318896</v>
      </c>
      <c r="E34">
        <f t="shared" si="12"/>
        <v>0.38692901786633815</v>
      </c>
      <c r="F34">
        <f t="shared" si="12"/>
        <v>0.5</v>
      </c>
      <c r="G34">
        <f t="shared" si="12"/>
        <v>0.86306195201523772</v>
      </c>
      <c r="H34">
        <f t="shared" si="12"/>
        <v>0.97544350139207925</v>
      </c>
      <c r="I34">
        <f t="shared" si="12"/>
        <v>0.9960215379974674</v>
      </c>
      <c r="J34">
        <f t="shared" si="12"/>
        <v>0.99936663582788055</v>
      </c>
      <c r="K34">
        <f t="shared" si="12"/>
        <v>0.99989945345796705</v>
      </c>
      <c r="L34">
        <f t="shared" si="12"/>
        <v>1</v>
      </c>
      <c r="M34">
        <f t="shared" si="12"/>
        <v>1</v>
      </c>
      <c r="S34">
        <v>0.5</v>
      </c>
      <c r="W34">
        <v>0.46023946406318683</v>
      </c>
      <c r="X34">
        <v>1.7769945052121484E-3</v>
      </c>
      <c r="Y34">
        <v>4602.3946406318682</v>
      </c>
      <c r="Z34">
        <v>0.2689414213699951</v>
      </c>
    </row>
    <row r="35" spans="2:26" x14ac:dyDescent="0.3">
      <c r="Q35">
        <f>0.9*0.18</f>
        <v>0.16200000000000001</v>
      </c>
      <c r="S35">
        <v>0.75</v>
      </c>
      <c r="W35">
        <v>0.69035919609478025</v>
      </c>
      <c r="X35">
        <v>2.665491757818223E-3</v>
      </c>
      <c r="Y35">
        <v>6903.5919609478024</v>
      </c>
      <c r="Z35">
        <v>0.37754066879814541</v>
      </c>
    </row>
    <row r="36" spans="2:26" x14ac:dyDescent="0.3">
      <c r="S36">
        <v>1</v>
      </c>
      <c r="W36">
        <v>0.92047892812637366</v>
      </c>
      <c r="X36">
        <v>3.5539890104242969E-3</v>
      </c>
      <c r="Y36">
        <v>9204.7892812637365</v>
      </c>
      <c r="Z36">
        <v>0.5</v>
      </c>
    </row>
    <row r="37" spans="2:26" x14ac:dyDescent="0.3">
      <c r="S37">
        <v>1.25</v>
      </c>
      <c r="W37">
        <v>1.150598660157967</v>
      </c>
      <c r="X37">
        <v>4.4424862630303708E-3</v>
      </c>
      <c r="Y37">
        <v>11505.986601579671</v>
      </c>
      <c r="Z37">
        <v>0.62245933120185459</v>
      </c>
    </row>
    <row r="38" spans="2:26" x14ac:dyDescent="0.3">
      <c r="S38">
        <v>1.5</v>
      </c>
      <c r="W38">
        <v>1.3807183921895605</v>
      </c>
      <c r="X38">
        <v>5.3309835156364459E-3</v>
      </c>
      <c r="Y38">
        <v>13807.183921895605</v>
      </c>
      <c r="Z38">
        <v>0.7310585786300049</v>
      </c>
    </row>
    <row r="39" spans="2:26" x14ac:dyDescent="0.3">
      <c r="S39">
        <v>1.75</v>
      </c>
      <c r="W39">
        <v>1.610838124221154</v>
      </c>
      <c r="X39">
        <v>6.2194807682425211E-3</v>
      </c>
      <c r="Y39">
        <v>16108.381242211541</v>
      </c>
      <c r="Z39">
        <v>0.81757447619364365</v>
      </c>
    </row>
    <row r="40" spans="2:26" x14ac:dyDescent="0.3">
      <c r="S40">
        <v>2</v>
      </c>
      <c r="W40">
        <v>1.8409578562527473</v>
      </c>
      <c r="X40">
        <v>7.1079780208485937E-3</v>
      </c>
      <c r="Y40">
        <v>18409.578562527473</v>
      </c>
      <c r="Z40">
        <v>0.88079707797788231</v>
      </c>
    </row>
    <row r="41" spans="2:26" x14ac:dyDescent="0.3">
      <c r="S41">
        <v>3</v>
      </c>
      <c r="W41">
        <v>2.761436784379121</v>
      </c>
      <c r="X41">
        <v>1.0661967031272892E-2</v>
      </c>
      <c r="Y41">
        <v>27614.367843791209</v>
      </c>
      <c r="Z41">
        <v>0.98201379003790845</v>
      </c>
    </row>
    <row r="42" spans="2:26" x14ac:dyDescent="0.3">
      <c r="S42">
        <v>4</v>
      </c>
      <c r="W42">
        <v>3.6819157125054947</v>
      </c>
      <c r="X42">
        <v>1.4215956041697187E-2</v>
      </c>
      <c r="Y42">
        <v>36819.157125054946</v>
      </c>
      <c r="Z42">
        <v>0.99752737684336534</v>
      </c>
    </row>
    <row r="43" spans="2:26" x14ac:dyDescent="0.3">
      <c r="S43">
        <v>5</v>
      </c>
      <c r="W43">
        <v>4.6023946406318679</v>
      </c>
      <c r="X43">
        <v>1.7769945052121483E-2</v>
      </c>
      <c r="Y43">
        <v>46023.946406318682</v>
      </c>
      <c r="Z43">
        <v>0.99966464986953363</v>
      </c>
    </row>
    <row r="44" spans="2:26" x14ac:dyDescent="0.3">
      <c r="S44">
        <v>6</v>
      </c>
      <c r="W44">
        <v>5.522873568758242</v>
      </c>
      <c r="X44">
        <v>2.1323934062545784E-2</v>
      </c>
      <c r="Y44">
        <v>55228.735687582419</v>
      </c>
      <c r="Z44">
        <v>0.99995460213129761</v>
      </c>
    </row>
    <row r="45" spans="2:26" x14ac:dyDescent="0.3">
      <c r="S45">
        <v>100</v>
      </c>
      <c r="W45">
        <v>92.047892812637372</v>
      </c>
      <c r="X45">
        <v>0.35539890104242977</v>
      </c>
      <c r="Y45">
        <v>920478.92812637368</v>
      </c>
      <c r="Z45">
        <v>1</v>
      </c>
    </row>
    <row r="46" spans="2:26" x14ac:dyDescent="0.3">
      <c r="S46">
        <v>200</v>
      </c>
      <c r="W46">
        <v>184.09578562527474</v>
      </c>
      <c r="X46">
        <v>0.71079780208485954</v>
      </c>
      <c r="Y46">
        <v>1840957.8562527474</v>
      </c>
      <c r="Z46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topLeftCell="G56" workbookViewId="0">
      <selection activeCell="N83" sqref="N83"/>
    </sheetView>
  </sheetViews>
  <sheetFormatPr defaultRowHeight="14.4" x14ac:dyDescent="0.3"/>
  <cols>
    <col min="1" max="1" width="34.88671875" bestFit="1" customWidth="1"/>
    <col min="2" max="2" width="9.109375" style="3" customWidth="1"/>
    <col min="3" max="3" width="12.6640625" style="3" customWidth="1"/>
    <col min="8" max="8" width="32.109375" bestFit="1" customWidth="1"/>
    <col min="9" max="9" width="18" bestFit="1" customWidth="1"/>
    <col min="10" max="10" width="18.6640625" bestFit="1" customWidth="1"/>
    <col min="11" max="11" width="8.88671875" customWidth="1"/>
    <col min="12" max="12" width="19.5546875" bestFit="1" customWidth="1"/>
  </cols>
  <sheetData>
    <row r="1" spans="1:13" s="1" customFormat="1" x14ac:dyDescent="0.3">
      <c r="A1" s="1" t="s">
        <v>157</v>
      </c>
      <c r="B1" s="4"/>
      <c r="C1" s="4"/>
      <c r="E1" s="9">
        <v>0.5</v>
      </c>
      <c r="F1" s="10">
        <v>0.1</v>
      </c>
      <c r="H1" s="1" t="s">
        <v>170</v>
      </c>
    </row>
    <row r="2" spans="1:13" x14ac:dyDescent="0.3">
      <c r="A2" t="s">
        <v>135</v>
      </c>
      <c r="B2" s="3" t="s">
        <v>136</v>
      </c>
      <c r="C2" s="3" t="s">
        <v>137</v>
      </c>
      <c r="D2" t="s">
        <v>159</v>
      </c>
      <c r="E2" t="s">
        <v>158</v>
      </c>
      <c r="F2" t="s">
        <v>158</v>
      </c>
      <c r="H2" t="s">
        <v>135</v>
      </c>
      <c r="I2" t="s">
        <v>158</v>
      </c>
      <c r="J2" t="s">
        <v>171</v>
      </c>
      <c r="K2" t="s">
        <v>175</v>
      </c>
      <c r="L2" t="s">
        <v>176</v>
      </c>
      <c r="M2" t="s">
        <v>172</v>
      </c>
    </row>
    <row r="3" spans="1:13" x14ac:dyDescent="0.3">
      <c r="A3" t="s">
        <v>138</v>
      </c>
      <c r="B3" s="3">
        <v>0.7</v>
      </c>
      <c r="C3" s="3">
        <v>0.95</v>
      </c>
      <c r="E3" s="3">
        <f>C3*0.5</f>
        <v>0.47499999999999998</v>
      </c>
      <c r="F3" s="3">
        <f>C3*0.1</f>
        <v>9.5000000000000001E-2</v>
      </c>
      <c r="H3" t="s">
        <v>46</v>
      </c>
      <c r="I3">
        <v>7.4999999999999997E-2</v>
      </c>
      <c r="J3">
        <v>107632485.284647</v>
      </c>
      <c r="K3">
        <f>CONVERT(J3,"m^2","ha")</f>
        <v>10763.248528464701</v>
      </c>
      <c r="L3" s="12">
        <f>K3/100</f>
        <v>107.632485284647</v>
      </c>
      <c r="M3">
        <v>1920</v>
      </c>
    </row>
    <row r="4" spans="1:13" x14ac:dyDescent="0.3">
      <c r="A4" t="s">
        <v>46</v>
      </c>
      <c r="B4" s="3">
        <v>0.7</v>
      </c>
      <c r="C4" s="3">
        <v>0.75</v>
      </c>
      <c r="E4" s="3">
        <f t="shared" ref="E4:E23" si="0">C4*0.5</f>
        <v>0.375</v>
      </c>
      <c r="F4" s="3">
        <f t="shared" ref="F4:F23" si="1">C4*0.1</f>
        <v>7.5000000000000011E-2</v>
      </c>
      <c r="H4" t="s">
        <v>139</v>
      </c>
      <c r="I4">
        <v>0.09</v>
      </c>
      <c r="J4">
        <v>22902716.415794998</v>
      </c>
      <c r="K4">
        <f t="shared" ref="K4:K20" si="2">CONVERT(J4,"m^2","ha")</f>
        <v>2290.2716415794998</v>
      </c>
      <c r="L4" s="12">
        <f t="shared" ref="L4:L20" si="3">K4/100</f>
        <v>22.902716415794998</v>
      </c>
      <c r="M4">
        <v>8976</v>
      </c>
    </row>
    <row r="5" spans="1:13" x14ac:dyDescent="0.3">
      <c r="A5" t="s">
        <v>139</v>
      </c>
      <c r="B5" s="3">
        <v>0.7</v>
      </c>
      <c r="C5" s="3">
        <v>0.9</v>
      </c>
      <c r="E5" s="3">
        <f t="shared" si="0"/>
        <v>0.45</v>
      </c>
      <c r="F5" s="3">
        <f t="shared" si="1"/>
        <v>9.0000000000000011E-2</v>
      </c>
      <c r="H5" t="s">
        <v>140</v>
      </c>
      <c r="I5">
        <v>8.5000000000000006E-2</v>
      </c>
      <c r="J5">
        <v>17264523.000452999</v>
      </c>
      <c r="K5">
        <f t="shared" si="2"/>
        <v>1726.4523000452998</v>
      </c>
      <c r="L5" s="12">
        <f t="shared" si="3"/>
        <v>17.264523000452996</v>
      </c>
      <c r="M5">
        <v>6778</v>
      </c>
    </row>
    <row r="6" spans="1:13" x14ac:dyDescent="0.3">
      <c r="A6" t="s">
        <v>140</v>
      </c>
      <c r="B6" s="3">
        <v>0.7</v>
      </c>
      <c r="C6" s="3">
        <v>0.85</v>
      </c>
      <c r="E6" s="3">
        <f t="shared" si="0"/>
        <v>0.42499999999999999</v>
      </c>
      <c r="F6" s="3">
        <f t="shared" si="1"/>
        <v>8.5000000000000006E-2</v>
      </c>
      <c r="H6" t="s">
        <v>141</v>
      </c>
      <c r="I6">
        <v>7.4999999999999997E-2</v>
      </c>
      <c r="J6">
        <v>17796680.935302999</v>
      </c>
      <c r="K6">
        <f t="shared" si="2"/>
        <v>1779.6680935302998</v>
      </c>
      <c r="L6" s="12">
        <f t="shared" si="3"/>
        <v>17.796680935302998</v>
      </c>
      <c r="M6">
        <v>6987</v>
      </c>
    </row>
    <row r="7" spans="1:13" x14ac:dyDescent="0.3">
      <c r="A7" t="s">
        <v>141</v>
      </c>
      <c r="B7" s="3">
        <v>0.7</v>
      </c>
      <c r="C7" s="3">
        <v>0.75</v>
      </c>
      <c r="E7" s="3">
        <f t="shared" si="0"/>
        <v>0.375</v>
      </c>
      <c r="F7" s="3">
        <f t="shared" si="1"/>
        <v>7.5000000000000011E-2</v>
      </c>
      <c r="H7" t="s">
        <v>142</v>
      </c>
      <c r="I7">
        <v>0.05</v>
      </c>
      <c r="J7">
        <v>7062347.5246299999</v>
      </c>
      <c r="K7">
        <f t="shared" si="2"/>
        <v>706.23475246300006</v>
      </c>
      <c r="L7" s="12">
        <f t="shared" si="3"/>
        <v>7.0623475246300007</v>
      </c>
      <c r="M7">
        <v>2</v>
      </c>
    </row>
    <row r="8" spans="1:13" x14ac:dyDescent="0.3">
      <c r="A8" t="s">
        <v>142</v>
      </c>
      <c r="B8" s="3">
        <v>0.7</v>
      </c>
      <c r="C8" s="3">
        <v>0.5</v>
      </c>
      <c r="E8" s="3">
        <f t="shared" si="0"/>
        <v>0.25</v>
      </c>
      <c r="F8" s="3">
        <f t="shared" si="1"/>
        <v>0.05</v>
      </c>
      <c r="H8" t="s">
        <v>48</v>
      </c>
      <c r="I8">
        <v>0.02</v>
      </c>
      <c r="J8">
        <v>290931.72742299997</v>
      </c>
      <c r="K8">
        <f t="shared" si="2"/>
        <v>29.093172742299998</v>
      </c>
      <c r="L8" s="12">
        <f t="shared" si="3"/>
        <v>0.290931727423</v>
      </c>
      <c r="M8">
        <v>18</v>
      </c>
    </row>
    <row r="9" spans="1:13" x14ac:dyDescent="0.3">
      <c r="A9" t="s">
        <v>143</v>
      </c>
      <c r="B9" s="3">
        <v>0.7</v>
      </c>
      <c r="C9" s="3">
        <v>0.2</v>
      </c>
      <c r="E9" s="3">
        <f t="shared" si="0"/>
        <v>0.1</v>
      </c>
      <c r="F9" s="3">
        <f t="shared" si="1"/>
        <v>2.0000000000000004E-2</v>
      </c>
      <c r="H9" t="s">
        <v>146</v>
      </c>
      <c r="I9">
        <v>8.5000000000000006E-2</v>
      </c>
      <c r="J9">
        <v>17117045.631147001</v>
      </c>
      <c r="K9">
        <f t="shared" si="2"/>
        <v>1711.7045631147</v>
      </c>
      <c r="L9" s="12">
        <f t="shared" si="3"/>
        <v>17.117045631147001</v>
      </c>
      <c r="M9">
        <v>54</v>
      </c>
    </row>
    <row r="10" spans="1:13" x14ac:dyDescent="0.3">
      <c r="A10" t="s">
        <v>144</v>
      </c>
      <c r="B10" s="3">
        <v>0.7</v>
      </c>
      <c r="C10" s="3">
        <v>0.85</v>
      </c>
      <c r="E10" s="3">
        <f t="shared" si="0"/>
        <v>0.42499999999999999</v>
      </c>
      <c r="F10" s="3">
        <f t="shared" si="1"/>
        <v>8.5000000000000006E-2</v>
      </c>
      <c r="H10" t="s">
        <v>147</v>
      </c>
      <c r="I10">
        <v>8.5000000000000006E-2</v>
      </c>
      <c r="J10">
        <v>80195449.311718002</v>
      </c>
      <c r="K10">
        <f t="shared" si="2"/>
        <v>8019.5449311718003</v>
      </c>
      <c r="L10" s="12">
        <f t="shared" si="3"/>
        <v>80.195449311718008</v>
      </c>
      <c r="M10">
        <v>175</v>
      </c>
    </row>
    <row r="11" spans="1:13" x14ac:dyDescent="0.3">
      <c r="A11" t="s">
        <v>145</v>
      </c>
      <c r="B11" s="3">
        <v>0.7</v>
      </c>
      <c r="C11" s="3">
        <v>0.85</v>
      </c>
      <c r="E11" s="3">
        <f t="shared" si="0"/>
        <v>0.42499999999999999</v>
      </c>
      <c r="F11" s="3">
        <f t="shared" si="1"/>
        <v>8.5000000000000006E-2</v>
      </c>
      <c r="H11" t="s">
        <v>148</v>
      </c>
      <c r="I11">
        <v>0.05</v>
      </c>
      <c r="J11">
        <v>5578003.6663680002</v>
      </c>
      <c r="K11">
        <f t="shared" si="2"/>
        <v>557.80036663680005</v>
      </c>
      <c r="L11" s="12">
        <f t="shared" si="3"/>
        <v>5.5780036663680006</v>
      </c>
      <c r="M11">
        <v>2194</v>
      </c>
    </row>
    <row r="12" spans="1:13" x14ac:dyDescent="0.3">
      <c r="A12" t="s">
        <v>48</v>
      </c>
      <c r="B12" s="3">
        <v>0.6</v>
      </c>
      <c r="C12" s="3">
        <v>0.2</v>
      </c>
      <c r="E12" s="3">
        <f t="shared" si="0"/>
        <v>0.1</v>
      </c>
      <c r="F12" s="3">
        <f t="shared" si="1"/>
        <v>2.0000000000000004E-2</v>
      </c>
      <c r="H12" t="s">
        <v>150</v>
      </c>
      <c r="I12">
        <v>2E-3</v>
      </c>
      <c r="J12">
        <v>557358214.87950099</v>
      </c>
      <c r="K12">
        <f t="shared" si="2"/>
        <v>55735.821487950103</v>
      </c>
      <c r="L12" s="12">
        <f t="shared" si="3"/>
        <v>557.35821487950102</v>
      </c>
      <c r="M12">
        <v>1280</v>
      </c>
    </row>
    <row r="13" spans="1:13" x14ac:dyDescent="0.3">
      <c r="A13" t="s">
        <v>146</v>
      </c>
      <c r="B13" s="3">
        <v>0.6</v>
      </c>
      <c r="C13" s="3">
        <v>0.85</v>
      </c>
      <c r="E13" s="3">
        <f t="shared" si="0"/>
        <v>0.42499999999999999</v>
      </c>
      <c r="F13" s="3">
        <f t="shared" si="1"/>
        <v>8.5000000000000006E-2</v>
      </c>
      <c r="H13" t="s">
        <v>151</v>
      </c>
      <c r="I13">
        <v>2E-3</v>
      </c>
      <c r="J13">
        <v>448266594.96214598</v>
      </c>
      <c r="K13">
        <f t="shared" si="2"/>
        <v>44826.659496214597</v>
      </c>
      <c r="L13" s="12">
        <f t="shared" si="3"/>
        <v>448.26659496214597</v>
      </c>
      <c r="M13">
        <v>1292</v>
      </c>
    </row>
    <row r="14" spans="1:13" x14ac:dyDescent="0.3">
      <c r="A14" t="s">
        <v>147</v>
      </c>
      <c r="B14" s="3">
        <v>0.6</v>
      </c>
      <c r="C14" s="3">
        <v>0.85</v>
      </c>
      <c r="E14" s="3">
        <f t="shared" si="0"/>
        <v>0.42499999999999999</v>
      </c>
      <c r="F14" s="3">
        <f t="shared" si="1"/>
        <v>8.5000000000000006E-2</v>
      </c>
      <c r="H14" t="s">
        <v>152</v>
      </c>
      <c r="I14">
        <v>0</v>
      </c>
      <c r="J14">
        <v>12105778.735153999</v>
      </c>
      <c r="K14">
        <f t="shared" si="2"/>
        <v>1210.5778735153999</v>
      </c>
      <c r="L14" s="12">
        <f t="shared" si="3"/>
        <v>12.105778735153999</v>
      </c>
      <c r="M14">
        <v>4756</v>
      </c>
    </row>
    <row r="15" spans="1:13" x14ac:dyDescent="0.3">
      <c r="A15" t="s">
        <v>148</v>
      </c>
      <c r="B15" s="3">
        <v>0.7</v>
      </c>
      <c r="C15" s="3">
        <v>0.5</v>
      </c>
      <c r="E15" s="3">
        <f t="shared" si="0"/>
        <v>0.25</v>
      </c>
      <c r="F15" s="3">
        <f t="shared" si="1"/>
        <v>0.05</v>
      </c>
      <c r="H15" t="s">
        <v>173</v>
      </c>
      <c r="I15">
        <v>5.0000000000000001E-3</v>
      </c>
      <c r="J15">
        <v>92627208.984237999</v>
      </c>
      <c r="K15">
        <f t="shared" si="2"/>
        <v>9262.7208984238005</v>
      </c>
      <c r="L15" s="12">
        <f t="shared" si="3"/>
        <v>92.62720898423801</v>
      </c>
      <c r="M15">
        <v>1260</v>
      </c>
    </row>
    <row r="16" spans="1:13" x14ac:dyDescent="0.3">
      <c r="A16" t="s">
        <v>149</v>
      </c>
      <c r="B16" s="3">
        <v>0.6</v>
      </c>
      <c r="C16" s="3">
        <v>0.1</v>
      </c>
      <c r="E16" s="3">
        <f t="shared" si="0"/>
        <v>0.05</v>
      </c>
      <c r="F16" s="3">
        <f t="shared" si="1"/>
        <v>1.0000000000000002E-2</v>
      </c>
      <c r="H16" t="s">
        <v>44</v>
      </c>
      <c r="I16">
        <v>2E-3</v>
      </c>
      <c r="J16">
        <v>66078029.465366997</v>
      </c>
      <c r="K16">
        <f t="shared" si="2"/>
        <v>6607.8029465366999</v>
      </c>
      <c r="L16" s="12">
        <f t="shared" si="3"/>
        <v>66.078029465366996</v>
      </c>
      <c r="M16">
        <v>661</v>
      </c>
    </row>
    <row r="17" spans="1:13" x14ac:dyDescent="0.3">
      <c r="A17" t="s">
        <v>150</v>
      </c>
      <c r="B17" s="3">
        <v>0.5</v>
      </c>
      <c r="C17" s="3">
        <v>0.02</v>
      </c>
      <c r="E17" s="3">
        <f t="shared" si="0"/>
        <v>0.01</v>
      </c>
      <c r="F17" s="3">
        <f t="shared" si="1"/>
        <v>2E-3</v>
      </c>
      <c r="H17" t="s">
        <v>154</v>
      </c>
      <c r="I17">
        <v>0</v>
      </c>
      <c r="J17">
        <v>5105010.6793539999</v>
      </c>
      <c r="K17">
        <f t="shared" si="2"/>
        <v>510.50106793539999</v>
      </c>
      <c r="L17" s="12">
        <f t="shared" si="3"/>
        <v>5.1050106793539998</v>
      </c>
      <c r="M17">
        <v>115</v>
      </c>
    </row>
    <row r="18" spans="1:13" x14ac:dyDescent="0.3">
      <c r="A18" t="s">
        <v>151</v>
      </c>
      <c r="B18" s="3">
        <v>0.5</v>
      </c>
      <c r="C18" s="3">
        <v>0.02</v>
      </c>
      <c r="E18" s="3">
        <f t="shared" si="0"/>
        <v>0.01</v>
      </c>
      <c r="F18" s="3">
        <f t="shared" si="1"/>
        <v>2E-3</v>
      </c>
      <c r="H18" t="s">
        <v>155</v>
      </c>
      <c r="I18">
        <v>0</v>
      </c>
      <c r="J18">
        <v>16787112.632968001</v>
      </c>
      <c r="K18">
        <f t="shared" si="2"/>
        <v>1678.7112632968001</v>
      </c>
      <c r="L18" s="12">
        <f t="shared" si="3"/>
        <v>16.787112632968</v>
      </c>
      <c r="M18">
        <v>303</v>
      </c>
    </row>
    <row r="19" spans="1:13" x14ac:dyDescent="0.3">
      <c r="A19" t="s">
        <v>152</v>
      </c>
      <c r="B19" s="3">
        <v>0.5</v>
      </c>
      <c r="C19" s="3">
        <v>0</v>
      </c>
      <c r="E19" s="3">
        <f t="shared" si="0"/>
        <v>0</v>
      </c>
      <c r="F19" s="3">
        <f t="shared" si="1"/>
        <v>0</v>
      </c>
      <c r="H19" t="s">
        <v>174</v>
      </c>
      <c r="I19">
        <v>5.0000000000000001E-3</v>
      </c>
      <c r="J19">
        <v>12009614.945560999</v>
      </c>
      <c r="K19">
        <f t="shared" si="2"/>
        <v>1200.9614945561</v>
      </c>
      <c r="L19" s="12">
        <f t="shared" si="3"/>
        <v>12.009614945560999</v>
      </c>
      <c r="M19">
        <v>394</v>
      </c>
    </row>
    <row r="20" spans="1:13" x14ac:dyDescent="0.3">
      <c r="A20" t="s">
        <v>153</v>
      </c>
      <c r="B20" s="3">
        <v>0.6</v>
      </c>
      <c r="C20" s="3">
        <v>0.05</v>
      </c>
      <c r="E20" s="3">
        <f t="shared" si="0"/>
        <v>2.5000000000000001E-2</v>
      </c>
      <c r="F20" s="3">
        <f t="shared" si="1"/>
        <v>5.000000000000001E-3</v>
      </c>
      <c r="H20" t="s">
        <v>65</v>
      </c>
      <c r="J20">
        <v>1486177748.78179</v>
      </c>
      <c r="K20">
        <f t="shared" si="2"/>
        <v>148617.77487817901</v>
      </c>
      <c r="L20" s="12">
        <f t="shared" si="3"/>
        <v>1486.1777487817901</v>
      </c>
      <c r="M20" s="11">
        <v>37165</v>
      </c>
    </row>
    <row r="21" spans="1:13" x14ac:dyDescent="0.3">
      <c r="A21" t="s">
        <v>44</v>
      </c>
      <c r="B21" s="3">
        <v>0.4</v>
      </c>
      <c r="C21" s="3">
        <v>0.02</v>
      </c>
      <c r="E21" s="3">
        <f t="shared" si="0"/>
        <v>0.01</v>
      </c>
      <c r="F21" s="3">
        <f t="shared" si="1"/>
        <v>2E-3</v>
      </c>
    </row>
    <row r="22" spans="1:13" x14ac:dyDescent="0.3">
      <c r="A22" t="s">
        <v>154</v>
      </c>
      <c r="B22" s="3">
        <v>0.4</v>
      </c>
      <c r="C22" s="3">
        <v>0</v>
      </c>
      <c r="E22" s="3">
        <f t="shared" si="0"/>
        <v>0</v>
      </c>
      <c r="F22" s="3">
        <f t="shared" si="1"/>
        <v>0</v>
      </c>
      <c r="H22" t="s">
        <v>179</v>
      </c>
      <c r="I22" s="15" t="s">
        <v>183</v>
      </c>
      <c r="J22" s="15"/>
      <c r="L22" t="s">
        <v>182</v>
      </c>
    </row>
    <row r="23" spans="1:13" x14ac:dyDescent="0.3">
      <c r="A23" t="s">
        <v>155</v>
      </c>
      <c r="B23" s="3">
        <v>0.4</v>
      </c>
      <c r="C23" s="3">
        <v>0</v>
      </c>
      <c r="E23" s="3">
        <f t="shared" si="0"/>
        <v>0</v>
      </c>
      <c r="F23" s="3">
        <f t="shared" si="1"/>
        <v>0</v>
      </c>
      <c r="H23" t="s">
        <v>135</v>
      </c>
      <c r="I23" t="s">
        <v>158</v>
      </c>
      <c r="J23" s="3" t="s">
        <v>82</v>
      </c>
      <c r="K23" s="3" t="s">
        <v>181</v>
      </c>
      <c r="L23" t="s">
        <v>158</v>
      </c>
      <c r="M23" s="3" t="s">
        <v>82</v>
      </c>
    </row>
    <row r="24" spans="1:13" x14ac:dyDescent="0.3">
      <c r="H24" t="s">
        <v>139</v>
      </c>
      <c r="I24">
        <v>0.09</v>
      </c>
      <c r="J24" s="3">
        <v>0.09</v>
      </c>
      <c r="K24" s="3"/>
      <c r="L24">
        <v>0.06</v>
      </c>
      <c r="M24" s="14">
        <v>0.09</v>
      </c>
    </row>
    <row r="25" spans="1:13" x14ac:dyDescent="0.3">
      <c r="H25" t="s">
        <v>140</v>
      </c>
      <c r="I25">
        <v>8.5000000000000006E-2</v>
      </c>
      <c r="J25" s="3">
        <v>8.5000000000000006E-2</v>
      </c>
      <c r="K25" s="3"/>
      <c r="L25">
        <v>5.5E-2</v>
      </c>
      <c r="M25" s="14">
        <v>8.5000000000000006E-2</v>
      </c>
    </row>
    <row r="26" spans="1:13" x14ac:dyDescent="0.3">
      <c r="H26" t="s">
        <v>146</v>
      </c>
      <c r="I26">
        <v>8.5000000000000006E-2</v>
      </c>
      <c r="J26" s="3">
        <v>8.5000000000000006E-2</v>
      </c>
      <c r="K26" s="3"/>
      <c r="L26">
        <v>5.5E-2</v>
      </c>
      <c r="M26" s="14">
        <v>8.5000000000000006E-2</v>
      </c>
    </row>
    <row r="27" spans="1:13" x14ac:dyDescent="0.3">
      <c r="H27" t="s">
        <v>147</v>
      </c>
      <c r="I27">
        <v>8.5000000000000006E-2</v>
      </c>
      <c r="J27" s="3">
        <v>8.5000000000000006E-2</v>
      </c>
      <c r="K27" s="3"/>
      <c r="L27">
        <v>5.5E-2</v>
      </c>
      <c r="M27" s="14">
        <v>8.5000000000000006E-2</v>
      </c>
    </row>
    <row r="28" spans="1:13" x14ac:dyDescent="0.3">
      <c r="A28" t="s">
        <v>156</v>
      </c>
      <c r="B28" s="3">
        <v>0.5</v>
      </c>
      <c r="C28" s="3">
        <v>0.05</v>
      </c>
      <c r="E28" s="3">
        <f>C28*0.5</f>
        <v>2.5000000000000001E-2</v>
      </c>
      <c r="F28" s="3">
        <f>C28*0.1</f>
        <v>5.000000000000001E-3</v>
      </c>
      <c r="H28" t="s">
        <v>46</v>
      </c>
      <c r="I28">
        <v>7.4999999999999997E-2</v>
      </c>
      <c r="J28" s="3">
        <v>7.4999999999999997E-2</v>
      </c>
      <c r="K28" s="3"/>
      <c r="L28">
        <v>0.05</v>
      </c>
      <c r="M28" s="14">
        <v>7.4999999999999997E-2</v>
      </c>
    </row>
    <row r="29" spans="1:13" x14ac:dyDescent="0.3">
      <c r="H29" t="s">
        <v>141</v>
      </c>
      <c r="I29">
        <v>7.4999999999999997E-2</v>
      </c>
      <c r="J29" s="3">
        <v>7.4999999999999997E-2</v>
      </c>
      <c r="K29" s="3"/>
      <c r="L29">
        <v>0.05</v>
      </c>
      <c r="M29" s="14">
        <v>7.4999999999999997E-2</v>
      </c>
    </row>
    <row r="30" spans="1:13" x14ac:dyDescent="0.3">
      <c r="H30" t="s">
        <v>142</v>
      </c>
      <c r="I30">
        <v>0.05</v>
      </c>
      <c r="J30" s="3">
        <v>0.05</v>
      </c>
      <c r="K30" s="3"/>
      <c r="L30">
        <v>0.03</v>
      </c>
      <c r="M30" s="14">
        <v>0.05</v>
      </c>
    </row>
    <row r="31" spans="1:13" x14ac:dyDescent="0.3">
      <c r="H31" t="s">
        <v>148</v>
      </c>
      <c r="I31">
        <v>0.05</v>
      </c>
      <c r="J31" s="3">
        <v>0.05</v>
      </c>
      <c r="K31" s="3"/>
      <c r="L31">
        <v>0.03</v>
      </c>
      <c r="M31" s="14">
        <v>0.05</v>
      </c>
    </row>
    <row r="32" spans="1:13" x14ac:dyDescent="0.3">
      <c r="H32" t="s">
        <v>48</v>
      </c>
      <c r="I32">
        <v>0.02</v>
      </c>
      <c r="J32" s="3">
        <v>0.02</v>
      </c>
      <c r="K32" s="3"/>
      <c r="L32">
        <v>0.01</v>
      </c>
      <c r="M32" s="14">
        <v>0.02</v>
      </c>
    </row>
    <row r="33" spans="8:13" x14ac:dyDescent="0.3">
      <c r="H33" t="s">
        <v>173</v>
      </c>
      <c r="I33">
        <v>5.0000000000000001E-3</v>
      </c>
      <c r="J33" s="3">
        <v>0.02</v>
      </c>
      <c r="K33" s="3" t="s">
        <v>180</v>
      </c>
      <c r="L33">
        <v>5.0000000000000001E-3</v>
      </c>
      <c r="M33" s="14">
        <v>5.0000000000000001E-3</v>
      </c>
    </row>
    <row r="34" spans="8:13" x14ac:dyDescent="0.3">
      <c r="H34" t="s">
        <v>174</v>
      </c>
      <c r="I34">
        <v>5.0000000000000001E-3</v>
      </c>
      <c r="J34" s="3">
        <v>0.02</v>
      </c>
      <c r="K34" s="3" t="s">
        <v>180</v>
      </c>
      <c r="L34">
        <v>5.0000000000000001E-3</v>
      </c>
      <c r="M34" s="14">
        <v>5.0000000000000001E-3</v>
      </c>
    </row>
    <row r="35" spans="8:13" x14ac:dyDescent="0.3">
      <c r="H35" t="s">
        <v>150</v>
      </c>
      <c r="I35">
        <v>2E-3</v>
      </c>
      <c r="J35" s="3">
        <v>0.02</v>
      </c>
      <c r="K35" s="3" t="s">
        <v>180</v>
      </c>
      <c r="L35">
        <v>2E-3</v>
      </c>
      <c r="M35" s="14">
        <v>2E-3</v>
      </c>
    </row>
    <row r="36" spans="8:13" x14ac:dyDescent="0.3">
      <c r="H36" t="s">
        <v>151</v>
      </c>
      <c r="I36">
        <v>2E-3</v>
      </c>
      <c r="J36" s="3">
        <v>0.02</v>
      </c>
      <c r="K36" s="3" t="s">
        <v>180</v>
      </c>
      <c r="L36">
        <v>2E-3</v>
      </c>
      <c r="M36" s="14">
        <v>2E-3</v>
      </c>
    </row>
    <row r="37" spans="8:13" x14ac:dyDescent="0.3">
      <c r="H37" t="s">
        <v>44</v>
      </c>
      <c r="I37">
        <v>2E-3</v>
      </c>
      <c r="J37" s="3">
        <v>0.02</v>
      </c>
      <c r="K37" s="3" t="s">
        <v>180</v>
      </c>
      <c r="L37">
        <v>2E-3</v>
      </c>
      <c r="M37" s="14">
        <v>2E-3</v>
      </c>
    </row>
    <row r="38" spans="8:13" x14ac:dyDescent="0.3">
      <c r="H38" t="s">
        <v>152</v>
      </c>
      <c r="I38">
        <v>0</v>
      </c>
      <c r="J38" s="3">
        <v>0.02</v>
      </c>
      <c r="K38" s="3" t="s">
        <v>180</v>
      </c>
      <c r="L38">
        <v>0</v>
      </c>
      <c r="M38" s="14">
        <v>0</v>
      </c>
    </row>
    <row r="39" spans="8:13" x14ac:dyDescent="0.3">
      <c r="H39" t="s">
        <v>154</v>
      </c>
      <c r="I39">
        <v>0</v>
      </c>
      <c r="J39" s="3">
        <v>0</v>
      </c>
      <c r="K39" s="3"/>
      <c r="L39">
        <v>0</v>
      </c>
      <c r="M39" s="14">
        <v>0</v>
      </c>
    </row>
    <row r="40" spans="8:13" x14ac:dyDescent="0.3">
      <c r="H40" t="s">
        <v>155</v>
      </c>
      <c r="I40">
        <v>0</v>
      </c>
      <c r="J40" s="3">
        <v>0</v>
      </c>
      <c r="K40" s="3"/>
      <c r="L40">
        <v>0</v>
      </c>
      <c r="M40" s="14">
        <v>0</v>
      </c>
    </row>
    <row r="58" spans="2:13" x14ac:dyDescent="0.3">
      <c r="B58" s="13"/>
      <c r="C58" s="13"/>
    </row>
    <row r="59" spans="2:13" x14ac:dyDescent="0.3">
      <c r="H59" t="s">
        <v>170</v>
      </c>
    </row>
    <row r="60" spans="2:13" x14ac:dyDescent="0.3">
      <c r="I60" t="s">
        <v>157</v>
      </c>
      <c r="J60" s="13" t="s">
        <v>185</v>
      </c>
      <c r="K60" s="13"/>
      <c r="L60" t="s">
        <v>186</v>
      </c>
    </row>
    <row r="61" spans="2:13" x14ac:dyDescent="0.3">
      <c r="H61" t="s">
        <v>184</v>
      </c>
      <c r="I61" s="13" t="s">
        <v>187</v>
      </c>
      <c r="J61" s="13" t="s">
        <v>158</v>
      </c>
      <c r="K61" s="13" t="s">
        <v>82</v>
      </c>
      <c r="L61" s="13" t="s">
        <v>158</v>
      </c>
      <c r="M61" s="13" t="s">
        <v>82</v>
      </c>
    </row>
    <row r="62" spans="2:13" x14ac:dyDescent="0.3">
      <c r="H62" t="s">
        <v>139</v>
      </c>
      <c r="I62" s="13">
        <v>0.09</v>
      </c>
      <c r="J62" s="13">
        <v>0.09</v>
      </c>
      <c r="K62" s="13">
        <v>0.09</v>
      </c>
      <c r="L62" s="13">
        <v>0.06</v>
      </c>
      <c r="M62" s="13">
        <v>0.09</v>
      </c>
    </row>
    <row r="63" spans="2:13" x14ac:dyDescent="0.3">
      <c r="H63" t="s">
        <v>140</v>
      </c>
      <c r="I63" s="13">
        <v>8.5000000000000006E-2</v>
      </c>
      <c r="J63" s="13">
        <v>8.5000000000000006E-2</v>
      </c>
      <c r="K63" s="13">
        <v>8.5000000000000006E-2</v>
      </c>
      <c r="L63" s="13">
        <v>5.5E-2</v>
      </c>
      <c r="M63" s="13">
        <v>8.5000000000000006E-2</v>
      </c>
    </row>
    <row r="64" spans="2:13" x14ac:dyDescent="0.3">
      <c r="H64" t="s">
        <v>146</v>
      </c>
      <c r="I64" s="13">
        <v>8.5000000000000006E-2</v>
      </c>
      <c r="J64" s="13">
        <v>8.5000000000000006E-2</v>
      </c>
      <c r="K64" s="13">
        <v>8.5000000000000006E-2</v>
      </c>
      <c r="L64" s="13">
        <v>5.5E-2</v>
      </c>
      <c r="M64" s="13">
        <v>8.5000000000000006E-2</v>
      </c>
    </row>
    <row r="65" spans="8:13" x14ac:dyDescent="0.3">
      <c r="H65" t="s">
        <v>147</v>
      </c>
      <c r="I65" s="13">
        <v>8.5000000000000006E-2</v>
      </c>
      <c r="J65" s="13">
        <v>8.5000000000000006E-2</v>
      </c>
      <c r="K65" s="13">
        <v>8.5000000000000006E-2</v>
      </c>
      <c r="L65" s="13">
        <v>5.5E-2</v>
      </c>
      <c r="M65" s="13">
        <v>8.5000000000000006E-2</v>
      </c>
    </row>
    <row r="66" spans="8:13" x14ac:dyDescent="0.3">
      <c r="H66" t="s">
        <v>46</v>
      </c>
      <c r="I66" s="13">
        <v>7.4999999999999997E-2</v>
      </c>
      <c r="J66" s="13">
        <v>7.4999999999999997E-2</v>
      </c>
      <c r="K66" s="13">
        <v>7.4999999999999997E-2</v>
      </c>
      <c r="L66" s="13">
        <v>0.05</v>
      </c>
      <c r="M66" s="13">
        <v>7.4999999999999997E-2</v>
      </c>
    </row>
    <row r="67" spans="8:13" x14ac:dyDescent="0.3">
      <c r="H67" t="s">
        <v>141</v>
      </c>
      <c r="I67" s="13">
        <v>7.4999999999999997E-2</v>
      </c>
      <c r="J67" s="13">
        <v>7.4999999999999997E-2</v>
      </c>
      <c r="K67" s="13">
        <v>7.4999999999999997E-2</v>
      </c>
      <c r="L67" s="13">
        <v>0.05</v>
      </c>
      <c r="M67" s="13">
        <v>7.4999999999999997E-2</v>
      </c>
    </row>
    <row r="68" spans="8:13" x14ac:dyDescent="0.3">
      <c r="H68" t="s">
        <v>142</v>
      </c>
      <c r="I68" s="13">
        <v>0.05</v>
      </c>
      <c r="J68" s="13">
        <v>0.05</v>
      </c>
      <c r="K68" s="13">
        <v>0.05</v>
      </c>
      <c r="L68" s="13">
        <v>0.03</v>
      </c>
      <c r="M68" s="13">
        <v>0.05</v>
      </c>
    </row>
    <row r="69" spans="8:13" x14ac:dyDescent="0.3">
      <c r="H69" t="s">
        <v>148</v>
      </c>
      <c r="I69" s="13">
        <v>0.05</v>
      </c>
      <c r="J69" s="13">
        <v>0.05</v>
      </c>
      <c r="K69" s="13">
        <v>0.05</v>
      </c>
      <c r="L69" s="13">
        <v>0.03</v>
      </c>
      <c r="M69" s="13">
        <v>0.05</v>
      </c>
    </row>
    <row r="70" spans="8:13" x14ac:dyDescent="0.3">
      <c r="H70" t="s">
        <v>48</v>
      </c>
      <c r="I70" s="13">
        <v>0.02</v>
      </c>
      <c r="J70" s="13">
        <v>0.02</v>
      </c>
      <c r="K70" s="13">
        <v>0.02</v>
      </c>
      <c r="L70" s="13">
        <v>0.01</v>
      </c>
      <c r="M70" s="13">
        <v>0.02</v>
      </c>
    </row>
    <row r="71" spans="8:13" x14ac:dyDescent="0.3">
      <c r="H71" t="s">
        <v>173</v>
      </c>
      <c r="I71" s="13">
        <v>5.0000000000000001E-3</v>
      </c>
      <c r="J71" s="13">
        <v>5.0000000000000001E-3</v>
      </c>
      <c r="K71" s="13">
        <v>0.02</v>
      </c>
      <c r="L71" s="13">
        <v>5.0000000000000001E-3</v>
      </c>
      <c r="M71" s="13">
        <v>5.0000000000000001E-3</v>
      </c>
    </row>
    <row r="72" spans="8:13" x14ac:dyDescent="0.3">
      <c r="H72" t="s">
        <v>174</v>
      </c>
      <c r="I72" s="13">
        <v>5.0000000000000001E-3</v>
      </c>
      <c r="J72" s="13">
        <v>5.0000000000000001E-3</v>
      </c>
      <c r="K72" s="13">
        <v>0.02</v>
      </c>
      <c r="L72" s="13">
        <v>5.0000000000000001E-3</v>
      </c>
      <c r="M72" s="13">
        <v>5.0000000000000001E-3</v>
      </c>
    </row>
    <row r="73" spans="8:13" x14ac:dyDescent="0.3">
      <c r="H73" t="s">
        <v>150</v>
      </c>
      <c r="I73" s="13">
        <v>2E-3</v>
      </c>
      <c r="J73" s="13">
        <v>2E-3</v>
      </c>
      <c r="K73" s="13">
        <v>0.02</v>
      </c>
      <c r="L73" s="13">
        <v>2E-3</v>
      </c>
      <c r="M73" s="13">
        <v>2E-3</v>
      </c>
    </row>
    <row r="74" spans="8:13" x14ac:dyDescent="0.3">
      <c r="H74" t="s">
        <v>151</v>
      </c>
      <c r="I74" s="13">
        <v>2E-3</v>
      </c>
      <c r="J74" s="13">
        <v>2E-3</v>
      </c>
      <c r="K74" s="13">
        <v>0.02</v>
      </c>
      <c r="L74" s="13">
        <v>2E-3</v>
      </c>
      <c r="M74" s="13">
        <v>2E-3</v>
      </c>
    </row>
    <row r="75" spans="8:13" x14ac:dyDescent="0.3">
      <c r="H75" t="s">
        <v>44</v>
      </c>
      <c r="I75" s="13">
        <v>2E-3</v>
      </c>
      <c r="J75" s="13">
        <v>2E-3</v>
      </c>
      <c r="K75" s="13">
        <v>0.02</v>
      </c>
      <c r="L75" s="13">
        <v>2E-3</v>
      </c>
      <c r="M75" s="13">
        <v>2E-3</v>
      </c>
    </row>
    <row r="76" spans="8:13" x14ac:dyDescent="0.3">
      <c r="H76" t="s">
        <v>152</v>
      </c>
      <c r="I76" s="13">
        <v>0</v>
      </c>
      <c r="J76" s="13">
        <v>0</v>
      </c>
      <c r="K76" s="13">
        <v>0.02</v>
      </c>
      <c r="L76" s="13">
        <v>0</v>
      </c>
      <c r="M76" s="13">
        <v>0</v>
      </c>
    </row>
    <row r="77" spans="8:13" x14ac:dyDescent="0.3">
      <c r="H77" t="s">
        <v>154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</row>
    <row r="78" spans="8:13" x14ac:dyDescent="0.3">
      <c r="H78" t="s">
        <v>155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</row>
  </sheetData>
  <mergeCells count="1">
    <mergeCell ref="I22:J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6" workbookViewId="0">
      <selection activeCell="N14" sqref="N14"/>
    </sheetView>
  </sheetViews>
  <sheetFormatPr defaultRowHeight="14.4" x14ac:dyDescent="0.3"/>
  <sheetData>
    <row r="1" spans="1:5" x14ac:dyDescent="0.3">
      <c r="B1" t="s">
        <v>8</v>
      </c>
    </row>
    <row r="2" spans="1:5" x14ac:dyDescent="0.3">
      <c r="B2" t="s">
        <v>5</v>
      </c>
      <c r="E2" t="s">
        <v>9</v>
      </c>
    </row>
    <row r="5" spans="1:5" x14ac:dyDescent="0.3">
      <c r="A5" t="s">
        <v>7</v>
      </c>
      <c r="B5" t="s">
        <v>6</v>
      </c>
    </row>
    <row r="6" spans="1:5" x14ac:dyDescent="0.3">
      <c r="A6">
        <v>1</v>
      </c>
      <c r="B6">
        <f>-1076*A6+16077</f>
        <v>15001</v>
      </c>
    </row>
    <row r="7" spans="1:5" x14ac:dyDescent="0.3">
      <c r="A7">
        <v>2</v>
      </c>
      <c r="B7">
        <f t="shared" ref="B7:B19" si="0">-1076*A7+16077</f>
        <v>13925</v>
      </c>
    </row>
    <row r="8" spans="1:5" x14ac:dyDescent="0.3">
      <c r="A8">
        <v>3</v>
      </c>
      <c r="B8">
        <f t="shared" si="0"/>
        <v>12849</v>
      </c>
    </row>
    <row r="9" spans="1:5" x14ac:dyDescent="0.3">
      <c r="A9">
        <v>4</v>
      </c>
      <c r="B9">
        <f t="shared" si="0"/>
        <v>11773</v>
      </c>
    </row>
    <row r="10" spans="1:5" x14ac:dyDescent="0.3">
      <c r="A10">
        <v>5</v>
      </c>
      <c r="B10">
        <f t="shared" si="0"/>
        <v>10697</v>
      </c>
    </row>
    <row r="11" spans="1:5" x14ac:dyDescent="0.3">
      <c r="A11">
        <v>6</v>
      </c>
      <c r="B11">
        <f t="shared" si="0"/>
        <v>9621</v>
      </c>
    </row>
    <row r="12" spans="1:5" x14ac:dyDescent="0.3">
      <c r="A12">
        <v>7</v>
      </c>
      <c r="B12">
        <f t="shared" si="0"/>
        <v>8545</v>
      </c>
    </row>
    <row r="13" spans="1:5" x14ac:dyDescent="0.3">
      <c r="A13">
        <v>8</v>
      </c>
      <c r="B13">
        <f t="shared" si="0"/>
        <v>7469</v>
      </c>
    </row>
    <row r="14" spans="1:5" x14ac:dyDescent="0.3">
      <c r="A14">
        <v>9</v>
      </c>
      <c r="B14">
        <f t="shared" si="0"/>
        <v>6393</v>
      </c>
    </row>
    <row r="15" spans="1:5" x14ac:dyDescent="0.3">
      <c r="A15">
        <v>10</v>
      </c>
      <c r="B15">
        <f t="shared" si="0"/>
        <v>5317</v>
      </c>
    </row>
    <row r="16" spans="1:5" x14ac:dyDescent="0.3">
      <c r="A16">
        <v>11</v>
      </c>
      <c r="B16">
        <f t="shared" si="0"/>
        <v>4241</v>
      </c>
    </row>
    <row r="17" spans="1:2" x14ac:dyDescent="0.3">
      <c r="A17">
        <v>12</v>
      </c>
      <c r="B17">
        <f t="shared" si="0"/>
        <v>3165</v>
      </c>
    </row>
    <row r="18" spans="1:2" x14ac:dyDescent="0.3">
      <c r="A18">
        <v>13</v>
      </c>
      <c r="B18">
        <f t="shared" si="0"/>
        <v>2089</v>
      </c>
    </row>
    <row r="19" spans="1:2" x14ac:dyDescent="0.3">
      <c r="A19">
        <v>14</v>
      </c>
      <c r="B19">
        <f t="shared" si="0"/>
        <v>1013</v>
      </c>
    </row>
    <row r="21" spans="1:2" x14ac:dyDescent="0.3">
      <c r="A21">
        <v>1</v>
      </c>
      <c r="B21" s="6">
        <v>10000</v>
      </c>
    </row>
    <row r="22" spans="1:2" x14ac:dyDescent="0.3">
      <c r="A22">
        <v>2</v>
      </c>
      <c r="B22">
        <v>9500</v>
      </c>
    </row>
    <row r="23" spans="1:2" x14ac:dyDescent="0.3">
      <c r="A23">
        <v>3</v>
      </c>
      <c r="B23" s="6">
        <v>9000</v>
      </c>
    </row>
    <row r="24" spans="1:2" x14ac:dyDescent="0.3">
      <c r="A24">
        <v>4</v>
      </c>
      <c r="B24">
        <v>8500</v>
      </c>
    </row>
    <row r="25" spans="1:2" x14ac:dyDescent="0.3">
      <c r="A25">
        <v>5</v>
      </c>
      <c r="B25" s="6">
        <v>8000</v>
      </c>
    </row>
    <row r="26" spans="1:2" x14ac:dyDescent="0.3">
      <c r="A26">
        <v>6</v>
      </c>
      <c r="B26">
        <v>7500</v>
      </c>
    </row>
    <row r="27" spans="1:2" x14ac:dyDescent="0.3">
      <c r="A27">
        <v>7</v>
      </c>
      <c r="B27" s="6">
        <v>7000</v>
      </c>
    </row>
    <row r="28" spans="1:2" x14ac:dyDescent="0.3">
      <c r="A28">
        <v>8</v>
      </c>
      <c r="B28">
        <v>6500</v>
      </c>
    </row>
    <row r="29" spans="1:2" x14ac:dyDescent="0.3">
      <c r="A29">
        <v>9</v>
      </c>
      <c r="B29" s="6">
        <v>6000</v>
      </c>
    </row>
    <row r="30" spans="1:2" x14ac:dyDescent="0.3">
      <c r="A30">
        <v>10</v>
      </c>
      <c r="B30" s="6">
        <v>5500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0"/>
  <sheetViews>
    <sheetView topLeftCell="A26" workbookViewId="0">
      <selection activeCell="F12" sqref="F12"/>
    </sheetView>
  </sheetViews>
  <sheetFormatPr defaultRowHeight="14.4" x14ac:dyDescent="0.3"/>
  <cols>
    <col min="2" max="2" width="20.5546875" bestFit="1" customWidth="1"/>
  </cols>
  <sheetData>
    <row r="2" spans="2:7" x14ac:dyDescent="0.3">
      <c r="C2" t="s">
        <v>11</v>
      </c>
      <c r="D2" t="s">
        <v>10</v>
      </c>
      <c r="E2" t="s">
        <v>12</v>
      </c>
    </row>
    <row r="3" spans="2:7" x14ac:dyDescent="0.3">
      <c r="B3" t="s">
        <v>13</v>
      </c>
      <c r="C3">
        <f>PI()*0*(1-0.2)</f>
        <v>0</v>
      </c>
      <c r="D3">
        <f>PI()*1*(1-0.2)</f>
        <v>2.5132741228718345</v>
      </c>
    </row>
    <row r="4" spans="2:7" x14ac:dyDescent="0.3">
      <c r="B4" t="s">
        <v>14</v>
      </c>
      <c r="C4">
        <f>DEGREES(C3)</f>
        <v>0</v>
      </c>
      <c r="D4">
        <f>DEGREES(D3)</f>
        <v>144</v>
      </c>
    </row>
    <row r="7" spans="2:7" x14ac:dyDescent="0.3">
      <c r="C7" t="s">
        <v>11</v>
      </c>
      <c r="D7" t="s">
        <v>10</v>
      </c>
      <c r="E7" t="s">
        <v>15</v>
      </c>
    </row>
    <row r="8" spans="2:7" x14ac:dyDescent="0.3">
      <c r="B8" t="s">
        <v>13</v>
      </c>
      <c r="C8">
        <f>PI()*0*(1-0.8)</f>
        <v>0</v>
      </c>
      <c r="D8">
        <f>PI()*1*(1-0.8)</f>
        <v>0.62831853071795851</v>
      </c>
    </row>
    <row r="9" spans="2:7" x14ac:dyDescent="0.3">
      <c r="B9" t="s">
        <v>14</v>
      </c>
      <c r="C9">
        <f>DEGREES(C8)</f>
        <v>0</v>
      </c>
      <c r="D9">
        <f>DEGREES(D8)</f>
        <v>35.999999999999993</v>
      </c>
    </row>
    <row r="11" spans="2:7" x14ac:dyDescent="0.3">
      <c r="C11" t="s">
        <v>17</v>
      </c>
      <c r="D11" t="s">
        <v>16</v>
      </c>
    </row>
    <row r="12" spans="2:7" x14ac:dyDescent="0.3">
      <c r="C12">
        <v>1</v>
      </c>
      <c r="D12">
        <v>0.5</v>
      </c>
    </row>
    <row r="13" spans="2:7" x14ac:dyDescent="0.3">
      <c r="B13" t="s">
        <v>14</v>
      </c>
      <c r="C13">
        <f>DEGREES(PI()*C12*(1-D12))</f>
        <v>90</v>
      </c>
    </row>
    <row r="16" spans="2:7" x14ac:dyDescent="0.3">
      <c r="C16" t="s">
        <v>18</v>
      </c>
      <c r="D16" t="s">
        <v>14</v>
      </c>
      <c r="F16" t="s">
        <v>16</v>
      </c>
      <c r="G16">
        <v>0.5</v>
      </c>
    </row>
    <row r="17" spans="2:4" x14ac:dyDescent="0.3">
      <c r="C17">
        <v>0</v>
      </c>
      <c r="D17">
        <f>DEGREES(PI()*C17*(1-$G$16))</f>
        <v>0</v>
      </c>
    </row>
    <row r="18" spans="2:4" x14ac:dyDescent="0.3">
      <c r="C18">
        <v>0.1</v>
      </c>
      <c r="D18">
        <f t="shared" ref="D18:D27" si="0">DEGREES(PI()*C18*(1-$G$16))</f>
        <v>9</v>
      </c>
    </row>
    <row r="19" spans="2:4" x14ac:dyDescent="0.3">
      <c r="C19">
        <v>0.2</v>
      </c>
      <c r="D19">
        <f t="shared" si="0"/>
        <v>18</v>
      </c>
    </row>
    <row r="20" spans="2:4" x14ac:dyDescent="0.3">
      <c r="C20">
        <v>0.3</v>
      </c>
      <c r="D20">
        <f t="shared" si="0"/>
        <v>27</v>
      </c>
    </row>
    <row r="21" spans="2:4" x14ac:dyDescent="0.3">
      <c r="C21">
        <v>0.4</v>
      </c>
      <c r="D21">
        <f t="shared" si="0"/>
        <v>36</v>
      </c>
    </row>
    <row r="22" spans="2:4" x14ac:dyDescent="0.3">
      <c r="C22">
        <v>0.5</v>
      </c>
      <c r="D22">
        <f t="shared" si="0"/>
        <v>45</v>
      </c>
    </row>
    <row r="23" spans="2:4" x14ac:dyDescent="0.3">
      <c r="C23">
        <v>0.6</v>
      </c>
      <c r="D23">
        <f t="shared" si="0"/>
        <v>54</v>
      </c>
    </row>
    <row r="24" spans="2:4" x14ac:dyDescent="0.3">
      <c r="C24">
        <v>0.7</v>
      </c>
      <c r="D24">
        <f t="shared" si="0"/>
        <v>63</v>
      </c>
    </row>
    <row r="25" spans="2:4" x14ac:dyDescent="0.3">
      <c r="C25">
        <v>0.8</v>
      </c>
      <c r="D25">
        <f t="shared" si="0"/>
        <v>72</v>
      </c>
    </row>
    <row r="26" spans="2:4" x14ac:dyDescent="0.3">
      <c r="C26">
        <v>0.9</v>
      </c>
      <c r="D26">
        <f t="shared" si="0"/>
        <v>81</v>
      </c>
    </row>
    <row r="27" spans="2:4" x14ac:dyDescent="0.3">
      <c r="C27">
        <v>1</v>
      </c>
      <c r="D27">
        <f t="shared" si="0"/>
        <v>90</v>
      </c>
    </row>
    <row r="30" spans="2:4" x14ac:dyDescent="0.3">
      <c r="B30" t="s">
        <v>164</v>
      </c>
    </row>
    <row r="32" spans="2:4" x14ac:dyDescent="0.3">
      <c r="B32" t="s">
        <v>165</v>
      </c>
    </row>
    <row r="33" spans="2:10" x14ac:dyDescent="0.3">
      <c r="B33" t="s">
        <v>166</v>
      </c>
      <c r="C33">
        <v>0.1</v>
      </c>
    </row>
    <row r="34" spans="2:10" x14ac:dyDescent="0.3">
      <c r="B34" t="s">
        <v>167</v>
      </c>
      <c r="C34">
        <v>0.9</v>
      </c>
    </row>
    <row r="35" spans="2:10" x14ac:dyDescent="0.3">
      <c r="B35" t="s">
        <v>168</v>
      </c>
      <c r="C35">
        <v>0.09</v>
      </c>
      <c r="H35">
        <v>0.75</v>
      </c>
    </row>
    <row r="36" spans="2:10" x14ac:dyDescent="0.3">
      <c r="H36">
        <v>0.5</v>
      </c>
    </row>
    <row r="37" spans="2:10" x14ac:dyDescent="0.3">
      <c r="B37" t="s">
        <v>74</v>
      </c>
      <c r="C37" t="s">
        <v>169</v>
      </c>
    </row>
    <row r="38" spans="2:10" x14ac:dyDescent="0.3">
      <c r="B38">
        <v>0</v>
      </c>
      <c r="C38">
        <f>-(($C$33-$C$34)/$C$35)*B38+$C$33</f>
        <v>0.1</v>
      </c>
    </row>
    <row r="39" spans="2:10" x14ac:dyDescent="0.3">
      <c r="B39">
        <v>0.01</v>
      </c>
      <c r="C39">
        <f t="shared" ref="C39:C46" si="1">-(($C$33-$C$34)/$C$35)*B39+$C$33</f>
        <v>0.18888888888888888</v>
      </c>
    </row>
    <row r="40" spans="2:10" x14ac:dyDescent="0.3">
      <c r="B40">
        <v>0.02</v>
      </c>
      <c r="C40">
        <f t="shared" si="1"/>
        <v>0.27777777777777779</v>
      </c>
    </row>
    <row r="41" spans="2:10" x14ac:dyDescent="0.3">
      <c r="B41">
        <v>0.03</v>
      </c>
      <c r="C41">
        <f t="shared" si="1"/>
        <v>0.3666666666666667</v>
      </c>
      <c r="J41">
        <f>129*4</f>
        <v>516</v>
      </c>
    </row>
    <row r="42" spans="2:10" x14ac:dyDescent="0.3">
      <c r="B42">
        <v>0.04</v>
      </c>
      <c r="C42">
        <f t="shared" si="1"/>
        <v>0.4555555555555556</v>
      </c>
      <c r="J42">
        <f>42.58*2</f>
        <v>85.16</v>
      </c>
    </row>
    <row r="43" spans="2:10" x14ac:dyDescent="0.3">
      <c r="B43">
        <v>0.05</v>
      </c>
      <c r="C43">
        <f t="shared" si="1"/>
        <v>0.54444444444444451</v>
      </c>
    </row>
    <row r="44" spans="2:10" x14ac:dyDescent="0.3">
      <c r="B44">
        <v>0.06</v>
      </c>
      <c r="C44">
        <f t="shared" si="1"/>
        <v>0.6333333333333333</v>
      </c>
    </row>
    <row r="45" spans="2:10" x14ac:dyDescent="0.3">
      <c r="B45">
        <v>7.0000000000000007E-2</v>
      </c>
      <c r="C45">
        <f t="shared" si="1"/>
        <v>0.72222222222222232</v>
      </c>
    </row>
    <row r="46" spans="2:10" x14ac:dyDescent="0.3">
      <c r="B46">
        <v>7.4999999999999997E-2</v>
      </c>
      <c r="C46">
        <f t="shared" si="1"/>
        <v>0.76666666666666661</v>
      </c>
    </row>
    <row r="47" spans="2:10" x14ac:dyDescent="0.3">
      <c r="B47">
        <v>0.08</v>
      </c>
      <c r="C47">
        <f>-(($C$33-$C$34)/$C$35)*B47+$C$33</f>
        <v>0.81111111111111112</v>
      </c>
    </row>
    <row r="48" spans="2:10" x14ac:dyDescent="0.3">
      <c r="B48">
        <v>8.5000000000000006E-2</v>
      </c>
      <c r="C48">
        <f>-(($C$33-$C$34)/$C$35)*B48+$C$33</f>
        <v>0.85555555555555562</v>
      </c>
    </row>
    <row r="49" spans="2:3" x14ac:dyDescent="0.3">
      <c r="B49">
        <v>0.09</v>
      </c>
      <c r="C49">
        <f>-(($C$33-$C$34)/$C$35)*B49+$C$33</f>
        <v>0.9</v>
      </c>
    </row>
    <row r="50" spans="2:3" x14ac:dyDescent="0.3">
      <c r="B50">
        <v>0.1</v>
      </c>
      <c r="C50">
        <f>-(($C$33-$C$34)/$C$35)*B50+$C$33</f>
        <v>0.98888888888888893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workbookViewId="0">
      <selection activeCell="J15" sqref="J15"/>
    </sheetView>
  </sheetViews>
  <sheetFormatPr defaultRowHeight="14.4" x14ac:dyDescent="0.3"/>
  <sheetData>
    <row r="2" spans="1:11" x14ac:dyDescent="0.3">
      <c r="B2" s="1" t="s">
        <v>19</v>
      </c>
      <c r="C2">
        <v>443050</v>
      </c>
      <c r="D2">
        <v>443050</v>
      </c>
      <c r="E2">
        <v>443050</v>
      </c>
      <c r="F2">
        <v>443050</v>
      </c>
      <c r="G2">
        <v>443050</v>
      </c>
      <c r="H2">
        <v>443050</v>
      </c>
    </row>
    <row r="3" spans="1:11" x14ac:dyDescent="0.3">
      <c r="B3" s="1" t="s">
        <v>20</v>
      </c>
      <c r="C3">
        <v>4634500</v>
      </c>
      <c r="D3">
        <v>4634500</v>
      </c>
      <c r="E3">
        <v>4634500</v>
      </c>
      <c r="F3">
        <v>4634500</v>
      </c>
      <c r="G3">
        <v>4634500</v>
      </c>
      <c r="H3">
        <v>4634500</v>
      </c>
    </row>
    <row r="4" spans="1:11" x14ac:dyDescent="0.3">
      <c r="B4" s="1" t="s">
        <v>21</v>
      </c>
      <c r="C4">
        <v>389</v>
      </c>
      <c r="D4">
        <f>C4*2</f>
        <v>778</v>
      </c>
      <c r="E4">
        <f>D4*2</f>
        <v>1556</v>
      </c>
      <c r="F4">
        <f>C4*10</f>
        <v>3890</v>
      </c>
      <c r="G4">
        <f>ROUNDUP(38900/56,0)</f>
        <v>695</v>
      </c>
      <c r="H4">
        <f>ROUNDUP(38900/56,0)</f>
        <v>695</v>
      </c>
    </row>
    <row r="5" spans="1:11" x14ac:dyDescent="0.3">
      <c r="B5" s="1" t="s">
        <v>22</v>
      </c>
      <c r="C5">
        <v>388</v>
      </c>
      <c r="D5">
        <f>C5*2</f>
        <v>776</v>
      </c>
      <c r="E5">
        <f>D5*2</f>
        <v>1552</v>
      </c>
      <c r="F5">
        <f>C5*10</f>
        <v>3880</v>
      </c>
      <c r="G5">
        <f>ROUNDUP(38800/56,0)</f>
        <v>693</v>
      </c>
      <c r="H5">
        <f>ROUNDUP(38800/56,0)</f>
        <v>693</v>
      </c>
    </row>
    <row r="6" spans="1:11" x14ac:dyDescent="0.3">
      <c r="B6" s="1" t="s">
        <v>25</v>
      </c>
      <c r="C6">
        <v>100</v>
      </c>
      <c r="D6">
        <v>50</v>
      </c>
      <c r="E6">
        <v>25</v>
      </c>
      <c r="F6">
        <v>10</v>
      </c>
      <c r="G6">
        <v>56</v>
      </c>
      <c r="H6">
        <v>56</v>
      </c>
    </row>
    <row r="7" spans="1:11" x14ac:dyDescent="0.3">
      <c r="B7" s="1" t="s">
        <v>23</v>
      </c>
      <c r="C7">
        <v>0.55000000000000004</v>
      </c>
      <c r="D7">
        <v>0.55000000000000004</v>
      </c>
      <c r="E7">
        <v>0.55000000000000004</v>
      </c>
      <c r="F7">
        <v>0.55000000000000004</v>
      </c>
      <c r="G7">
        <v>0.01</v>
      </c>
      <c r="H7">
        <v>0.05</v>
      </c>
    </row>
    <row r="8" spans="1:11" x14ac:dyDescent="0.3">
      <c r="B8" s="1" t="s">
        <v>24</v>
      </c>
      <c r="C8">
        <v>0.25</v>
      </c>
      <c r="D8">
        <v>0.25</v>
      </c>
      <c r="E8">
        <v>0.25</v>
      </c>
      <c r="F8">
        <v>0.25</v>
      </c>
      <c r="G8">
        <v>0.01</v>
      </c>
      <c r="H8">
        <v>0.01</v>
      </c>
    </row>
    <row r="9" spans="1:11" x14ac:dyDescent="0.3">
      <c r="B9" s="1" t="s">
        <v>33</v>
      </c>
      <c r="C9" t="s">
        <v>36</v>
      </c>
      <c r="D9" t="s">
        <v>35</v>
      </c>
      <c r="E9" t="s">
        <v>34</v>
      </c>
      <c r="F9" t="s">
        <v>26</v>
      </c>
      <c r="G9" t="s">
        <v>37</v>
      </c>
      <c r="H9" t="s">
        <v>38</v>
      </c>
    </row>
    <row r="13" spans="1:11" x14ac:dyDescent="0.3">
      <c r="D13">
        <f>56*56</f>
        <v>3136</v>
      </c>
    </row>
    <row r="15" spans="1:11" x14ac:dyDescent="0.3">
      <c r="A15" t="s">
        <v>33</v>
      </c>
      <c r="B15" t="s">
        <v>39</v>
      </c>
      <c r="C15" t="s">
        <v>42</v>
      </c>
      <c r="J15">
        <v>1536985.5</v>
      </c>
      <c r="K15">
        <f>CONVERT(J15,"m","mi")</f>
        <v>955.0385125864949</v>
      </c>
    </row>
    <row r="16" spans="1:11" x14ac:dyDescent="0.3">
      <c r="A16" t="s">
        <v>40</v>
      </c>
      <c r="B16">
        <v>3000</v>
      </c>
      <c r="C16">
        <v>10000</v>
      </c>
    </row>
    <row r="17" spans="1:3" x14ac:dyDescent="0.3">
      <c r="A17" t="s">
        <v>41</v>
      </c>
      <c r="B17">
        <f>SQRT(B16)</f>
        <v>54.772255750516614</v>
      </c>
      <c r="C17">
        <f>SQRT(C16)</f>
        <v>100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J17" sqref="J17"/>
    </sheetView>
  </sheetViews>
  <sheetFormatPr defaultRowHeight="14.4" x14ac:dyDescent="0.3"/>
  <sheetData>
    <row r="1" spans="1:9" x14ac:dyDescent="0.3">
      <c r="B1" t="s">
        <v>30</v>
      </c>
      <c r="E1" t="s">
        <v>31</v>
      </c>
      <c r="F1" t="s">
        <v>32</v>
      </c>
    </row>
    <row r="2" spans="1:9" x14ac:dyDescent="0.3">
      <c r="B2">
        <v>1999</v>
      </c>
      <c r="C2">
        <v>185.4</v>
      </c>
      <c r="D2">
        <v>213.2</v>
      </c>
      <c r="E2">
        <v>0.24299999999999999</v>
      </c>
      <c r="F2">
        <v>0.94499999999999995</v>
      </c>
      <c r="G2">
        <v>45</v>
      </c>
      <c r="H2">
        <v>201.4</v>
      </c>
      <c r="I2">
        <v>246.5</v>
      </c>
    </row>
    <row r="3" spans="1:9" x14ac:dyDescent="0.3">
      <c r="B3">
        <v>2000</v>
      </c>
      <c r="C3">
        <v>187.1</v>
      </c>
      <c r="D3">
        <v>183.8</v>
      </c>
      <c r="E3">
        <v>0.14399999999999999</v>
      </c>
      <c r="F3">
        <v>0.79600000000000004</v>
      </c>
      <c r="G3">
        <v>26.9</v>
      </c>
      <c r="H3">
        <v>146.30000000000001</v>
      </c>
      <c r="I3">
        <v>173.2</v>
      </c>
    </row>
    <row r="4" spans="1:9" x14ac:dyDescent="0.3">
      <c r="B4">
        <v>2001</v>
      </c>
      <c r="C4">
        <v>195</v>
      </c>
      <c r="D4">
        <v>155.4</v>
      </c>
      <c r="E4">
        <v>0.29899999999999999</v>
      </c>
      <c r="F4">
        <v>1.661</v>
      </c>
      <c r="G4">
        <v>58.3</v>
      </c>
      <c r="H4">
        <v>258.2</v>
      </c>
      <c r="I4">
        <v>316.5</v>
      </c>
    </row>
    <row r="5" spans="1:9" x14ac:dyDescent="0.3">
      <c r="B5">
        <v>2002</v>
      </c>
      <c r="C5">
        <v>191.5</v>
      </c>
      <c r="D5">
        <v>133.4</v>
      </c>
      <c r="E5">
        <v>0.19700000000000001</v>
      </c>
      <c r="F5">
        <v>0.65900000000000003</v>
      </c>
      <c r="G5">
        <v>37.6</v>
      </c>
      <c r="H5">
        <v>87.9</v>
      </c>
      <c r="I5">
        <v>125.5</v>
      </c>
    </row>
    <row r="6" spans="1:9" x14ac:dyDescent="0.3">
      <c r="B6">
        <v>2003</v>
      </c>
      <c r="C6">
        <v>184.7</v>
      </c>
      <c r="D6">
        <v>115.8</v>
      </c>
      <c r="E6">
        <v>0.17299999999999999</v>
      </c>
      <c r="F6">
        <v>1.125</v>
      </c>
      <c r="G6">
        <v>31.9</v>
      </c>
      <c r="H6">
        <v>130.19999999999999</v>
      </c>
      <c r="I6">
        <v>162.1</v>
      </c>
    </row>
    <row r="7" spans="1:9" x14ac:dyDescent="0.3">
      <c r="B7">
        <v>2004</v>
      </c>
      <c r="C7">
        <v>177.9</v>
      </c>
      <c r="D7">
        <v>99.4</v>
      </c>
      <c r="E7">
        <v>0.10199999999999999</v>
      </c>
      <c r="F7">
        <v>0.39500000000000002</v>
      </c>
      <c r="G7">
        <v>18.100000000000001</v>
      </c>
      <c r="H7">
        <v>39.299999999999997</v>
      </c>
      <c r="I7">
        <v>57.4</v>
      </c>
    </row>
    <row r="8" spans="1:9" x14ac:dyDescent="0.3">
      <c r="B8">
        <v>2005</v>
      </c>
      <c r="C8">
        <v>172</v>
      </c>
      <c r="D8">
        <v>85.2</v>
      </c>
      <c r="E8">
        <v>0.20499999999999999</v>
      </c>
      <c r="F8">
        <v>0.79600000000000004</v>
      </c>
      <c r="G8">
        <v>35.200000000000003</v>
      </c>
      <c r="H8">
        <v>67.8</v>
      </c>
      <c r="I8">
        <v>103</v>
      </c>
    </row>
    <row r="9" spans="1:9" x14ac:dyDescent="0.3">
      <c r="B9">
        <v>2006</v>
      </c>
      <c r="C9">
        <v>167.5</v>
      </c>
      <c r="D9">
        <v>72.8</v>
      </c>
      <c r="E9">
        <v>0.27700000000000002</v>
      </c>
      <c r="F9">
        <v>1.077</v>
      </c>
      <c r="G9">
        <v>46.4</v>
      </c>
      <c r="H9">
        <v>78.5</v>
      </c>
      <c r="I9">
        <v>124.9</v>
      </c>
    </row>
    <row r="10" spans="1:9" x14ac:dyDescent="0.3">
      <c r="B10">
        <v>2007</v>
      </c>
      <c r="C10">
        <v>161.4</v>
      </c>
      <c r="D10">
        <v>62.8</v>
      </c>
      <c r="E10">
        <v>0.27400000000000002</v>
      </c>
      <c r="F10">
        <v>1.0660000000000001</v>
      </c>
      <c r="G10">
        <v>44.2</v>
      </c>
      <c r="H10">
        <v>66.900000000000006</v>
      </c>
      <c r="I10">
        <v>111.1</v>
      </c>
    </row>
    <row r="11" spans="1:9" x14ac:dyDescent="0.3">
      <c r="B11">
        <v>2008</v>
      </c>
      <c r="C11">
        <v>146.6</v>
      </c>
      <c r="D11">
        <v>54.4</v>
      </c>
      <c r="E11">
        <v>0.154</v>
      </c>
      <c r="F11">
        <v>0.59899999999999998</v>
      </c>
      <c r="G11">
        <v>22.6</v>
      </c>
      <c r="H11">
        <v>32.6</v>
      </c>
      <c r="I11">
        <v>55.2</v>
      </c>
    </row>
    <row r="12" spans="1:9" x14ac:dyDescent="0.3">
      <c r="B12">
        <v>2009</v>
      </c>
      <c r="C12">
        <v>135.69999999999999</v>
      </c>
      <c r="D12">
        <v>46.9</v>
      </c>
      <c r="E12">
        <v>0.12</v>
      </c>
      <c r="F12">
        <v>0.46500000000000002</v>
      </c>
      <c r="G12">
        <v>16.2</v>
      </c>
      <c r="H12">
        <v>21.8</v>
      </c>
      <c r="I12">
        <v>38</v>
      </c>
    </row>
    <row r="13" spans="1:9" x14ac:dyDescent="0.3">
      <c r="B13">
        <v>2010</v>
      </c>
      <c r="C13">
        <v>127.4</v>
      </c>
      <c r="D13">
        <v>40.299999999999997</v>
      </c>
      <c r="E13">
        <v>0.311</v>
      </c>
      <c r="F13">
        <v>1.21</v>
      </c>
      <c r="G13">
        <v>39.6</v>
      </c>
      <c r="H13">
        <v>48.7</v>
      </c>
      <c r="I13">
        <v>88.4</v>
      </c>
    </row>
    <row r="14" spans="1:9" x14ac:dyDescent="0.3">
      <c r="A14" t="s">
        <v>29</v>
      </c>
      <c r="E14">
        <f>AVERAGE(E2:E13)</f>
        <v>0.20825000000000002</v>
      </c>
      <c r="F14">
        <f>AVERAGE(F2:F13)</f>
        <v>0.89950000000000008</v>
      </c>
    </row>
    <row r="16" spans="1:9" x14ac:dyDescent="0.3">
      <c r="B16" t="s">
        <v>27</v>
      </c>
    </row>
    <row r="17" spans="2:2" x14ac:dyDescent="0.3">
      <c r="B17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topLeftCell="A11" workbookViewId="0">
      <selection activeCell="D24" sqref="D24"/>
    </sheetView>
  </sheetViews>
  <sheetFormatPr defaultRowHeight="14.4" x14ac:dyDescent="0.3"/>
  <cols>
    <col min="2" max="2" width="12.77734375" bestFit="1" customWidth="1"/>
    <col min="3" max="3" width="9.6640625" bestFit="1" customWidth="1"/>
    <col min="4" max="4" width="12.6640625" bestFit="1" customWidth="1"/>
    <col min="5" max="5" width="12" bestFit="1" customWidth="1"/>
    <col min="6" max="6" width="11.77734375" bestFit="1" customWidth="1"/>
  </cols>
  <sheetData>
    <row r="2" spans="2:7" x14ac:dyDescent="0.3">
      <c r="B2" t="s">
        <v>55</v>
      </c>
    </row>
    <row r="4" spans="2:7" x14ac:dyDescent="0.3">
      <c r="B4" t="s">
        <v>56</v>
      </c>
      <c r="C4" t="s">
        <v>59</v>
      </c>
      <c r="D4" t="s">
        <v>58</v>
      </c>
    </row>
    <row r="5" spans="2:7" x14ac:dyDescent="0.3">
      <c r="B5" t="s">
        <v>57</v>
      </c>
      <c r="C5">
        <v>-93.698070000000001</v>
      </c>
      <c r="D5">
        <v>41.863259999999997</v>
      </c>
    </row>
    <row r="6" spans="2:7" x14ac:dyDescent="0.3">
      <c r="B6" t="s">
        <v>60</v>
      </c>
      <c r="C6">
        <v>-93.231800000000007</v>
      </c>
      <c r="D6">
        <v>42.208889999999997</v>
      </c>
    </row>
    <row r="7" spans="2:7" x14ac:dyDescent="0.3">
      <c r="C7">
        <f>C6-C5</f>
        <v>0.46626999999999441</v>
      </c>
      <c r="D7">
        <f>D6-D5</f>
        <v>0.34562999999999988</v>
      </c>
    </row>
    <row r="9" spans="2:7" x14ac:dyDescent="0.3">
      <c r="B9" t="s">
        <v>61</v>
      </c>
      <c r="C9" t="s">
        <v>59</v>
      </c>
      <c r="D9" t="s">
        <v>58</v>
      </c>
      <c r="F9" t="s">
        <v>62</v>
      </c>
    </row>
    <row r="10" spans="2:7" x14ac:dyDescent="0.3">
      <c r="B10" t="s">
        <v>57</v>
      </c>
      <c r="C10">
        <v>-93.509460000000004</v>
      </c>
      <c r="D10">
        <v>42.044069999999998</v>
      </c>
      <c r="F10">
        <v>-93.509249999999994</v>
      </c>
      <c r="G10">
        <v>42.044249999999998</v>
      </c>
    </row>
    <row r="11" spans="2:7" x14ac:dyDescent="0.3">
      <c r="B11" t="s">
        <v>60</v>
      </c>
      <c r="C11">
        <v>-93.457459999999998</v>
      </c>
      <c r="D11">
        <v>42.096620000000001</v>
      </c>
      <c r="F11">
        <v>-93.457750000000004</v>
      </c>
      <c r="G11">
        <v>42.096400000000003</v>
      </c>
    </row>
    <row r="12" spans="2:7" x14ac:dyDescent="0.3">
      <c r="C12">
        <f>C11-C10</f>
        <v>5.2000000000006708E-2</v>
      </c>
      <c r="D12">
        <f>D11-D10</f>
        <v>5.2550000000003649E-2</v>
      </c>
      <c r="F12">
        <f t="shared" ref="F12:G12" si="0">F11-F10</f>
        <v>5.1499999999990109E-2</v>
      </c>
      <c r="G12">
        <f t="shared" si="0"/>
        <v>5.2150000000004582E-2</v>
      </c>
    </row>
    <row r="16" spans="2:7" x14ac:dyDescent="0.3">
      <c r="B16" t="s">
        <v>100</v>
      </c>
    </row>
    <row r="17" spans="2:6" x14ac:dyDescent="0.3">
      <c r="D17" t="s">
        <v>90</v>
      </c>
      <c r="E17" t="s">
        <v>91</v>
      </c>
    </row>
    <row r="18" spans="2:6" x14ac:dyDescent="0.3">
      <c r="B18" t="s">
        <v>88</v>
      </c>
      <c r="D18">
        <v>-93.508851348999897</v>
      </c>
      <c r="E18">
        <v>42.063514918000003</v>
      </c>
    </row>
    <row r="19" spans="2:6" x14ac:dyDescent="0.3">
      <c r="B19" t="s">
        <v>89</v>
      </c>
      <c r="D19">
        <v>-93.482571108022</v>
      </c>
      <c r="E19">
        <v>42.057803931669604</v>
      </c>
    </row>
    <row r="20" spans="2:6" x14ac:dyDescent="0.3">
      <c r="B20" t="s">
        <v>93</v>
      </c>
      <c r="D20">
        <v>2.6893613195775701E-2</v>
      </c>
      <c r="F20" t="s">
        <v>96</v>
      </c>
    </row>
    <row r="21" spans="2:6" x14ac:dyDescent="0.3">
      <c r="B21" t="s">
        <v>92</v>
      </c>
      <c r="D21">
        <v>2265.87463377622</v>
      </c>
      <c r="F21" t="s">
        <v>97</v>
      </c>
    </row>
    <row r="22" spans="2:6" x14ac:dyDescent="0.3">
      <c r="B22" s="7" t="s">
        <v>98</v>
      </c>
    </row>
    <row r="23" spans="2:6" x14ac:dyDescent="0.3">
      <c r="B23" t="s">
        <v>95</v>
      </c>
      <c r="D23">
        <f>D19-D18</f>
        <v>2.6280240977897051E-2</v>
      </c>
      <c r="E23">
        <f>E18-E19</f>
        <v>5.710986330399237E-3</v>
      </c>
    </row>
    <row r="24" spans="2:6" x14ac:dyDescent="0.3">
      <c r="B24" t="s">
        <v>94</v>
      </c>
      <c r="D24">
        <f>SQRT(D23^2+E23^2)</f>
        <v>2.6893613195744938E-2</v>
      </c>
      <c r="F24" s="1" t="s">
        <v>99</v>
      </c>
    </row>
    <row r="25" spans="2:6" x14ac:dyDescent="0.3">
      <c r="B25" t="s">
        <v>103</v>
      </c>
      <c r="E25">
        <f>E19+E23/2</f>
        <v>42.060659424834803</v>
      </c>
    </row>
    <row r="26" spans="2:6" x14ac:dyDescent="0.3">
      <c r="B26" t="s">
        <v>102</v>
      </c>
      <c r="D26">
        <v>82772</v>
      </c>
      <c r="E26">
        <v>111074</v>
      </c>
      <c r="F26" t="s">
        <v>101</v>
      </c>
    </row>
    <row r="27" spans="2:6" x14ac:dyDescent="0.3">
      <c r="B27" t="s">
        <v>104</v>
      </c>
      <c r="D27">
        <f>D23*D26</f>
        <v>2175.2681062224947</v>
      </c>
      <c r="E27">
        <f>E23*E26</f>
        <v>634.3420956627649</v>
      </c>
    </row>
    <row r="28" spans="2:6" x14ac:dyDescent="0.3">
      <c r="B28" t="s">
        <v>94</v>
      </c>
      <c r="D28">
        <f>SQRT(D27^2+E27^2)</f>
        <v>2265.8731712694394</v>
      </c>
      <c r="F28" t="s">
        <v>105</v>
      </c>
    </row>
    <row r="32" spans="2:6" x14ac:dyDescent="0.3">
      <c r="B32" t="s">
        <v>106</v>
      </c>
    </row>
    <row r="33" spans="2:2" x14ac:dyDescent="0.3">
      <c r="B33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3"/>
  <sheetViews>
    <sheetView topLeftCell="Z1" workbookViewId="0">
      <selection activeCell="AH21" sqref="AH21"/>
    </sheetView>
  </sheetViews>
  <sheetFormatPr defaultRowHeight="14.4" x14ac:dyDescent="0.3"/>
  <sheetData>
    <row r="2" spans="1:33" x14ac:dyDescent="0.3">
      <c r="B2" t="s">
        <v>64</v>
      </c>
      <c r="C2" t="s">
        <v>63</v>
      </c>
      <c r="E2" t="s">
        <v>64</v>
      </c>
      <c r="F2" t="s">
        <v>63</v>
      </c>
      <c r="H2" t="s">
        <v>64</v>
      </c>
      <c r="I2" t="s">
        <v>71</v>
      </c>
      <c r="S2" t="s">
        <v>64</v>
      </c>
      <c r="T2" t="s">
        <v>72</v>
      </c>
      <c r="AD2" t="s">
        <v>64</v>
      </c>
      <c r="AE2" t="s">
        <v>72</v>
      </c>
      <c r="AF2" t="s">
        <v>132</v>
      </c>
      <c r="AG2" s="3" t="s">
        <v>133</v>
      </c>
    </row>
    <row r="3" spans="1:33" x14ac:dyDescent="0.3">
      <c r="B3">
        <v>1</v>
      </c>
      <c r="C3">
        <v>90</v>
      </c>
      <c r="E3">
        <v>1</v>
      </c>
      <c r="F3">
        <v>50</v>
      </c>
      <c r="H3">
        <v>1</v>
      </c>
      <c r="I3">
        <v>80</v>
      </c>
      <c r="S3">
        <v>1</v>
      </c>
      <c r="T3">
        <f>ROUND(-29.4*LN(S3)+81,0)</f>
        <v>81</v>
      </c>
      <c r="AD3">
        <v>1</v>
      </c>
      <c r="AE3">
        <v>50</v>
      </c>
      <c r="AF3">
        <f>AE3</f>
        <v>50</v>
      </c>
      <c r="AG3">
        <f>AF3*5</f>
        <v>250</v>
      </c>
    </row>
    <row r="4" spans="1:33" x14ac:dyDescent="0.3">
      <c r="B4">
        <v>2</v>
      </c>
      <c r="C4">
        <v>80</v>
      </c>
      <c r="E4">
        <v>2</v>
      </c>
      <c r="F4">
        <v>46</v>
      </c>
      <c r="H4">
        <v>2</v>
      </c>
      <c r="I4">
        <v>62</v>
      </c>
      <c r="S4">
        <v>2</v>
      </c>
      <c r="T4">
        <f t="shared" ref="T4:T16" si="0">ROUND(-29.4*LN(S4)+81,0)</f>
        <v>61</v>
      </c>
      <c r="AD4">
        <v>2</v>
      </c>
      <c r="AE4">
        <v>48</v>
      </c>
      <c r="AF4">
        <f>AF3+AE4</f>
        <v>98</v>
      </c>
      <c r="AG4">
        <f t="shared" ref="AG4:AG12" si="1">AF4*5</f>
        <v>490</v>
      </c>
    </row>
    <row r="5" spans="1:33" x14ac:dyDescent="0.3">
      <c r="B5">
        <v>3</v>
      </c>
      <c r="C5">
        <v>70</v>
      </c>
      <c r="E5">
        <v>3</v>
      </c>
      <c r="F5">
        <v>42</v>
      </c>
      <c r="H5">
        <v>3</v>
      </c>
      <c r="I5">
        <v>50</v>
      </c>
      <c r="S5">
        <v>3</v>
      </c>
      <c r="T5">
        <f t="shared" si="0"/>
        <v>49</v>
      </c>
      <c r="AD5">
        <v>3</v>
      </c>
      <c r="AE5">
        <v>46</v>
      </c>
      <c r="AF5">
        <f t="shared" ref="AF5:AF12" si="2">AF4+AE5</f>
        <v>144</v>
      </c>
      <c r="AG5">
        <f t="shared" si="1"/>
        <v>720</v>
      </c>
    </row>
    <row r="6" spans="1:33" x14ac:dyDescent="0.3">
      <c r="B6">
        <v>4</v>
      </c>
      <c r="C6">
        <v>60</v>
      </c>
      <c r="E6">
        <v>4</v>
      </c>
      <c r="F6">
        <v>38</v>
      </c>
      <c r="H6">
        <v>4</v>
      </c>
      <c r="I6">
        <v>40</v>
      </c>
      <c r="S6">
        <v>4</v>
      </c>
      <c r="T6">
        <f t="shared" si="0"/>
        <v>40</v>
      </c>
      <c r="AD6">
        <v>4</v>
      </c>
      <c r="AE6">
        <v>44</v>
      </c>
      <c r="AF6">
        <f t="shared" si="2"/>
        <v>188</v>
      </c>
      <c r="AG6">
        <f t="shared" si="1"/>
        <v>940</v>
      </c>
    </row>
    <row r="7" spans="1:33" x14ac:dyDescent="0.3">
      <c r="B7">
        <v>5</v>
      </c>
      <c r="C7">
        <v>50</v>
      </c>
      <c r="E7">
        <v>5</v>
      </c>
      <c r="F7">
        <v>35</v>
      </c>
      <c r="H7">
        <v>5</v>
      </c>
      <c r="I7">
        <v>33</v>
      </c>
      <c r="S7">
        <v>5</v>
      </c>
      <c r="T7">
        <f t="shared" si="0"/>
        <v>34</v>
      </c>
      <c r="AD7">
        <v>5</v>
      </c>
      <c r="AE7">
        <v>42</v>
      </c>
      <c r="AF7">
        <f t="shared" si="2"/>
        <v>230</v>
      </c>
      <c r="AG7">
        <f t="shared" si="1"/>
        <v>1150</v>
      </c>
    </row>
    <row r="8" spans="1:33" x14ac:dyDescent="0.3">
      <c r="B8">
        <v>6</v>
      </c>
      <c r="C8">
        <v>40</v>
      </c>
      <c r="E8">
        <v>6</v>
      </c>
      <c r="F8">
        <v>31</v>
      </c>
      <c r="H8">
        <v>6</v>
      </c>
      <c r="I8">
        <v>28</v>
      </c>
      <c r="S8">
        <v>6</v>
      </c>
      <c r="T8">
        <f t="shared" si="0"/>
        <v>28</v>
      </c>
      <c r="AD8">
        <v>6</v>
      </c>
      <c r="AE8">
        <v>40</v>
      </c>
      <c r="AF8">
        <f t="shared" si="2"/>
        <v>270</v>
      </c>
      <c r="AG8">
        <f t="shared" si="1"/>
        <v>1350</v>
      </c>
    </row>
    <row r="9" spans="1:33" x14ac:dyDescent="0.3">
      <c r="B9">
        <v>7</v>
      </c>
      <c r="C9">
        <v>30</v>
      </c>
      <c r="E9">
        <v>7</v>
      </c>
      <c r="F9">
        <v>28</v>
      </c>
      <c r="H9">
        <v>7</v>
      </c>
      <c r="I9">
        <v>24</v>
      </c>
      <c r="S9">
        <v>7</v>
      </c>
      <c r="T9">
        <f t="shared" si="0"/>
        <v>24</v>
      </c>
      <c r="AD9">
        <v>7</v>
      </c>
      <c r="AE9">
        <v>38</v>
      </c>
      <c r="AF9">
        <f t="shared" si="2"/>
        <v>308</v>
      </c>
      <c r="AG9">
        <f t="shared" si="1"/>
        <v>1540</v>
      </c>
    </row>
    <row r="10" spans="1:33" x14ac:dyDescent="0.3">
      <c r="B10">
        <v>8</v>
      </c>
      <c r="C10">
        <v>20</v>
      </c>
      <c r="E10">
        <v>8</v>
      </c>
      <c r="F10">
        <v>25</v>
      </c>
      <c r="H10">
        <v>8</v>
      </c>
      <c r="I10">
        <v>20</v>
      </c>
      <c r="S10">
        <v>8</v>
      </c>
      <c r="T10">
        <f t="shared" si="0"/>
        <v>20</v>
      </c>
      <c r="AD10">
        <v>8</v>
      </c>
      <c r="AE10">
        <v>36</v>
      </c>
      <c r="AF10">
        <f t="shared" si="2"/>
        <v>344</v>
      </c>
      <c r="AG10">
        <f t="shared" si="1"/>
        <v>1720</v>
      </c>
    </row>
    <row r="11" spans="1:33" x14ac:dyDescent="0.3">
      <c r="B11">
        <v>9</v>
      </c>
      <c r="C11">
        <v>10</v>
      </c>
      <c r="E11">
        <v>9</v>
      </c>
      <c r="F11">
        <v>21</v>
      </c>
      <c r="H11">
        <v>9</v>
      </c>
      <c r="I11">
        <v>16</v>
      </c>
      <c r="S11">
        <v>9</v>
      </c>
      <c r="T11">
        <f t="shared" si="0"/>
        <v>16</v>
      </c>
      <c r="AD11">
        <v>9</v>
      </c>
      <c r="AE11">
        <v>34</v>
      </c>
      <c r="AF11">
        <f t="shared" si="2"/>
        <v>378</v>
      </c>
      <c r="AG11">
        <f t="shared" si="1"/>
        <v>1890</v>
      </c>
    </row>
    <row r="12" spans="1:33" x14ac:dyDescent="0.3">
      <c r="B12">
        <v>10</v>
      </c>
      <c r="C12">
        <v>0</v>
      </c>
      <c r="E12">
        <v>10</v>
      </c>
      <c r="F12">
        <v>17</v>
      </c>
      <c r="H12">
        <v>10</v>
      </c>
      <c r="I12">
        <v>13</v>
      </c>
      <c r="S12">
        <v>10</v>
      </c>
      <c r="T12">
        <f t="shared" si="0"/>
        <v>13</v>
      </c>
      <c r="AD12">
        <v>10</v>
      </c>
      <c r="AE12">
        <v>32</v>
      </c>
      <c r="AF12">
        <f t="shared" si="2"/>
        <v>410</v>
      </c>
      <c r="AG12">
        <f t="shared" si="1"/>
        <v>2050</v>
      </c>
    </row>
    <row r="13" spans="1:33" x14ac:dyDescent="0.3">
      <c r="A13" t="s">
        <v>65</v>
      </c>
      <c r="C13">
        <f>SUM(C3:C12)</f>
        <v>450</v>
      </c>
      <c r="E13">
        <v>11</v>
      </c>
      <c r="F13">
        <v>14</v>
      </c>
      <c r="H13">
        <v>11</v>
      </c>
      <c r="I13">
        <v>10</v>
      </c>
      <c r="S13">
        <v>11</v>
      </c>
      <c r="T13">
        <f t="shared" si="0"/>
        <v>11</v>
      </c>
      <c r="AD13">
        <v>11</v>
      </c>
      <c r="AE13">
        <v>30</v>
      </c>
    </row>
    <row r="14" spans="1:33" x14ac:dyDescent="0.3">
      <c r="E14">
        <v>12</v>
      </c>
      <c r="F14">
        <v>10</v>
      </c>
      <c r="H14">
        <v>12</v>
      </c>
      <c r="I14">
        <v>8</v>
      </c>
      <c r="S14">
        <v>12</v>
      </c>
      <c r="T14">
        <f t="shared" si="0"/>
        <v>8</v>
      </c>
      <c r="AD14">
        <v>12</v>
      </c>
      <c r="AE14">
        <v>28</v>
      </c>
    </row>
    <row r="15" spans="1:33" x14ac:dyDescent="0.3">
      <c r="E15">
        <v>13</v>
      </c>
      <c r="F15">
        <v>7</v>
      </c>
      <c r="H15">
        <v>13</v>
      </c>
      <c r="I15">
        <v>6</v>
      </c>
      <c r="S15">
        <v>13</v>
      </c>
      <c r="T15">
        <f t="shared" si="0"/>
        <v>6</v>
      </c>
      <c r="AD15">
        <v>13</v>
      </c>
      <c r="AE15">
        <v>26</v>
      </c>
    </row>
    <row r="16" spans="1:33" x14ac:dyDescent="0.3">
      <c r="E16">
        <v>14</v>
      </c>
      <c r="F16">
        <v>4</v>
      </c>
      <c r="H16">
        <v>14</v>
      </c>
      <c r="I16">
        <v>4</v>
      </c>
      <c r="S16">
        <v>14</v>
      </c>
      <c r="T16">
        <f t="shared" si="0"/>
        <v>3</v>
      </c>
      <c r="AD16">
        <v>14</v>
      </c>
      <c r="AE16">
        <v>24</v>
      </c>
    </row>
    <row r="18" spans="4:31" x14ac:dyDescent="0.3">
      <c r="E18" t="s">
        <v>65</v>
      </c>
      <c r="F18">
        <f>SUM(F3:F16)</f>
        <v>368</v>
      </c>
      <c r="H18" t="s">
        <v>65</v>
      </c>
      <c r="I18">
        <f>SUM(I3:I16)</f>
        <v>394</v>
      </c>
      <c r="J18" t="s">
        <v>69</v>
      </c>
      <c r="S18" t="s">
        <v>65</v>
      </c>
      <c r="T18">
        <f>SUM(T3:T16)</f>
        <v>394</v>
      </c>
      <c r="AD18" t="s">
        <v>65</v>
      </c>
      <c r="AE18">
        <f>SUM(AE3:AE16)</f>
        <v>518</v>
      </c>
    </row>
    <row r="19" spans="4:31" x14ac:dyDescent="0.3">
      <c r="H19" t="s">
        <v>65</v>
      </c>
      <c r="I19">
        <f>SUM(I3:I12)</f>
        <v>366</v>
      </c>
      <c r="J19" t="s">
        <v>70</v>
      </c>
      <c r="S19" t="s">
        <v>65</v>
      </c>
      <c r="T19">
        <f>SUM(T3:T12)</f>
        <v>366</v>
      </c>
      <c r="AD19" t="s">
        <v>65</v>
      </c>
      <c r="AE19">
        <f>SUM(AE3:AE12)</f>
        <v>410</v>
      </c>
    </row>
    <row r="22" spans="4:31" x14ac:dyDescent="0.3">
      <c r="D22" t="s">
        <v>66</v>
      </c>
      <c r="E22" t="s">
        <v>67</v>
      </c>
      <c r="F22" t="s">
        <v>68</v>
      </c>
    </row>
    <row r="23" spans="4:31" x14ac:dyDescent="0.3">
      <c r="D23">
        <f>15000/50</f>
        <v>300</v>
      </c>
      <c r="E23">
        <v>14</v>
      </c>
      <c r="F23">
        <f>300*14</f>
        <v>4200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13"/>
  <sheetViews>
    <sheetView topLeftCell="AL1" workbookViewId="0">
      <selection activeCell="AR24" sqref="AR24"/>
    </sheetView>
  </sheetViews>
  <sheetFormatPr defaultRowHeight="14.4" x14ac:dyDescent="0.3"/>
  <cols>
    <col min="18" max="18" width="12" bestFit="1" customWidth="1"/>
    <col min="20" max="20" width="8" bestFit="1" customWidth="1"/>
    <col min="21" max="21" width="10.88671875" bestFit="1" customWidth="1"/>
    <col min="22" max="22" width="10.21875" bestFit="1" customWidth="1"/>
    <col min="23" max="36" width="5.5546875" bestFit="1" customWidth="1"/>
  </cols>
  <sheetData>
    <row r="1" spans="2:51" x14ac:dyDescent="0.3">
      <c r="S1" t="s">
        <v>83</v>
      </c>
      <c r="AM1" t="s">
        <v>86</v>
      </c>
    </row>
    <row r="2" spans="2:51" x14ac:dyDescent="0.3">
      <c r="B2" t="s">
        <v>73</v>
      </c>
      <c r="C2" t="s">
        <v>74</v>
      </c>
      <c r="D2" t="s">
        <v>75</v>
      </c>
      <c r="E2" t="s">
        <v>76</v>
      </c>
      <c r="M2" t="s">
        <v>77</v>
      </c>
      <c r="U2" s="1" t="s">
        <v>84</v>
      </c>
      <c r="V2" s="1" t="s">
        <v>85</v>
      </c>
      <c r="AP2" s="1"/>
      <c r="AR2" s="1">
        <v>400</v>
      </c>
      <c r="AS2" s="1" t="s">
        <v>87</v>
      </c>
    </row>
    <row r="3" spans="2:51" x14ac:dyDescent="0.3">
      <c r="B3">
        <v>5</v>
      </c>
      <c r="C3">
        <v>0.9</v>
      </c>
      <c r="D3">
        <f>B3*C3</f>
        <v>4.5</v>
      </c>
      <c r="E3">
        <f>C3/B3</f>
        <v>0.18</v>
      </c>
      <c r="F3">
        <f>E3*5</f>
        <v>0.89999999999999991</v>
      </c>
      <c r="M3">
        <f>(100-B5*C5)/100</f>
        <v>0.995</v>
      </c>
      <c r="N3">
        <f>(C5*D5)/100</f>
        <v>5.0000000000000001E-4</v>
      </c>
      <c r="U3" t="s">
        <v>73</v>
      </c>
      <c r="AO3" t="s">
        <v>73</v>
      </c>
    </row>
    <row r="4" spans="2:51" x14ac:dyDescent="0.3">
      <c r="B4">
        <v>100</v>
      </c>
      <c r="C4">
        <v>0.9</v>
      </c>
      <c r="D4">
        <f t="shared" ref="D4" si="0">B4*C4</f>
        <v>90</v>
      </c>
      <c r="E4">
        <f t="shared" ref="E4" si="1">C4/B4</f>
        <v>9.0000000000000011E-3</v>
      </c>
      <c r="F4">
        <f t="shared" ref="F4:F9" si="2">E4*5</f>
        <v>4.5000000000000005E-2</v>
      </c>
      <c r="M4">
        <f>(100-B6*C6)/100</f>
        <v>0.9</v>
      </c>
      <c r="N4">
        <f>(C6*D6)/100</f>
        <v>0.01</v>
      </c>
      <c r="U4" s="4">
        <v>0</v>
      </c>
      <c r="V4" s="4">
        <v>10</v>
      </c>
      <c r="W4" s="4">
        <v>20</v>
      </c>
      <c r="X4" s="4">
        <v>30</v>
      </c>
      <c r="Y4" s="4">
        <v>40</v>
      </c>
      <c r="Z4" s="4">
        <v>50</v>
      </c>
      <c r="AA4" s="4">
        <v>60</v>
      </c>
      <c r="AB4" s="4">
        <v>70</v>
      </c>
      <c r="AC4" s="4">
        <v>80</v>
      </c>
      <c r="AD4" s="4">
        <v>90</v>
      </c>
      <c r="AE4" s="4">
        <v>100</v>
      </c>
      <c r="AF4" s="4">
        <v>110</v>
      </c>
      <c r="AG4" s="4">
        <v>120</v>
      </c>
      <c r="AH4" s="4">
        <v>130</v>
      </c>
      <c r="AI4" s="4">
        <v>140</v>
      </c>
      <c r="AJ4" s="4">
        <v>150</v>
      </c>
      <c r="AO4" s="4">
        <v>0</v>
      </c>
      <c r="AP4" s="4">
        <v>10</v>
      </c>
      <c r="AQ4" s="4">
        <v>20</v>
      </c>
      <c r="AR4" s="4">
        <v>30</v>
      </c>
      <c r="AS4" s="4">
        <v>40</v>
      </c>
      <c r="AT4" s="4">
        <v>50</v>
      </c>
      <c r="AU4" s="4">
        <v>60</v>
      </c>
      <c r="AV4" s="4">
        <v>70</v>
      </c>
      <c r="AW4" s="4">
        <v>80</v>
      </c>
      <c r="AX4" s="4">
        <v>90</v>
      </c>
      <c r="AY4" s="4">
        <v>100</v>
      </c>
    </row>
    <row r="5" spans="2:51" x14ac:dyDescent="0.3">
      <c r="B5">
        <v>5</v>
      </c>
      <c r="C5">
        <v>0.1</v>
      </c>
      <c r="D5">
        <f>B5*C5</f>
        <v>0.5</v>
      </c>
      <c r="E5">
        <f>C5/B5</f>
        <v>0.02</v>
      </c>
      <c r="F5">
        <f t="shared" si="2"/>
        <v>0.1</v>
      </c>
      <c r="S5" t="s">
        <v>74</v>
      </c>
      <c r="T5" s="1">
        <v>0</v>
      </c>
      <c r="U5" s="5" t="e">
        <f>1/(1+EXP(-(#REF!*$T5+#REF!*U$4)))-0.5</f>
        <v>#REF!</v>
      </c>
      <c r="V5" s="5" t="e">
        <f>1/(1+EXP(-(#REF!*$T5+#REF!*V$4)))-0.5</f>
        <v>#REF!</v>
      </c>
      <c r="W5" s="5" t="e">
        <f>1/(1+EXP(-(#REF!*$T5+#REF!*W$4)))-0.5</f>
        <v>#REF!</v>
      </c>
      <c r="X5" s="5" t="e">
        <f>1/(1+EXP(-(#REF!*$T5+#REF!*X$4)))-0.5</f>
        <v>#REF!</v>
      </c>
      <c r="Y5" s="5" t="e">
        <f>1/(1+EXP(-(#REF!*$T5+#REF!*Y$4)))-0.5</f>
        <v>#REF!</v>
      </c>
      <c r="Z5" s="5" t="e">
        <f>1/(1+EXP(-(#REF!*$T5+#REF!*Z$4)))-0.5</f>
        <v>#REF!</v>
      </c>
      <c r="AA5" s="5" t="e">
        <f>1/(1+EXP(-(#REF!*$T5+#REF!*AA$4)))-0.5</f>
        <v>#REF!</v>
      </c>
      <c r="AB5" s="5" t="e">
        <f>1/(1+EXP(-(#REF!*$T5+#REF!*AB$4)))-0.5</f>
        <v>#REF!</v>
      </c>
      <c r="AC5" s="5" t="e">
        <f>1/(1+EXP(-(#REF!*$T5+#REF!*AC$4)))-0.5</f>
        <v>#REF!</v>
      </c>
      <c r="AD5" s="5" t="e">
        <f>1/(1+EXP(-(#REF!*$T5+#REF!*AD$4)))-0.5</f>
        <v>#REF!</v>
      </c>
      <c r="AE5" s="5" t="e">
        <f>1/(1+EXP(-(#REF!*$T5+#REF!*AE$4)))-0.5</f>
        <v>#REF!</v>
      </c>
      <c r="AF5" s="5" t="e">
        <f>1/(1+EXP(-(#REF!*$T5+#REF!*AF$4)))-0.5</f>
        <v>#REF!</v>
      </c>
      <c r="AG5" s="5" t="e">
        <f>1/(1+EXP(-(#REF!*$T5+#REF!*AG$4)))-0.5</f>
        <v>#REF!</v>
      </c>
      <c r="AH5" s="5" t="e">
        <f>1/(1+EXP(-(#REF!*$T5+#REF!*AH$4)))-0.5</f>
        <v>#REF!</v>
      </c>
      <c r="AI5" s="5" t="e">
        <f>1/(1+EXP(-(#REF!*$T5+#REF!*AI$4)))-0.5</f>
        <v>#REF!</v>
      </c>
      <c r="AJ5" s="5" t="e">
        <f>1/(1+EXP(-(#REF!*$T5+#REF!*AJ$4)))-0.5</f>
        <v>#REF!</v>
      </c>
      <c r="AM5" t="s">
        <v>74</v>
      </c>
      <c r="AN5" s="1">
        <v>0.01</v>
      </c>
      <c r="AO5" s="5">
        <f t="shared" ref="AO5:AY15" si="3">1-AO$4/($AR$2*$AN5)</f>
        <v>1</v>
      </c>
      <c r="AP5" s="5">
        <f t="shared" si="3"/>
        <v>-1.5</v>
      </c>
      <c r="AQ5" s="5">
        <f t="shared" si="3"/>
        <v>-4</v>
      </c>
      <c r="AR5" s="5">
        <f t="shared" si="3"/>
        <v>-6.5</v>
      </c>
      <c r="AS5" s="5">
        <f t="shared" si="3"/>
        <v>-9</v>
      </c>
      <c r="AT5" s="5">
        <f t="shared" si="3"/>
        <v>-11.5</v>
      </c>
      <c r="AU5" s="5">
        <f t="shared" si="3"/>
        <v>-14</v>
      </c>
      <c r="AV5" s="5">
        <f t="shared" si="3"/>
        <v>-16.5</v>
      </c>
      <c r="AW5" s="5">
        <f t="shared" si="3"/>
        <v>-19</v>
      </c>
      <c r="AX5" s="5">
        <f t="shared" si="3"/>
        <v>-21.5</v>
      </c>
      <c r="AY5" s="5">
        <f t="shared" si="3"/>
        <v>-24</v>
      </c>
    </row>
    <row r="6" spans="2:51" x14ac:dyDescent="0.3">
      <c r="B6">
        <v>100</v>
      </c>
      <c r="C6">
        <v>0.1</v>
      </c>
      <c r="D6">
        <f>B6*C6</f>
        <v>10</v>
      </c>
      <c r="E6">
        <f>C6/B6</f>
        <v>1E-3</v>
      </c>
      <c r="F6">
        <f t="shared" si="2"/>
        <v>5.0000000000000001E-3</v>
      </c>
      <c r="T6" s="1">
        <v>0.1</v>
      </c>
      <c r="U6" s="5" t="e">
        <f>1/(1+EXP(-(#REF!*$T6+#REF!*U$4)))-0.5</f>
        <v>#REF!</v>
      </c>
      <c r="V6" s="5" t="e">
        <f>1/(1+EXP(-(#REF!*$T6+#REF!*V$4)))-0.5</f>
        <v>#REF!</v>
      </c>
      <c r="W6" s="5" t="e">
        <f>1/(1+EXP(-(#REF!*$T6+#REF!*W$4)))-0.5</f>
        <v>#REF!</v>
      </c>
      <c r="X6" s="5" t="e">
        <f>1/(1+EXP(-(#REF!*$T6+#REF!*X$4)))-0.5</f>
        <v>#REF!</v>
      </c>
      <c r="Y6" s="5" t="e">
        <f>1/(1+EXP(-(#REF!*$T6+#REF!*Y$4)))-0.5</f>
        <v>#REF!</v>
      </c>
      <c r="Z6" s="5" t="e">
        <f>1/(1+EXP(-(#REF!*$T6+#REF!*Z$4)))-0.5</f>
        <v>#REF!</v>
      </c>
      <c r="AA6" s="5" t="e">
        <f>1/(1+EXP(-(#REF!*$T6+#REF!*AA$4)))-0.5</f>
        <v>#REF!</v>
      </c>
      <c r="AB6" s="5" t="e">
        <f>1/(1+EXP(-(#REF!*$T6+#REF!*AB$4)))-0.5</f>
        <v>#REF!</v>
      </c>
      <c r="AC6" s="5" t="e">
        <f>1/(1+EXP(-(#REF!*$T6+#REF!*AC$4)))-0.5</f>
        <v>#REF!</v>
      </c>
      <c r="AD6" s="5" t="e">
        <f>1/(1+EXP(-(#REF!*$T6+#REF!*AD$4)))-0.5</f>
        <v>#REF!</v>
      </c>
      <c r="AE6" s="5" t="e">
        <f>1/(1+EXP(-(#REF!*$T6+#REF!*AE$4)))-0.5</f>
        <v>#REF!</v>
      </c>
      <c r="AF6" s="5" t="e">
        <f>1/(1+EXP(-(#REF!*$T6+#REF!*AF$4)))-0.5</f>
        <v>#REF!</v>
      </c>
      <c r="AG6" s="5" t="e">
        <f>1/(1+EXP(-(#REF!*$T6+#REF!*AG$4)))-0.5</f>
        <v>#REF!</v>
      </c>
      <c r="AH6" s="5" t="e">
        <f>1/(1+EXP(-(#REF!*$T6+#REF!*AH$4)))-0.5</f>
        <v>#REF!</v>
      </c>
      <c r="AI6" s="5" t="e">
        <f>1/(1+EXP(-(#REF!*$T6+#REF!*AI$4)))-0.5</f>
        <v>#REF!</v>
      </c>
      <c r="AJ6" s="5" t="e">
        <f>1/(1+EXP(-(#REF!*$T6+#REF!*AJ$4)))-0.5</f>
        <v>#REF!</v>
      </c>
      <c r="AN6" s="1">
        <v>0.1</v>
      </c>
      <c r="AO6" s="5">
        <f t="shared" si="3"/>
        <v>1</v>
      </c>
      <c r="AP6" s="5">
        <f t="shared" si="3"/>
        <v>0.75</v>
      </c>
      <c r="AQ6" s="5">
        <f t="shared" si="3"/>
        <v>0.5</v>
      </c>
      <c r="AR6" s="5">
        <f t="shared" si="3"/>
        <v>0.25</v>
      </c>
      <c r="AS6" s="5">
        <f t="shared" si="3"/>
        <v>0</v>
      </c>
      <c r="AT6" s="5">
        <f t="shared" si="3"/>
        <v>-0.25</v>
      </c>
      <c r="AU6" s="5">
        <f t="shared" si="3"/>
        <v>-0.5</v>
      </c>
      <c r="AV6" s="5">
        <f t="shared" si="3"/>
        <v>-0.75</v>
      </c>
      <c r="AW6" s="5">
        <f t="shared" si="3"/>
        <v>-1</v>
      </c>
      <c r="AX6" s="5">
        <f t="shared" si="3"/>
        <v>-1.25</v>
      </c>
      <c r="AY6" s="5">
        <f t="shared" si="3"/>
        <v>-1.5</v>
      </c>
    </row>
    <row r="7" spans="2:51" x14ac:dyDescent="0.3">
      <c r="B7">
        <v>1</v>
      </c>
      <c r="C7">
        <v>0.02</v>
      </c>
      <c r="D7">
        <f>B7*C7</f>
        <v>0.02</v>
      </c>
      <c r="E7">
        <f>C7/B7</f>
        <v>0.02</v>
      </c>
      <c r="F7">
        <f t="shared" si="2"/>
        <v>0.1</v>
      </c>
      <c r="T7" s="1">
        <v>0.2</v>
      </c>
      <c r="U7" s="5" t="e">
        <f>1/(1+EXP(-(#REF!*$T7+#REF!*U$4)))-0.5</f>
        <v>#REF!</v>
      </c>
      <c r="V7" s="5" t="e">
        <f>1/(1+EXP(-(#REF!*$T7+#REF!*V$4)))-0.5</f>
        <v>#REF!</v>
      </c>
      <c r="W7" s="5" t="e">
        <f>1/(1+EXP(-(#REF!*$T7+#REF!*W$4)))-0.5</f>
        <v>#REF!</v>
      </c>
      <c r="X7" s="5" t="e">
        <f>1/(1+EXP(-(#REF!*$T7+#REF!*X$4)))-0.5</f>
        <v>#REF!</v>
      </c>
      <c r="Y7" s="5" t="e">
        <f>1/(1+EXP(-(#REF!*$T7+#REF!*Y$4)))-0.5</f>
        <v>#REF!</v>
      </c>
      <c r="Z7" s="5" t="e">
        <f>1/(1+EXP(-(#REF!*$T7+#REF!*Z$4)))-0.5</f>
        <v>#REF!</v>
      </c>
      <c r="AA7" s="5" t="e">
        <f>1/(1+EXP(-(#REF!*$T7+#REF!*AA$4)))-0.5</f>
        <v>#REF!</v>
      </c>
      <c r="AB7" s="5" t="e">
        <f>1/(1+EXP(-(#REF!*$T7+#REF!*AB$4)))-0.5</f>
        <v>#REF!</v>
      </c>
      <c r="AC7" s="5" t="e">
        <f>1/(1+EXP(-(#REF!*$T7+#REF!*AC$4)))-0.5</f>
        <v>#REF!</v>
      </c>
      <c r="AD7" s="5" t="e">
        <f>1/(1+EXP(-(#REF!*$T7+#REF!*AD$4)))-0.5</f>
        <v>#REF!</v>
      </c>
      <c r="AE7" s="5" t="e">
        <f>1/(1+EXP(-(#REF!*$T7+#REF!*AE$4)))-0.5</f>
        <v>#REF!</v>
      </c>
      <c r="AF7" s="5" t="e">
        <f>1/(1+EXP(-(#REF!*$T7+#REF!*AF$4)))-0.5</f>
        <v>#REF!</v>
      </c>
      <c r="AG7" s="5" t="e">
        <f>1/(1+EXP(-(#REF!*$T7+#REF!*AG$4)))-0.5</f>
        <v>#REF!</v>
      </c>
      <c r="AH7" s="5" t="e">
        <f>1/(1+EXP(-(#REF!*$T7+#REF!*AH$4)))-0.5</f>
        <v>#REF!</v>
      </c>
      <c r="AI7" s="5" t="e">
        <f>1/(1+EXP(-(#REF!*$T7+#REF!*AI$4)))-0.5</f>
        <v>#REF!</v>
      </c>
      <c r="AJ7" s="5" t="e">
        <f>1/(1+EXP(-(#REF!*$T7+#REF!*AJ$4)))-0.5</f>
        <v>#REF!</v>
      </c>
      <c r="AN7" s="1">
        <v>0.2</v>
      </c>
      <c r="AO7" s="5">
        <f t="shared" si="3"/>
        <v>1</v>
      </c>
      <c r="AP7" s="5">
        <f t="shared" si="3"/>
        <v>0.875</v>
      </c>
      <c r="AQ7" s="5">
        <f t="shared" si="3"/>
        <v>0.75</v>
      </c>
      <c r="AR7" s="5">
        <f t="shared" si="3"/>
        <v>0.625</v>
      </c>
      <c r="AS7" s="5">
        <f t="shared" si="3"/>
        <v>0.5</v>
      </c>
      <c r="AT7" s="5">
        <f t="shared" si="3"/>
        <v>0.375</v>
      </c>
      <c r="AU7" s="5">
        <f t="shared" si="3"/>
        <v>0.25</v>
      </c>
      <c r="AV7" s="5">
        <f t="shared" si="3"/>
        <v>0.125</v>
      </c>
      <c r="AW7" s="5">
        <f t="shared" si="3"/>
        <v>0</v>
      </c>
      <c r="AX7" s="5">
        <f t="shared" si="3"/>
        <v>-0.125</v>
      </c>
      <c r="AY7" s="5">
        <f t="shared" si="3"/>
        <v>-0.25</v>
      </c>
    </row>
    <row r="8" spans="2:51" x14ac:dyDescent="0.3">
      <c r="B8">
        <v>5</v>
      </c>
      <c r="C8">
        <v>0.02</v>
      </c>
      <c r="D8">
        <f>B8*C8</f>
        <v>0.1</v>
      </c>
      <c r="E8">
        <f>C8/B8</f>
        <v>4.0000000000000001E-3</v>
      </c>
      <c r="F8">
        <f t="shared" si="2"/>
        <v>0.02</v>
      </c>
      <c r="T8" s="1">
        <v>0.3</v>
      </c>
      <c r="U8" s="5" t="e">
        <f>1/(1+EXP(-(#REF!*$T8+#REF!*U$4)))-0.5</f>
        <v>#REF!</v>
      </c>
      <c r="V8" s="5" t="e">
        <f>1/(1+EXP(-(#REF!*$T8+#REF!*V$4)))-0.5</f>
        <v>#REF!</v>
      </c>
      <c r="W8" s="5" t="e">
        <f>1/(1+EXP(-(#REF!*$T8+#REF!*W$4)))-0.5</f>
        <v>#REF!</v>
      </c>
      <c r="X8" s="5" t="e">
        <f>1/(1+EXP(-(#REF!*$T8+#REF!*X$4)))-0.5</f>
        <v>#REF!</v>
      </c>
      <c r="Y8" s="5" t="e">
        <f>1/(1+EXP(-(#REF!*$T8+#REF!*Y$4)))-0.5</f>
        <v>#REF!</v>
      </c>
      <c r="Z8" s="5" t="e">
        <f>1/(1+EXP(-(#REF!*$T8+#REF!*Z$4)))-0.5</f>
        <v>#REF!</v>
      </c>
      <c r="AA8" s="5" t="e">
        <f>1/(1+EXP(-(#REF!*$T8+#REF!*AA$4)))-0.5</f>
        <v>#REF!</v>
      </c>
      <c r="AB8" s="5" t="e">
        <f>1/(1+EXP(-(#REF!*$T8+#REF!*AB$4)))-0.5</f>
        <v>#REF!</v>
      </c>
      <c r="AC8" s="5" t="e">
        <f>1/(1+EXP(-(#REF!*$T8+#REF!*AC$4)))-0.5</f>
        <v>#REF!</v>
      </c>
      <c r="AD8" s="5" t="e">
        <f>1/(1+EXP(-(#REF!*$T8+#REF!*AD$4)))-0.5</f>
        <v>#REF!</v>
      </c>
      <c r="AE8" s="5" t="e">
        <f>1/(1+EXP(-(#REF!*$T8+#REF!*AE$4)))-0.5</f>
        <v>#REF!</v>
      </c>
      <c r="AF8" s="5" t="e">
        <f>1/(1+EXP(-(#REF!*$T8+#REF!*AF$4)))-0.5</f>
        <v>#REF!</v>
      </c>
      <c r="AG8" s="5" t="e">
        <f>1/(1+EXP(-(#REF!*$T8+#REF!*AG$4)))-0.5</f>
        <v>#REF!</v>
      </c>
      <c r="AH8" s="5" t="e">
        <f>1/(1+EXP(-(#REF!*$T8+#REF!*AH$4)))-0.5</f>
        <v>#REF!</v>
      </c>
      <c r="AI8" s="5" t="e">
        <f>1/(1+EXP(-(#REF!*$T8+#REF!*AI$4)))-0.5</f>
        <v>#REF!</v>
      </c>
      <c r="AJ8" s="5" t="e">
        <f>1/(1+EXP(-(#REF!*$T8+#REF!*AJ$4)))-0.5</f>
        <v>#REF!</v>
      </c>
      <c r="AN8" s="1">
        <v>0.3</v>
      </c>
      <c r="AO8" s="5">
        <f t="shared" si="3"/>
        <v>1</v>
      </c>
      <c r="AP8" s="5">
        <f t="shared" si="3"/>
        <v>0.91666666666666663</v>
      </c>
      <c r="AQ8" s="5">
        <f t="shared" si="3"/>
        <v>0.83333333333333337</v>
      </c>
      <c r="AR8" s="5">
        <f t="shared" si="3"/>
        <v>0.75</v>
      </c>
      <c r="AS8" s="5">
        <f t="shared" si="3"/>
        <v>0.66666666666666674</v>
      </c>
      <c r="AT8" s="5">
        <f t="shared" si="3"/>
        <v>0.58333333333333326</v>
      </c>
      <c r="AU8" s="5">
        <f t="shared" si="3"/>
        <v>0.5</v>
      </c>
      <c r="AV8" s="5">
        <f t="shared" si="3"/>
        <v>0.41666666666666663</v>
      </c>
      <c r="AW8" s="5">
        <f t="shared" si="3"/>
        <v>0.33333333333333337</v>
      </c>
      <c r="AX8" s="5">
        <f t="shared" si="3"/>
        <v>0.25</v>
      </c>
      <c r="AY8" s="5">
        <f t="shared" si="3"/>
        <v>0.16666666666666663</v>
      </c>
    </row>
    <row r="9" spans="2:51" x14ac:dyDescent="0.3">
      <c r="B9">
        <v>100</v>
      </c>
      <c r="C9">
        <v>0.02</v>
      </c>
      <c r="D9">
        <f>B9*C9</f>
        <v>2</v>
      </c>
      <c r="E9">
        <f>C9/B9</f>
        <v>2.0000000000000001E-4</v>
      </c>
      <c r="F9">
        <f t="shared" si="2"/>
        <v>1E-3</v>
      </c>
      <c r="T9" s="1">
        <v>0.4</v>
      </c>
      <c r="U9" s="5" t="e">
        <f>1/(1+EXP(-(#REF!*$T9+#REF!*U$4)))-0.5</f>
        <v>#REF!</v>
      </c>
      <c r="V9" s="5" t="e">
        <f>1/(1+EXP(-(#REF!*$T9+#REF!*V$4)))-0.5</f>
        <v>#REF!</v>
      </c>
      <c r="W9" s="5" t="e">
        <f>1/(1+EXP(-(#REF!*$T9+#REF!*W$4)))-0.5</f>
        <v>#REF!</v>
      </c>
      <c r="X9" s="5" t="e">
        <f>1/(1+EXP(-(#REF!*$T9+#REF!*X$4)))-0.5</f>
        <v>#REF!</v>
      </c>
      <c r="Y9" s="5" t="e">
        <f>1/(1+EXP(-(#REF!*$T9+#REF!*Y$4)))-0.5</f>
        <v>#REF!</v>
      </c>
      <c r="Z9" s="5" t="e">
        <f>1/(1+EXP(-(#REF!*$T9+#REF!*Z$4)))-0.5</f>
        <v>#REF!</v>
      </c>
      <c r="AA9" s="5" t="e">
        <f>1/(1+EXP(-(#REF!*$T9+#REF!*AA$4)))-0.5</f>
        <v>#REF!</v>
      </c>
      <c r="AB9" s="5" t="e">
        <f>1/(1+EXP(-(#REF!*$T9+#REF!*AB$4)))-0.5</f>
        <v>#REF!</v>
      </c>
      <c r="AC9" s="5" t="e">
        <f>1/(1+EXP(-(#REF!*$T9+#REF!*AC$4)))-0.5</f>
        <v>#REF!</v>
      </c>
      <c r="AD9" s="5" t="e">
        <f>1/(1+EXP(-(#REF!*$T9+#REF!*AD$4)))-0.5</f>
        <v>#REF!</v>
      </c>
      <c r="AE9" s="5" t="e">
        <f>1/(1+EXP(-(#REF!*$T9+#REF!*AE$4)))-0.5</f>
        <v>#REF!</v>
      </c>
      <c r="AF9" s="5" t="e">
        <f>1/(1+EXP(-(#REF!*$T9+#REF!*AF$4)))-0.5</f>
        <v>#REF!</v>
      </c>
      <c r="AG9" s="5" t="e">
        <f>1/(1+EXP(-(#REF!*$T9+#REF!*AG$4)))-0.5</f>
        <v>#REF!</v>
      </c>
      <c r="AH9" s="5" t="e">
        <f>1/(1+EXP(-(#REF!*$T9+#REF!*AH$4)))-0.5</f>
        <v>#REF!</v>
      </c>
      <c r="AI9" s="5" t="e">
        <f>1/(1+EXP(-(#REF!*$T9+#REF!*AI$4)))-0.5</f>
        <v>#REF!</v>
      </c>
      <c r="AJ9" s="5" t="e">
        <f>1/(1+EXP(-(#REF!*$T9+#REF!*AJ$4)))-0.5</f>
        <v>#REF!</v>
      </c>
      <c r="AN9" s="1">
        <v>0.4</v>
      </c>
      <c r="AO9" s="5">
        <f t="shared" si="3"/>
        <v>1</v>
      </c>
      <c r="AP9" s="5">
        <f t="shared" si="3"/>
        <v>0.9375</v>
      </c>
      <c r="AQ9" s="5">
        <f t="shared" si="3"/>
        <v>0.875</v>
      </c>
      <c r="AR9" s="5">
        <f t="shared" si="3"/>
        <v>0.8125</v>
      </c>
      <c r="AS9" s="5">
        <f t="shared" si="3"/>
        <v>0.75</v>
      </c>
      <c r="AT9" s="5">
        <f t="shared" si="3"/>
        <v>0.6875</v>
      </c>
      <c r="AU9" s="5">
        <f t="shared" si="3"/>
        <v>0.625</v>
      </c>
      <c r="AV9" s="5">
        <f t="shared" si="3"/>
        <v>0.5625</v>
      </c>
      <c r="AW9" s="5">
        <f t="shared" si="3"/>
        <v>0.5</v>
      </c>
      <c r="AX9" s="5">
        <f t="shared" si="3"/>
        <v>0.4375</v>
      </c>
      <c r="AY9" s="5">
        <f t="shared" si="3"/>
        <v>0.375</v>
      </c>
    </row>
    <row r="10" spans="2:51" x14ac:dyDescent="0.3">
      <c r="T10" s="1">
        <v>0.5</v>
      </c>
      <c r="U10" s="5" t="e">
        <f>1/(1+EXP(-(#REF!*$T10+#REF!*U$4)))-0.5</f>
        <v>#REF!</v>
      </c>
      <c r="V10" s="5" t="e">
        <f>1/(1+EXP(-(#REF!*$T10+#REF!*V$4)))-0.5</f>
        <v>#REF!</v>
      </c>
      <c r="W10" s="5" t="e">
        <f>1/(1+EXP(-(#REF!*$T10+#REF!*W$4)))-0.5</f>
        <v>#REF!</v>
      </c>
      <c r="X10" s="5" t="e">
        <f>1/(1+EXP(-(#REF!*$T10+#REF!*X$4)))-0.5</f>
        <v>#REF!</v>
      </c>
      <c r="Y10" s="5" t="e">
        <f>1/(1+EXP(-(#REF!*$T10+#REF!*Y$4)))-0.5</f>
        <v>#REF!</v>
      </c>
      <c r="Z10" s="5" t="e">
        <f>1/(1+EXP(-(#REF!*$T10+#REF!*Z$4)))-0.5</f>
        <v>#REF!</v>
      </c>
      <c r="AA10" s="5" t="e">
        <f>1/(1+EXP(-(#REF!*$T10+#REF!*AA$4)))-0.5</f>
        <v>#REF!</v>
      </c>
      <c r="AB10" s="5" t="e">
        <f>1/(1+EXP(-(#REF!*$T10+#REF!*AB$4)))-0.5</f>
        <v>#REF!</v>
      </c>
      <c r="AC10" s="5" t="e">
        <f>1/(1+EXP(-(#REF!*$T10+#REF!*AC$4)))-0.5</f>
        <v>#REF!</v>
      </c>
      <c r="AD10" s="5" t="e">
        <f>1/(1+EXP(-(#REF!*$T10+#REF!*AD$4)))-0.5</f>
        <v>#REF!</v>
      </c>
      <c r="AE10" s="5" t="e">
        <f>1/(1+EXP(-(#REF!*$T10+#REF!*AE$4)))-0.5</f>
        <v>#REF!</v>
      </c>
      <c r="AF10" s="5" t="e">
        <f>1/(1+EXP(-(#REF!*$T10+#REF!*AF$4)))-0.5</f>
        <v>#REF!</v>
      </c>
      <c r="AG10" s="5" t="e">
        <f>1/(1+EXP(-(#REF!*$T10+#REF!*AG$4)))-0.5</f>
        <v>#REF!</v>
      </c>
      <c r="AH10" s="5" t="e">
        <f>1/(1+EXP(-(#REF!*$T10+#REF!*AH$4)))-0.5</f>
        <v>#REF!</v>
      </c>
      <c r="AI10" s="5" t="e">
        <f>1/(1+EXP(-(#REF!*$T10+#REF!*AI$4)))-0.5</f>
        <v>#REF!</v>
      </c>
      <c r="AJ10" s="5" t="e">
        <f>1/(1+EXP(-(#REF!*$T10+#REF!*AJ$4)))-0.5</f>
        <v>#REF!</v>
      </c>
      <c r="AN10" s="1">
        <v>0.5</v>
      </c>
      <c r="AO10" s="5">
        <f t="shared" si="3"/>
        <v>1</v>
      </c>
      <c r="AP10" s="5">
        <f t="shared" si="3"/>
        <v>0.95</v>
      </c>
      <c r="AQ10" s="5">
        <f t="shared" si="3"/>
        <v>0.9</v>
      </c>
      <c r="AR10" s="5">
        <f t="shared" si="3"/>
        <v>0.85</v>
      </c>
      <c r="AS10" s="5">
        <f t="shared" si="3"/>
        <v>0.8</v>
      </c>
      <c r="AT10" s="5">
        <f t="shared" si="3"/>
        <v>0.75</v>
      </c>
      <c r="AU10" s="5">
        <f t="shared" si="3"/>
        <v>0.7</v>
      </c>
      <c r="AV10" s="5">
        <f t="shared" si="3"/>
        <v>0.65</v>
      </c>
      <c r="AW10" s="5">
        <f t="shared" si="3"/>
        <v>0.6</v>
      </c>
      <c r="AX10" s="5">
        <f t="shared" si="3"/>
        <v>0.55000000000000004</v>
      </c>
      <c r="AY10" s="5">
        <f t="shared" si="3"/>
        <v>0.5</v>
      </c>
    </row>
    <row r="11" spans="2:51" x14ac:dyDescent="0.3">
      <c r="D11" t="s">
        <v>79</v>
      </c>
      <c r="E11" t="s">
        <v>80</v>
      </c>
      <c r="T11" s="1">
        <v>0.6</v>
      </c>
      <c r="U11" s="5" t="e">
        <f>1/(1+EXP(-(#REF!*$T11+#REF!*U$4)))-0.5</f>
        <v>#REF!</v>
      </c>
      <c r="V11" s="5" t="e">
        <f>1/(1+EXP(-(#REF!*$T11+#REF!*V$4)))-0.5</f>
        <v>#REF!</v>
      </c>
      <c r="W11" s="5" t="e">
        <f>1/(1+EXP(-(#REF!*$T11+#REF!*W$4)))-0.5</f>
        <v>#REF!</v>
      </c>
      <c r="X11" s="5" t="e">
        <f>1/(1+EXP(-(#REF!*$T11+#REF!*X$4)))-0.5</f>
        <v>#REF!</v>
      </c>
      <c r="Y11" s="5" t="e">
        <f>1/(1+EXP(-(#REF!*$T11+#REF!*Y$4)))-0.5</f>
        <v>#REF!</v>
      </c>
      <c r="Z11" s="5" t="e">
        <f>1/(1+EXP(-(#REF!*$T11+#REF!*Z$4)))-0.5</f>
        <v>#REF!</v>
      </c>
      <c r="AA11" s="5" t="e">
        <f>1/(1+EXP(-(#REF!*$T11+#REF!*AA$4)))-0.5</f>
        <v>#REF!</v>
      </c>
      <c r="AB11" s="5" t="e">
        <f>1/(1+EXP(-(#REF!*$T11+#REF!*AB$4)))-0.5</f>
        <v>#REF!</v>
      </c>
      <c r="AC11" s="5" t="e">
        <f>1/(1+EXP(-(#REF!*$T11+#REF!*AC$4)))-0.5</f>
        <v>#REF!</v>
      </c>
      <c r="AD11" s="5" t="e">
        <f>1/(1+EXP(-(#REF!*$T11+#REF!*AD$4)))-0.5</f>
        <v>#REF!</v>
      </c>
      <c r="AE11" s="5" t="e">
        <f>1/(1+EXP(-(#REF!*$T11+#REF!*AE$4)))-0.5</f>
        <v>#REF!</v>
      </c>
      <c r="AF11" s="5" t="e">
        <f>1/(1+EXP(-(#REF!*$T11+#REF!*AF$4)))-0.5</f>
        <v>#REF!</v>
      </c>
      <c r="AG11" s="5" t="e">
        <f>1/(1+EXP(-(#REF!*$T11+#REF!*AG$4)))-0.5</f>
        <v>#REF!</v>
      </c>
      <c r="AH11" s="5" t="e">
        <f>1/(1+EXP(-(#REF!*$T11+#REF!*AH$4)))-0.5</f>
        <v>#REF!</v>
      </c>
      <c r="AI11" s="5" t="e">
        <f>1/(1+EXP(-(#REF!*$T11+#REF!*AI$4)))-0.5</f>
        <v>#REF!</v>
      </c>
      <c r="AJ11" s="5" t="e">
        <f>1/(1+EXP(-(#REF!*$T11+#REF!*AJ$4)))-0.5</f>
        <v>#REF!</v>
      </c>
      <c r="AN11" s="1">
        <v>0.6</v>
      </c>
      <c r="AO11" s="5">
        <f t="shared" si="3"/>
        <v>1</v>
      </c>
      <c r="AP11" s="5">
        <f t="shared" si="3"/>
        <v>0.95833333333333337</v>
      </c>
      <c r="AQ11" s="5">
        <f t="shared" si="3"/>
        <v>0.91666666666666663</v>
      </c>
      <c r="AR11" s="5">
        <f t="shared" si="3"/>
        <v>0.875</v>
      </c>
      <c r="AS11" s="5">
        <f t="shared" si="3"/>
        <v>0.83333333333333337</v>
      </c>
      <c r="AT11" s="5">
        <f t="shared" si="3"/>
        <v>0.79166666666666663</v>
      </c>
      <c r="AU11" s="5">
        <f t="shared" si="3"/>
        <v>0.75</v>
      </c>
      <c r="AV11" s="5">
        <f t="shared" si="3"/>
        <v>0.70833333333333326</v>
      </c>
      <c r="AW11" s="5">
        <f t="shared" si="3"/>
        <v>0.66666666666666674</v>
      </c>
      <c r="AX11" s="5">
        <f t="shared" si="3"/>
        <v>0.625</v>
      </c>
      <c r="AY11" s="5">
        <f t="shared" si="3"/>
        <v>0.58333333333333326</v>
      </c>
    </row>
    <row r="12" spans="2:51" x14ac:dyDescent="0.3">
      <c r="B12" t="s">
        <v>73</v>
      </c>
      <c r="C12" t="s">
        <v>74</v>
      </c>
      <c r="D12" t="s">
        <v>78</v>
      </c>
      <c r="E12" t="s">
        <v>81</v>
      </c>
      <c r="G12" t="s">
        <v>82</v>
      </c>
      <c r="T12" s="1">
        <v>0.7</v>
      </c>
      <c r="U12" s="5" t="e">
        <f>1/(1+EXP(-(#REF!*$T12+#REF!*U$4)))-0.5</f>
        <v>#REF!</v>
      </c>
      <c r="V12" s="5" t="e">
        <f>1/(1+EXP(-(#REF!*$T12+#REF!*V$4)))-0.5</f>
        <v>#REF!</v>
      </c>
      <c r="W12" s="5" t="e">
        <f>1/(1+EXP(-(#REF!*$T12+#REF!*W$4)))-0.5</f>
        <v>#REF!</v>
      </c>
      <c r="X12" s="5" t="e">
        <f>1/(1+EXP(-(#REF!*$T12+#REF!*X$4)))-0.5</f>
        <v>#REF!</v>
      </c>
      <c r="Y12" s="5" t="e">
        <f>1/(1+EXP(-(#REF!*$T12+#REF!*Y$4)))-0.5</f>
        <v>#REF!</v>
      </c>
      <c r="Z12" s="5" t="e">
        <f>1/(1+EXP(-(#REF!*$T12+#REF!*Z$4)))-0.5</f>
        <v>#REF!</v>
      </c>
      <c r="AA12" s="5" t="e">
        <f>1/(1+EXP(-(#REF!*$T12+#REF!*AA$4)))-0.5</f>
        <v>#REF!</v>
      </c>
      <c r="AB12" s="5" t="e">
        <f>1/(1+EXP(-(#REF!*$T12+#REF!*AB$4)))-0.5</f>
        <v>#REF!</v>
      </c>
      <c r="AC12" s="5" t="e">
        <f>1/(1+EXP(-(#REF!*$T12+#REF!*AC$4)))-0.5</f>
        <v>#REF!</v>
      </c>
      <c r="AD12" s="5" t="e">
        <f>1/(1+EXP(-(#REF!*$T12+#REF!*AD$4)))-0.5</f>
        <v>#REF!</v>
      </c>
      <c r="AE12" s="5" t="e">
        <f>1/(1+EXP(-(#REF!*$T12+#REF!*AE$4)))-0.5</f>
        <v>#REF!</v>
      </c>
      <c r="AF12" s="5" t="e">
        <f>1/(1+EXP(-(#REF!*$T12+#REF!*AF$4)))-0.5</f>
        <v>#REF!</v>
      </c>
      <c r="AG12" s="5" t="e">
        <f>1/(1+EXP(-(#REF!*$T12+#REF!*AG$4)))-0.5</f>
        <v>#REF!</v>
      </c>
      <c r="AH12" s="5" t="e">
        <f>1/(1+EXP(-(#REF!*$T12+#REF!*AH$4)))-0.5</f>
        <v>#REF!</v>
      </c>
      <c r="AI12" s="5" t="e">
        <f>1/(1+EXP(-(#REF!*$T12+#REF!*AI$4)))-0.5</f>
        <v>#REF!</v>
      </c>
      <c r="AJ12" s="5" t="e">
        <f>1/(1+EXP(-(#REF!*$T12+#REF!*AJ$4)))-0.5</f>
        <v>#REF!</v>
      </c>
      <c r="AN12" s="1">
        <v>0.7</v>
      </c>
      <c r="AO12" s="5">
        <f t="shared" si="3"/>
        <v>1</v>
      </c>
      <c r="AP12" s="5">
        <f t="shared" si="3"/>
        <v>0.9642857142857143</v>
      </c>
      <c r="AQ12" s="5">
        <f t="shared" si="3"/>
        <v>0.9285714285714286</v>
      </c>
      <c r="AR12" s="5">
        <f t="shared" si="3"/>
        <v>0.8928571428571429</v>
      </c>
      <c r="AS12" s="5">
        <f t="shared" si="3"/>
        <v>0.85714285714285721</v>
      </c>
      <c r="AT12" s="5">
        <f t="shared" si="3"/>
        <v>0.8214285714285714</v>
      </c>
      <c r="AU12" s="5">
        <f t="shared" si="3"/>
        <v>0.7857142857142857</v>
      </c>
      <c r="AV12" s="5">
        <f t="shared" si="3"/>
        <v>0.75</v>
      </c>
      <c r="AW12" s="5">
        <f t="shared" si="3"/>
        <v>0.7142857142857143</v>
      </c>
      <c r="AX12" s="5">
        <f t="shared" si="3"/>
        <v>0.6785714285714286</v>
      </c>
      <c r="AY12" s="5">
        <f t="shared" si="3"/>
        <v>0.64285714285714279</v>
      </c>
    </row>
    <row r="13" spans="2:51" x14ac:dyDescent="0.3">
      <c r="B13">
        <v>0</v>
      </c>
      <c r="C13">
        <v>0.9</v>
      </c>
      <c r="D13" t="e">
        <f>C13/B13</f>
        <v>#DIV/0!</v>
      </c>
      <c r="E13" t="e">
        <f>LN(C13)-LN(B13)</f>
        <v>#NUM!</v>
      </c>
      <c r="G13">
        <f>-0.004*B13+C13</f>
        <v>0.9</v>
      </c>
      <c r="T13" s="1">
        <v>0.8</v>
      </c>
      <c r="U13" s="5" t="e">
        <f>1/(1+EXP(-(#REF!*$T13+#REF!*U$4)))-0.5</f>
        <v>#REF!</v>
      </c>
      <c r="V13" s="5" t="e">
        <f>1/(1+EXP(-(#REF!*$T13+#REF!*V$4)))-0.5</f>
        <v>#REF!</v>
      </c>
      <c r="W13" s="5" t="e">
        <f>1/(1+EXP(-(#REF!*$T13+#REF!*W$4)))-0.5</f>
        <v>#REF!</v>
      </c>
      <c r="X13" s="5" t="e">
        <f>1/(1+EXP(-(#REF!*$T13+#REF!*X$4)))-0.5</f>
        <v>#REF!</v>
      </c>
      <c r="Y13" s="5" t="e">
        <f>1/(1+EXP(-(#REF!*$T13+#REF!*Y$4)))-0.5</f>
        <v>#REF!</v>
      </c>
      <c r="Z13" s="5" t="e">
        <f>1/(1+EXP(-(#REF!*$T13+#REF!*Z$4)))-0.5</f>
        <v>#REF!</v>
      </c>
      <c r="AA13" s="5" t="e">
        <f>1/(1+EXP(-(#REF!*$T13+#REF!*AA$4)))-0.5</f>
        <v>#REF!</v>
      </c>
      <c r="AB13" s="5" t="e">
        <f>1/(1+EXP(-(#REF!*$T13+#REF!*AB$4)))-0.5</f>
        <v>#REF!</v>
      </c>
      <c r="AC13" s="5" t="e">
        <f>1/(1+EXP(-(#REF!*$T13+#REF!*AC$4)))-0.5</f>
        <v>#REF!</v>
      </c>
      <c r="AD13" s="5" t="e">
        <f>1/(1+EXP(-(#REF!*$T13+#REF!*AD$4)))-0.5</f>
        <v>#REF!</v>
      </c>
      <c r="AE13" s="5" t="e">
        <f>1/(1+EXP(-(#REF!*$T13+#REF!*AE$4)))-0.5</f>
        <v>#REF!</v>
      </c>
      <c r="AF13" s="5" t="e">
        <f>1/(1+EXP(-(#REF!*$T13+#REF!*AF$4)))-0.5</f>
        <v>#REF!</v>
      </c>
      <c r="AG13" s="5" t="e">
        <f>1/(1+EXP(-(#REF!*$T13+#REF!*AG$4)))-0.5</f>
        <v>#REF!</v>
      </c>
      <c r="AH13" s="5" t="e">
        <f>1/(1+EXP(-(#REF!*$T13+#REF!*AH$4)))-0.5</f>
        <v>#REF!</v>
      </c>
      <c r="AI13" s="5" t="e">
        <f>1/(1+EXP(-(#REF!*$T13+#REF!*AI$4)))-0.5</f>
        <v>#REF!</v>
      </c>
      <c r="AJ13" s="5" t="e">
        <f>1/(1+EXP(-(#REF!*$T13+#REF!*AJ$4)))-0.5</f>
        <v>#REF!</v>
      </c>
      <c r="AN13" s="1">
        <v>0.8</v>
      </c>
      <c r="AO13" s="5">
        <f t="shared" si="3"/>
        <v>1</v>
      </c>
      <c r="AP13" s="5">
        <f t="shared" si="3"/>
        <v>0.96875</v>
      </c>
      <c r="AQ13" s="5">
        <f t="shared" si="3"/>
        <v>0.9375</v>
      </c>
      <c r="AR13" s="5">
        <f t="shared" si="3"/>
        <v>0.90625</v>
      </c>
      <c r="AS13" s="5">
        <f t="shared" si="3"/>
        <v>0.875</v>
      </c>
      <c r="AT13" s="5">
        <f t="shared" si="3"/>
        <v>0.84375</v>
      </c>
      <c r="AU13" s="5">
        <f t="shared" si="3"/>
        <v>0.8125</v>
      </c>
      <c r="AV13" s="5">
        <f t="shared" si="3"/>
        <v>0.78125</v>
      </c>
      <c r="AW13" s="5">
        <f t="shared" si="3"/>
        <v>0.75</v>
      </c>
      <c r="AX13" s="5">
        <f t="shared" si="3"/>
        <v>0.71875</v>
      </c>
      <c r="AY13" s="5">
        <f t="shared" si="3"/>
        <v>0.6875</v>
      </c>
    </row>
    <row r="14" spans="2:51" x14ac:dyDescent="0.3">
      <c r="B14">
        <v>1</v>
      </c>
      <c r="C14">
        <v>0.9</v>
      </c>
      <c r="D14">
        <f>C14/B14</f>
        <v>0.9</v>
      </c>
      <c r="E14">
        <f>LN(C14)-LN(B14)</f>
        <v>-0.10536051565782628</v>
      </c>
      <c r="G14">
        <f t="shared" ref="G14:G77" si="4">-0.004*B14+C14</f>
        <v>0.89600000000000002</v>
      </c>
      <c r="T14" s="1">
        <v>0.9</v>
      </c>
      <c r="U14" s="5" t="e">
        <f>1/(1+EXP(-(#REF!*$T14+#REF!*U$4)))-0.5</f>
        <v>#REF!</v>
      </c>
      <c r="V14" s="5" t="e">
        <f>1/(1+EXP(-(#REF!*$T14+#REF!*V$4)))-0.5</f>
        <v>#REF!</v>
      </c>
      <c r="W14" s="5" t="e">
        <f>1/(1+EXP(-(#REF!*$T14+#REF!*W$4)))-0.5</f>
        <v>#REF!</v>
      </c>
      <c r="X14" s="5" t="e">
        <f>1/(1+EXP(-(#REF!*$T14+#REF!*X$4)))-0.5</f>
        <v>#REF!</v>
      </c>
      <c r="Y14" s="5" t="e">
        <f>1/(1+EXP(-(#REF!*$T14+#REF!*Y$4)))-0.5</f>
        <v>#REF!</v>
      </c>
      <c r="Z14" s="5" t="e">
        <f>1/(1+EXP(-(#REF!*$T14+#REF!*Z$4)))-0.5</f>
        <v>#REF!</v>
      </c>
      <c r="AA14" s="5" t="e">
        <f>1/(1+EXP(-(#REF!*$T14+#REF!*AA$4)))-0.5</f>
        <v>#REF!</v>
      </c>
      <c r="AB14" s="5" t="e">
        <f>1/(1+EXP(-(#REF!*$T14+#REF!*AB$4)))-0.5</f>
        <v>#REF!</v>
      </c>
      <c r="AC14" s="5" t="e">
        <f>1/(1+EXP(-(#REF!*$T14+#REF!*AC$4)))-0.5</f>
        <v>#REF!</v>
      </c>
      <c r="AD14" s="5" t="e">
        <f>1/(1+EXP(-(#REF!*$T14+#REF!*AD$4)))-0.5</f>
        <v>#REF!</v>
      </c>
      <c r="AE14" s="5" t="e">
        <f>1/(1+EXP(-(#REF!*$T14+#REF!*AE$4)))-0.5</f>
        <v>#REF!</v>
      </c>
      <c r="AF14" s="5" t="e">
        <f>1/(1+EXP(-(#REF!*$T14+#REF!*AF$4)))-0.5</f>
        <v>#REF!</v>
      </c>
      <c r="AG14" s="5" t="e">
        <f>1/(1+EXP(-(#REF!*$T14+#REF!*AG$4)))-0.5</f>
        <v>#REF!</v>
      </c>
      <c r="AH14" s="5" t="e">
        <f>1/(1+EXP(-(#REF!*$T14+#REF!*AH$4)))-0.5</f>
        <v>#REF!</v>
      </c>
      <c r="AI14" s="5" t="e">
        <f>1/(1+EXP(-(#REF!*$T14+#REF!*AI$4)))-0.5</f>
        <v>#REF!</v>
      </c>
      <c r="AJ14" s="5" t="e">
        <f>1/(1+EXP(-(#REF!*$T14+#REF!*AJ$4)))-0.5</f>
        <v>#REF!</v>
      </c>
      <c r="AN14" s="1">
        <v>0.9</v>
      </c>
      <c r="AO14" s="5">
        <f t="shared" si="3"/>
        <v>1</v>
      </c>
      <c r="AP14" s="5">
        <f t="shared" si="3"/>
        <v>0.97222222222222221</v>
      </c>
      <c r="AQ14" s="5">
        <f t="shared" si="3"/>
        <v>0.94444444444444442</v>
      </c>
      <c r="AR14" s="5">
        <f t="shared" si="3"/>
        <v>0.91666666666666663</v>
      </c>
      <c r="AS14" s="5">
        <f t="shared" si="3"/>
        <v>0.88888888888888884</v>
      </c>
      <c r="AT14" s="5">
        <f t="shared" si="3"/>
        <v>0.86111111111111116</v>
      </c>
      <c r="AU14" s="5">
        <f t="shared" si="3"/>
        <v>0.83333333333333337</v>
      </c>
      <c r="AV14" s="5">
        <f t="shared" si="3"/>
        <v>0.80555555555555558</v>
      </c>
      <c r="AW14" s="5">
        <f t="shared" si="3"/>
        <v>0.77777777777777779</v>
      </c>
      <c r="AX14" s="5">
        <f t="shared" si="3"/>
        <v>0.75</v>
      </c>
      <c r="AY14" s="5">
        <f t="shared" si="3"/>
        <v>0.72222222222222221</v>
      </c>
    </row>
    <row r="15" spans="2:51" x14ac:dyDescent="0.3">
      <c r="B15">
        <v>2</v>
      </c>
      <c r="C15">
        <v>0.9</v>
      </c>
      <c r="D15">
        <f t="shared" ref="D15:D78" si="5">C15/B15</f>
        <v>0.45</v>
      </c>
      <c r="E15">
        <f t="shared" ref="E15:E78" si="6">LN(C15)-LN(B15)</f>
        <v>-0.79850769621777151</v>
      </c>
      <c r="G15">
        <f t="shared" si="4"/>
        <v>0.89200000000000002</v>
      </c>
      <c r="T15" s="1">
        <v>1</v>
      </c>
      <c r="U15" s="5" t="e">
        <f>1/(1+EXP(-(#REF!*$T15+#REF!*U$4)))-0.5</f>
        <v>#REF!</v>
      </c>
      <c r="V15" s="5" t="e">
        <f>1/(1+EXP(-(#REF!*$T15+#REF!*V$4)))-0.5</f>
        <v>#REF!</v>
      </c>
      <c r="W15" s="5" t="e">
        <f>1/(1+EXP(-(#REF!*$T15+#REF!*W$4)))-0.5</f>
        <v>#REF!</v>
      </c>
      <c r="X15" s="5" t="e">
        <f>1/(1+EXP(-(#REF!*$T15+#REF!*X$4)))-0.5</f>
        <v>#REF!</v>
      </c>
      <c r="Y15" s="5" t="e">
        <f>1/(1+EXP(-(#REF!*$T15+#REF!*Y$4)))-0.5</f>
        <v>#REF!</v>
      </c>
      <c r="Z15" s="5" t="e">
        <f>1/(1+EXP(-(#REF!*$T15+#REF!*Z$4)))-0.5</f>
        <v>#REF!</v>
      </c>
      <c r="AA15" s="5" t="e">
        <f>1/(1+EXP(-(#REF!*$T15+#REF!*AA$4)))-0.5</f>
        <v>#REF!</v>
      </c>
      <c r="AB15" s="5" t="e">
        <f>1/(1+EXP(-(#REF!*$T15+#REF!*AB$4)))-0.5</f>
        <v>#REF!</v>
      </c>
      <c r="AC15" s="5" t="e">
        <f>1/(1+EXP(-(#REF!*$T15+#REF!*AC$4)))-0.5</f>
        <v>#REF!</v>
      </c>
      <c r="AD15" s="5" t="e">
        <f>1/(1+EXP(-(#REF!*$T15+#REF!*AD$4)))-0.5</f>
        <v>#REF!</v>
      </c>
      <c r="AE15" s="5" t="e">
        <f>1/(1+EXP(-(#REF!*$T15+#REF!*AE$4)))-0.5</f>
        <v>#REF!</v>
      </c>
      <c r="AF15" s="5" t="e">
        <f>1/(1+EXP(-(#REF!*$T15+#REF!*AF$4)))-0.5</f>
        <v>#REF!</v>
      </c>
      <c r="AG15" s="5" t="e">
        <f>1/(1+EXP(-(#REF!*$T15+#REF!*AG$4)))-0.5</f>
        <v>#REF!</v>
      </c>
      <c r="AH15" s="5" t="e">
        <f>1/(1+EXP(-(#REF!*$T15+#REF!*AH$4)))-0.5</f>
        <v>#REF!</v>
      </c>
      <c r="AI15" s="5" t="e">
        <f>1/(1+EXP(-(#REF!*$T15+#REF!*AI$4)))-0.5</f>
        <v>#REF!</v>
      </c>
      <c r="AJ15" s="5" t="e">
        <f>1/(1+EXP(-(#REF!*$T15+#REF!*AJ$4)))-0.5</f>
        <v>#REF!</v>
      </c>
      <c r="AN15" s="1">
        <v>1</v>
      </c>
      <c r="AO15" s="5">
        <f t="shared" si="3"/>
        <v>1</v>
      </c>
      <c r="AP15" s="5">
        <f t="shared" si="3"/>
        <v>0.97499999999999998</v>
      </c>
      <c r="AQ15" s="5">
        <f t="shared" si="3"/>
        <v>0.95</v>
      </c>
      <c r="AR15" s="5">
        <f t="shared" si="3"/>
        <v>0.92500000000000004</v>
      </c>
      <c r="AS15" s="5">
        <f t="shared" si="3"/>
        <v>0.9</v>
      </c>
      <c r="AT15" s="5">
        <f t="shared" si="3"/>
        <v>0.875</v>
      </c>
      <c r="AU15" s="5">
        <f t="shared" si="3"/>
        <v>0.85</v>
      </c>
      <c r="AV15" s="5">
        <f t="shared" si="3"/>
        <v>0.82499999999999996</v>
      </c>
      <c r="AW15" s="5">
        <f t="shared" si="3"/>
        <v>0.8</v>
      </c>
      <c r="AX15" s="5">
        <f t="shared" si="3"/>
        <v>0.77500000000000002</v>
      </c>
      <c r="AY15" s="5">
        <f t="shared" si="3"/>
        <v>0.75</v>
      </c>
    </row>
    <row r="16" spans="2:51" x14ac:dyDescent="0.3">
      <c r="B16">
        <v>3</v>
      </c>
      <c r="C16">
        <v>0.9</v>
      </c>
      <c r="D16">
        <f t="shared" si="5"/>
        <v>0.3</v>
      </c>
      <c r="E16">
        <f t="shared" si="6"/>
        <v>-1.2039728043259361</v>
      </c>
      <c r="G16">
        <f t="shared" si="4"/>
        <v>0.88800000000000001</v>
      </c>
    </row>
    <row r="17" spans="2:51" x14ac:dyDescent="0.3">
      <c r="B17">
        <v>4</v>
      </c>
      <c r="C17">
        <v>0.9</v>
      </c>
      <c r="D17">
        <f t="shared" si="5"/>
        <v>0.22500000000000001</v>
      </c>
      <c r="E17">
        <f t="shared" si="6"/>
        <v>-1.4916548767777169</v>
      </c>
      <c r="G17">
        <f t="shared" si="4"/>
        <v>0.88400000000000001</v>
      </c>
      <c r="AO17" t="s">
        <v>73</v>
      </c>
    </row>
    <row r="18" spans="2:51" x14ac:dyDescent="0.3">
      <c r="B18">
        <v>5</v>
      </c>
      <c r="C18">
        <v>0.9</v>
      </c>
      <c r="D18">
        <f t="shared" si="5"/>
        <v>0.18</v>
      </c>
      <c r="E18">
        <f t="shared" si="6"/>
        <v>-1.7147984280919266</v>
      </c>
      <c r="G18">
        <f t="shared" si="4"/>
        <v>0.88</v>
      </c>
      <c r="AO18" s="4">
        <v>0</v>
      </c>
      <c r="AP18" s="4">
        <v>10</v>
      </c>
      <c r="AQ18" s="4">
        <v>20</v>
      </c>
      <c r="AR18" s="4">
        <v>30</v>
      </c>
      <c r="AS18" s="4">
        <v>40</v>
      </c>
      <c r="AT18" s="4">
        <v>50</v>
      </c>
      <c r="AU18" s="4">
        <v>60</v>
      </c>
      <c r="AV18" s="4">
        <v>70</v>
      </c>
      <c r="AW18" s="4">
        <v>80</v>
      </c>
      <c r="AX18" s="4">
        <v>90</v>
      </c>
      <c r="AY18" s="4">
        <v>100</v>
      </c>
    </row>
    <row r="19" spans="2:51" x14ac:dyDescent="0.3">
      <c r="B19">
        <v>6</v>
      </c>
      <c r="C19">
        <v>0.9</v>
      </c>
      <c r="D19">
        <f t="shared" si="5"/>
        <v>0.15</v>
      </c>
      <c r="E19">
        <f t="shared" si="6"/>
        <v>-1.8971199848858813</v>
      </c>
      <c r="G19">
        <f t="shared" si="4"/>
        <v>0.876</v>
      </c>
      <c r="AA19">
        <f>EXP(0)</f>
        <v>1</v>
      </c>
      <c r="AM19" t="s">
        <v>74</v>
      </c>
      <c r="AN19" s="1">
        <v>0.01</v>
      </c>
      <c r="AO19" s="5">
        <f>1-AO$18/($AR$2)</f>
        <v>1</v>
      </c>
      <c r="AP19" s="5">
        <f>1-AP$18/($AR$2)</f>
        <v>0.97499999999999998</v>
      </c>
      <c r="AQ19" s="5">
        <f t="shared" ref="AQ19:AY19" si="7">1-AQ$18/($AR$2)</f>
        <v>0.95</v>
      </c>
      <c r="AR19" s="5">
        <f t="shared" si="7"/>
        <v>0.92500000000000004</v>
      </c>
      <c r="AS19" s="5">
        <f t="shared" si="7"/>
        <v>0.9</v>
      </c>
      <c r="AT19" s="5">
        <f t="shared" si="7"/>
        <v>0.875</v>
      </c>
      <c r="AU19" s="5">
        <f t="shared" si="7"/>
        <v>0.85</v>
      </c>
      <c r="AV19" s="5">
        <f t="shared" si="7"/>
        <v>0.82499999999999996</v>
      </c>
      <c r="AW19" s="5">
        <f t="shared" si="7"/>
        <v>0.8</v>
      </c>
      <c r="AX19" s="5">
        <f t="shared" si="7"/>
        <v>0.77500000000000002</v>
      </c>
      <c r="AY19" s="5">
        <f t="shared" si="7"/>
        <v>0.75</v>
      </c>
    </row>
    <row r="20" spans="2:51" x14ac:dyDescent="0.3">
      <c r="B20">
        <v>7</v>
      </c>
      <c r="C20">
        <v>0.9</v>
      </c>
      <c r="D20">
        <f t="shared" si="5"/>
        <v>0.12857142857142859</v>
      </c>
      <c r="E20">
        <f t="shared" si="6"/>
        <v>-2.0512706647131393</v>
      </c>
      <c r="G20">
        <f t="shared" si="4"/>
        <v>0.872</v>
      </c>
      <c r="AN20" s="1">
        <v>0.1</v>
      </c>
      <c r="AO20" s="5">
        <f t="shared" ref="AO20:AY29" si="8">1-AO$18/($AR$2)</f>
        <v>1</v>
      </c>
      <c r="AP20" s="5">
        <f t="shared" si="8"/>
        <v>0.97499999999999998</v>
      </c>
      <c r="AQ20" s="5">
        <f t="shared" si="8"/>
        <v>0.95</v>
      </c>
      <c r="AR20" s="5">
        <f t="shared" si="8"/>
        <v>0.92500000000000004</v>
      </c>
      <c r="AS20" s="5">
        <f t="shared" si="8"/>
        <v>0.9</v>
      </c>
      <c r="AT20" s="5">
        <f t="shared" si="8"/>
        <v>0.875</v>
      </c>
      <c r="AU20" s="5">
        <f t="shared" si="8"/>
        <v>0.85</v>
      </c>
      <c r="AV20" s="5">
        <f t="shared" si="8"/>
        <v>0.82499999999999996</v>
      </c>
      <c r="AW20" s="5">
        <f t="shared" si="8"/>
        <v>0.8</v>
      </c>
      <c r="AX20" s="5">
        <f t="shared" si="8"/>
        <v>0.77500000000000002</v>
      </c>
      <c r="AY20" s="5">
        <f t="shared" si="8"/>
        <v>0.75</v>
      </c>
    </row>
    <row r="21" spans="2:51" x14ac:dyDescent="0.3">
      <c r="B21">
        <v>8</v>
      </c>
      <c r="C21">
        <v>0.9</v>
      </c>
      <c r="D21">
        <f t="shared" si="5"/>
        <v>0.1125</v>
      </c>
      <c r="E21">
        <f t="shared" si="6"/>
        <v>-2.1848020573376621</v>
      </c>
      <c r="G21">
        <f t="shared" si="4"/>
        <v>0.86799999999999999</v>
      </c>
      <c r="AN21" s="1">
        <v>0.2</v>
      </c>
      <c r="AO21" s="5">
        <f t="shared" si="8"/>
        <v>1</v>
      </c>
      <c r="AP21" s="5">
        <f t="shared" si="8"/>
        <v>0.97499999999999998</v>
      </c>
      <c r="AQ21" s="5">
        <f t="shared" si="8"/>
        <v>0.95</v>
      </c>
      <c r="AR21" s="5">
        <f>1-AR$18/($AR$2)</f>
        <v>0.92500000000000004</v>
      </c>
      <c r="AS21" s="5">
        <f t="shared" si="8"/>
        <v>0.9</v>
      </c>
      <c r="AT21" s="5">
        <f t="shared" si="8"/>
        <v>0.875</v>
      </c>
      <c r="AU21" s="5">
        <f t="shared" si="8"/>
        <v>0.85</v>
      </c>
      <c r="AV21" s="5">
        <f t="shared" si="8"/>
        <v>0.82499999999999996</v>
      </c>
      <c r="AW21" s="5">
        <f t="shared" si="8"/>
        <v>0.8</v>
      </c>
      <c r="AX21" s="5">
        <f t="shared" si="8"/>
        <v>0.77500000000000002</v>
      </c>
      <c r="AY21" s="5">
        <f t="shared" si="8"/>
        <v>0.75</v>
      </c>
    </row>
    <row r="22" spans="2:51" x14ac:dyDescent="0.3">
      <c r="B22">
        <v>9</v>
      </c>
      <c r="C22">
        <v>0.9</v>
      </c>
      <c r="D22">
        <f t="shared" si="5"/>
        <v>0.1</v>
      </c>
      <c r="E22">
        <f t="shared" si="6"/>
        <v>-2.3025850929940459</v>
      </c>
      <c r="G22">
        <f t="shared" si="4"/>
        <v>0.86399999999999999</v>
      </c>
      <c r="AN22" s="1">
        <v>0.3</v>
      </c>
      <c r="AO22" s="5">
        <f t="shared" si="8"/>
        <v>1</v>
      </c>
      <c r="AP22" s="5">
        <f t="shared" si="8"/>
        <v>0.97499999999999998</v>
      </c>
      <c r="AQ22" s="5">
        <f t="shared" si="8"/>
        <v>0.95</v>
      </c>
      <c r="AR22" s="5">
        <f t="shared" si="8"/>
        <v>0.92500000000000004</v>
      </c>
      <c r="AS22" s="5">
        <f t="shared" si="8"/>
        <v>0.9</v>
      </c>
      <c r="AT22" s="5">
        <f t="shared" si="8"/>
        <v>0.875</v>
      </c>
      <c r="AU22" s="5">
        <f t="shared" si="8"/>
        <v>0.85</v>
      </c>
      <c r="AV22" s="5">
        <f t="shared" si="8"/>
        <v>0.82499999999999996</v>
      </c>
      <c r="AW22" s="5">
        <f t="shared" si="8"/>
        <v>0.8</v>
      </c>
      <c r="AX22" s="5">
        <f t="shared" si="8"/>
        <v>0.77500000000000002</v>
      </c>
      <c r="AY22" s="5">
        <f t="shared" si="8"/>
        <v>0.75</v>
      </c>
    </row>
    <row r="23" spans="2:51" x14ac:dyDescent="0.3">
      <c r="B23">
        <v>10</v>
      </c>
      <c r="C23">
        <v>0.9</v>
      </c>
      <c r="D23">
        <f t="shared" si="5"/>
        <v>0.09</v>
      </c>
      <c r="E23">
        <f t="shared" si="6"/>
        <v>-2.4079456086518722</v>
      </c>
      <c r="G23">
        <f t="shared" si="4"/>
        <v>0.86</v>
      </c>
      <c r="AN23" s="1">
        <v>0.4</v>
      </c>
      <c r="AO23" s="5">
        <f t="shared" si="8"/>
        <v>1</v>
      </c>
      <c r="AP23" s="5">
        <f t="shared" si="8"/>
        <v>0.97499999999999998</v>
      </c>
      <c r="AQ23" s="5">
        <f t="shared" si="8"/>
        <v>0.95</v>
      </c>
      <c r="AR23" s="5">
        <f t="shared" si="8"/>
        <v>0.92500000000000004</v>
      </c>
      <c r="AS23" s="5">
        <f t="shared" si="8"/>
        <v>0.9</v>
      </c>
      <c r="AT23" s="5">
        <f t="shared" si="8"/>
        <v>0.875</v>
      </c>
      <c r="AU23" s="5">
        <f t="shared" si="8"/>
        <v>0.85</v>
      </c>
      <c r="AV23" s="5">
        <f t="shared" si="8"/>
        <v>0.82499999999999996</v>
      </c>
      <c r="AW23" s="5">
        <f t="shared" si="8"/>
        <v>0.8</v>
      </c>
      <c r="AX23" s="5">
        <f t="shared" si="8"/>
        <v>0.77500000000000002</v>
      </c>
      <c r="AY23" s="5">
        <f t="shared" si="8"/>
        <v>0.75</v>
      </c>
    </row>
    <row r="24" spans="2:51" x14ac:dyDescent="0.3">
      <c r="B24">
        <v>11</v>
      </c>
      <c r="C24">
        <v>0.9</v>
      </c>
      <c r="D24">
        <f t="shared" si="5"/>
        <v>8.1818181818181818E-2</v>
      </c>
      <c r="E24">
        <f t="shared" si="6"/>
        <v>-2.503255788456197</v>
      </c>
      <c r="G24">
        <f t="shared" si="4"/>
        <v>0.85599999999999998</v>
      </c>
      <c r="AN24" s="1">
        <v>0.5</v>
      </c>
      <c r="AO24" s="5">
        <f t="shared" si="8"/>
        <v>1</v>
      </c>
      <c r="AP24" s="5">
        <f t="shared" si="8"/>
        <v>0.97499999999999998</v>
      </c>
      <c r="AQ24" s="5">
        <f t="shared" si="8"/>
        <v>0.95</v>
      </c>
      <c r="AR24" s="5">
        <f t="shared" si="8"/>
        <v>0.92500000000000004</v>
      </c>
      <c r="AS24" s="5">
        <f t="shared" si="8"/>
        <v>0.9</v>
      </c>
      <c r="AT24" s="5">
        <f t="shared" si="8"/>
        <v>0.875</v>
      </c>
      <c r="AU24" s="5">
        <f t="shared" si="8"/>
        <v>0.85</v>
      </c>
      <c r="AV24" s="5">
        <f t="shared" si="8"/>
        <v>0.82499999999999996</v>
      </c>
      <c r="AW24" s="5">
        <f t="shared" si="8"/>
        <v>0.8</v>
      </c>
      <c r="AX24" s="5">
        <f t="shared" si="8"/>
        <v>0.77500000000000002</v>
      </c>
      <c r="AY24" s="5">
        <f t="shared" si="8"/>
        <v>0.75</v>
      </c>
    </row>
    <row r="25" spans="2:51" x14ac:dyDescent="0.3">
      <c r="B25">
        <v>12</v>
      </c>
      <c r="C25">
        <v>0.9</v>
      </c>
      <c r="D25">
        <f t="shared" si="5"/>
        <v>7.4999999999999997E-2</v>
      </c>
      <c r="E25">
        <f t="shared" si="6"/>
        <v>-2.5902671654458267</v>
      </c>
      <c r="G25">
        <f t="shared" si="4"/>
        <v>0.85199999999999998</v>
      </c>
      <c r="AN25" s="1">
        <v>0.6</v>
      </c>
      <c r="AO25" s="5">
        <f t="shared" si="8"/>
        <v>1</v>
      </c>
      <c r="AP25" s="5">
        <f t="shared" si="8"/>
        <v>0.97499999999999998</v>
      </c>
      <c r="AQ25" s="5">
        <f t="shared" si="8"/>
        <v>0.95</v>
      </c>
      <c r="AR25" s="5">
        <f t="shared" si="8"/>
        <v>0.92500000000000004</v>
      </c>
      <c r="AS25" s="5">
        <f t="shared" si="8"/>
        <v>0.9</v>
      </c>
      <c r="AT25" s="5">
        <f t="shared" si="8"/>
        <v>0.875</v>
      </c>
      <c r="AU25" s="5">
        <f t="shared" si="8"/>
        <v>0.85</v>
      </c>
      <c r="AV25" s="5">
        <f t="shared" si="8"/>
        <v>0.82499999999999996</v>
      </c>
      <c r="AW25" s="5">
        <f t="shared" si="8"/>
        <v>0.8</v>
      </c>
      <c r="AX25" s="5">
        <f t="shared" si="8"/>
        <v>0.77500000000000002</v>
      </c>
      <c r="AY25" s="5">
        <f t="shared" si="8"/>
        <v>0.75</v>
      </c>
    </row>
    <row r="26" spans="2:51" x14ac:dyDescent="0.3">
      <c r="B26">
        <v>13</v>
      </c>
      <c r="C26">
        <v>0.9</v>
      </c>
      <c r="D26">
        <f t="shared" si="5"/>
        <v>6.9230769230769235E-2</v>
      </c>
      <c r="E26">
        <f t="shared" si="6"/>
        <v>-2.6703098731193631</v>
      </c>
      <c r="G26">
        <f t="shared" si="4"/>
        <v>0.84799999999999998</v>
      </c>
      <c r="AN26" s="1">
        <v>0.7</v>
      </c>
      <c r="AO26" s="5">
        <f t="shared" si="8"/>
        <v>1</v>
      </c>
      <c r="AP26" s="5">
        <f t="shared" si="8"/>
        <v>0.97499999999999998</v>
      </c>
      <c r="AQ26" s="5">
        <f t="shared" si="8"/>
        <v>0.95</v>
      </c>
      <c r="AR26" s="5">
        <f t="shared" si="8"/>
        <v>0.92500000000000004</v>
      </c>
      <c r="AS26" s="5">
        <f t="shared" si="8"/>
        <v>0.9</v>
      </c>
      <c r="AT26" s="5">
        <f t="shared" si="8"/>
        <v>0.875</v>
      </c>
      <c r="AU26" s="5">
        <f t="shared" si="8"/>
        <v>0.85</v>
      </c>
      <c r="AV26" s="5">
        <f t="shared" si="8"/>
        <v>0.82499999999999996</v>
      </c>
      <c r="AW26" s="5">
        <f t="shared" si="8"/>
        <v>0.8</v>
      </c>
      <c r="AX26" s="5">
        <f t="shared" si="8"/>
        <v>0.77500000000000002</v>
      </c>
      <c r="AY26" s="5">
        <f t="shared" si="8"/>
        <v>0.75</v>
      </c>
    </row>
    <row r="27" spans="2:51" x14ac:dyDescent="0.3">
      <c r="B27">
        <v>14</v>
      </c>
      <c r="C27">
        <v>0.9</v>
      </c>
      <c r="D27">
        <f t="shared" si="5"/>
        <v>6.4285714285714293E-2</v>
      </c>
      <c r="E27">
        <f t="shared" si="6"/>
        <v>-2.7444178452730847</v>
      </c>
      <c r="G27">
        <f t="shared" si="4"/>
        <v>0.84399999999999997</v>
      </c>
      <c r="AN27" s="1">
        <v>0.8</v>
      </c>
      <c r="AO27" s="5">
        <f t="shared" si="8"/>
        <v>1</v>
      </c>
      <c r="AP27" s="5">
        <f t="shared" si="8"/>
        <v>0.97499999999999998</v>
      </c>
      <c r="AQ27" s="5">
        <f t="shared" si="8"/>
        <v>0.95</v>
      </c>
      <c r="AR27" s="5">
        <f t="shared" si="8"/>
        <v>0.92500000000000004</v>
      </c>
      <c r="AS27" s="5">
        <f t="shared" si="8"/>
        <v>0.9</v>
      </c>
      <c r="AT27" s="5">
        <f t="shared" si="8"/>
        <v>0.875</v>
      </c>
      <c r="AU27" s="5">
        <f t="shared" si="8"/>
        <v>0.85</v>
      </c>
      <c r="AV27" s="5">
        <f t="shared" si="8"/>
        <v>0.82499999999999996</v>
      </c>
      <c r="AW27" s="5">
        <f t="shared" si="8"/>
        <v>0.8</v>
      </c>
      <c r="AX27" s="5">
        <f t="shared" si="8"/>
        <v>0.77500000000000002</v>
      </c>
      <c r="AY27" s="5">
        <f t="shared" si="8"/>
        <v>0.75</v>
      </c>
    </row>
    <row r="28" spans="2:51" x14ac:dyDescent="0.3">
      <c r="B28">
        <v>15</v>
      </c>
      <c r="C28">
        <v>0.9</v>
      </c>
      <c r="D28">
        <f t="shared" si="5"/>
        <v>6.0000000000000005E-2</v>
      </c>
      <c r="E28">
        <f t="shared" si="6"/>
        <v>-2.8134107167600364</v>
      </c>
      <c r="G28">
        <f t="shared" si="4"/>
        <v>0.84000000000000008</v>
      </c>
      <c r="AN28" s="1">
        <v>0.9</v>
      </c>
      <c r="AO28" s="5">
        <f t="shared" si="8"/>
        <v>1</v>
      </c>
      <c r="AP28" s="5">
        <f t="shared" si="8"/>
        <v>0.97499999999999998</v>
      </c>
      <c r="AQ28" s="5">
        <f t="shared" si="8"/>
        <v>0.95</v>
      </c>
      <c r="AR28" s="5">
        <f t="shared" si="8"/>
        <v>0.92500000000000004</v>
      </c>
      <c r="AS28" s="5">
        <f t="shared" si="8"/>
        <v>0.9</v>
      </c>
      <c r="AT28" s="5">
        <f t="shared" si="8"/>
        <v>0.875</v>
      </c>
      <c r="AU28" s="5">
        <f t="shared" si="8"/>
        <v>0.85</v>
      </c>
      <c r="AV28" s="5">
        <f t="shared" si="8"/>
        <v>0.82499999999999996</v>
      </c>
      <c r="AW28" s="5">
        <f t="shared" si="8"/>
        <v>0.8</v>
      </c>
      <c r="AX28" s="5">
        <f t="shared" si="8"/>
        <v>0.77500000000000002</v>
      </c>
      <c r="AY28" s="5">
        <f t="shared" si="8"/>
        <v>0.75</v>
      </c>
    </row>
    <row r="29" spans="2:51" x14ac:dyDescent="0.3">
      <c r="B29">
        <v>16</v>
      </c>
      <c r="C29">
        <v>0.9</v>
      </c>
      <c r="D29">
        <f t="shared" si="5"/>
        <v>5.6250000000000001E-2</v>
      </c>
      <c r="E29">
        <f t="shared" si="6"/>
        <v>-2.8779492378976075</v>
      </c>
      <c r="G29">
        <f t="shared" si="4"/>
        <v>0.83600000000000008</v>
      </c>
      <c r="AN29" s="1">
        <v>1</v>
      </c>
      <c r="AO29" s="5">
        <f t="shared" si="8"/>
        <v>1</v>
      </c>
      <c r="AP29" s="5">
        <f t="shared" si="8"/>
        <v>0.97499999999999998</v>
      </c>
      <c r="AQ29" s="5">
        <f t="shared" si="8"/>
        <v>0.95</v>
      </c>
      <c r="AR29" s="5">
        <f t="shared" si="8"/>
        <v>0.92500000000000004</v>
      </c>
      <c r="AS29" s="5">
        <f t="shared" si="8"/>
        <v>0.9</v>
      </c>
      <c r="AT29" s="5">
        <f t="shared" si="8"/>
        <v>0.875</v>
      </c>
      <c r="AU29" s="5">
        <f t="shared" si="8"/>
        <v>0.85</v>
      </c>
      <c r="AV29" s="5">
        <f t="shared" si="8"/>
        <v>0.82499999999999996</v>
      </c>
      <c r="AW29" s="5">
        <f t="shared" si="8"/>
        <v>0.8</v>
      </c>
      <c r="AX29" s="5">
        <f t="shared" si="8"/>
        <v>0.77500000000000002</v>
      </c>
      <c r="AY29" s="5">
        <f t="shared" si="8"/>
        <v>0.75</v>
      </c>
    </row>
    <row r="30" spans="2:51" x14ac:dyDescent="0.3">
      <c r="B30">
        <v>17</v>
      </c>
      <c r="C30">
        <v>0.9</v>
      </c>
      <c r="D30">
        <f t="shared" si="5"/>
        <v>5.2941176470588235E-2</v>
      </c>
      <c r="E30">
        <f t="shared" si="6"/>
        <v>-2.9385738597140425</v>
      </c>
      <c r="G30">
        <f t="shared" si="4"/>
        <v>0.83200000000000007</v>
      </c>
    </row>
    <row r="31" spans="2:51" x14ac:dyDescent="0.3">
      <c r="B31">
        <v>18</v>
      </c>
      <c r="C31">
        <v>0.9</v>
      </c>
      <c r="D31">
        <f t="shared" si="5"/>
        <v>0.05</v>
      </c>
      <c r="E31">
        <f t="shared" si="6"/>
        <v>-2.9957322735539909</v>
      </c>
      <c r="G31">
        <f t="shared" si="4"/>
        <v>0.82800000000000007</v>
      </c>
    </row>
    <row r="32" spans="2:51" x14ac:dyDescent="0.3">
      <c r="B32">
        <v>19</v>
      </c>
      <c r="C32">
        <v>0.9</v>
      </c>
      <c r="D32">
        <f t="shared" si="5"/>
        <v>4.736842105263158E-2</v>
      </c>
      <c r="E32">
        <f t="shared" si="6"/>
        <v>-3.0497994948242666</v>
      </c>
      <c r="G32">
        <f t="shared" si="4"/>
        <v>0.82400000000000007</v>
      </c>
      <c r="AR32">
        <f>0.75*0.8</f>
        <v>0.60000000000000009</v>
      </c>
      <c r="AS32">
        <f>0.9*0.83</f>
        <v>0.747</v>
      </c>
      <c r="AT32">
        <v>0.02</v>
      </c>
      <c r="AU32">
        <f>SUM(AR32:AT32)</f>
        <v>1.367</v>
      </c>
    </row>
    <row r="33" spans="2:46" x14ac:dyDescent="0.3">
      <c r="B33">
        <v>20</v>
      </c>
      <c r="C33">
        <v>0.9</v>
      </c>
      <c r="D33">
        <f t="shared" si="5"/>
        <v>4.4999999999999998E-2</v>
      </c>
      <c r="E33">
        <f t="shared" si="6"/>
        <v>-3.1010927892118172</v>
      </c>
      <c r="G33">
        <f t="shared" si="4"/>
        <v>0.82000000000000006</v>
      </c>
      <c r="AR33">
        <f>AR32/$AU$32</f>
        <v>0.43891733723482085</v>
      </c>
      <c r="AS33">
        <f t="shared" ref="AS33:AT33" si="9">AS32/$AU$32</f>
        <v>0.54645208485735186</v>
      </c>
      <c r="AT33">
        <f t="shared" si="9"/>
        <v>1.4630577907827359E-2</v>
      </c>
    </row>
    <row r="34" spans="2:46" x14ac:dyDescent="0.3">
      <c r="B34">
        <v>21</v>
      </c>
      <c r="C34">
        <v>0.9</v>
      </c>
      <c r="D34">
        <f t="shared" si="5"/>
        <v>4.2857142857142858E-2</v>
      </c>
      <c r="E34">
        <f t="shared" si="6"/>
        <v>-3.1498829533812494</v>
      </c>
      <c r="G34">
        <f t="shared" si="4"/>
        <v>0.81600000000000006</v>
      </c>
    </row>
    <row r="35" spans="2:46" x14ac:dyDescent="0.3">
      <c r="B35">
        <v>22</v>
      </c>
      <c r="C35">
        <v>0.9</v>
      </c>
      <c r="D35">
        <f t="shared" si="5"/>
        <v>4.0909090909090909E-2</v>
      </c>
      <c r="E35">
        <f t="shared" si="6"/>
        <v>-3.1964029690161424</v>
      </c>
      <c r="G35">
        <f t="shared" si="4"/>
        <v>0.81200000000000006</v>
      </c>
    </row>
    <row r="36" spans="2:46" x14ac:dyDescent="0.3">
      <c r="B36">
        <v>23</v>
      </c>
      <c r="C36">
        <v>0.9</v>
      </c>
      <c r="D36">
        <f t="shared" si="5"/>
        <v>3.9130434782608699E-2</v>
      </c>
      <c r="E36">
        <f t="shared" si="6"/>
        <v>-3.240854731586976</v>
      </c>
      <c r="G36">
        <f t="shared" si="4"/>
        <v>0.80800000000000005</v>
      </c>
    </row>
    <row r="37" spans="2:46" x14ac:dyDescent="0.3">
      <c r="B37">
        <v>24</v>
      </c>
      <c r="C37">
        <v>0.9</v>
      </c>
      <c r="D37">
        <f t="shared" si="5"/>
        <v>3.7499999999999999E-2</v>
      </c>
      <c r="E37">
        <f t="shared" si="6"/>
        <v>-3.2834143460057721</v>
      </c>
      <c r="G37">
        <f t="shared" si="4"/>
        <v>0.80400000000000005</v>
      </c>
    </row>
    <row r="38" spans="2:46" x14ac:dyDescent="0.3">
      <c r="B38">
        <v>25</v>
      </c>
      <c r="C38">
        <v>0.9</v>
      </c>
      <c r="D38">
        <f t="shared" si="5"/>
        <v>3.6000000000000004E-2</v>
      </c>
      <c r="E38">
        <f t="shared" si="6"/>
        <v>-3.3242363405260269</v>
      </c>
      <c r="G38">
        <f t="shared" si="4"/>
        <v>0.8</v>
      </c>
    </row>
    <row r="39" spans="2:46" x14ac:dyDescent="0.3">
      <c r="B39">
        <v>26</v>
      </c>
      <c r="C39">
        <v>0.9</v>
      </c>
      <c r="D39">
        <f t="shared" si="5"/>
        <v>3.4615384615384617E-2</v>
      </c>
      <c r="E39">
        <f t="shared" si="6"/>
        <v>-3.3634570536793085</v>
      </c>
      <c r="G39">
        <f t="shared" si="4"/>
        <v>0.79600000000000004</v>
      </c>
    </row>
    <row r="40" spans="2:46" x14ac:dyDescent="0.3">
      <c r="B40">
        <v>27</v>
      </c>
      <c r="C40">
        <v>0.9</v>
      </c>
      <c r="D40">
        <f t="shared" si="5"/>
        <v>3.3333333333333333E-2</v>
      </c>
      <c r="E40">
        <f t="shared" si="6"/>
        <v>-3.4011973816621555</v>
      </c>
      <c r="G40">
        <f t="shared" si="4"/>
        <v>0.79200000000000004</v>
      </c>
    </row>
    <row r="41" spans="2:46" x14ac:dyDescent="0.3">
      <c r="B41">
        <v>28</v>
      </c>
      <c r="C41">
        <v>0.9</v>
      </c>
      <c r="D41">
        <f t="shared" si="5"/>
        <v>3.2142857142857147E-2</v>
      </c>
      <c r="E41">
        <f t="shared" si="6"/>
        <v>-3.4375650258330301</v>
      </c>
      <c r="G41">
        <f t="shared" si="4"/>
        <v>0.78800000000000003</v>
      </c>
    </row>
    <row r="42" spans="2:46" x14ac:dyDescent="0.3">
      <c r="B42">
        <v>29</v>
      </c>
      <c r="C42">
        <v>0.9</v>
      </c>
      <c r="D42">
        <f t="shared" si="5"/>
        <v>3.1034482758620689E-2</v>
      </c>
      <c r="E42">
        <f t="shared" si="6"/>
        <v>-3.4726563456443005</v>
      </c>
      <c r="G42">
        <f t="shared" si="4"/>
        <v>0.78400000000000003</v>
      </c>
    </row>
    <row r="43" spans="2:46" x14ac:dyDescent="0.3">
      <c r="B43">
        <v>30</v>
      </c>
      <c r="C43">
        <v>0.9</v>
      </c>
      <c r="D43">
        <f t="shared" si="5"/>
        <v>3.0000000000000002E-2</v>
      </c>
      <c r="E43">
        <f t="shared" si="6"/>
        <v>-3.5065578973199818</v>
      </c>
      <c r="G43">
        <f t="shared" si="4"/>
        <v>0.78</v>
      </c>
    </row>
    <row r="44" spans="2:46" x14ac:dyDescent="0.3">
      <c r="B44">
        <v>31</v>
      </c>
      <c r="C44">
        <v>0.9</v>
      </c>
      <c r="D44">
        <f t="shared" si="5"/>
        <v>2.903225806451613E-2</v>
      </c>
      <c r="E44">
        <f t="shared" si="6"/>
        <v>-3.5393477201429726</v>
      </c>
      <c r="G44">
        <f t="shared" si="4"/>
        <v>0.77600000000000002</v>
      </c>
    </row>
    <row r="45" spans="2:46" x14ac:dyDescent="0.3">
      <c r="B45">
        <v>32</v>
      </c>
      <c r="C45">
        <v>0.9</v>
      </c>
      <c r="D45">
        <f t="shared" si="5"/>
        <v>2.8125000000000001E-2</v>
      </c>
      <c r="E45">
        <f t="shared" si="6"/>
        <v>-3.5710964184575529</v>
      </c>
      <c r="G45">
        <f t="shared" si="4"/>
        <v>0.77200000000000002</v>
      </c>
    </row>
    <row r="46" spans="2:46" x14ac:dyDescent="0.3">
      <c r="B46">
        <v>33</v>
      </c>
      <c r="C46">
        <v>0.9</v>
      </c>
      <c r="D46">
        <f t="shared" si="5"/>
        <v>2.7272727272727275E-2</v>
      </c>
      <c r="E46">
        <f t="shared" si="6"/>
        <v>-3.6018680771243066</v>
      </c>
      <c r="G46">
        <f t="shared" si="4"/>
        <v>0.76800000000000002</v>
      </c>
    </row>
    <row r="47" spans="2:46" x14ac:dyDescent="0.3">
      <c r="B47">
        <v>34</v>
      </c>
      <c r="C47">
        <v>0.9</v>
      </c>
      <c r="D47">
        <f t="shared" si="5"/>
        <v>2.6470588235294117E-2</v>
      </c>
      <c r="E47">
        <f t="shared" si="6"/>
        <v>-3.6317210402739879</v>
      </c>
      <c r="G47">
        <f t="shared" si="4"/>
        <v>0.76400000000000001</v>
      </c>
    </row>
    <row r="48" spans="2:46" x14ac:dyDescent="0.3">
      <c r="B48">
        <v>35</v>
      </c>
      <c r="C48">
        <v>0.9</v>
      </c>
      <c r="D48">
        <f t="shared" si="5"/>
        <v>2.5714285714285714E-2</v>
      </c>
      <c r="E48">
        <f t="shared" si="6"/>
        <v>-3.6607085771472399</v>
      </c>
      <c r="G48">
        <f t="shared" si="4"/>
        <v>0.76</v>
      </c>
    </row>
    <row r="49" spans="2:7" x14ac:dyDescent="0.3">
      <c r="B49">
        <v>36</v>
      </c>
      <c r="C49">
        <v>0.9</v>
      </c>
      <c r="D49">
        <f t="shared" si="5"/>
        <v>2.5000000000000001E-2</v>
      </c>
      <c r="E49">
        <f t="shared" si="6"/>
        <v>-3.6888794541139363</v>
      </c>
      <c r="G49">
        <f t="shared" si="4"/>
        <v>0.75600000000000001</v>
      </c>
    </row>
    <row r="50" spans="2:7" x14ac:dyDescent="0.3">
      <c r="B50">
        <v>37</v>
      </c>
      <c r="C50">
        <v>0.9</v>
      </c>
      <c r="D50">
        <f t="shared" si="5"/>
        <v>2.4324324324324326E-2</v>
      </c>
      <c r="E50">
        <f t="shared" si="6"/>
        <v>-3.7162784283020507</v>
      </c>
      <c r="G50">
        <f t="shared" si="4"/>
        <v>0.752</v>
      </c>
    </row>
    <row r="51" spans="2:7" x14ac:dyDescent="0.3">
      <c r="B51">
        <v>38</v>
      </c>
      <c r="C51">
        <v>0.9</v>
      </c>
      <c r="D51">
        <f t="shared" si="5"/>
        <v>2.368421052631579E-2</v>
      </c>
      <c r="E51">
        <f t="shared" si="6"/>
        <v>-3.742946675384212</v>
      </c>
      <c r="G51">
        <f t="shared" si="4"/>
        <v>0.748</v>
      </c>
    </row>
    <row r="52" spans="2:7" x14ac:dyDescent="0.3">
      <c r="B52">
        <v>39</v>
      </c>
      <c r="C52">
        <v>0.9</v>
      </c>
      <c r="D52">
        <f t="shared" si="5"/>
        <v>2.3076923076923078E-2</v>
      </c>
      <c r="E52">
        <f t="shared" si="6"/>
        <v>-3.7689221617874726</v>
      </c>
      <c r="G52">
        <f t="shared" si="4"/>
        <v>0.74399999999999999</v>
      </c>
    </row>
    <row r="53" spans="2:7" x14ac:dyDescent="0.3">
      <c r="B53">
        <v>40</v>
      </c>
      <c r="C53">
        <v>0.9</v>
      </c>
      <c r="D53">
        <f t="shared" si="5"/>
        <v>2.2499999999999999E-2</v>
      </c>
      <c r="E53">
        <f t="shared" si="6"/>
        <v>-3.7942399697717626</v>
      </c>
      <c r="G53">
        <f t="shared" si="4"/>
        <v>0.74</v>
      </c>
    </row>
    <row r="54" spans="2:7" x14ac:dyDescent="0.3">
      <c r="B54">
        <v>41</v>
      </c>
      <c r="C54">
        <v>0.9</v>
      </c>
      <c r="D54">
        <f t="shared" si="5"/>
        <v>2.1951219512195124E-2</v>
      </c>
      <c r="E54">
        <f t="shared" si="6"/>
        <v>-3.8189325823621343</v>
      </c>
      <c r="G54">
        <f t="shared" si="4"/>
        <v>0.73599999999999999</v>
      </c>
    </row>
    <row r="55" spans="2:7" x14ac:dyDescent="0.3">
      <c r="B55">
        <v>42</v>
      </c>
      <c r="C55">
        <v>0.9</v>
      </c>
      <c r="D55">
        <f t="shared" si="5"/>
        <v>2.1428571428571429E-2</v>
      </c>
      <c r="E55">
        <f t="shared" si="6"/>
        <v>-3.8430301339411947</v>
      </c>
      <c r="G55">
        <f t="shared" si="4"/>
        <v>0.73199999999999998</v>
      </c>
    </row>
    <row r="56" spans="2:7" x14ac:dyDescent="0.3">
      <c r="B56">
        <v>43</v>
      </c>
      <c r="C56">
        <v>0.9</v>
      </c>
      <c r="D56">
        <f t="shared" si="5"/>
        <v>2.0930232558139535E-2</v>
      </c>
      <c r="E56">
        <f t="shared" si="6"/>
        <v>-3.8665606313513887</v>
      </c>
      <c r="G56">
        <f t="shared" si="4"/>
        <v>0.72799999999999998</v>
      </c>
    </row>
    <row r="57" spans="2:7" x14ac:dyDescent="0.3">
      <c r="B57">
        <v>44</v>
      </c>
      <c r="C57">
        <v>0.9</v>
      </c>
      <c r="D57">
        <f t="shared" si="5"/>
        <v>2.0454545454545454E-2</v>
      </c>
      <c r="E57">
        <f t="shared" si="6"/>
        <v>-3.8895501495760874</v>
      </c>
      <c r="G57">
        <f t="shared" si="4"/>
        <v>0.72399999999999998</v>
      </c>
    </row>
    <row r="58" spans="2:7" x14ac:dyDescent="0.3">
      <c r="B58">
        <v>45</v>
      </c>
      <c r="C58">
        <v>0.9</v>
      </c>
      <c r="D58">
        <f t="shared" si="5"/>
        <v>0.02</v>
      </c>
      <c r="E58">
        <f t="shared" si="6"/>
        <v>-3.912023005428146</v>
      </c>
      <c r="G58">
        <f t="shared" si="4"/>
        <v>0.72</v>
      </c>
    </row>
    <row r="59" spans="2:7" x14ac:dyDescent="0.3">
      <c r="B59">
        <v>46</v>
      </c>
      <c r="C59">
        <v>0.9</v>
      </c>
      <c r="D59">
        <f t="shared" si="5"/>
        <v>1.9565217391304349E-2</v>
      </c>
      <c r="E59">
        <f t="shared" si="6"/>
        <v>-3.9340019121469214</v>
      </c>
      <c r="G59">
        <f t="shared" si="4"/>
        <v>0.71599999999999997</v>
      </c>
    </row>
    <row r="60" spans="2:7" x14ac:dyDescent="0.3">
      <c r="B60">
        <v>47</v>
      </c>
      <c r="C60">
        <v>0.9</v>
      </c>
      <c r="D60">
        <f t="shared" si="5"/>
        <v>1.9148936170212766E-2</v>
      </c>
      <c r="E60">
        <f t="shared" si="6"/>
        <v>-3.9555081173678848</v>
      </c>
      <c r="G60">
        <f t="shared" si="4"/>
        <v>0.71199999999999997</v>
      </c>
    </row>
    <row r="61" spans="2:7" x14ac:dyDescent="0.3">
      <c r="B61">
        <v>48</v>
      </c>
      <c r="C61">
        <v>0.9</v>
      </c>
      <c r="D61">
        <f t="shared" si="5"/>
        <v>1.8749999999999999E-2</v>
      </c>
      <c r="E61">
        <f t="shared" si="6"/>
        <v>-3.9765615265657175</v>
      </c>
      <c r="G61">
        <f t="shared" si="4"/>
        <v>0.70799999999999996</v>
      </c>
    </row>
    <row r="62" spans="2:7" x14ac:dyDescent="0.3">
      <c r="B62">
        <v>49</v>
      </c>
      <c r="C62">
        <v>0.9</v>
      </c>
      <c r="D62">
        <f t="shared" si="5"/>
        <v>1.8367346938775512E-2</v>
      </c>
      <c r="E62">
        <f t="shared" si="6"/>
        <v>-3.9971808137684528</v>
      </c>
      <c r="G62">
        <f t="shared" si="4"/>
        <v>0.70399999999999996</v>
      </c>
    </row>
    <row r="63" spans="2:7" x14ac:dyDescent="0.3">
      <c r="B63">
        <v>50</v>
      </c>
      <c r="C63">
        <v>0.9</v>
      </c>
      <c r="D63">
        <f t="shared" si="5"/>
        <v>1.8000000000000002E-2</v>
      </c>
      <c r="E63">
        <f t="shared" si="6"/>
        <v>-4.0173835210859723</v>
      </c>
      <c r="G63">
        <f t="shared" si="4"/>
        <v>0.7</v>
      </c>
    </row>
    <row r="64" spans="2:7" x14ac:dyDescent="0.3">
      <c r="B64">
        <v>51</v>
      </c>
      <c r="C64">
        <v>0.9</v>
      </c>
      <c r="D64">
        <f t="shared" si="5"/>
        <v>1.7647058823529412E-2</v>
      </c>
      <c r="E64">
        <f t="shared" si="6"/>
        <v>-4.0371861483821521</v>
      </c>
      <c r="G64">
        <f t="shared" si="4"/>
        <v>0.69599999999999995</v>
      </c>
    </row>
    <row r="65" spans="2:7" x14ac:dyDescent="0.3">
      <c r="B65">
        <v>52</v>
      </c>
      <c r="C65">
        <v>0.9</v>
      </c>
      <c r="D65">
        <f t="shared" si="5"/>
        <v>1.7307692307692309E-2</v>
      </c>
      <c r="E65">
        <f t="shared" si="6"/>
        <v>-4.0566042342392539</v>
      </c>
      <c r="G65">
        <f t="shared" si="4"/>
        <v>0.69199999999999995</v>
      </c>
    </row>
    <row r="66" spans="2:7" x14ac:dyDescent="0.3">
      <c r="B66">
        <v>53</v>
      </c>
      <c r="C66">
        <v>0.9</v>
      </c>
      <c r="D66">
        <f t="shared" si="5"/>
        <v>1.6981132075471698E-2</v>
      </c>
      <c r="E66">
        <f t="shared" si="6"/>
        <v>-4.0756524292099483</v>
      </c>
      <c r="G66">
        <f t="shared" si="4"/>
        <v>0.68800000000000006</v>
      </c>
    </row>
    <row r="67" spans="2:7" x14ac:dyDescent="0.3">
      <c r="B67">
        <v>54</v>
      </c>
      <c r="C67">
        <v>0.9</v>
      </c>
      <c r="D67">
        <f t="shared" si="5"/>
        <v>1.6666666666666666E-2</v>
      </c>
      <c r="E67">
        <f t="shared" si="6"/>
        <v>-4.0943445622221004</v>
      </c>
      <c r="G67">
        <f t="shared" si="4"/>
        <v>0.68400000000000005</v>
      </c>
    </row>
    <row r="68" spans="2:7" x14ac:dyDescent="0.3">
      <c r="B68">
        <v>55</v>
      </c>
      <c r="C68">
        <v>0.9</v>
      </c>
      <c r="D68">
        <f t="shared" si="5"/>
        <v>1.6363636363636365E-2</v>
      </c>
      <c r="E68">
        <f t="shared" si="6"/>
        <v>-4.1126937008902971</v>
      </c>
      <c r="G68">
        <f t="shared" si="4"/>
        <v>0.68</v>
      </c>
    </row>
    <row r="69" spans="2:7" x14ac:dyDescent="0.3">
      <c r="B69">
        <v>56</v>
      </c>
      <c r="C69">
        <v>0.9</v>
      </c>
      <c r="D69">
        <f t="shared" si="5"/>
        <v>1.6071428571428573E-2</v>
      </c>
      <c r="E69">
        <f t="shared" si="6"/>
        <v>-4.1307122063929755</v>
      </c>
      <c r="G69">
        <f t="shared" si="4"/>
        <v>0.67600000000000005</v>
      </c>
    </row>
    <row r="70" spans="2:7" x14ac:dyDescent="0.3">
      <c r="B70">
        <v>57</v>
      </c>
      <c r="C70">
        <v>0.9</v>
      </c>
      <c r="D70">
        <f t="shared" si="5"/>
        <v>1.5789473684210527E-2</v>
      </c>
      <c r="E70">
        <f t="shared" si="6"/>
        <v>-4.1484117834923762</v>
      </c>
      <c r="G70">
        <f t="shared" si="4"/>
        <v>0.67200000000000004</v>
      </c>
    </row>
    <row r="71" spans="2:7" x14ac:dyDescent="0.3">
      <c r="B71">
        <v>58</v>
      </c>
      <c r="C71">
        <v>0.9</v>
      </c>
      <c r="D71">
        <f t="shared" si="5"/>
        <v>1.5517241379310345E-2</v>
      </c>
      <c r="E71">
        <f t="shared" si="6"/>
        <v>-4.165803526204245</v>
      </c>
      <c r="G71">
        <f t="shared" si="4"/>
        <v>0.66800000000000004</v>
      </c>
    </row>
    <row r="72" spans="2:7" x14ac:dyDescent="0.3">
      <c r="B72">
        <v>59</v>
      </c>
      <c r="C72">
        <v>0.9</v>
      </c>
      <c r="D72">
        <f t="shared" si="5"/>
        <v>1.5254237288135594E-2</v>
      </c>
      <c r="E72">
        <f t="shared" si="6"/>
        <v>-4.1828979595635456</v>
      </c>
      <c r="G72">
        <f t="shared" si="4"/>
        <v>0.66400000000000003</v>
      </c>
    </row>
    <row r="73" spans="2:7" x14ac:dyDescent="0.3">
      <c r="B73">
        <v>60</v>
      </c>
      <c r="C73">
        <v>0.9</v>
      </c>
      <c r="D73">
        <f t="shared" si="5"/>
        <v>1.5000000000000001E-2</v>
      </c>
      <c r="E73">
        <f t="shared" si="6"/>
        <v>-4.1997050778799263</v>
      </c>
      <c r="G73">
        <f t="shared" si="4"/>
        <v>0.66</v>
      </c>
    </row>
    <row r="74" spans="2:7" x14ac:dyDescent="0.3">
      <c r="B74">
        <v>61</v>
      </c>
      <c r="C74">
        <v>0.9</v>
      </c>
      <c r="D74">
        <f t="shared" si="5"/>
        <v>1.4754098360655738E-2</v>
      </c>
      <c r="E74">
        <f t="shared" si="6"/>
        <v>-4.2162343798311372</v>
      </c>
      <c r="G74">
        <f t="shared" si="4"/>
        <v>0.65600000000000003</v>
      </c>
    </row>
    <row r="75" spans="2:7" x14ac:dyDescent="0.3">
      <c r="B75">
        <v>62</v>
      </c>
      <c r="C75">
        <v>0.9</v>
      </c>
      <c r="D75">
        <f t="shared" si="5"/>
        <v>1.4516129032258065E-2</v>
      </c>
      <c r="E75">
        <f t="shared" si="6"/>
        <v>-4.2324949007029176</v>
      </c>
      <c r="G75">
        <f t="shared" si="4"/>
        <v>0.65200000000000002</v>
      </c>
    </row>
    <row r="76" spans="2:7" x14ac:dyDescent="0.3">
      <c r="B76">
        <v>63</v>
      </c>
      <c r="C76">
        <v>0.9</v>
      </c>
      <c r="D76">
        <f t="shared" si="5"/>
        <v>1.4285714285714285E-2</v>
      </c>
      <c r="E76">
        <f t="shared" si="6"/>
        <v>-4.2484952420493585</v>
      </c>
      <c r="G76">
        <f t="shared" si="4"/>
        <v>0.64800000000000002</v>
      </c>
    </row>
    <row r="77" spans="2:7" x14ac:dyDescent="0.3">
      <c r="B77">
        <v>64</v>
      </c>
      <c r="C77">
        <v>0.9</v>
      </c>
      <c r="D77">
        <f t="shared" si="5"/>
        <v>1.40625E-2</v>
      </c>
      <c r="E77">
        <f t="shared" si="6"/>
        <v>-4.2642435990174974</v>
      </c>
      <c r="G77">
        <f t="shared" si="4"/>
        <v>0.64400000000000002</v>
      </c>
    </row>
    <row r="78" spans="2:7" x14ac:dyDescent="0.3">
      <c r="B78">
        <v>65</v>
      </c>
      <c r="C78">
        <v>0.9</v>
      </c>
      <c r="D78">
        <f t="shared" si="5"/>
        <v>1.3846153846153847E-2</v>
      </c>
      <c r="E78">
        <f t="shared" si="6"/>
        <v>-4.2797477855534627</v>
      </c>
      <c r="G78">
        <f t="shared" ref="G78:G113" si="10">-0.004*B78+C78</f>
        <v>0.64</v>
      </c>
    </row>
    <row r="79" spans="2:7" x14ac:dyDescent="0.3">
      <c r="B79">
        <v>66</v>
      </c>
      <c r="C79">
        <v>0.9</v>
      </c>
      <c r="D79">
        <f t="shared" ref="D79:D113" si="11">C79/B79</f>
        <v>1.3636363636363637E-2</v>
      </c>
      <c r="E79">
        <f t="shared" ref="E79:E113" si="12">LN(C79)-LN(B79)</f>
        <v>-4.2950152576842511</v>
      </c>
      <c r="G79">
        <f t="shared" si="10"/>
        <v>0.63600000000000001</v>
      </c>
    </row>
    <row r="80" spans="2:7" x14ac:dyDescent="0.3">
      <c r="B80">
        <v>67</v>
      </c>
      <c r="C80">
        <v>0.9</v>
      </c>
      <c r="D80">
        <f t="shared" si="11"/>
        <v>1.3432835820895522E-2</v>
      </c>
      <c r="E80">
        <f t="shared" si="12"/>
        <v>-4.3100531350487916</v>
      </c>
      <c r="G80">
        <f t="shared" si="10"/>
        <v>0.63200000000000001</v>
      </c>
    </row>
    <row r="81" spans="2:7" x14ac:dyDescent="0.3">
      <c r="B81">
        <v>68</v>
      </c>
      <c r="C81">
        <v>0.9</v>
      </c>
      <c r="D81">
        <f t="shared" si="11"/>
        <v>1.3235294117647059E-2</v>
      </c>
      <c r="E81">
        <f t="shared" si="12"/>
        <v>-4.3248682208339329</v>
      </c>
      <c r="G81">
        <f t="shared" si="10"/>
        <v>0.628</v>
      </c>
    </row>
    <row r="82" spans="2:7" x14ac:dyDescent="0.3">
      <c r="B82">
        <v>69</v>
      </c>
      <c r="C82">
        <v>0.9</v>
      </c>
      <c r="D82">
        <f t="shared" si="11"/>
        <v>1.3043478260869566E-2</v>
      </c>
      <c r="E82">
        <f t="shared" si="12"/>
        <v>-4.3394670202550856</v>
      </c>
      <c r="G82">
        <f t="shared" si="10"/>
        <v>0.624</v>
      </c>
    </row>
    <row r="83" spans="2:7" x14ac:dyDescent="0.3">
      <c r="B83">
        <v>70</v>
      </c>
      <c r="C83">
        <v>0.9</v>
      </c>
      <c r="D83">
        <f t="shared" si="11"/>
        <v>1.2857142857142857E-2</v>
      </c>
      <c r="E83">
        <f t="shared" si="12"/>
        <v>-4.3538557577071852</v>
      </c>
      <c r="G83">
        <f t="shared" si="10"/>
        <v>0.62</v>
      </c>
    </row>
    <row r="84" spans="2:7" x14ac:dyDescent="0.3">
      <c r="B84">
        <v>71</v>
      </c>
      <c r="C84">
        <v>0.9</v>
      </c>
      <c r="D84">
        <f t="shared" si="11"/>
        <v>1.2676056338028169E-2</v>
      </c>
      <c r="E84">
        <f t="shared" si="12"/>
        <v>-4.3680403926991413</v>
      </c>
      <c r="G84">
        <f t="shared" si="10"/>
        <v>0.61599999999999999</v>
      </c>
    </row>
    <row r="85" spans="2:7" x14ac:dyDescent="0.3">
      <c r="B85">
        <v>72</v>
      </c>
      <c r="C85">
        <v>0.9</v>
      </c>
      <c r="D85">
        <f t="shared" si="11"/>
        <v>1.2500000000000001E-2</v>
      </c>
      <c r="E85">
        <f t="shared" si="12"/>
        <v>-4.3820266346738812</v>
      </c>
      <c r="G85">
        <f t="shared" si="10"/>
        <v>0.61199999999999999</v>
      </c>
    </row>
    <row r="86" spans="2:7" x14ac:dyDescent="0.3">
      <c r="B86">
        <v>73</v>
      </c>
      <c r="C86">
        <v>0.9</v>
      </c>
      <c r="D86">
        <f t="shared" si="11"/>
        <v>1.2328767123287671E-2</v>
      </c>
      <c r="E86">
        <f t="shared" si="12"/>
        <v>-4.3958199568062168</v>
      </c>
      <c r="G86">
        <f t="shared" si="10"/>
        <v>0.6080000000000001</v>
      </c>
    </row>
    <row r="87" spans="2:7" x14ac:dyDescent="0.3">
      <c r="B87">
        <v>74</v>
      </c>
      <c r="C87">
        <v>0.9</v>
      </c>
      <c r="D87">
        <f t="shared" si="11"/>
        <v>1.2162162162162163E-2</v>
      </c>
      <c r="E87">
        <f t="shared" si="12"/>
        <v>-4.4094256088619961</v>
      </c>
      <c r="G87">
        <f t="shared" si="10"/>
        <v>0.60400000000000009</v>
      </c>
    </row>
    <row r="88" spans="2:7" x14ac:dyDescent="0.3">
      <c r="B88">
        <v>75</v>
      </c>
      <c r="C88">
        <v>0.9</v>
      </c>
      <c r="D88">
        <f t="shared" si="11"/>
        <v>1.2E-2</v>
      </c>
      <c r="E88">
        <f t="shared" si="12"/>
        <v>-4.422848629194136</v>
      </c>
      <c r="G88">
        <f t="shared" si="10"/>
        <v>0.60000000000000009</v>
      </c>
    </row>
    <row r="89" spans="2:7" x14ac:dyDescent="0.3">
      <c r="B89">
        <v>76</v>
      </c>
      <c r="C89">
        <v>0.9</v>
      </c>
      <c r="D89">
        <f t="shared" si="11"/>
        <v>1.1842105263157895E-2</v>
      </c>
      <c r="E89">
        <f t="shared" si="12"/>
        <v>-4.4360938559441569</v>
      </c>
      <c r="G89">
        <f t="shared" si="10"/>
        <v>0.59600000000000009</v>
      </c>
    </row>
    <row r="90" spans="2:7" x14ac:dyDescent="0.3">
      <c r="B90">
        <v>77</v>
      </c>
      <c r="C90">
        <v>0.9</v>
      </c>
      <c r="D90">
        <f t="shared" si="11"/>
        <v>1.1688311688311689E-2</v>
      </c>
      <c r="E90">
        <f t="shared" si="12"/>
        <v>-4.44916593751151</v>
      </c>
      <c r="G90">
        <f t="shared" si="10"/>
        <v>0.59200000000000008</v>
      </c>
    </row>
    <row r="91" spans="2:7" x14ac:dyDescent="0.3">
      <c r="B91">
        <v>78</v>
      </c>
      <c r="C91">
        <v>0.9</v>
      </c>
      <c r="D91">
        <f t="shared" si="11"/>
        <v>1.1538461538461539E-2</v>
      </c>
      <c r="E91">
        <f t="shared" si="12"/>
        <v>-4.4620693423474176</v>
      </c>
      <c r="G91">
        <f t="shared" si="10"/>
        <v>0.58800000000000008</v>
      </c>
    </row>
    <row r="92" spans="2:7" x14ac:dyDescent="0.3">
      <c r="B92">
        <v>79</v>
      </c>
      <c r="C92">
        <v>0.9</v>
      </c>
      <c r="D92">
        <f t="shared" si="11"/>
        <v>1.1392405063291139E-2</v>
      </c>
      <c r="E92">
        <f t="shared" si="12"/>
        <v>-4.4748083681248474</v>
      </c>
      <c r="G92">
        <f t="shared" si="10"/>
        <v>0.58400000000000007</v>
      </c>
    </row>
    <row r="93" spans="2:7" x14ac:dyDescent="0.3">
      <c r="B93">
        <v>80</v>
      </c>
      <c r="C93">
        <v>0.9</v>
      </c>
      <c r="D93">
        <f t="shared" si="11"/>
        <v>1.125E-2</v>
      </c>
      <c r="E93">
        <f t="shared" si="12"/>
        <v>-4.4873871503317071</v>
      </c>
      <c r="G93">
        <f t="shared" si="10"/>
        <v>0.58000000000000007</v>
      </c>
    </row>
    <row r="94" spans="2:7" x14ac:dyDescent="0.3">
      <c r="B94">
        <v>81</v>
      </c>
      <c r="C94">
        <v>0.9</v>
      </c>
      <c r="D94">
        <f t="shared" si="11"/>
        <v>1.1111111111111112E-2</v>
      </c>
      <c r="E94">
        <f t="shared" si="12"/>
        <v>-4.499809670330265</v>
      </c>
      <c r="G94">
        <f t="shared" si="10"/>
        <v>0.57600000000000007</v>
      </c>
    </row>
    <row r="95" spans="2:7" x14ac:dyDescent="0.3">
      <c r="B95">
        <v>82</v>
      </c>
      <c r="C95">
        <v>0.9</v>
      </c>
      <c r="D95">
        <f t="shared" si="11"/>
        <v>1.0975609756097562E-2</v>
      </c>
      <c r="E95">
        <f t="shared" si="12"/>
        <v>-4.5120797629220792</v>
      </c>
      <c r="G95">
        <f t="shared" si="10"/>
        <v>0.57200000000000006</v>
      </c>
    </row>
    <row r="96" spans="2:7" x14ac:dyDescent="0.3">
      <c r="B96">
        <v>83</v>
      </c>
      <c r="C96">
        <v>0.9</v>
      </c>
      <c r="D96">
        <f t="shared" si="11"/>
        <v>1.0843373493975903E-2</v>
      </c>
      <c r="E96">
        <f t="shared" si="12"/>
        <v>-4.5242011234544242</v>
      </c>
      <c r="G96">
        <f t="shared" si="10"/>
        <v>0.56800000000000006</v>
      </c>
    </row>
    <row r="97" spans="2:7" x14ac:dyDescent="0.3">
      <c r="B97">
        <v>84</v>
      </c>
      <c r="C97">
        <v>0.9</v>
      </c>
      <c r="D97">
        <f t="shared" si="11"/>
        <v>1.0714285714285714E-2</v>
      </c>
      <c r="E97">
        <f t="shared" si="12"/>
        <v>-4.5361773145011393</v>
      </c>
      <c r="G97">
        <f t="shared" si="10"/>
        <v>0.56400000000000006</v>
      </c>
    </row>
    <row r="98" spans="2:7" x14ac:dyDescent="0.3">
      <c r="B98">
        <v>85</v>
      </c>
      <c r="C98">
        <v>0.9</v>
      </c>
      <c r="D98">
        <f t="shared" si="11"/>
        <v>1.0588235294117647E-2</v>
      </c>
      <c r="E98">
        <f t="shared" si="12"/>
        <v>-4.5480117721481426</v>
      </c>
      <c r="G98">
        <f t="shared" si="10"/>
        <v>0.56000000000000005</v>
      </c>
    </row>
    <row r="99" spans="2:7" x14ac:dyDescent="0.3">
      <c r="B99">
        <v>86</v>
      </c>
      <c r="C99">
        <v>0.9</v>
      </c>
      <c r="D99">
        <f t="shared" si="11"/>
        <v>1.0465116279069767E-2</v>
      </c>
      <c r="E99">
        <f t="shared" si="12"/>
        <v>-4.5597078119113332</v>
      </c>
      <c r="G99">
        <f t="shared" si="10"/>
        <v>0.55600000000000005</v>
      </c>
    </row>
    <row r="100" spans="2:7" x14ac:dyDescent="0.3">
      <c r="B100">
        <v>87</v>
      </c>
      <c r="C100">
        <v>0.9</v>
      </c>
      <c r="D100">
        <f t="shared" si="11"/>
        <v>1.0344827586206896E-2</v>
      </c>
      <c r="E100">
        <f t="shared" si="12"/>
        <v>-4.5712686343124096</v>
      </c>
      <c r="G100">
        <f t="shared" si="10"/>
        <v>0.55200000000000005</v>
      </c>
    </row>
    <row r="101" spans="2:7" x14ac:dyDescent="0.3">
      <c r="B101">
        <v>88</v>
      </c>
      <c r="C101">
        <v>0.9</v>
      </c>
      <c r="D101">
        <f t="shared" si="11"/>
        <v>1.0227272727272727E-2</v>
      </c>
      <c r="E101">
        <f t="shared" si="12"/>
        <v>-4.5826973301360328</v>
      </c>
      <c r="G101">
        <f t="shared" si="10"/>
        <v>0.54800000000000004</v>
      </c>
    </row>
    <row r="102" spans="2:7" x14ac:dyDescent="0.3">
      <c r="B102">
        <v>89</v>
      </c>
      <c r="C102">
        <v>0.9</v>
      </c>
      <c r="D102">
        <f t="shared" si="11"/>
        <v>1.0112359550561799E-2</v>
      </c>
      <c r="E102">
        <f t="shared" si="12"/>
        <v>-4.5939968853899655</v>
      </c>
      <c r="G102">
        <f t="shared" si="10"/>
        <v>0.54400000000000004</v>
      </c>
    </row>
    <row r="103" spans="2:7" x14ac:dyDescent="0.3">
      <c r="B103">
        <v>90</v>
      </c>
      <c r="C103">
        <v>0.9</v>
      </c>
      <c r="D103">
        <f t="shared" si="11"/>
        <v>0.01</v>
      </c>
      <c r="E103">
        <f t="shared" si="12"/>
        <v>-4.6051701859880909</v>
      </c>
      <c r="G103">
        <f t="shared" si="10"/>
        <v>0.54</v>
      </c>
    </row>
    <row r="104" spans="2:7" x14ac:dyDescent="0.3">
      <c r="B104">
        <v>91</v>
      </c>
      <c r="C104">
        <v>0.9</v>
      </c>
      <c r="D104">
        <f t="shared" si="11"/>
        <v>9.8901098901098897E-3</v>
      </c>
      <c r="E104">
        <f t="shared" si="12"/>
        <v>-4.6162200221746756</v>
      </c>
      <c r="G104">
        <f t="shared" si="10"/>
        <v>0.53600000000000003</v>
      </c>
    </row>
    <row r="105" spans="2:7" x14ac:dyDescent="0.3">
      <c r="B105">
        <v>92</v>
      </c>
      <c r="C105">
        <v>0.9</v>
      </c>
      <c r="D105">
        <f t="shared" si="11"/>
        <v>9.7826086956521747E-3</v>
      </c>
      <c r="E105">
        <f t="shared" si="12"/>
        <v>-4.6271490927068664</v>
      </c>
      <c r="G105">
        <f t="shared" si="10"/>
        <v>0.53200000000000003</v>
      </c>
    </row>
    <row r="106" spans="2:7" x14ac:dyDescent="0.3">
      <c r="B106">
        <v>93</v>
      </c>
      <c r="C106">
        <v>0.9</v>
      </c>
      <c r="D106">
        <f t="shared" si="11"/>
        <v>9.6774193548387101E-3</v>
      </c>
      <c r="E106">
        <f t="shared" si="12"/>
        <v>-4.6379600088110822</v>
      </c>
      <c r="G106">
        <f t="shared" si="10"/>
        <v>0.52800000000000002</v>
      </c>
    </row>
    <row r="107" spans="2:7" x14ac:dyDescent="0.3">
      <c r="B107">
        <v>94</v>
      </c>
      <c r="C107">
        <v>0.9</v>
      </c>
      <c r="D107">
        <f t="shared" si="11"/>
        <v>9.5744680851063829E-3</v>
      </c>
      <c r="E107">
        <f t="shared" si="12"/>
        <v>-4.6486552979278297</v>
      </c>
      <c r="G107">
        <f t="shared" si="10"/>
        <v>0.52400000000000002</v>
      </c>
    </row>
    <row r="108" spans="2:7" x14ac:dyDescent="0.3">
      <c r="B108">
        <v>95</v>
      </c>
      <c r="C108">
        <v>0.9</v>
      </c>
      <c r="D108">
        <f t="shared" si="11"/>
        <v>9.4736842105263164E-3</v>
      </c>
      <c r="E108">
        <f t="shared" si="12"/>
        <v>-4.6592374072583667</v>
      </c>
      <c r="G108">
        <f t="shared" si="10"/>
        <v>0.52</v>
      </c>
    </row>
    <row r="109" spans="2:7" x14ac:dyDescent="0.3">
      <c r="B109">
        <v>96</v>
      </c>
      <c r="C109">
        <v>0.9</v>
      </c>
      <c r="D109">
        <f t="shared" si="11"/>
        <v>9.3749999999999997E-3</v>
      </c>
      <c r="E109">
        <f t="shared" si="12"/>
        <v>-4.669708707125662</v>
      </c>
      <c r="G109">
        <f t="shared" si="10"/>
        <v>0.51600000000000001</v>
      </c>
    </row>
    <row r="110" spans="2:7" x14ac:dyDescent="0.3">
      <c r="B110">
        <v>97</v>
      </c>
      <c r="C110">
        <v>0.9</v>
      </c>
      <c r="D110">
        <f t="shared" si="11"/>
        <v>9.2783505154639175E-3</v>
      </c>
      <c r="E110">
        <f t="shared" si="12"/>
        <v>-4.6800714941612087</v>
      </c>
      <c r="G110">
        <f t="shared" si="10"/>
        <v>0.51200000000000001</v>
      </c>
    </row>
    <row r="111" spans="2:7" x14ac:dyDescent="0.3">
      <c r="B111">
        <v>98</v>
      </c>
      <c r="C111">
        <v>0.9</v>
      </c>
      <c r="D111">
        <f t="shared" si="11"/>
        <v>9.1836734693877559E-3</v>
      </c>
      <c r="E111">
        <f t="shared" si="12"/>
        <v>-4.6903279943283982</v>
      </c>
      <c r="G111">
        <f t="shared" si="10"/>
        <v>0.50800000000000001</v>
      </c>
    </row>
    <row r="112" spans="2:7" x14ac:dyDescent="0.3">
      <c r="B112">
        <v>99</v>
      </c>
      <c r="C112">
        <v>0.9</v>
      </c>
      <c r="D112">
        <f t="shared" si="11"/>
        <v>9.0909090909090905E-3</v>
      </c>
      <c r="E112">
        <f t="shared" si="12"/>
        <v>-4.7004803657924157</v>
      </c>
      <c r="G112">
        <f t="shared" si="10"/>
        <v>0.504</v>
      </c>
    </row>
    <row r="113" spans="2:7" x14ac:dyDescent="0.3">
      <c r="B113">
        <v>100</v>
      </c>
      <c r="C113">
        <v>0.9</v>
      </c>
      <c r="D113">
        <f t="shared" si="11"/>
        <v>9.0000000000000011E-3</v>
      </c>
      <c r="E113">
        <f t="shared" si="12"/>
        <v>-4.7105307016459177</v>
      </c>
      <c r="G113">
        <f t="shared" si="10"/>
        <v>0.5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41" workbookViewId="0">
      <selection activeCell="D51" sqref="D51"/>
    </sheetView>
  </sheetViews>
  <sheetFormatPr defaultRowHeight="14.4" x14ac:dyDescent="0.3"/>
  <sheetData>
    <row r="1" spans="2:14" x14ac:dyDescent="0.3">
      <c r="B1" t="s">
        <v>112</v>
      </c>
    </row>
    <row r="2" spans="2:14" x14ac:dyDescent="0.3">
      <c r="B2" t="s">
        <v>108</v>
      </c>
      <c r="C2">
        <v>0</v>
      </c>
      <c r="E2" t="s">
        <v>110</v>
      </c>
      <c r="G2">
        <v>100</v>
      </c>
      <c r="I2" t="s">
        <v>113</v>
      </c>
      <c r="J2">
        <v>0.5</v>
      </c>
    </row>
    <row r="3" spans="2:14" x14ac:dyDescent="0.3">
      <c r="B3" t="s">
        <v>109</v>
      </c>
      <c r="C3">
        <f>PI()*G2^2</f>
        <v>31415.926535897932</v>
      </c>
    </row>
    <row r="6" spans="2:14" x14ac:dyDescent="0.3">
      <c r="D6" t="s">
        <v>111</v>
      </c>
    </row>
    <row r="7" spans="2:14" x14ac:dyDescent="0.3">
      <c r="D7" s="4">
        <v>0</v>
      </c>
      <c r="E7" s="8">
        <f>$C$3*0.1</f>
        <v>3141.5926535897934</v>
      </c>
      <c r="F7" s="8">
        <f>$C$3*0.2</f>
        <v>6283.1853071795867</v>
      </c>
      <c r="G7" s="8">
        <f>$C$3*0.3</f>
        <v>9424.7779607693792</v>
      </c>
      <c r="H7" s="8">
        <f>$C$3*0.4</f>
        <v>12566.370614359173</v>
      </c>
      <c r="I7" s="8">
        <f>$C$3*0.5</f>
        <v>15707.963267948966</v>
      </c>
      <c r="J7" s="8">
        <f>$C$3*0.6</f>
        <v>18849.555921538758</v>
      </c>
      <c r="K7" s="8">
        <f>$C$3*0.7</f>
        <v>21991.148575128551</v>
      </c>
      <c r="L7" s="8">
        <f>$C$3*0.8</f>
        <v>25132.741228718347</v>
      </c>
      <c r="M7" s="8">
        <f>$C$3*0.9</f>
        <v>28274.333882308139</v>
      </c>
      <c r="N7" s="8">
        <f>$C$3*1</f>
        <v>31415.926535897932</v>
      </c>
    </row>
    <row r="8" spans="2:14" x14ac:dyDescent="0.3">
      <c r="B8" t="s">
        <v>74</v>
      </c>
      <c r="C8" s="1">
        <v>0.01</v>
      </c>
      <c r="D8" s="5">
        <f>D$7/$C$3</f>
        <v>0</v>
      </c>
      <c r="E8" s="5">
        <f t="shared" ref="E8:N18" si="0">E$7/$C$3</f>
        <v>0.1</v>
      </c>
      <c r="F8" s="5">
        <f t="shared" si="0"/>
        <v>0.2</v>
      </c>
      <c r="G8" s="5">
        <f t="shared" si="0"/>
        <v>0.3</v>
      </c>
      <c r="H8" s="5">
        <f t="shared" si="0"/>
        <v>0.4</v>
      </c>
      <c r="I8" s="5">
        <f t="shared" si="0"/>
        <v>0.5</v>
      </c>
      <c r="J8" s="5">
        <f t="shared" si="0"/>
        <v>0.6</v>
      </c>
      <c r="K8" s="5">
        <f t="shared" si="0"/>
        <v>0.7</v>
      </c>
      <c r="L8" s="5">
        <f>L$7/$C$3</f>
        <v>0.8</v>
      </c>
      <c r="M8" s="5">
        <f t="shared" si="0"/>
        <v>0.9</v>
      </c>
      <c r="N8" s="5">
        <f t="shared" si="0"/>
        <v>1</v>
      </c>
    </row>
    <row r="9" spans="2:14" x14ac:dyDescent="0.3">
      <c r="C9" s="1">
        <v>0.1</v>
      </c>
      <c r="D9" s="5">
        <f t="shared" ref="D9:D17" si="1">D$7/$C$3</f>
        <v>0</v>
      </c>
      <c r="E9" s="5">
        <f t="shared" si="0"/>
        <v>0.1</v>
      </c>
      <c r="F9" s="5">
        <f t="shared" si="0"/>
        <v>0.2</v>
      </c>
      <c r="G9" s="5">
        <f t="shared" si="0"/>
        <v>0.3</v>
      </c>
      <c r="H9" s="5">
        <f t="shared" si="0"/>
        <v>0.4</v>
      </c>
      <c r="I9" s="5">
        <f t="shared" si="0"/>
        <v>0.5</v>
      </c>
      <c r="J9" s="5">
        <f t="shared" si="0"/>
        <v>0.6</v>
      </c>
      <c r="K9" s="5">
        <f t="shared" si="0"/>
        <v>0.7</v>
      </c>
      <c r="L9" s="5">
        <f t="shared" si="0"/>
        <v>0.8</v>
      </c>
      <c r="M9" s="5">
        <f t="shared" si="0"/>
        <v>0.9</v>
      </c>
      <c r="N9" s="5">
        <f t="shared" si="0"/>
        <v>1</v>
      </c>
    </row>
    <row r="10" spans="2:14" x14ac:dyDescent="0.3">
      <c r="C10" s="1">
        <v>0.2</v>
      </c>
      <c r="D10" s="5">
        <f t="shared" si="1"/>
        <v>0</v>
      </c>
      <c r="E10" s="5">
        <f t="shared" si="0"/>
        <v>0.1</v>
      </c>
      <c r="F10" s="5">
        <f t="shared" si="0"/>
        <v>0.2</v>
      </c>
      <c r="G10" s="5">
        <f t="shared" si="0"/>
        <v>0.3</v>
      </c>
      <c r="H10" s="5">
        <f t="shared" si="0"/>
        <v>0.4</v>
      </c>
      <c r="I10" s="5">
        <f t="shared" si="0"/>
        <v>0.5</v>
      </c>
      <c r="J10" s="5">
        <f t="shared" si="0"/>
        <v>0.6</v>
      </c>
      <c r="K10" s="5">
        <f t="shared" si="0"/>
        <v>0.7</v>
      </c>
      <c r="L10" s="5">
        <f t="shared" si="0"/>
        <v>0.8</v>
      </c>
      <c r="M10" s="5">
        <f t="shared" si="0"/>
        <v>0.9</v>
      </c>
      <c r="N10" s="5">
        <f t="shared" si="0"/>
        <v>1</v>
      </c>
    </row>
    <row r="11" spans="2:14" x14ac:dyDescent="0.3">
      <c r="C11" s="1">
        <v>0.3</v>
      </c>
      <c r="D11" s="5">
        <f t="shared" si="1"/>
        <v>0</v>
      </c>
      <c r="E11" s="5">
        <f t="shared" si="0"/>
        <v>0.1</v>
      </c>
      <c r="F11" s="5">
        <f t="shared" si="0"/>
        <v>0.2</v>
      </c>
      <c r="G11" s="5">
        <f t="shared" si="0"/>
        <v>0.3</v>
      </c>
      <c r="H11" s="5">
        <f t="shared" si="0"/>
        <v>0.4</v>
      </c>
      <c r="I11" s="5">
        <f t="shared" si="0"/>
        <v>0.5</v>
      </c>
      <c r="J11" s="5">
        <f t="shared" si="0"/>
        <v>0.6</v>
      </c>
      <c r="K11" s="5">
        <f t="shared" si="0"/>
        <v>0.7</v>
      </c>
      <c r="L11" s="5">
        <f t="shared" si="0"/>
        <v>0.8</v>
      </c>
      <c r="M11" s="5">
        <f t="shared" si="0"/>
        <v>0.9</v>
      </c>
      <c r="N11" s="5">
        <f t="shared" si="0"/>
        <v>1</v>
      </c>
    </row>
    <row r="12" spans="2:14" x14ac:dyDescent="0.3">
      <c r="C12" s="1">
        <v>0.4</v>
      </c>
      <c r="D12" s="5">
        <f t="shared" si="1"/>
        <v>0</v>
      </c>
      <c r="E12" s="5">
        <f t="shared" si="0"/>
        <v>0.1</v>
      </c>
      <c r="F12" s="5">
        <f t="shared" si="0"/>
        <v>0.2</v>
      </c>
      <c r="G12" s="5">
        <f t="shared" si="0"/>
        <v>0.3</v>
      </c>
      <c r="H12" s="5">
        <f t="shared" si="0"/>
        <v>0.4</v>
      </c>
      <c r="I12" s="5">
        <f t="shared" si="0"/>
        <v>0.5</v>
      </c>
      <c r="J12" s="5">
        <f t="shared" si="0"/>
        <v>0.6</v>
      </c>
      <c r="K12" s="5">
        <f t="shared" si="0"/>
        <v>0.7</v>
      </c>
      <c r="L12" s="5">
        <f t="shared" si="0"/>
        <v>0.8</v>
      </c>
      <c r="M12" s="5">
        <f t="shared" si="0"/>
        <v>0.9</v>
      </c>
      <c r="N12" s="5">
        <f t="shared" si="0"/>
        <v>1</v>
      </c>
    </row>
    <row r="13" spans="2:14" x14ac:dyDescent="0.3">
      <c r="C13" s="1">
        <v>0.5</v>
      </c>
      <c r="D13" s="5">
        <f t="shared" si="1"/>
        <v>0</v>
      </c>
      <c r="E13" s="5">
        <f t="shared" si="0"/>
        <v>0.1</v>
      </c>
      <c r="F13" s="5">
        <f t="shared" si="0"/>
        <v>0.2</v>
      </c>
      <c r="G13" s="5">
        <f t="shared" si="0"/>
        <v>0.3</v>
      </c>
      <c r="H13" s="5">
        <f t="shared" si="0"/>
        <v>0.4</v>
      </c>
      <c r="I13" s="5">
        <f t="shared" si="0"/>
        <v>0.5</v>
      </c>
      <c r="J13" s="5">
        <f t="shared" si="0"/>
        <v>0.6</v>
      </c>
      <c r="K13" s="5">
        <f t="shared" si="0"/>
        <v>0.7</v>
      </c>
      <c r="L13" s="5">
        <f t="shared" si="0"/>
        <v>0.8</v>
      </c>
      <c r="M13" s="5">
        <f t="shared" si="0"/>
        <v>0.9</v>
      </c>
      <c r="N13" s="5">
        <f t="shared" si="0"/>
        <v>1</v>
      </c>
    </row>
    <row r="14" spans="2:14" x14ac:dyDescent="0.3">
      <c r="C14" s="1">
        <v>0.6</v>
      </c>
      <c r="D14" s="5">
        <f t="shared" si="1"/>
        <v>0</v>
      </c>
      <c r="E14" s="5">
        <f t="shared" si="0"/>
        <v>0.1</v>
      </c>
      <c r="F14" s="5">
        <f t="shared" si="0"/>
        <v>0.2</v>
      </c>
      <c r="G14" s="5">
        <f t="shared" si="0"/>
        <v>0.3</v>
      </c>
      <c r="H14" s="5">
        <f t="shared" si="0"/>
        <v>0.4</v>
      </c>
      <c r="I14" s="5">
        <f t="shared" si="0"/>
        <v>0.5</v>
      </c>
      <c r="J14" s="5">
        <f t="shared" si="0"/>
        <v>0.6</v>
      </c>
      <c r="K14" s="5">
        <f t="shared" si="0"/>
        <v>0.7</v>
      </c>
      <c r="L14" s="5">
        <f t="shared" si="0"/>
        <v>0.8</v>
      </c>
      <c r="M14" s="5">
        <f t="shared" si="0"/>
        <v>0.9</v>
      </c>
      <c r="N14" s="5">
        <f t="shared" si="0"/>
        <v>1</v>
      </c>
    </row>
    <row r="15" spans="2:14" x14ac:dyDescent="0.3">
      <c r="C15" s="1">
        <v>0.7</v>
      </c>
      <c r="D15" s="5">
        <f t="shared" si="1"/>
        <v>0</v>
      </c>
      <c r="E15" s="5">
        <f t="shared" si="0"/>
        <v>0.1</v>
      </c>
      <c r="F15" s="5">
        <f t="shared" si="0"/>
        <v>0.2</v>
      </c>
      <c r="G15" s="5">
        <f t="shared" si="0"/>
        <v>0.3</v>
      </c>
      <c r="H15" s="5">
        <f t="shared" si="0"/>
        <v>0.4</v>
      </c>
      <c r="I15" s="5">
        <f t="shared" si="0"/>
        <v>0.5</v>
      </c>
      <c r="J15" s="5">
        <f t="shared" si="0"/>
        <v>0.6</v>
      </c>
      <c r="K15" s="5">
        <f t="shared" si="0"/>
        <v>0.7</v>
      </c>
      <c r="L15" s="5">
        <f t="shared" si="0"/>
        <v>0.8</v>
      </c>
      <c r="M15" s="5">
        <f t="shared" si="0"/>
        <v>0.9</v>
      </c>
      <c r="N15" s="5">
        <f t="shared" si="0"/>
        <v>1</v>
      </c>
    </row>
    <row r="16" spans="2:14" x14ac:dyDescent="0.3">
      <c r="C16" s="1">
        <v>0.8</v>
      </c>
      <c r="D16" s="5">
        <f t="shared" si="1"/>
        <v>0</v>
      </c>
      <c r="E16" s="5">
        <f t="shared" si="0"/>
        <v>0.1</v>
      </c>
      <c r="F16" s="5">
        <f t="shared" si="0"/>
        <v>0.2</v>
      </c>
      <c r="G16" s="5">
        <f t="shared" si="0"/>
        <v>0.3</v>
      </c>
      <c r="H16" s="5">
        <f t="shared" si="0"/>
        <v>0.4</v>
      </c>
      <c r="I16" s="5">
        <f t="shared" si="0"/>
        <v>0.5</v>
      </c>
      <c r="J16" s="5">
        <f t="shared" si="0"/>
        <v>0.6</v>
      </c>
      <c r="K16" s="5">
        <f t="shared" si="0"/>
        <v>0.7</v>
      </c>
      <c r="L16" s="5">
        <f t="shared" si="0"/>
        <v>0.8</v>
      </c>
      <c r="M16" s="5">
        <f t="shared" si="0"/>
        <v>0.9</v>
      </c>
      <c r="N16" s="5">
        <f t="shared" si="0"/>
        <v>1</v>
      </c>
    </row>
    <row r="17" spans="2:14" x14ac:dyDescent="0.3">
      <c r="C17" s="1">
        <v>0.9</v>
      </c>
      <c r="D17" s="5">
        <f t="shared" si="1"/>
        <v>0</v>
      </c>
      <c r="E17" s="5">
        <f t="shared" si="0"/>
        <v>0.1</v>
      </c>
      <c r="F17" s="5">
        <f t="shared" si="0"/>
        <v>0.2</v>
      </c>
      <c r="G17" s="5">
        <f t="shared" si="0"/>
        <v>0.3</v>
      </c>
      <c r="H17" s="5">
        <f t="shared" si="0"/>
        <v>0.4</v>
      </c>
      <c r="I17" s="5">
        <f t="shared" si="0"/>
        <v>0.5</v>
      </c>
      <c r="J17" s="5">
        <f t="shared" si="0"/>
        <v>0.6</v>
      </c>
      <c r="K17" s="5">
        <f t="shared" si="0"/>
        <v>0.7</v>
      </c>
      <c r="L17" s="5">
        <f t="shared" si="0"/>
        <v>0.8</v>
      </c>
      <c r="M17" s="5">
        <f t="shared" si="0"/>
        <v>0.9</v>
      </c>
      <c r="N17" s="5">
        <f t="shared" si="0"/>
        <v>1</v>
      </c>
    </row>
    <row r="18" spans="2:14" x14ac:dyDescent="0.3">
      <c r="C18" s="1">
        <v>1</v>
      </c>
      <c r="D18" s="5">
        <f>D$7/$C$3</f>
        <v>0</v>
      </c>
      <c r="E18" s="5">
        <f t="shared" si="0"/>
        <v>0.1</v>
      </c>
      <c r="F18" s="5">
        <f t="shared" si="0"/>
        <v>0.2</v>
      </c>
      <c r="G18" s="5">
        <f t="shared" si="0"/>
        <v>0.3</v>
      </c>
      <c r="H18" s="5">
        <f t="shared" si="0"/>
        <v>0.4</v>
      </c>
      <c r="I18" s="5">
        <f t="shared" si="0"/>
        <v>0.5</v>
      </c>
      <c r="J18" s="5">
        <f t="shared" si="0"/>
        <v>0.6</v>
      </c>
      <c r="K18" s="5">
        <f t="shared" si="0"/>
        <v>0.7</v>
      </c>
      <c r="L18" s="5">
        <f t="shared" si="0"/>
        <v>0.8</v>
      </c>
      <c r="M18" s="5">
        <f t="shared" si="0"/>
        <v>0.9</v>
      </c>
      <c r="N18" s="5">
        <f t="shared" si="0"/>
        <v>1</v>
      </c>
    </row>
    <row r="20" spans="2:14" x14ac:dyDescent="0.3">
      <c r="D20" t="s">
        <v>111</v>
      </c>
    </row>
    <row r="21" spans="2:14" x14ac:dyDescent="0.3">
      <c r="D21" s="4">
        <v>0</v>
      </c>
      <c r="E21" s="8">
        <f>$C$3*0.1</f>
        <v>3141.5926535897934</v>
      </c>
      <c r="F21" s="8">
        <f>$C$3*0.2</f>
        <v>6283.1853071795867</v>
      </c>
      <c r="G21" s="8">
        <f>$C$3*0.3</f>
        <v>9424.7779607693792</v>
      </c>
      <c r="H21" s="8">
        <f>$C$3*0.4</f>
        <v>12566.370614359173</v>
      </c>
      <c r="I21" s="8">
        <f>$C$3*0.5</f>
        <v>15707.963267948966</v>
      </c>
      <c r="J21" s="8">
        <f>$C$3*0.6</f>
        <v>18849.555921538758</v>
      </c>
      <c r="K21" s="8">
        <f>$C$3*0.7</f>
        <v>21991.148575128551</v>
      </c>
      <c r="L21" s="8">
        <f>$C$3*0.8</f>
        <v>25132.741228718347</v>
      </c>
      <c r="M21" s="8">
        <f>$C$3*0.9</f>
        <v>28274.333882308139</v>
      </c>
      <c r="N21" s="8">
        <f>$C$3*1</f>
        <v>31415.926535897932</v>
      </c>
    </row>
    <row r="22" spans="2:14" x14ac:dyDescent="0.3">
      <c r="B22" t="s">
        <v>74</v>
      </c>
      <c r="C22" s="1">
        <v>0.01</v>
      </c>
      <c r="D22" s="5">
        <f>$J$2+($J$2/$C$3)*D$21</f>
        <v>0.5</v>
      </c>
      <c r="E22" s="5">
        <f t="shared" ref="E22:N32" si="2">$J$2+($J$2/$C$3)*E$21</f>
        <v>0.55000000000000004</v>
      </c>
      <c r="F22" s="5">
        <f t="shared" si="2"/>
        <v>0.6</v>
      </c>
      <c r="G22" s="5">
        <f t="shared" si="2"/>
        <v>0.65</v>
      </c>
      <c r="H22" s="5">
        <f t="shared" si="2"/>
        <v>0.7</v>
      </c>
      <c r="I22" s="5">
        <f t="shared" si="2"/>
        <v>0.75</v>
      </c>
      <c r="J22" s="5">
        <f t="shared" si="2"/>
        <v>0.8</v>
      </c>
      <c r="K22" s="5">
        <f t="shared" si="2"/>
        <v>0.85</v>
      </c>
      <c r="L22" s="5">
        <f t="shared" si="2"/>
        <v>0.9</v>
      </c>
      <c r="M22" s="5">
        <f t="shared" si="2"/>
        <v>0.95</v>
      </c>
      <c r="N22" s="5">
        <f t="shared" si="2"/>
        <v>1</v>
      </c>
    </row>
    <row r="23" spans="2:14" x14ac:dyDescent="0.3">
      <c r="C23" s="1">
        <v>0.1</v>
      </c>
      <c r="D23" s="5">
        <f t="shared" ref="D23:D32" si="3">$J$2+($J$2/$C$3)*D$21</f>
        <v>0.5</v>
      </c>
      <c r="E23" s="5">
        <f t="shared" si="2"/>
        <v>0.55000000000000004</v>
      </c>
      <c r="F23" s="5">
        <f t="shared" si="2"/>
        <v>0.6</v>
      </c>
      <c r="G23" s="5">
        <f t="shared" si="2"/>
        <v>0.65</v>
      </c>
      <c r="H23" s="5">
        <f t="shared" si="2"/>
        <v>0.7</v>
      </c>
      <c r="I23" s="5">
        <f t="shared" si="2"/>
        <v>0.75</v>
      </c>
      <c r="J23" s="5">
        <f t="shared" si="2"/>
        <v>0.8</v>
      </c>
      <c r="K23" s="5">
        <f t="shared" si="2"/>
        <v>0.85</v>
      </c>
      <c r="L23" s="5">
        <f t="shared" si="2"/>
        <v>0.9</v>
      </c>
      <c r="M23" s="5">
        <f t="shared" si="2"/>
        <v>0.95</v>
      </c>
      <c r="N23" s="5">
        <f t="shared" si="2"/>
        <v>1</v>
      </c>
    </row>
    <row r="24" spans="2:14" x14ac:dyDescent="0.3">
      <c r="C24" s="1">
        <v>0.2</v>
      </c>
      <c r="D24" s="5">
        <f t="shared" si="3"/>
        <v>0.5</v>
      </c>
      <c r="E24" s="5">
        <f t="shared" si="2"/>
        <v>0.55000000000000004</v>
      </c>
      <c r="F24" s="5">
        <f t="shared" si="2"/>
        <v>0.6</v>
      </c>
      <c r="G24" s="5">
        <f t="shared" si="2"/>
        <v>0.65</v>
      </c>
      <c r="H24" s="5">
        <f t="shared" si="2"/>
        <v>0.7</v>
      </c>
      <c r="I24" s="5">
        <f t="shared" si="2"/>
        <v>0.75</v>
      </c>
      <c r="J24" s="5">
        <f t="shared" si="2"/>
        <v>0.8</v>
      </c>
      <c r="K24" s="5">
        <f t="shared" si="2"/>
        <v>0.85</v>
      </c>
      <c r="L24" s="5">
        <f t="shared" si="2"/>
        <v>0.9</v>
      </c>
      <c r="M24" s="5">
        <f t="shared" si="2"/>
        <v>0.95</v>
      </c>
      <c r="N24" s="5">
        <f t="shared" si="2"/>
        <v>1</v>
      </c>
    </row>
    <row r="25" spans="2:14" x14ac:dyDescent="0.3">
      <c r="C25" s="1">
        <v>0.3</v>
      </c>
      <c r="D25" s="5">
        <f t="shared" si="3"/>
        <v>0.5</v>
      </c>
      <c r="E25" s="5">
        <f t="shared" si="2"/>
        <v>0.55000000000000004</v>
      </c>
      <c r="F25" s="5">
        <f t="shared" si="2"/>
        <v>0.6</v>
      </c>
      <c r="G25" s="5">
        <f t="shared" si="2"/>
        <v>0.65</v>
      </c>
      <c r="H25" s="5">
        <f t="shared" si="2"/>
        <v>0.7</v>
      </c>
      <c r="I25" s="5">
        <f t="shared" si="2"/>
        <v>0.75</v>
      </c>
      <c r="J25" s="5">
        <f t="shared" si="2"/>
        <v>0.8</v>
      </c>
      <c r="K25" s="5">
        <f t="shared" si="2"/>
        <v>0.85</v>
      </c>
      <c r="L25" s="5">
        <f t="shared" si="2"/>
        <v>0.9</v>
      </c>
      <c r="M25" s="5">
        <f t="shared" si="2"/>
        <v>0.95</v>
      </c>
      <c r="N25" s="5">
        <f t="shared" si="2"/>
        <v>1</v>
      </c>
    </row>
    <row r="26" spans="2:14" x14ac:dyDescent="0.3">
      <c r="C26" s="1">
        <v>0.4</v>
      </c>
      <c r="D26" s="5">
        <f t="shared" si="3"/>
        <v>0.5</v>
      </c>
      <c r="E26" s="5">
        <f t="shared" si="2"/>
        <v>0.55000000000000004</v>
      </c>
      <c r="F26" s="5">
        <f t="shared" si="2"/>
        <v>0.6</v>
      </c>
      <c r="G26" s="5">
        <f t="shared" si="2"/>
        <v>0.65</v>
      </c>
      <c r="H26" s="5">
        <f t="shared" si="2"/>
        <v>0.7</v>
      </c>
      <c r="I26" s="5">
        <f t="shared" si="2"/>
        <v>0.75</v>
      </c>
      <c r="J26" s="5">
        <f t="shared" si="2"/>
        <v>0.8</v>
      </c>
      <c r="K26" s="5">
        <f t="shared" si="2"/>
        <v>0.85</v>
      </c>
      <c r="L26" s="5">
        <f t="shared" si="2"/>
        <v>0.9</v>
      </c>
      <c r="M26" s="5">
        <f t="shared" si="2"/>
        <v>0.95</v>
      </c>
      <c r="N26" s="5">
        <f t="shared" si="2"/>
        <v>1</v>
      </c>
    </row>
    <row r="27" spans="2:14" x14ac:dyDescent="0.3">
      <c r="C27" s="1">
        <v>0.5</v>
      </c>
      <c r="D27" s="5">
        <f t="shared" si="3"/>
        <v>0.5</v>
      </c>
      <c r="E27" s="5">
        <f t="shared" si="2"/>
        <v>0.55000000000000004</v>
      </c>
      <c r="F27" s="5">
        <f t="shared" si="2"/>
        <v>0.6</v>
      </c>
      <c r="G27" s="5">
        <f t="shared" si="2"/>
        <v>0.65</v>
      </c>
      <c r="H27" s="5">
        <f t="shared" si="2"/>
        <v>0.7</v>
      </c>
      <c r="I27" s="5">
        <f t="shared" si="2"/>
        <v>0.75</v>
      </c>
      <c r="J27" s="5">
        <f t="shared" si="2"/>
        <v>0.8</v>
      </c>
      <c r="K27" s="5">
        <f t="shared" si="2"/>
        <v>0.85</v>
      </c>
      <c r="L27" s="5">
        <f t="shared" si="2"/>
        <v>0.9</v>
      </c>
      <c r="M27" s="5">
        <f t="shared" si="2"/>
        <v>0.95</v>
      </c>
      <c r="N27" s="5">
        <f t="shared" si="2"/>
        <v>1</v>
      </c>
    </row>
    <row r="28" spans="2:14" x14ac:dyDescent="0.3">
      <c r="C28" s="1">
        <v>0.6</v>
      </c>
      <c r="D28" s="5">
        <f t="shared" si="3"/>
        <v>0.5</v>
      </c>
      <c r="E28" s="5">
        <f t="shared" si="2"/>
        <v>0.55000000000000004</v>
      </c>
      <c r="F28" s="5">
        <f t="shared" si="2"/>
        <v>0.6</v>
      </c>
      <c r="G28" s="5">
        <f t="shared" si="2"/>
        <v>0.65</v>
      </c>
      <c r="H28" s="5">
        <f t="shared" si="2"/>
        <v>0.7</v>
      </c>
      <c r="I28" s="5">
        <f t="shared" si="2"/>
        <v>0.75</v>
      </c>
      <c r="J28" s="5">
        <f t="shared" si="2"/>
        <v>0.8</v>
      </c>
      <c r="K28" s="5">
        <f t="shared" si="2"/>
        <v>0.85</v>
      </c>
      <c r="L28" s="5">
        <f t="shared" si="2"/>
        <v>0.9</v>
      </c>
      <c r="M28" s="5">
        <f t="shared" si="2"/>
        <v>0.95</v>
      </c>
      <c r="N28" s="5">
        <f t="shared" si="2"/>
        <v>1</v>
      </c>
    </row>
    <row r="29" spans="2:14" x14ac:dyDescent="0.3">
      <c r="C29" s="1">
        <v>0.7</v>
      </c>
      <c r="D29" s="5">
        <f t="shared" si="3"/>
        <v>0.5</v>
      </c>
      <c r="E29" s="5">
        <f t="shared" si="2"/>
        <v>0.55000000000000004</v>
      </c>
      <c r="F29" s="5">
        <f t="shared" si="2"/>
        <v>0.6</v>
      </c>
      <c r="G29" s="5">
        <f t="shared" si="2"/>
        <v>0.65</v>
      </c>
      <c r="H29" s="5">
        <f t="shared" si="2"/>
        <v>0.7</v>
      </c>
      <c r="I29" s="5">
        <f t="shared" si="2"/>
        <v>0.75</v>
      </c>
      <c r="J29" s="5">
        <f t="shared" si="2"/>
        <v>0.8</v>
      </c>
      <c r="K29" s="5">
        <f t="shared" si="2"/>
        <v>0.85</v>
      </c>
      <c r="L29" s="5">
        <f t="shared" si="2"/>
        <v>0.9</v>
      </c>
      <c r="M29" s="5">
        <f t="shared" si="2"/>
        <v>0.95</v>
      </c>
      <c r="N29" s="5">
        <f t="shared" si="2"/>
        <v>1</v>
      </c>
    </row>
    <row r="30" spans="2:14" x14ac:dyDescent="0.3">
      <c r="C30" s="1">
        <v>0.8</v>
      </c>
      <c r="D30" s="5">
        <f t="shared" si="3"/>
        <v>0.5</v>
      </c>
      <c r="E30" s="5">
        <f t="shared" si="2"/>
        <v>0.55000000000000004</v>
      </c>
      <c r="F30" s="5">
        <f t="shared" si="2"/>
        <v>0.6</v>
      </c>
      <c r="G30" s="5">
        <f t="shared" si="2"/>
        <v>0.65</v>
      </c>
      <c r="H30" s="5">
        <f t="shared" si="2"/>
        <v>0.7</v>
      </c>
      <c r="I30" s="5">
        <f t="shared" si="2"/>
        <v>0.75</v>
      </c>
      <c r="J30" s="5">
        <f t="shared" si="2"/>
        <v>0.8</v>
      </c>
      <c r="K30" s="5">
        <f t="shared" si="2"/>
        <v>0.85</v>
      </c>
      <c r="L30" s="5">
        <f t="shared" si="2"/>
        <v>0.9</v>
      </c>
      <c r="M30" s="5">
        <f t="shared" si="2"/>
        <v>0.95</v>
      </c>
      <c r="N30" s="5">
        <f t="shared" si="2"/>
        <v>1</v>
      </c>
    </row>
    <row r="31" spans="2:14" x14ac:dyDescent="0.3">
      <c r="C31" s="1">
        <v>0.9</v>
      </c>
      <c r="D31" s="5">
        <f t="shared" si="3"/>
        <v>0.5</v>
      </c>
      <c r="E31" s="5">
        <f t="shared" si="2"/>
        <v>0.55000000000000004</v>
      </c>
      <c r="F31" s="5">
        <f t="shared" si="2"/>
        <v>0.6</v>
      </c>
      <c r="G31" s="5">
        <f t="shared" si="2"/>
        <v>0.65</v>
      </c>
      <c r="H31" s="5">
        <f t="shared" si="2"/>
        <v>0.7</v>
      </c>
      <c r="I31" s="5">
        <f t="shared" si="2"/>
        <v>0.75</v>
      </c>
      <c r="J31" s="5">
        <f t="shared" si="2"/>
        <v>0.8</v>
      </c>
      <c r="K31" s="5">
        <f t="shared" si="2"/>
        <v>0.85</v>
      </c>
      <c r="L31" s="5">
        <f t="shared" si="2"/>
        <v>0.9</v>
      </c>
      <c r="M31" s="5">
        <f t="shared" si="2"/>
        <v>0.95</v>
      </c>
      <c r="N31" s="5">
        <f t="shared" si="2"/>
        <v>1</v>
      </c>
    </row>
    <row r="32" spans="2:14" x14ac:dyDescent="0.3">
      <c r="C32" s="1">
        <v>1</v>
      </c>
      <c r="D32" s="5">
        <f t="shared" si="3"/>
        <v>0.5</v>
      </c>
      <c r="E32" s="5">
        <f t="shared" si="2"/>
        <v>0.55000000000000004</v>
      </c>
      <c r="F32" s="5">
        <f t="shared" si="2"/>
        <v>0.6</v>
      </c>
      <c r="G32" s="5">
        <f t="shared" si="2"/>
        <v>0.65</v>
      </c>
      <c r="H32" s="5">
        <f t="shared" si="2"/>
        <v>0.7</v>
      </c>
      <c r="I32" s="5">
        <f t="shared" si="2"/>
        <v>0.75</v>
      </c>
      <c r="J32" s="5">
        <f t="shared" si="2"/>
        <v>0.8</v>
      </c>
      <c r="K32" s="5">
        <f t="shared" si="2"/>
        <v>0.85</v>
      </c>
      <c r="L32" s="5">
        <f t="shared" si="2"/>
        <v>0.9</v>
      </c>
      <c r="M32" s="5">
        <f t="shared" si="2"/>
        <v>0.95</v>
      </c>
      <c r="N32" s="5">
        <f t="shared" si="2"/>
        <v>1</v>
      </c>
    </row>
    <row r="33" spans="1:14" x14ac:dyDescent="0.3">
      <c r="A33" t="s">
        <v>114</v>
      </c>
    </row>
    <row r="34" spans="1:14" x14ac:dyDescent="0.3">
      <c r="D34" t="s">
        <v>111</v>
      </c>
    </row>
    <row r="35" spans="1:14" x14ac:dyDescent="0.3">
      <c r="D35" s="4">
        <v>0</v>
      </c>
      <c r="E35" s="8">
        <f>$C$3*0.1</f>
        <v>3141.5926535897934</v>
      </c>
      <c r="F35" s="8">
        <f>$C$3*0.2</f>
        <v>6283.1853071795867</v>
      </c>
      <c r="G35" s="8">
        <f>$C$3*0.3</f>
        <v>9424.7779607693792</v>
      </c>
      <c r="H35" s="8">
        <f>$C$3*0.4</f>
        <v>12566.370614359173</v>
      </c>
      <c r="I35" s="8">
        <f>$C$3*0.5</f>
        <v>15707.963267948966</v>
      </c>
      <c r="J35" s="8">
        <f>$C$3*0.6</f>
        <v>18849.555921538758</v>
      </c>
      <c r="K35" s="8">
        <f>$C$3*0.7</f>
        <v>21991.148575128551</v>
      </c>
      <c r="L35" s="8">
        <f>$C$3*0.8</f>
        <v>25132.741228718347</v>
      </c>
      <c r="M35" s="8">
        <f>$C$3*0.9</f>
        <v>28274.333882308139</v>
      </c>
      <c r="N35" s="8">
        <f>$C$3*1</f>
        <v>31415.926535897932</v>
      </c>
    </row>
    <row r="36" spans="1:14" x14ac:dyDescent="0.3">
      <c r="B36" t="s">
        <v>74</v>
      </c>
      <c r="C36" s="1">
        <v>0.01</v>
      </c>
      <c r="D36" s="5">
        <f>$C36+((1-$C36)/$C$3)*D$35</f>
        <v>0.01</v>
      </c>
      <c r="E36" s="5">
        <f t="shared" ref="E36:N46" si="4">$C36+((1-$C36)/$C$3)*E$35</f>
        <v>0.109</v>
      </c>
      <c r="F36" s="5">
        <f t="shared" si="4"/>
        <v>0.20800000000000002</v>
      </c>
      <c r="G36" s="5">
        <f t="shared" si="4"/>
        <v>0.307</v>
      </c>
      <c r="H36" s="5">
        <f t="shared" si="4"/>
        <v>0.40600000000000003</v>
      </c>
      <c r="I36" s="5">
        <f t="shared" si="4"/>
        <v>0.505</v>
      </c>
      <c r="J36" s="5">
        <f t="shared" si="4"/>
        <v>0.60399999999999998</v>
      </c>
      <c r="K36" s="5">
        <f t="shared" si="4"/>
        <v>0.70299999999999996</v>
      </c>
      <c r="L36" s="5">
        <f t="shared" si="4"/>
        <v>0.80200000000000005</v>
      </c>
      <c r="M36" s="5">
        <f t="shared" si="4"/>
        <v>0.90100000000000002</v>
      </c>
      <c r="N36" s="5">
        <f t="shared" si="4"/>
        <v>1</v>
      </c>
    </row>
    <row r="37" spans="1:14" x14ac:dyDescent="0.3">
      <c r="C37" s="1">
        <v>0.1</v>
      </c>
      <c r="D37" s="5">
        <f t="shared" ref="D37:D46" si="5">$C37+((1-$C37)/$C$3)*D$35</f>
        <v>0.1</v>
      </c>
      <c r="E37" s="5">
        <f t="shared" si="4"/>
        <v>0.19</v>
      </c>
      <c r="F37" s="5">
        <f>$C37+((1-$C37)/$C$3)*F$35</f>
        <v>0.28000000000000003</v>
      </c>
      <c r="G37" s="5">
        <f t="shared" si="4"/>
        <v>0.37</v>
      </c>
      <c r="H37" s="5">
        <f t="shared" si="4"/>
        <v>0.46000000000000008</v>
      </c>
      <c r="I37" s="5">
        <f t="shared" si="4"/>
        <v>0.55000000000000004</v>
      </c>
      <c r="J37" s="5">
        <f t="shared" si="4"/>
        <v>0.64</v>
      </c>
      <c r="K37" s="5">
        <f t="shared" si="4"/>
        <v>0.73</v>
      </c>
      <c r="L37" s="5">
        <f t="shared" si="4"/>
        <v>0.82000000000000006</v>
      </c>
      <c r="M37" s="5">
        <f t="shared" si="4"/>
        <v>0.91</v>
      </c>
      <c r="N37" s="5">
        <f t="shared" si="4"/>
        <v>1</v>
      </c>
    </row>
    <row r="38" spans="1:14" x14ac:dyDescent="0.3">
      <c r="C38" s="1">
        <v>0.2</v>
      </c>
      <c r="D38" s="5">
        <f t="shared" si="5"/>
        <v>0.2</v>
      </c>
      <c r="E38" s="5">
        <f t="shared" si="4"/>
        <v>0.28000000000000003</v>
      </c>
      <c r="F38" s="5">
        <f t="shared" si="4"/>
        <v>0.36000000000000004</v>
      </c>
      <c r="G38" s="5">
        <f t="shared" si="4"/>
        <v>0.44000000000000006</v>
      </c>
      <c r="H38" s="5">
        <f t="shared" si="4"/>
        <v>0.52</v>
      </c>
      <c r="I38" s="5">
        <f t="shared" si="4"/>
        <v>0.60000000000000009</v>
      </c>
      <c r="J38" s="5">
        <f t="shared" si="4"/>
        <v>0.68</v>
      </c>
      <c r="K38" s="5">
        <f t="shared" si="4"/>
        <v>0.76</v>
      </c>
      <c r="L38" s="5">
        <f t="shared" si="4"/>
        <v>0.84000000000000008</v>
      </c>
      <c r="M38" s="5">
        <f t="shared" si="4"/>
        <v>0.92000000000000015</v>
      </c>
      <c r="N38" s="5">
        <f t="shared" si="4"/>
        <v>1</v>
      </c>
    </row>
    <row r="39" spans="1:14" x14ac:dyDescent="0.3">
      <c r="C39" s="1">
        <v>0.3</v>
      </c>
      <c r="D39" s="5">
        <f t="shared" si="5"/>
        <v>0.3</v>
      </c>
      <c r="E39" s="5">
        <f t="shared" si="4"/>
        <v>0.37</v>
      </c>
      <c r="F39" s="5">
        <f t="shared" si="4"/>
        <v>0.43999999999999995</v>
      </c>
      <c r="G39" s="5">
        <f t="shared" si="4"/>
        <v>0.51</v>
      </c>
      <c r="H39" s="5">
        <f t="shared" si="4"/>
        <v>0.57999999999999996</v>
      </c>
      <c r="I39" s="5">
        <f t="shared" si="4"/>
        <v>0.64999999999999991</v>
      </c>
      <c r="J39" s="5">
        <f t="shared" si="4"/>
        <v>0.72</v>
      </c>
      <c r="K39" s="5">
        <f t="shared" si="4"/>
        <v>0.78999999999999981</v>
      </c>
      <c r="L39" s="5">
        <f t="shared" si="4"/>
        <v>0.85999999999999988</v>
      </c>
      <c r="M39" s="5">
        <f t="shared" si="4"/>
        <v>0.92999999999999994</v>
      </c>
      <c r="N39" s="5">
        <f t="shared" si="4"/>
        <v>1</v>
      </c>
    </row>
    <row r="40" spans="1:14" x14ac:dyDescent="0.3">
      <c r="C40" s="1">
        <v>0.4</v>
      </c>
      <c r="D40" s="5">
        <f t="shared" si="5"/>
        <v>0.4</v>
      </c>
      <c r="E40" s="5">
        <f t="shared" si="4"/>
        <v>0.46</v>
      </c>
      <c r="F40" s="5">
        <f t="shared" si="4"/>
        <v>0.52</v>
      </c>
      <c r="G40" s="5">
        <f t="shared" si="4"/>
        <v>0.57999999999999996</v>
      </c>
      <c r="H40" s="5">
        <f t="shared" si="4"/>
        <v>0.64</v>
      </c>
      <c r="I40" s="5">
        <f t="shared" si="4"/>
        <v>0.7</v>
      </c>
      <c r="J40" s="5">
        <f t="shared" si="4"/>
        <v>0.76</v>
      </c>
      <c r="K40" s="5">
        <f t="shared" si="4"/>
        <v>0.82</v>
      </c>
      <c r="L40" s="5">
        <f t="shared" si="4"/>
        <v>0.88</v>
      </c>
      <c r="M40" s="5">
        <f t="shared" si="4"/>
        <v>0.94</v>
      </c>
      <c r="N40" s="5">
        <f t="shared" si="4"/>
        <v>1</v>
      </c>
    </row>
    <row r="41" spans="1:14" x14ac:dyDescent="0.3">
      <c r="C41" s="1">
        <v>0.5</v>
      </c>
      <c r="D41" s="5">
        <f t="shared" si="5"/>
        <v>0.5</v>
      </c>
      <c r="E41" s="5">
        <f t="shared" si="4"/>
        <v>0.55000000000000004</v>
      </c>
      <c r="F41" s="5">
        <f t="shared" si="4"/>
        <v>0.6</v>
      </c>
      <c r="G41" s="5">
        <f t="shared" si="4"/>
        <v>0.65</v>
      </c>
      <c r="H41" s="5">
        <f t="shared" si="4"/>
        <v>0.7</v>
      </c>
      <c r="I41" s="5">
        <f t="shared" si="4"/>
        <v>0.75</v>
      </c>
      <c r="J41" s="5">
        <f t="shared" si="4"/>
        <v>0.8</v>
      </c>
      <c r="K41" s="5">
        <f t="shared" si="4"/>
        <v>0.85</v>
      </c>
      <c r="L41" s="5">
        <f t="shared" si="4"/>
        <v>0.9</v>
      </c>
      <c r="M41" s="5">
        <f t="shared" si="4"/>
        <v>0.95</v>
      </c>
      <c r="N41" s="5">
        <f t="shared" si="4"/>
        <v>1</v>
      </c>
    </row>
    <row r="42" spans="1:14" x14ac:dyDescent="0.3">
      <c r="C42" s="1">
        <v>0.6</v>
      </c>
      <c r="D42" s="5">
        <f t="shared" si="5"/>
        <v>0.6</v>
      </c>
      <c r="E42" s="5">
        <f t="shared" si="4"/>
        <v>0.64</v>
      </c>
      <c r="F42" s="5">
        <f t="shared" si="4"/>
        <v>0.67999999999999994</v>
      </c>
      <c r="G42" s="5">
        <f t="shared" si="4"/>
        <v>0.72</v>
      </c>
      <c r="H42" s="5">
        <f t="shared" si="4"/>
        <v>0.76</v>
      </c>
      <c r="I42" s="5">
        <f t="shared" si="4"/>
        <v>0.8</v>
      </c>
      <c r="J42" s="5">
        <f t="shared" si="4"/>
        <v>0.84</v>
      </c>
      <c r="K42" s="5">
        <f t="shared" si="4"/>
        <v>0.88</v>
      </c>
      <c r="L42" s="5">
        <f t="shared" si="4"/>
        <v>0.92</v>
      </c>
      <c r="M42" s="5">
        <f t="shared" si="4"/>
        <v>0.96</v>
      </c>
      <c r="N42" s="5">
        <f t="shared" si="4"/>
        <v>1</v>
      </c>
    </row>
    <row r="43" spans="1:14" x14ac:dyDescent="0.3">
      <c r="C43" s="1">
        <v>0.7</v>
      </c>
      <c r="D43" s="5">
        <f t="shared" si="5"/>
        <v>0.7</v>
      </c>
      <c r="E43" s="5">
        <f t="shared" si="4"/>
        <v>0.73</v>
      </c>
      <c r="F43" s="5">
        <f t="shared" si="4"/>
        <v>0.76</v>
      </c>
      <c r="G43" s="5">
        <f t="shared" si="4"/>
        <v>0.78999999999999992</v>
      </c>
      <c r="H43" s="5">
        <f t="shared" si="4"/>
        <v>0.82</v>
      </c>
      <c r="I43" s="5">
        <f t="shared" si="4"/>
        <v>0.85</v>
      </c>
      <c r="J43" s="5">
        <f t="shared" si="4"/>
        <v>0.88</v>
      </c>
      <c r="K43" s="5">
        <f t="shared" si="4"/>
        <v>0.90999999999999992</v>
      </c>
      <c r="L43" s="5">
        <f t="shared" si="4"/>
        <v>0.94</v>
      </c>
      <c r="M43" s="5">
        <f t="shared" si="4"/>
        <v>0.97</v>
      </c>
      <c r="N43" s="5">
        <f t="shared" si="4"/>
        <v>1</v>
      </c>
    </row>
    <row r="44" spans="1:14" x14ac:dyDescent="0.3">
      <c r="C44" s="1">
        <v>0.8</v>
      </c>
      <c r="D44" s="5">
        <f t="shared" si="5"/>
        <v>0.8</v>
      </c>
      <c r="E44" s="5">
        <f t="shared" si="4"/>
        <v>0.82000000000000006</v>
      </c>
      <c r="F44" s="5">
        <f t="shared" si="4"/>
        <v>0.84000000000000008</v>
      </c>
      <c r="G44" s="5">
        <f t="shared" si="4"/>
        <v>0.86</v>
      </c>
      <c r="H44" s="5">
        <f t="shared" si="4"/>
        <v>0.88</v>
      </c>
      <c r="I44" s="5">
        <f t="shared" si="4"/>
        <v>0.9</v>
      </c>
      <c r="J44" s="5">
        <f t="shared" si="4"/>
        <v>0.92</v>
      </c>
      <c r="K44" s="5">
        <f t="shared" si="4"/>
        <v>0.94</v>
      </c>
      <c r="L44" s="5">
        <f t="shared" si="4"/>
        <v>0.96</v>
      </c>
      <c r="M44" s="5">
        <f t="shared" si="4"/>
        <v>0.98</v>
      </c>
      <c r="N44" s="5">
        <f t="shared" si="4"/>
        <v>1</v>
      </c>
    </row>
    <row r="45" spans="1:14" x14ac:dyDescent="0.3">
      <c r="C45" s="1">
        <v>0.9</v>
      </c>
      <c r="D45" s="5">
        <f t="shared" si="5"/>
        <v>0.9</v>
      </c>
      <c r="E45" s="5">
        <f t="shared" si="4"/>
        <v>0.91</v>
      </c>
      <c r="F45" s="5">
        <f t="shared" si="4"/>
        <v>0.92</v>
      </c>
      <c r="G45" s="5">
        <f t="shared" si="4"/>
        <v>0.93</v>
      </c>
      <c r="H45" s="5">
        <f t="shared" si="4"/>
        <v>0.94000000000000006</v>
      </c>
      <c r="I45" s="5">
        <f t="shared" si="4"/>
        <v>0.95</v>
      </c>
      <c r="J45" s="5">
        <f t="shared" si="4"/>
        <v>0.96</v>
      </c>
      <c r="K45" s="5">
        <f t="shared" si="4"/>
        <v>0.97</v>
      </c>
      <c r="L45" s="5">
        <f t="shared" si="4"/>
        <v>0.98</v>
      </c>
      <c r="M45" s="5">
        <f t="shared" si="4"/>
        <v>0.99</v>
      </c>
      <c r="N45" s="5">
        <f t="shared" si="4"/>
        <v>1</v>
      </c>
    </row>
    <row r="46" spans="1:14" x14ac:dyDescent="0.3">
      <c r="C46" s="1">
        <v>1</v>
      </c>
      <c r="D46" s="5">
        <f t="shared" si="5"/>
        <v>1</v>
      </c>
      <c r="E46" s="5">
        <f t="shared" si="4"/>
        <v>1</v>
      </c>
      <c r="F46" s="5">
        <f t="shared" si="4"/>
        <v>1</v>
      </c>
      <c r="G46" s="5">
        <f t="shared" si="4"/>
        <v>1</v>
      </c>
      <c r="H46" s="5">
        <f t="shared" si="4"/>
        <v>1</v>
      </c>
      <c r="I46" s="5">
        <f t="shared" si="4"/>
        <v>1</v>
      </c>
      <c r="J46" s="5">
        <f t="shared" si="4"/>
        <v>1</v>
      </c>
      <c r="K46" s="5">
        <f t="shared" si="4"/>
        <v>1</v>
      </c>
      <c r="L46" s="5">
        <f t="shared" si="4"/>
        <v>1</v>
      </c>
      <c r="M46" s="5">
        <f t="shared" si="4"/>
        <v>1</v>
      </c>
      <c r="N46" s="5">
        <f t="shared" si="4"/>
        <v>1</v>
      </c>
    </row>
    <row r="48" spans="1:14" x14ac:dyDescent="0.3">
      <c r="A48" t="s">
        <v>115</v>
      </c>
    </row>
    <row r="49" spans="2:14" x14ac:dyDescent="0.3">
      <c r="D49" t="s">
        <v>111</v>
      </c>
    </row>
    <row r="50" spans="2:14" x14ac:dyDescent="0.3">
      <c r="D50" s="4">
        <v>0</v>
      </c>
      <c r="E50" s="8">
        <f>$C$3*0.1</f>
        <v>3141.5926535897934</v>
      </c>
      <c r="F50" s="8">
        <f>$C$3*0.2</f>
        <v>6283.1853071795867</v>
      </c>
      <c r="G50" s="8">
        <f>$C$3*0.3</f>
        <v>9424.7779607693792</v>
      </c>
      <c r="H50" s="8">
        <f>$C$3*0.4</f>
        <v>12566.370614359173</v>
      </c>
      <c r="I50" s="8">
        <f>$C$3*0.5</f>
        <v>15707.963267948966</v>
      </c>
      <c r="J50" s="8">
        <f>$C$3*0.6</f>
        <v>18849.555921538758</v>
      </c>
      <c r="K50" s="8">
        <f>$C$3*0.7</f>
        <v>21991.148575128551</v>
      </c>
      <c r="L50" s="8">
        <f>$C$3*0.8</f>
        <v>25132.741228718347</v>
      </c>
      <c r="M50" s="8">
        <f>$C$3*0.9</f>
        <v>28274.333882308139</v>
      </c>
      <c r="N50" s="8">
        <f>$C$3*1</f>
        <v>31415.926535897932</v>
      </c>
    </row>
    <row r="51" spans="2:14" x14ac:dyDescent="0.3">
      <c r="B51" t="s">
        <v>74</v>
      </c>
      <c r="C51" s="1">
        <v>0.01</v>
      </c>
      <c r="D51" s="5">
        <f>($C51+((1-$C51)/$C$3)*D$50)*$C51</f>
        <v>1E-4</v>
      </c>
      <c r="E51" s="5">
        <f t="shared" ref="E51:N61" si="6">($C51+((1-$C51)/$C$3)*E$50)*$C51</f>
        <v>1.09E-3</v>
      </c>
      <c r="F51" s="5">
        <f t="shared" si="6"/>
        <v>2.0800000000000003E-3</v>
      </c>
      <c r="G51" s="5">
        <f t="shared" si="6"/>
        <v>3.0699999999999998E-3</v>
      </c>
      <c r="H51" s="5">
        <f t="shared" si="6"/>
        <v>4.0600000000000002E-3</v>
      </c>
      <c r="I51" s="5">
        <f t="shared" si="6"/>
        <v>5.0499999999999998E-3</v>
      </c>
      <c r="J51" s="5">
        <f t="shared" si="6"/>
        <v>6.0400000000000002E-3</v>
      </c>
      <c r="K51" s="5">
        <f t="shared" si="6"/>
        <v>7.0299999999999998E-3</v>
      </c>
      <c r="L51" s="5">
        <f t="shared" si="6"/>
        <v>8.0200000000000011E-3</v>
      </c>
      <c r="M51" s="5">
        <f t="shared" si="6"/>
        <v>9.0100000000000006E-3</v>
      </c>
      <c r="N51" s="5">
        <f t="shared" si="6"/>
        <v>0.01</v>
      </c>
    </row>
    <row r="52" spans="2:14" x14ac:dyDescent="0.3">
      <c r="C52" s="1">
        <v>0.1</v>
      </c>
      <c r="D52" s="5">
        <f t="shared" ref="D52:D61" si="7">($C52+((1-$C52)/$C$3)*D$50)*$C52</f>
        <v>1.0000000000000002E-2</v>
      </c>
      <c r="E52" s="5">
        <f t="shared" si="6"/>
        <v>1.9000000000000003E-2</v>
      </c>
      <c r="F52" s="5">
        <f t="shared" si="6"/>
        <v>2.8000000000000004E-2</v>
      </c>
      <c r="G52" s="5">
        <f t="shared" si="6"/>
        <v>3.6999999999999998E-2</v>
      </c>
      <c r="H52" s="5">
        <f t="shared" si="6"/>
        <v>4.6000000000000013E-2</v>
      </c>
      <c r="I52" s="5">
        <f t="shared" si="6"/>
        <v>5.5000000000000007E-2</v>
      </c>
      <c r="J52" s="5">
        <f t="shared" si="6"/>
        <v>6.4000000000000001E-2</v>
      </c>
      <c r="K52" s="5">
        <f t="shared" si="6"/>
        <v>7.2999999999999995E-2</v>
      </c>
      <c r="L52" s="5">
        <f t="shared" si="6"/>
        <v>8.2000000000000017E-2</v>
      </c>
      <c r="M52" s="5">
        <f t="shared" si="6"/>
        <v>9.1000000000000011E-2</v>
      </c>
      <c r="N52" s="5">
        <f t="shared" si="6"/>
        <v>0.1</v>
      </c>
    </row>
    <row r="53" spans="2:14" x14ac:dyDescent="0.3">
      <c r="C53" s="1">
        <v>0.2</v>
      </c>
      <c r="D53" s="5">
        <f t="shared" si="7"/>
        <v>4.0000000000000008E-2</v>
      </c>
      <c r="E53" s="5">
        <f t="shared" si="6"/>
        <v>5.6000000000000008E-2</v>
      </c>
      <c r="F53" s="5">
        <f t="shared" si="6"/>
        <v>7.2000000000000008E-2</v>
      </c>
      <c r="G53" s="5">
        <f t="shared" si="6"/>
        <v>8.8000000000000023E-2</v>
      </c>
      <c r="H53" s="5">
        <f t="shared" si="6"/>
        <v>0.10400000000000001</v>
      </c>
      <c r="I53" s="5">
        <f t="shared" si="6"/>
        <v>0.12000000000000002</v>
      </c>
      <c r="J53" s="5">
        <f t="shared" si="6"/>
        <v>0.13600000000000001</v>
      </c>
      <c r="K53" s="5">
        <f t="shared" si="6"/>
        <v>0.15200000000000002</v>
      </c>
      <c r="L53" s="5">
        <f t="shared" si="6"/>
        <v>0.16800000000000004</v>
      </c>
      <c r="M53" s="5">
        <f t="shared" si="6"/>
        <v>0.18400000000000005</v>
      </c>
      <c r="N53" s="5">
        <f t="shared" si="6"/>
        <v>0.2</v>
      </c>
    </row>
    <row r="54" spans="2:14" x14ac:dyDescent="0.3">
      <c r="C54" s="1">
        <v>0.3</v>
      </c>
      <c r="D54" s="5">
        <f t="shared" si="7"/>
        <v>0.09</v>
      </c>
      <c r="E54" s="5">
        <f t="shared" si="6"/>
        <v>0.111</v>
      </c>
      <c r="F54" s="5">
        <f t="shared" si="6"/>
        <v>0.13199999999999998</v>
      </c>
      <c r="G54" s="5">
        <f t="shared" si="6"/>
        <v>0.153</v>
      </c>
      <c r="H54" s="5">
        <f t="shared" si="6"/>
        <v>0.17399999999999999</v>
      </c>
      <c r="I54" s="5">
        <f t="shared" si="6"/>
        <v>0.19499999999999998</v>
      </c>
      <c r="J54" s="5">
        <f t="shared" si="6"/>
        <v>0.216</v>
      </c>
      <c r="K54" s="5">
        <f t="shared" si="6"/>
        <v>0.23699999999999993</v>
      </c>
      <c r="L54" s="5">
        <f t="shared" si="6"/>
        <v>0.25799999999999995</v>
      </c>
      <c r="M54" s="5">
        <f t="shared" si="6"/>
        <v>0.27899999999999997</v>
      </c>
      <c r="N54" s="5">
        <f t="shared" si="6"/>
        <v>0.3</v>
      </c>
    </row>
    <row r="55" spans="2:14" x14ac:dyDescent="0.3">
      <c r="C55" s="1">
        <v>0.4</v>
      </c>
      <c r="D55" s="5">
        <f t="shared" si="7"/>
        <v>0.16000000000000003</v>
      </c>
      <c r="E55" s="5">
        <f t="shared" si="6"/>
        <v>0.18400000000000002</v>
      </c>
      <c r="F55" s="5">
        <f t="shared" si="6"/>
        <v>0.20800000000000002</v>
      </c>
      <c r="G55" s="5">
        <f t="shared" si="6"/>
        <v>0.23199999999999998</v>
      </c>
      <c r="H55" s="5">
        <f t="shared" si="6"/>
        <v>0.25600000000000001</v>
      </c>
      <c r="I55" s="5">
        <f t="shared" si="6"/>
        <v>0.27999999999999997</v>
      </c>
      <c r="J55" s="5">
        <f t="shared" si="6"/>
        <v>0.30400000000000005</v>
      </c>
      <c r="K55" s="5">
        <f t="shared" si="6"/>
        <v>0.32800000000000001</v>
      </c>
      <c r="L55" s="5">
        <f t="shared" si="6"/>
        <v>0.35200000000000004</v>
      </c>
      <c r="M55" s="5">
        <f t="shared" si="6"/>
        <v>0.376</v>
      </c>
      <c r="N55" s="5">
        <f t="shared" si="6"/>
        <v>0.4</v>
      </c>
    </row>
    <row r="56" spans="2:14" x14ac:dyDescent="0.3">
      <c r="C56" s="1">
        <v>0.5</v>
      </c>
      <c r="D56" s="5">
        <f t="shared" si="7"/>
        <v>0.25</v>
      </c>
      <c r="E56" s="5">
        <f t="shared" si="6"/>
        <v>0.27500000000000002</v>
      </c>
      <c r="F56" s="5">
        <f t="shared" si="6"/>
        <v>0.3</v>
      </c>
      <c r="G56" s="5">
        <f t="shared" si="6"/>
        <v>0.32500000000000001</v>
      </c>
      <c r="H56" s="5">
        <f t="shared" si="6"/>
        <v>0.35</v>
      </c>
      <c r="I56" s="5">
        <f t="shared" si="6"/>
        <v>0.375</v>
      </c>
      <c r="J56" s="5">
        <f t="shared" si="6"/>
        <v>0.4</v>
      </c>
      <c r="K56" s="5">
        <f t="shared" si="6"/>
        <v>0.42499999999999999</v>
      </c>
      <c r="L56" s="5">
        <f t="shared" si="6"/>
        <v>0.45</v>
      </c>
      <c r="M56" s="5">
        <f t="shared" si="6"/>
        <v>0.47499999999999998</v>
      </c>
      <c r="N56" s="5">
        <f t="shared" si="6"/>
        <v>0.5</v>
      </c>
    </row>
    <row r="57" spans="2:14" x14ac:dyDescent="0.3">
      <c r="C57" s="1">
        <v>0.6</v>
      </c>
      <c r="D57" s="5">
        <f t="shared" si="7"/>
        <v>0.36</v>
      </c>
      <c r="E57" s="5">
        <f t="shared" si="6"/>
        <v>0.38400000000000001</v>
      </c>
      <c r="F57" s="5">
        <f t="shared" si="6"/>
        <v>0.40799999999999997</v>
      </c>
      <c r="G57" s="5">
        <f t="shared" si="6"/>
        <v>0.432</v>
      </c>
      <c r="H57" s="5">
        <f t="shared" si="6"/>
        <v>0.45599999999999996</v>
      </c>
      <c r="I57" s="5">
        <f t="shared" si="6"/>
        <v>0.48</v>
      </c>
      <c r="J57" s="5">
        <f t="shared" si="6"/>
        <v>0.504</v>
      </c>
      <c r="K57" s="5">
        <f t="shared" si="6"/>
        <v>0.52800000000000002</v>
      </c>
      <c r="L57" s="5">
        <f t="shared" si="6"/>
        <v>0.55200000000000005</v>
      </c>
      <c r="M57" s="5">
        <f t="shared" si="6"/>
        <v>0.57599999999999996</v>
      </c>
      <c r="N57" s="5">
        <f t="shared" si="6"/>
        <v>0.6</v>
      </c>
    </row>
    <row r="58" spans="2:14" x14ac:dyDescent="0.3">
      <c r="C58" s="1">
        <v>0.7</v>
      </c>
      <c r="D58" s="5">
        <f t="shared" si="7"/>
        <v>0.48999999999999994</v>
      </c>
      <c r="E58" s="5">
        <f t="shared" si="6"/>
        <v>0.51100000000000001</v>
      </c>
      <c r="F58" s="5">
        <f t="shared" si="6"/>
        <v>0.53199999999999992</v>
      </c>
      <c r="G58" s="5">
        <f t="shared" si="6"/>
        <v>0.55299999999999994</v>
      </c>
      <c r="H58" s="5">
        <f t="shared" si="6"/>
        <v>0.57399999999999995</v>
      </c>
      <c r="I58" s="5">
        <f t="shared" si="6"/>
        <v>0.59499999999999997</v>
      </c>
      <c r="J58" s="5">
        <f t="shared" si="6"/>
        <v>0.61599999999999999</v>
      </c>
      <c r="K58" s="5">
        <f t="shared" si="6"/>
        <v>0.6369999999999999</v>
      </c>
      <c r="L58" s="5">
        <f t="shared" si="6"/>
        <v>0.65799999999999992</v>
      </c>
      <c r="M58" s="5">
        <f t="shared" si="6"/>
        <v>0.67899999999999994</v>
      </c>
      <c r="N58" s="5">
        <f t="shared" si="6"/>
        <v>0.7</v>
      </c>
    </row>
    <row r="59" spans="2:14" x14ac:dyDescent="0.3">
      <c r="C59" s="1">
        <v>0.8</v>
      </c>
      <c r="D59" s="5">
        <f t="shared" si="7"/>
        <v>0.64000000000000012</v>
      </c>
      <c r="E59" s="5">
        <f t="shared" si="6"/>
        <v>0.65600000000000014</v>
      </c>
      <c r="F59" s="5">
        <f t="shared" si="6"/>
        <v>0.67200000000000015</v>
      </c>
      <c r="G59" s="5">
        <f t="shared" si="6"/>
        <v>0.68800000000000006</v>
      </c>
      <c r="H59" s="5">
        <f t="shared" si="6"/>
        <v>0.70400000000000007</v>
      </c>
      <c r="I59" s="5">
        <f t="shared" si="6"/>
        <v>0.72000000000000008</v>
      </c>
      <c r="J59" s="5">
        <f t="shared" si="6"/>
        <v>0.7360000000000001</v>
      </c>
      <c r="K59" s="5">
        <f t="shared" si="6"/>
        <v>0.752</v>
      </c>
      <c r="L59" s="5">
        <f t="shared" si="6"/>
        <v>0.76800000000000002</v>
      </c>
      <c r="M59" s="5">
        <f t="shared" si="6"/>
        <v>0.78400000000000003</v>
      </c>
      <c r="N59" s="5">
        <f t="shared" si="6"/>
        <v>0.8</v>
      </c>
    </row>
    <row r="60" spans="2:14" x14ac:dyDescent="0.3">
      <c r="C60" s="1">
        <v>0.9</v>
      </c>
      <c r="D60" s="5">
        <f t="shared" si="7"/>
        <v>0.81</v>
      </c>
      <c r="E60" s="5">
        <f t="shared" si="6"/>
        <v>0.81900000000000006</v>
      </c>
      <c r="F60" s="5">
        <f t="shared" si="6"/>
        <v>0.82800000000000007</v>
      </c>
      <c r="G60" s="5">
        <f t="shared" si="6"/>
        <v>0.83700000000000008</v>
      </c>
      <c r="H60" s="5">
        <f t="shared" si="6"/>
        <v>0.84600000000000009</v>
      </c>
      <c r="I60" s="5">
        <f t="shared" si="6"/>
        <v>0.85499999999999998</v>
      </c>
      <c r="J60" s="5">
        <f t="shared" si="6"/>
        <v>0.86399999999999999</v>
      </c>
      <c r="K60" s="5">
        <f t="shared" si="6"/>
        <v>0.873</v>
      </c>
      <c r="L60" s="5">
        <f t="shared" si="6"/>
        <v>0.88200000000000001</v>
      </c>
      <c r="M60" s="5">
        <f t="shared" si="6"/>
        <v>0.89100000000000001</v>
      </c>
      <c r="N60" s="5">
        <f t="shared" si="6"/>
        <v>0.9</v>
      </c>
    </row>
    <row r="61" spans="2:14" x14ac:dyDescent="0.3">
      <c r="C61" s="1">
        <v>1</v>
      </c>
      <c r="D61" s="5">
        <f t="shared" si="7"/>
        <v>1</v>
      </c>
      <c r="E61" s="5">
        <f t="shared" si="6"/>
        <v>1</v>
      </c>
      <c r="F61" s="5">
        <f t="shared" si="6"/>
        <v>1</v>
      </c>
      <c r="G61" s="5">
        <f t="shared" si="6"/>
        <v>1</v>
      </c>
      <c r="H61" s="5">
        <f t="shared" si="6"/>
        <v>1</v>
      </c>
      <c r="I61" s="5">
        <f t="shared" si="6"/>
        <v>1</v>
      </c>
      <c r="J61" s="5">
        <f t="shared" si="6"/>
        <v>1</v>
      </c>
      <c r="K61" s="5">
        <f t="shared" si="6"/>
        <v>1</v>
      </c>
      <c r="L61" s="5">
        <f t="shared" si="6"/>
        <v>1</v>
      </c>
      <c r="M61" s="5">
        <f t="shared" si="6"/>
        <v>1</v>
      </c>
      <c r="N61" s="5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pref values</vt:lpstr>
      <vt:lpstr>max dist</vt:lpstr>
      <vt:lpstr>corr rand walk</vt:lpstr>
      <vt:lpstr>ASC file parms</vt:lpstr>
      <vt:lpstr>Egg Density</vt:lpstr>
      <vt:lpstr>Lat Long</vt:lpstr>
      <vt:lpstr>Eggsperday</vt:lpstr>
      <vt:lpstr>ScalebyDist</vt:lpstr>
      <vt:lpstr>ScalebyArea</vt:lpstr>
      <vt:lpstr>MemorybyArea</vt:lpstr>
      <vt:lpstr>probEggs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Reviewer</cp:lastModifiedBy>
  <dcterms:created xsi:type="dcterms:W3CDTF">2015-07-29T15:58:01Z</dcterms:created>
  <dcterms:modified xsi:type="dcterms:W3CDTF">2017-02-17T18:12:45Z</dcterms:modified>
</cp:coreProperties>
</file>