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452DE09-5741-4D06-AC54-3ABC00CE027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uation " sheetId="1" r:id="rId1"/>
    <sheet name="Output" sheetId="2" r:id="rId2"/>
    <sheet name="Gartner" sheetId="7" r:id="rId3"/>
    <sheet name="Go_daddy" sheetId="8" r:id="rId4"/>
    <sheet name="Trade_desk" sheetId="9" r:id="rId5"/>
    <sheet name="Verisign" sheetId="10" r:id="rId6"/>
    <sheet name="Snowflake" sheetId="11" r:id="rId7"/>
    <sheet name="Okta" sheetId="12" r:id="rId8"/>
    <sheet name="Manhattan_Associates" sheetId="13" r:id="rId9"/>
    <sheet name="Crowdstrike_holdings" sheetId="14" r:id="rId10"/>
    <sheet name="Nutanix" sheetId="15" r:id="rId11"/>
    <sheet name="Dynatrace" sheetId="16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7" l="1"/>
  <c r="I63" i="16"/>
  <c r="I62" i="16" s="1"/>
  <c r="J63" i="16"/>
  <c r="J62" i="16" s="1"/>
  <c r="I77" i="16"/>
  <c r="J77" i="16"/>
  <c r="F42" i="16"/>
  <c r="E42" i="16"/>
  <c r="H42" i="16" s="1"/>
  <c r="H45" i="16" s="1"/>
  <c r="D42" i="16"/>
  <c r="D41" i="16"/>
  <c r="E41" i="16"/>
  <c r="I77" i="15"/>
  <c r="J77" i="15"/>
  <c r="I62" i="15"/>
  <c r="J62" i="15"/>
  <c r="I63" i="15"/>
  <c r="J63" i="15"/>
  <c r="H63" i="14"/>
  <c r="F41" i="16" l="1"/>
  <c r="G41" i="16" s="1"/>
  <c r="H41" i="16" s="1"/>
  <c r="H77" i="16"/>
  <c r="P77" i="16" s="1"/>
  <c r="P74" i="16"/>
  <c r="K74" i="16"/>
  <c r="K67" i="16"/>
  <c r="P65" i="16"/>
  <c r="K65" i="16"/>
  <c r="H63" i="16"/>
  <c r="K61" i="16"/>
  <c r="P59" i="16"/>
  <c r="K59" i="16"/>
  <c r="M58" i="16"/>
  <c r="N58" i="16" s="1"/>
  <c r="D40" i="16"/>
  <c r="E40" i="16" s="1"/>
  <c r="F23" i="16"/>
  <c r="F20" i="16"/>
  <c r="F11" i="16"/>
  <c r="F6" i="16"/>
  <c r="A2" i="16"/>
  <c r="H77" i="15"/>
  <c r="K77" i="15" s="1"/>
  <c r="P74" i="15"/>
  <c r="K74" i="15"/>
  <c r="K67" i="15"/>
  <c r="P65" i="15"/>
  <c r="K65" i="15"/>
  <c r="H63" i="15"/>
  <c r="K61" i="15"/>
  <c r="P59" i="15"/>
  <c r="K59" i="15"/>
  <c r="M58" i="15"/>
  <c r="N58" i="15" s="1"/>
  <c r="D40" i="15"/>
  <c r="E40" i="15" s="1"/>
  <c r="F23" i="15"/>
  <c r="F20" i="15"/>
  <c r="F11" i="15"/>
  <c r="F6" i="15"/>
  <c r="A2" i="15"/>
  <c r="H77" i="14"/>
  <c r="P77" i="14" s="1"/>
  <c r="P74" i="14"/>
  <c r="K74" i="14"/>
  <c r="K67" i="14"/>
  <c r="P65" i="14"/>
  <c r="K65" i="14"/>
  <c r="K61" i="14"/>
  <c r="P59" i="14"/>
  <c r="K59" i="14"/>
  <c r="M58" i="14"/>
  <c r="N58" i="14" s="1"/>
  <c r="D41" i="14"/>
  <c r="E41" i="14" s="1"/>
  <c r="D40" i="14"/>
  <c r="E40" i="14" s="1"/>
  <c r="F23" i="14"/>
  <c r="F20" i="14"/>
  <c r="F11" i="14"/>
  <c r="F6" i="14"/>
  <c r="A2" i="14"/>
  <c r="K67" i="13"/>
  <c r="P65" i="13"/>
  <c r="K65" i="13"/>
  <c r="H63" i="13"/>
  <c r="P63" i="13" s="1"/>
  <c r="K61" i="13"/>
  <c r="P59" i="13"/>
  <c r="K59" i="13"/>
  <c r="N58" i="13"/>
  <c r="M58" i="13"/>
  <c r="D41" i="13"/>
  <c r="E41" i="13" s="1"/>
  <c r="D40" i="13"/>
  <c r="E40" i="13" s="1"/>
  <c r="F23" i="13"/>
  <c r="F20" i="13"/>
  <c r="F11" i="13"/>
  <c r="A2" i="13"/>
  <c r="P63" i="16" l="1"/>
  <c r="K63" i="16"/>
  <c r="H62" i="16"/>
  <c r="H68" i="16" s="1"/>
  <c r="F40" i="16"/>
  <c r="G40" i="16" s="1"/>
  <c r="H40" i="16" s="1"/>
  <c r="K77" i="16"/>
  <c r="P63" i="15"/>
  <c r="K63" i="15"/>
  <c r="H62" i="15"/>
  <c r="H68" i="15" s="1"/>
  <c r="F40" i="15"/>
  <c r="G40" i="15" s="1"/>
  <c r="H40" i="15" s="1"/>
  <c r="H45" i="15" s="1"/>
  <c r="C17" i="15" s="1"/>
  <c r="C18" i="15" s="1"/>
  <c r="F18" i="15" s="1"/>
  <c r="P77" i="15"/>
  <c r="F40" i="14"/>
  <c r="G40" i="14" s="1"/>
  <c r="H40" i="14" s="1"/>
  <c r="P63" i="14"/>
  <c r="K63" i="14"/>
  <c r="H62" i="14"/>
  <c r="H68" i="14" s="1"/>
  <c r="F41" i="14"/>
  <c r="G41" i="14" s="1"/>
  <c r="H41" i="14" s="1"/>
  <c r="K77" i="14"/>
  <c r="H62" i="13"/>
  <c r="H68" i="13" s="1"/>
  <c r="K63" i="13"/>
  <c r="F40" i="13"/>
  <c r="G40" i="13" s="1"/>
  <c r="H40" i="13" s="1"/>
  <c r="F41" i="13"/>
  <c r="G41" i="13" s="1"/>
  <c r="H41" i="13" s="1"/>
  <c r="H63" i="12"/>
  <c r="K63" i="12" s="1"/>
  <c r="H42" i="12"/>
  <c r="G42" i="12"/>
  <c r="F42" i="12"/>
  <c r="E42" i="12"/>
  <c r="D42" i="12"/>
  <c r="D18" i="12"/>
  <c r="D17" i="12"/>
  <c r="D15" i="12"/>
  <c r="D16" i="12"/>
  <c r="C16" i="12"/>
  <c r="K67" i="12"/>
  <c r="P65" i="12"/>
  <c r="K65" i="12"/>
  <c r="K61" i="12"/>
  <c r="P59" i="12"/>
  <c r="K59" i="12"/>
  <c r="N58" i="12"/>
  <c r="M58" i="12"/>
  <c r="D41" i="12"/>
  <c r="E41" i="12" s="1"/>
  <c r="D40" i="12"/>
  <c r="E40" i="12" s="1"/>
  <c r="F23" i="12"/>
  <c r="F20" i="12"/>
  <c r="F11" i="12"/>
  <c r="A2" i="12"/>
  <c r="H70" i="11"/>
  <c r="J68" i="11"/>
  <c r="K67" i="11"/>
  <c r="P65" i="11"/>
  <c r="J65" i="11"/>
  <c r="I65" i="11"/>
  <c r="K65" i="11" s="1"/>
  <c r="P63" i="11"/>
  <c r="K63" i="11"/>
  <c r="J62" i="11"/>
  <c r="I62" i="11"/>
  <c r="I68" i="11" s="1"/>
  <c r="H62" i="11"/>
  <c r="H68" i="11" s="1"/>
  <c r="K61" i="11"/>
  <c r="P59" i="11"/>
  <c r="K59" i="11"/>
  <c r="N58" i="11"/>
  <c r="M58" i="11"/>
  <c r="D41" i="11"/>
  <c r="E41" i="11" s="1"/>
  <c r="E40" i="11"/>
  <c r="D40" i="11"/>
  <c r="F23" i="11"/>
  <c r="F20" i="11"/>
  <c r="F11" i="11"/>
  <c r="J70" i="11" s="1"/>
  <c r="A2" i="11"/>
  <c r="K67" i="10"/>
  <c r="P65" i="10"/>
  <c r="K65" i="10"/>
  <c r="H63" i="10"/>
  <c r="P63" i="10" s="1"/>
  <c r="H62" i="10"/>
  <c r="H68" i="10" s="1"/>
  <c r="K61" i="10"/>
  <c r="P59" i="10"/>
  <c r="K59" i="10"/>
  <c r="M58" i="10"/>
  <c r="N58" i="10" s="1"/>
  <c r="D41" i="10"/>
  <c r="E41" i="10" s="1"/>
  <c r="D40" i="10"/>
  <c r="E40" i="10" s="1"/>
  <c r="F23" i="10"/>
  <c r="F20" i="10"/>
  <c r="F11" i="10"/>
  <c r="A2" i="10"/>
  <c r="H77" i="9"/>
  <c r="P77" i="9" s="1"/>
  <c r="H76" i="9"/>
  <c r="K74" i="9"/>
  <c r="H74" i="9"/>
  <c r="P74" i="9" s="1"/>
  <c r="H68" i="9"/>
  <c r="H72" i="9" s="1"/>
  <c r="K67" i="9"/>
  <c r="P65" i="9"/>
  <c r="K65" i="9"/>
  <c r="K63" i="9"/>
  <c r="H63" i="9"/>
  <c r="P63" i="9" s="1"/>
  <c r="H62" i="9"/>
  <c r="K61" i="9"/>
  <c r="P59" i="9"/>
  <c r="K59" i="9"/>
  <c r="H59" i="9"/>
  <c r="M58" i="9"/>
  <c r="N58" i="9" s="1"/>
  <c r="E42" i="9"/>
  <c r="F42" i="9" s="1"/>
  <c r="G42" i="9" s="1"/>
  <c r="D42" i="9"/>
  <c r="D41" i="9"/>
  <c r="E41" i="9" s="1"/>
  <c r="D40" i="9"/>
  <c r="E40" i="9" s="1"/>
  <c r="E24" i="9"/>
  <c r="F23" i="9"/>
  <c r="F20" i="9"/>
  <c r="D16" i="9"/>
  <c r="D17" i="9" s="1"/>
  <c r="D18" i="9" s="1"/>
  <c r="C16" i="9"/>
  <c r="F11" i="9"/>
  <c r="A2" i="9"/>
  <c r="J77" i="8"/>
  <c r="I77" i="8"/>
  <c r="H76" i="8"/>
  <c r="H69" i="8"/>
  <c r="K67" i="8"/>
  <c r="P65" i="8"/>
  <c r="K65" i="8"/>
  <c r="H63" i="8"/>
  <c r="P63" i="8" s="1"/>
  <c r="H62" i="8"/>
  <c r="H68" i="8" s="1"/>
  <c r="K61" i="8"/>
  <c r="P59" i="8"/>
  <c r="K59" i="8"/>
  <c r="N58" i="8"/>
  <c r="M58" i="8"/>
  <c r="D41" i="8"/>
  <c r="E41" i="8" s="1"/>
  <c r="B41" i="8"/>
  <c r="D40" i="8"/>
  <c r="E40" i="8" s="1"/>
  <c r="E24" i="8"/>
  <c r="F23" i="8" s="1"/>
  <c r="F20" i="8"/>
  <c r="C16" i="8"/>
  <c r="F11" i="8"/>
  <c r="A2" i="8"/>
  <c r="H77" i="7"/>
  <c r="P77" i="7" s="1"/>
  <c r="H76" i="7"/>
  <c r="P74" i="7"/>
  <c r="K74" i="7"/>
  <c r="K67" i="7"/>
  <c r="P65" i="7"/>
  <c r="K65" i="7"/>
  <c r="H64" i="7"/>
  <c r="H63" i="7" s="1"/>
  <c r="K61" i="7"/>
  <c r="H61" i="7"/>
  <c r="P59" i="7"/>
  <c r="K59" i="7"/>
  <c r="H59" i="7"/>
  <c r="M58" i="7"/>
  <c r="N58" i="7" s="1"/>
  <c r="E41" i="7"/>
  <c r="F41" i="7" s="1"/>
  <c r="G41" i="7" s="1"/>
  <c r="D41" i="7"/>
  <c r="C40" i="7"/>
  <c r="D40" i="7" s="1"/>
  <c r="E40" i="7" s="1"/>
  <c r="F31" i="7"/>
  <c r="F29" i="7"/>
  <c r="F27" i="7"/>
  <c r="E24" i="7"/>
  <c r="F23" i="7"/>
  <c r="F20" i="7"/>
  <c r="C16" i="7"/>
  <c r="F11" i="7"/>
  <c r="F6" i="7"/>
  <c r="A2" i="7"/>
  <c r="C17" i="16" l="1"/>
  <c r="C18" i="16" s="1"/>
  <c r="F18" i="16" s="1"/>
  <c r="F30" i="16" s="1"/>
  <c r="F32" i="16" s="1"/>
  <c r="J72" i="11"/>
  <c r="J74" i="11" s="1"/>
  <c r="J77" i="11" s="1"/>
  <c r="H45" i="14"/>
  <c r="C17" i="14" s="1"/>
  <c r="C18" i="14" s="1"/>
  <c r="F33" i="15"/>
  <c r="F30" i="15"/>
  <c r="F32" i="15" s="1"/>
  <c r="H70" i="13"/>
  <c r="H74" i="13" s="1"/>
  <c r="H45" i="13"/>
  <c r="C17" i="13" s="1"/>
  <c r="C18" i="13" s="1"/>
  <c r="F18" i="13" s="1"/>
  <c r="H62" i="12"/>
  <c r="H68" i="12" s="1"/>
  <c r="H70" i="12" s="1"/>
  <c r="H74" i="12" s="1"/>
  <c r="P63" i="12"/>
  <c r="F40" i="12"/>
  <c r="G40" i="12" s="1"/>
  <c r="H40" i="12" s="1"/>
  <c r="H45" i="12" s="1"/>
  <c r="C17" i="12" s="1"/>
  <c r="C18" i="12" s="1"/>
  <c r="F18" i="12" s="1"/>
  <c r="F41" i="12"/>
  <c r="G41" i="12" s="1"/>
  <c r="H41" i="12" s="1"/>
  <c r="F41" i="11"/>
  <c r="G41" i="11" s="1"/>
  <c r="H41" i="11" s="1"/>
  <c r="H72" i="11"/>
  <c r="H74" i="11" s="1"/>
  <c r="I70" i="11"/>
  <c r="I72" i="11" s="1"/>
  <c r="I74" i="11" s="1"/>
  <c r="I77" i="11" s="1"/>
  <c r="F40" i="11"/>
  <c r="G40" i="11" s="1"/>
  <c r="H40" i="11" s="1"/>
  <c r="H45" i="11" s="1"/>
  <c r="C17" i="11" s="1"/>
  <c r="C18" i="11" s="1"/>
  <c r="F18" i="11" s="1"/>
  <c r="F40" i="10"/>
  <c r="G40" i="10" s="1"/>
  <c r="H40" i="10" s="1"/>
  <c r="F41" i="10"/>
  <c r="G41" i="10" s="1"/>
  <c r="H41" i="10" s="1"/>
  <c r="H70" i="10"/>
  <c r="H72" i="10" s="1"/>
  <c r="H74" i="10" s="1"/>
  <c r="K63" i="10"/>
  <c r="F41" i="9"/>
  <c r="G41" i="9" s="1"/>
  <c r="H41" i="9" s="1"/>
  <c r="F40" i="9"/>
  <c r="G40" i="9" s="1"/>
  <c r="H40" i="9"/>
  <c r="K77" i="9"/>
  <c r="H42" i="9"/>
  <c r="F40" i="8"/>
  <c r="G40" i="8" s="1"/>
  <c r="H40" i="8" s="1"/>
  <c r="H72" i="8"/>
  <c r="H74" i="8" s="1"/>
  <c r="H70" i="8"/>
  <c r="F41" i="8"/>
  <c r="G41" i="8" s="1"/>
  <c r="H41" i="8" s="1"/>
  <c r="K63" i="8"/>
  <c r="P63" i="7"/>
  <c r="K63" i="7"/>
  <c r="H62" i="7"/>
  <c r="H68" i="7" s="1"/>
  <c r="H40" i="7"/>
  <c r="H45" i="7" s="1"/>
  <c r="C18" i="7" s="1"/>
  <c r="F18" i="7" s="1"/>
  <c r="F40" i="7"/>
  <c r="G40" i="7" s="1"/>
  <c r="H41" i="7"/>
  <c r="K77" i="7"/>
  <c r="F33" i="16" l="1"/>
  <c r="F18" i="14"/>
  <c r="F33" i="14" s="1"/>
  <c r="P74" i="13"/>
  <c r="H77" i="13"/>
  <c r="P77" i="13" s="1"/>
  <c r="K74" i="13"/>
  <c r="F30" i="13"/>
  <c r="F32" i="13" s="1"/>
  <c r="F33" i="13"/>
  <c r="H77" i="12"/>
  <c r="P74" i="12"/>
  <c r="K74" i="12"/>
  <c r="F30" i="12"/>
  <c r="F32" i="12" s="1"/>
  <c r="F33" i="12"/>
  <c r="F33" i="11"/>
  <c r="F30" i="11"/>
  <c r="F32" i="11" s="1"/>
  <c r="H77" i="11"/>
  <c r="P74" i="11"/>
  <c r="K74" i="11"/>
  <c r="H77" i="10"/>
  <c r="P74" i="10"/>
  <c r="K74" i="10"/>
  <c r="H45" i="10"/>
  <c r="C17" i="10" s="1"/>
  <c r="C18" i="10" s="1"/>
  <c r="F18" i="10" s="1"/>
  <c r="H45" i="9"/>
  <c r="C17" i="9" s="1"/>
  <c r="C18" i="9" s="1"/>
  <c r="F18" i="9" s="1"/>
  <c r="H45" i="8"/>
  <c r="C17" i="8" s="1"/>
  <c r="C18" i="8" s="1"/>
  <c r="F18" i="8" s="1"/>
  <c r="H77" i="8"/>
  <c r="P74" i="8"/>
  <c r="K74" i="8"/>
  <c r="F30" i="7"/>
  <c r="F32" i="7" s="1"/>
  <c r="F33" i="7"/>
  <c r="F30" i="14" l="1"/>
  <c r="F32" i="14" s="1"/>
  <c r="K77" i="13"/>
  <c r="K77" i="12"/>
  <c r="P77" i="12"/>
  <c r="P77" i="11"/>
  <c r="K77" i="11"/>
  <c r="F33" i="10"/>
  <c r="F30" i="10"/>
  <c r="F32" i="10" s="1"/>
  <c r="P77" i="10"/>
  <c r="K77" i="10"/>
  <c r="F33" i="9"/>
  <c r="F30" i="9"/>
  <c r="F32" i="9" s="1"/>
  <c r="P77" i="8"/>
  <c r="K77" i="8"/>
  <c r="F30" i="8"/>
  <c r="F32" i="8" s="1"/>
  <c r="F33" i="8"/>
  <c r="B9" i="1" l="1"/>
  <c r="B8" i="1"/>
  <c r="B7" i="1"/>
  <c r="I52" i="1" l="1"/>
  <c r="H2" i="1" l="1" a="1"/>
  <c r="H2" i="1" s="1"/>
  <c r="B27" i="1"/>
  <c r="B26" i="1"/>
  <c r="B25" i="1"/>
  <c r="B18" i="1"/>
  <c r="B17" i="1"/>
  <c r="B16" i="1"/>
  <c r="D53" i="1" l="1"/>
  <c r="E53" i="1" s="1"/>
  <c r="F53" i="1" s="1"/>
  <c r="G53" i="1" s="1"/>
  <c r="D52" i="1"/>
  <c r="E52" i="1" s="1"/>
  <c r="F52" i="1" s="1"/>
  <c r="G52" i="1" s="1"/>
  <c r="D22" i="2" a="1"/>
  <c r="U14" i="2" a="1"/>
  <c r="B21" i="2" a="1"/>
  <c r="F23" i="2" a="1"/>
  <c r="E23" i="2" a="1"/>
  <c r="B15" i="2" a="1"/>
  <c r="E19" i="2" a="1"/>
  <c r="D16" i="2" a="1"/>
  <c r="U19" i="2" a="1"/>
  <c r="B23" i="2" a="1"/>
  <c r="E21" i="2" a="1"/>
  <c r="D19" i="2" a="1"/>
  <c r="F22" i="2" a="1"/>
  <c r="F14" i="2" a="1"/>
  <c r="U17" i="2" a="1"/>
  <c r="E14" i="2" a="1"/>
  <c r="F21" i="2" a="1"/>
  <c r="B18" i="2" a="1"/>
  <c r="U18" i="2" a="1"/>
  <c r="B20" i="2" a="1"/>
  <c r="F16" i="2" a="1"/>
  <c r="D20" i="2" a="1"/>
  <c r="B14" i="2" a="1"/>
  <c r="E17" i="2" a="1"/>
  <c r="U21" i="2" a="1"/>
  <c r="F17" i="2" a="1"/>
  <c r="D17" i="2" a="1"/>
  <c r="U23" i="2" a="1"/>
  <c r="B16" i="2" a="1"/>
  <c r="B19" i="2" a="1"/>
  <c r="D14" i="2" a="1"/>
  <c r="B22" i="2" a="1"/>
  <c r="E22" i="2" a="1"/>
  <c r="U16" i="2" a="1"/>
  <c r="U22" i="2" a="1"/>
  <c r="E18" i="2" a="1"/>
  <c r="D21" i="2" a="1"/>
  <c r="D23" i="2" a="1"/>
  <c r="U20" i="2" a="1"/>
  <c r="D15" i="2" a="1"/>
  <c r="E16" i="2" a="1"/>
  <c r="D18" i="2" a="1"/>
  <c r="E15" i="2" a="1"/>
  <c r="B17" i="2" a="1"/>
  <c r="E20" i="2" a="1"/>
  <c r="U15" i="2" a="1"/>
  <c r="F20" i="2" a="1"/>
  <c r="U23" i="2" l="1"/>
  <c r="U22" i="2"/>
  <c r="U18" i="2"/>
  <c r="U17" i="2"/>
  <c r="U21" i="2"/>
  <c r="U16" i="2"/>
  <c r="U19" i="2"/>
  <c r="U20" i="2"/>
  <c r="U15" i="2"/>
  <c r="U14" i="2"/>
  <c r="F16" i="2"/>
  <c r="F22" i="2"/>
  <c r="F20" i="2"/>
  <c r="E22" i="2"/>
  <c r="E20" i="2"/>
  <c r="E18" i="2"/>
  <c r="E16" i="2"/>
  <c r="F23" i="2"/>
  <c r="F21" i="2"/>
  <c r="F17" i="2"/>
  <c r="E23" i="2"/>
  <c r="E21" i="2"/>
  <c r="E19" i="2"/>
  <c r="E17" i="2"/>
  <c r="E15" i="2"/>
  <c r="F14" i="2"/>
  <c r="E14" i="2"/>
  <c r="D23" i="2"/>
  <c r="D19" i="2"/>
  <c r="D15" i="2"/>
  <c r="D20" i="2"/>
  <c r="D16" i="2"/>
  <c r="D21" i="2"/>
  <c r="D17" i="2"/>
  <c r="D22" i="2"/>
  <c r="D18" i="2"/>
  <c r="D14" i="2"/>
  <c r="B23" i="2"/>
  <c r="B22" i="2"/>
  <c r="B18" i="2"/>
  <c r="B21" i="2"/>
  <c r="B17" i="2"/>
  <c r="B19" i="2"/>
  <c r="B15" i="2"/>
  <c r="B20" i="2"/>
  <c r="B16" i="2"/>
  <c r="B14" i="2"/>
  <c r="H53" i="1"/>
  <c r="H52" i="1"/>
  <c r="J14" i="2" a="1"/>
  <c r="O20" i="2" a="1"/>
  <c r="T15" i="2" a="1"/>
  <c r="O14" i="2" a="1"/>
  <c r="O18" i="2" a="1"/>
  <c r="O19" i="2" a="1"/>
  <c r="J23" i="2" a="1"/>
  <c r="G14" i="2" a="1"/>
  <c r="L14" i="2" a="1"/>
  <c r="J22" i="2" a="1"/>
  <c r="T16" i="2" a="1"/>
  <c r="J21" i="2" a="1"/>
  <c r="O17" i="2" a="1"/>
  <c r="H54" i="1" l="1"/>
  <c r="J52" i="1"/>
  <c r="N26" i="1"/>
  <c r="N27" i="1"/>
  <c r="N8" i="1"/>
  <c r="N9" i="1"/>
  <c r="N7" i="1"/>
  <c r="N25" i="1"/>
  <c r="N16" i="1"/>
  <c r="N17" i="1" s="1"/>
  <c r="N18" i="1" s="1"/>
  <c r="T16" i="2"/>
  <c r="T15" i="2"/>
  <c r="O19" i="2"/>
  <c r="O17" i="2"/>
  <c r="O18" i="2"/>
  <c r="O20" i="2"/>
  <c r="O14" i="2"/>
  <c r="L14" i="2"/>
  <c r="J21" i="2"/>
  <c r="J23" i="2"/>
  <c r="J22" i="2"/>
  <c r="J14" i="2"/>
  <c r="G14" i="2"/>
  <c r="S20" i="2" a="1"/>
  <c r="I16" i="2" a="1"/>
  <c r="M17" i="2" a="1"/>
  <c r="M20" i="2" a="1"/>
  <c r="G23" i="2" a="1"/>
  <c r="N17" i="2" a="1"/>
  <c r="T19" i="2" a="1"/>
  <c r="R14" i="2" a="1"/>
  <c r="L21" i="2" a="1"/>
  <c r="F15" i="2" a="1"/>
  <c r="T20" i="2" a="1"/>
  <c r="G22" i="2" a="1"/>
  <c r="F18" i="2" a="1"/>
  <c r="I22" i="2" a="1"/>
  <c r="J17" i="2" a="1"/>
  <c r="O22" i="2" a="1"/>
  <c r="N20" i="2" a="1"/>
  <c r="J18" i="2" a="1"/>
  <c r="I20" i="2" a="1"/>
  <c r="O16" i="2" a="1"/>
  <c r="J16" i="2" a="1"/>
  <c r="H21" i="2" a="1"/>
  <c r="N22" i="2" a="1"/>
  <c r="S16" i="2" a="1"/>
  <c r="R23" i="2" a="1"/>
  <c r="O23" i="2" a="1"/>
  <c r="Q23" i="2" a="1"/>
  <c r="N16" i="2" a="1"/>
  <c r="R17" i="2" a="1"/>
  <c r="M21" i="2" a="1"/>
  <c r="G17" i="2" a="1"/>
  <c r="N14" i="2" a="1"/>
  <c r="G16" i="2" a="1"/>
  <c r="Q17" i="2" a="1"/>
  <c r="Q20" i="2" a="1"/>
  <c r="I14" i="2" a="1"/>
  <c r="T18" i="2" a="1"/>
  <c r="S23" i="2" a="1"/>
  <c r="Q21" i="2" a="1"/>
  <c r="H17" i="2" a="1"/>
  <c r="M14" i="2" a="1"/>
  <c r="H23" i="2" a="1"/>
  <c r="T21" i="2" a="1"/>
  <c r="L22" i="2" a="1"/>
  <c r="N21" i="2" a="1"/>
  <c r="T23" i="2" a="1"/>
  <c r="T14" i="2" a="1"/>
  <c r="M22" i="2" a="1"/>
  <c r="R21" i="2" a="1"/>
  <c r="H16" i="2" a="1"/>
  <c r="L23" i="2" a="1"/>
  <c r="S21" i="2" a="1"/>
  <c r="I23" i="2" a="1"/>
  <c r="H20" i="2" a="1"/>
  <c r="S14" i="2" a="1"/>
  <c r="I17" i="2" a="1"/>
  <c r="H22" i="2" a="1"/>
  <c r="J15" i="2" a="1"/>
  <c r="I21" i="2" a="1"/>
  <c r="J19" i="2" a="1"/>
  <c r="J20" i="2" a="1"/>
  <c r="S17" i="2" a="1"/>
  <c r="T17" i="2" a="1"/>
  <c r="Q14" i="2" a="1"/>
  <c r="N23" i="2" a="1"/>
  <c r="H14" i="2" a="1"/>
  <c r="T22" i="2" a="1"/>
  <c r="O21" i="2" a="1"/>
  <c r="Q22" i="2" a="1"/>
  <c r="G21" i="2" a="1"/>
  <c r="L16" i="2" a="1"/>
  <c r="M23" i="2" a="1"/>
  <c r="L20" i="2" a="1"/>
  <c r="R22" i="2" a="1"/>
  <c r="R20" i="2" a="1"/>
  <c r="O15" i="2" a="1"/>
  <c r="M16" i="2" a="1"/>
  <c r="L17" i="2" a="1"/>
  <c r="R16" i="2" a="1"/>
  <c r="Q16" i="2" a="1"/>
  <c r="S22" i="2" a="1"/>
  <c r="G20" i="2" a="1"/>
  <c r="O16" i="2" l="1"/>
  <c r="J15" i="2"/>
  <c r="Q14" i="2"/>
  <c r="J16" i="2"/>
  <c r="O15" i="2"/>
  <c r="O21" i="2"/>
  <c r="T21" i="2"/>
  <c r="O22" i="2"/>
  <c r="T22" i="2"/>
  <c r="T20" i="2"/>
  <c r="J19" i="2"/>
  <c r="T19" i="2"/>
  <c r="T17" i="2"/>
  <c r="J17" i="2"/>
  <c r="F15" i="2"/>
  <c r="F18" i="2"/>
  <c r="T23" i="2"/>
  <c r="J18" i="2"/>
  <c r="T14" i="2"/>
  <c r="O23" i="2"/>
  <c r="J20" i="2"/>
  <c r="T18" i="2"/>
  <c r="S16" i="2"/>
  <c r="S23" i="2"/>
  <c r="Q23" i="2"/>
  <c r="R17" i="2"/>
  <c r="S17" i="2"/>
  <c r="R22" i="2"/>
  <c r="R21" i="2"/>
  <c r="S20" i="2"/>
  <c r="Q17" i="2"/>
  <c r="R16" i="2"/>
  <c r="Q22" i="2"/>
  <c r="S21" i="2"/>
  <c r="Q20" i="2"/>
  <c r="R23" i="2"/>
  <c r="S22" i="2"/>
  <c r="Q16" i="2"/>
  <c r="Q21" i="2"/>
  <c r="R20" i="2"/>
  <c r="S14" i="2"/>
  <c r="R14" i="2"/>
  <c r="M23" i="2"/>
  <c r="L21" i="2"/>
  <c r="L16" i="2"/>
  <c r="N20" i="2"/>
  <c r="N21" i="2"/>
  <c r="M16" i="2"/>
  <c r="N16" i="2"/>
  <c r="L23" i="2"/>
  <c r="M22" i="2"/>
  <c r="L17" i="2"/>
  <c r="N22" i="2"/>
  <c r="N23" i="2"/>
  <c r="L22" i="2"/>
  <c r="M17" i="2"/>
  <c r="L20" i="2"/>
  <c r="N17" i="2"/>
  <c r="M21" i="2"/>
  <c r="M20" i="2"/>
  <c r="N14" i="2"/>
  <c r="M14" i="2"/>
  <c r="H16" i="2"/>
  <c r="I22" i="2"/>
  <c r="G16" i="2"/>
  <c r="H22" i="2"/>
  <c r="H23" i="2"/>
  <c r="I16" i="2"/>
  <c r="G17" i="2"/>
  <c r="I20" i="2"/>
  <c r="G21" i="2"/>
  <c r="G22" i="2"/>
  <c r="G23" i="2"/>
  <c r="H21" i="2"/>
  <c r="I23" i="2"/>
  <c r="H20" i="2"/>
  <c r="I21" i="2"/>
  <c r="H17" i="2"/>
  <c r="I17" i="2"/>
  <c r="G20" i="2"/>
  <c r="I14" i="2"/>
  <c r="H14" i="2"/>
  <c r="F19" i="2" a="1"/>
  <c r="S15" i="2" a="1"/>
  <c r="S18" i="2" a="1"/>
  <c r="T26" i="2" l="1"/>
  <c r="T27" i="2"/>
  <c r="T25" i="2"/>
  <c r="O25" i="2"/>
  <c r="F19" i="2"/>
  <c r="O26" i="2"/>
  <c r="S15" i="2"/>
  <c r="J26" i="2"/>
  <c r="S18" i="2"/>
  <c r="J27" i="2"/>
  <c r="O24" i="2"/>
  <c r="O27" i="2"/>
  <c r="J24" i="2"/>
  <c r="J25" i="2"/>
  <c r="T24" i="2"/>
  <c r="M19" i="2" a="1"/>
  <c r="Q15" i="2" a="1"/>
  <c r="L15" i="2" a="1"/>
  <c r="S19" i="2" a="1"/>
  <c r="H18" i="2" a="1"/>
  <c r="G15" i="2" a="1"/>
  <c r="Q18" i="2" a="1"/>
  <c r="I15" i="2" a="1"/>
  <c r="N15" i="2" a="1"/>
  <c r="R15" i="2" a="1"/>
  <c r="N18" i="2" a="1"/>
  <c r="M15" i="2" a="1"/>
  <c r="G18" i="2" a="1"/>
  <c r="N19" i="2" a="1"/>
  <c r="L18" i="2" a="1"/>
  <c r="M18" i="2" a="1"/>
  <c r="R18" i="2" a="1"/>
  <c r="I18" i="2" a="1"/>
  <c r="H15" i="2" a="1"/>
  <c r="N18" i="2" l="1"/>
  <c r="D35" i="1"/>
  <c r="P35" i="1" s="1"/>
  <c r="D34" i="1"/>
  <c r="P34" i="1" s="1"/>
  <c r="R18" i="2"/>
  <c r="C35" i="1"/>
  <c r="O35" i="1" s="1"/>
  <c r="C34" i="1"/>
  <c r="O34" i="1" s="1"/>
  <c r="M15" i="2"/>
  <c r="G15" i="2"/>
  <c r="H15" i="2"/>
  <c r="I15" i="2"/>
  <c r="M18" i="2"/>
  <c r="L18" i="2"/>
  <c r="Q18" i="2"/>
  <c r="H18" i="2"/>
  <c r="G18" i="2"/>
  <c r="R15" i="2"/>
  <c r="Q15" i="2"/>
  <c r="N15" i="2"/>
  <c r="I18" i="2"/>
  <c r="L15" i="2"/>
  <c r="N19" i="2"/>
  <c r="M19" i="2"/>
  <c r="S19" i="2"/>
  <c r="S26" i="2" s="1"/>
  <c r="L19" i="2" a="1"/>
  <c r="H19" i="2" a="1"/>
  <c r="R19" i="2" a="1"/>
  <c r="G19" i="2" a="1"/>
  <c r="Q19" i="2" a="1"/>
  <c r="I19" i="2" a="1"/>
  <c r="P37" i="1" l="1"/>
  <c r="O37" i="1"/>
  <c r="L19" i="2"/>
  <c r="L24" i="2" s="1"/>
  <c r="I19" i="2"/>
  <c r="I25" i="2" s="1"/>
  <c r="M26" i="2"/>
  <c r="N25" i="2"/>
  <c r="H19" i="2"/>
  <c r="H25" i="2" s="1"/>
  <c r="R19" i="2"/>
  <c r="R24" i="2" s="1"/>
  <c r="Q19" i="2"/>
  <c r="Q27" i="2" s="1"/>
  <c r="G19" i="2"/>
  <c r="G27" i="2" s="1"/>
  <c r="N27" i="2"/>
  <c r="S24" i="2"/>
  <c r="N24" i="2"/>
  <c r="N26" i="2"/>
  <c r="H26" i="2"/>
  <c r="S27" i="2"/>
  <c r="M24" i="2"/>
  <c r="M25" i="2"/>
  <c r="M27" i="2"/>
  <c r="S25" i="2"/>
  <c r="G24" i="2" l="1"/>
  <c r="Q24" i="2"/>
  <c r="Q26" i="2"/>
  <c r="L27" i="2"/>
  <c r="I27" i="2"/>
  <c r="Q25" i="2"/>
  <c r="L26" i="2"/>
  <c r="I26" i="2"/>
  <c r="L25" i="2"/>
  <c r="D17" i="1"/>
  <c r="F17" i="1" s="1"/>
  <c r="M17" i="1" s="1"/>
  <c r="P17" i="1" s="1"/>
  <c r="H24" i="2"/>
  <c r="G25" i="2"/>
  <c r="G26" i="2"/>
  <c r="R27" i="2"/>
  <c r="R25" i="2"/>
  <c r="H27" i="2"/>
  <c r="D7" i="1" s="1"/>
  <c r="F7" i="1" s="1"/>
  <c r="M7" i="1" s="1"/>
  <c r="P7" i="1" s="1"/>
  <c r="I24" i="2"/>
  <c r="R26" i="2"/>
  <c r="C17" i="1"/>
  <c r="E17" i="1" s="1"/>
  <c r="L17" i="1" s="1"/>
  <c r="O17" i="1" s="1"/>
  <c r="D8" i="1"/>
  <c r="F8" i="1" s="1"/>
  <c r="M8" i="1" s="1"/>
  <c r="P8" i="1" s="1"/>
  <c r="C8" i="1"/>
  <c r="E8" i="1" s="1"/>
  <c r="L8" i="1" s="1"/>
  <c r="O8" i="1" s="1"/>
  <c r="D18" i="1"/>
  <c r="F18" i="1" s="1"/>
  <c r="M18" i="1" s="1"/>
  <c r="P18" i="1" s="1"/>
  <c r="C18" i="1"/>
  <c r="E18" i="1" s="1"/>
  <c r="L18" i="1" s="1"/>
  <c r="O18" i="1" s="1"/>
  <c r="D16" i="1" l="1"/>
  <c r="F16" i="1" s="1"/>
  <c r="M16" i="1" s="1"/>
  <c r="P16" i="1" s="1"/>
  <c r="P20" i="1" s="1"/>
  <c r="D26" i="1"/>
  <c r="F26" i="1" s="1"/>
  <c r="M26" i="1" s="1"/>
  <c r="P26" i="1" s="1"/>
  <c r="D27" i="1"/>
  <c r="F27" i="1" s="1"/>
  <c r="M27" i="1" s="1"/>
  <c r="P27" i="1" s="1"/>
  <c r="C27" i="1"/>
  <c r="E27" i="1" s="1"/>
  <c r="L27" i="1" s="1"/>
  <c r="O27" i="1" s="1"/>
  <c r="C26" i="1"/>
  <c r="E26" i="1" s="1"/>
  <c r="L26" i="1" s="1"/>
  <c r="O26" i="1" s="1"/>
  <c r="C16" i="1"/>
  <c r="E16" i="1" s="1"/>
  <c r="L16" i="1" s="1"/>
  <c r="O16" i="1" s="1"/>
  <c r="O20" i="1" s="1"/>
  <c r="D9" i="1"/>
  <c r="F9" i="1" s="1"/>
  <c r="M9" i="1" s="1"/>
  <c r="P9" i="1" s="1"/>
  <c r="P11" i="1" s="1"/>
  <c r="C7" i="1"/>
  <c r="E7" i="1" s="1"/>
  <c r="L7" i="1" s="1"/>
  <c r="O7" i="1" s="1"/>
  <c r="D25" i="1"/>
  <c r="F25" i="1" s="1"/>
  <c r="M25" i="1" s="1"/>
  <c r="P25" i="1" s="1"/>
  <c r="C25" i="1"/>
  <c r="E25" i="1" s="1"/>
  <c r="L25" i="1" s="1"/>
  <c r="O25" i="1" s="1"/>
  <c r="C9" i="1"/>
  <c r="E9" i="1" s="1"/>
  <c r="L9" i="1" s="1"/>
  <c r="O9" i="1" s="1"/>
  <c r="O11" i="1" l="1"/>
  <c r="P29" i="1"/>
  <c r="O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/>
  </authors>
  <commentList>
    <comment ref="G7" authorId="0" shapeId="0" xr:uid="{3AA4EEF9-CFA3-487F-9141-15200C6C3C64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7" authorId="0" shapeId="0" xr:uid="{8023EFD3-A644-4664-957B-2BA48D3B6B11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7" authorId="0" shapeId="0" xr:uid="{6EE43F4E-1890-415C-AE6E-42E1F10F7AEF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7" authorId="0" shapeId="0" xr:uid="{5FF11222-6639-45F5-BF4C-E11915E9F2E7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7" authorId="0" shapeId="0" xr:uid="{3F6F8B13-7E37-4EE6-A35B-3C0960C7442C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8" authorId="0" shapeId="0" xr:uid="{B187B269-8DAB-4C1B-8954-BD944262D9C1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8" authorId="0" shapeId="0" xr:uid="{C7A38A28-D23A-405C-A68D-F80B30B8671A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8" authorId="0" shapeId="0" xr:uid="{785A6B79-9A24-4FB2-9AC7-E4BC3EC9B02D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8" authorId="0" shapeId="0" xr:uid="{CF11D51B-33F1-49A8-ACF7-321CEE472AA6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8" authorId="0" shapeId="0" xr:uid="{521391B1-5510-49DB-85C6-D620FDA70635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9" authorId="0" shapeId="0" xr:uid="{F0D802F2-6831-483A-8302-4B299CF4775D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9" authorId="0" shapeId="0" xr:uid="{0750C355-C58E-405E-928F-99B123515FC3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9" authorId="0" shapeId="0" xr:uid="{CC26D528-8029-4903-AA2F-041051DC0AAB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9" authorId="0" shapeId="0" xr:uid="{ECA822D2-8E26-430A-84FA-EE9FA194D2D6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9" authorId="0" shapeId="0" xr:uid="{D58D2E06-A901-493E-8DE7-2F063E0C05BA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16" authorId="0" shapeId="0" xr:uid="{0540213F-3083-4C93-8709-F49808E5EFF8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16" authorId="0" shapeId="0" xr:uid="{C3D21930-A810-4E43-9F2E-CAE82668BCD3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16" authorId="0" shapeId="0" xr:uid="{3DA2C804-456F-49B9-8A66-6A485A7CA58F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16" authorId="0" shapeId="0" xr:uid="{F7669166-54F4-4334-8AD2-6FDADCA9A84D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16" authorId="0" shapeId="0" xr:uid="{2385CFD5-FB88-47B2-84F5-A5FD79D0B5BB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17" authorId="0" shapeId="0" xr:uid="{E0A81E97-D85B-497C-B355-586258F49623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17" authorId="0" shapeId="0" xr:uid="{7E8D3A06-60A2-43D1-9C25-F23A9874D347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17" authorId="0" shapeId="0" xr:uid="{FAC26D37-711D-4832-BE2C-97B100960AF8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17" authorId="0" shapeId="0" xr:uid="{25C122D1-8D57-4FE9-B406-35F5DC786DE8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17" authorId="0" shapeId="0" xr:uid="{CFBC6F02-ACF5-4CFB-83EF-BD5A9191DACC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18" authorId="0" shapeId="0" xr:uid="{9F6F5528-F51E-4841-9E86-692CEE346C75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18" authorId="0" shapeId="0" xr:uid="{EB3C304B-9BC7-4693-B46A-19F84C1B39B2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18" authorId="0" shapeId="0" xr:uid="{52A356C1-714C-45A1-BF15-A51A63843410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18" authorId="0" shapeId="0" xr:uid="{B1324987-AAC6-41BE-B919-D275C46BC706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18" authorId="0" shapeId="0" xr:uid="{E18A7A27-A893-457B-80D3-CC268D105803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25" authorId="0" shapeId="0" xr:uid="{DC10C322-1CAA-470E-BC25-B8AB94651CE4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25" authorId="0" shapeId="0" xr:uid="{279DB1EC-8A2B-43DD-9F30-ED9292D175C6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25" authorId="0" shapeId="0" xr:uid="{7AE9559C-3861-4484-BDD7-44D19C8877F2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25" authorId="0" shapeId="0" xr:uid="{F4C1F01C-93CB-4E53-86A5-45F112B51B16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25" authorId="0" shapeId="0" xr:uid="{6B3B246C-7AEC-45E0-BFEC-DCC541220C5E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26" authorId="0" shapeId="0" xr:uid="{189964BD-5F22-4FFC-A3BC-343B028CCE0F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26" authorId="0" shapeId="0" xr:uid="{D9426DE5-4DCA-48B3-8011-9CCCB6800433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26" authorId="0" shapeId="0" xr:uid="{74F795CA-82EF-41F9-9F28-ED991DD5CA0B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26" authorId="0" shapeId="0" xr:uid="{34A13992-AA3C-43BB-8B37-A17FA7FD171B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26" authorId="0" shapeId="0" xr:uid="{6E036A7E-CA57-4C6D-A471-0347F6CCA2E0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G27" authorId="0" shapeId="0" xr:uid="{043D60AC-BEAA-447E-BC90-DF93C6029D3B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H27" authorId="0" shapeId="0" xr:uid="{2F4CE577-0884-455E-BA9F-829CF0B45AE4}">
      <text>
        <r>
          <rPr>
            <b/>
            <sz val="9"/>
            <color indexed="81"/>
            <rFont val="Tahoma"/>
            <family val="2"/>
          </rPr>
          <t>10Q June 2023
Pg 7
35626+4828+1171</t>
        </r>
      </text>
    </comment>
    <comment ref="I27" authorId="0" shapeId="0" xr:uid="{3BF24B47-D910-4345-A52E-2FD3C2B6EEAB}">
      <text>
        <r>
          <rPr>
            <b/>
            <sz val="9"/>
            <color indexed="81"/>
            <rFont val="Tahoma"/>
            <family val="2"/>
          </rPr>
          <t>shown as other comprehensive income for more info search plan asset detail note</t>
        </r>
      </text>
    </comment>
    <comment ref="J27" authorId="0" shapeId="0" xr:uid="{0C1087CE-A14C-453C-AFC0-F283CCB0DB52}">
      <text>
        <r>
          <rPr>
            <b/>
            <sz val="9"/>
            <color indexed="81"/>
            <rFont val="Tahoma"/>
            <family val="2"/>
          </rPr>
          <t>10Q June 2023
Pg 7</t>
        </r>
      </text>
    </comment>
    <comment ref="K27" authorId="0" shapeId="0" xr:uid="{B27630B8-094F-45C2-A6FF-21DFCEE0C626}">
      <text>
        <r>
          <rPr>
            <b/>
            <sz val="9"/>
            <color indexed="81"/>
            <rFont val="Tahoma"/>
            <family val="2"/>
          </rPr>
          <t>10Q June 2023
Pg 7
19262+158+1867+1263</t>
        </r>
      </text>
    </comment>
    <comment ref="C48" authorId="1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Closing price of 28/07/23 as per investing.com</t>
        </r>
      </text>
    </comment>
    <comment ref="B52" authorId="0" shapeId="0" xr:uid="{F079B51F-407A-4FD3-8CBC-B2EE30EB8978}">
      <text>
        <r>
          <rPr>
            <b/>
            <sz val="9"/>
            <color indexed="81"/>
            <rFont val="Tahoma"/>
            <family val="2"/>
          </rPr>
          <t>10K Dec. 2022
Pg 95</t>
        </r>
      </text>
    </comment>
    <comment ref="B53" authorId="0" shapeId="0" xr:uid="{77E10F7C-6F81-44EC-AC50-A9FC900A444E}">
      <text>
        <r>
          <rPr>
            <b/>
            <sz val="9"/>
            <color indexed="81"/>
            <rFont val="Tahoma"/>
            <family val="2"/>
          </rPr>
          <t>10K Dec. 2022
Pg 97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E18FCE5C-AECA-4D85-AF96-CDA1D6F6E59F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398312D9-F3B1-4C31-BAC7-EF881FCD3704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44D7ECF1-2004-476D-8E8D-BD37C5BEA288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EA470C19-33CE-4707-900F-246E749BA90B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420BA83E-B144-4ECD-AEAD-B943487929F0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C1CC3906-807C-42D7-8DF1-97A0BB0538C9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6534DC85-D53F-4CEB-AC33-D0F4838CEE02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7C78DA0A-6A28-4CD8-84E5-4EE1627F0D7A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C88E312D-AEAD-4EDE-8AD1-57D9310B0B0D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34383004-ABAF-4529-8916-5F51A373B66B}">
      <text>
        <r>
          <rPr>
            <b/>
            <sz val="9"/>
            <color indexed="81"/>
            <rFont val="Tahoma"/>
            <family val="2"/>
          </rPr>
          <t>Page no - 62 10K December ended 2022
Reported Sales</t>
        </r>
      </text>
    </comment>
    <comment ref="I59" authorId="0" shapeId="0" xr:uid="{A690E706-E183-49F0-A596-DEC930492515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C76187BC-4523-4318-AB60-BB88DCC5AE4B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D0DB79C0-CC1D-4719-9518-016F64C245DB}">
      <text>
        <r>
          <rPr>
            <b/>
            <sz val="9"/>
            <color indexed="81"/>
            <rFont val="Tahoma"/>
            <family val="2"/>
          </rPr>
          <t>Page no - 62 10K December ended 2022
Operating profit</t>
        </r>
      </text>
    </comment>
    <comment ref="I61" authorId="0" shapeId="0" xr:uid="{344833F5-8038-4597-A3B3-663AC20BB5F4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D02D41AD-602C-4FB5-BEBF-D01DE00BE147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BD63237D-8BBC-4FAF-B652-D2AD26B2EDA7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B7C4989E-8B8B-4D6A-8D48-7C9C3882ED18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80DEECF9-45B6-4568-AF95-42F61DE824B2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E1CC6065-9325-4BB5-A957-96024CE13DC4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13154A84-F515-40BA-ADB1-50EC9824C2EE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D8354A0E-3923-42D2-8F07-D3E4596CA4C3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3D65A5F6-535A-48DB-BF00-17FD8D04AD12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C383C1EC-AB9D-4E69-A001-45A964DCAA43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651692C8-24B5-4DAD-BB1F-DC2B21FF84AF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4E66BAA5-586B-480B-AD51-29D8015DD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FFE23242-C85C-48A1-9C12-49CE5C35589C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5057FE18-5538-4536-B105-801D4FABB310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529664D2-80A7-4448-BF34-0484B8126478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40A54360-8BF2-4CD7-A386-5E3D48264D3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7C023266-BD2B-4965-B1A9-31B25F48424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75CA36B2-6002-44E1-B832-098EFDF6D1E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CC797CBE-3691-485D-AF3D-762C0D7BF24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B6675BA0-C26C-496B-BDE0-2C6EAC9A9EB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48EC25C5-14D3-4824-87CB-A90F59CC0B2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535B9E9E-23A3-4C1D-92ED-453C78D5A423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497ADF1B-EBA7-4BF0-8183-986044D4310C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898DC71A-1ED4-4731-A1B1-9DB5432F5D9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72E5C2ED-B2B2-4176-B76D-B69C2E016BA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0C9F9E68-FA37-4670-9BD4-D96125DC2DC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6B03B256-9A6E-4730-A1B9-6D4CB60C8F3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6609912B-F466-4324-B8AC-4D3DD46FFC15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976FDC01-9314-4E5E-AE26-4E2F90641396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F2A12E51-1BA7-4061-8888-795C7B66E40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01B6B104-B961-4E05-81BC-31BD5DE2C43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E19DCDD0-116B-4597-A6AD-17CC5578725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07497C10-0CEC-4D22-AA1D-C3739AB8550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E4816E7A-4D57-4AC4-BEE0-9F9FB11F86B6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2C55E43E-515E-4E8F-BA7F-2C14623A743F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FE5E09E4-264A-4E02-9573-ECDBD54A5FC2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8B246467-49D7-4FA1-9A8E-5CDF1E42370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0340A1C6-0035-4C5F-8697-983DA64AA6E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28756F4F-165B-4856-9422-B872634D9BE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40BAF230-508F-4286-A4DD-14CA629B4B9E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0DD8AF3B-35BE-4AE0-8240-64FDF1C0687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741D0E2E-FE6D-4019-9CDC-005E205DEED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0DA5CDD5-CEE8-45E5-A8A2-9CBE02D2CA3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4A76A0CF-C802-424F-9769-FFEAC581B94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1AD7C387-40B3-47F7-AF81-2A6BC7076647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5266085E-F2FF-4842-909D-871F151D7AD2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327317C8-5B59-4B2D-8A05-E5877FB6CE9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1C9F742B-0B9B-408F-AD79-384C208E28D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11FADA64-F0B2-4D19-85B1-84619F7ED0F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A3E841D9-6BFC-464E-B941-7109B8939325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DC750C3C-388E-4029-B913-F474DA248386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E782243F-7FD6-4987-91D6-43A187B25C7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250F4A73-45A9-4C63-B03E-EC5FBDAA0B3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4076922D-B6A7-4D52-906E-CC742FCD023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463FD698-2A74-4E29-8002-09219A54CB31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D1605BBA-C923-4A37-8F7E-A316F4F97DBB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1E0A5319-7C61-458C-94E2-D69CDCA4AD66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BDC354A0-84D6-4FB0-85FD-991F36753F04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1B50CC5E-402A-4209-8BCD-35199BA12863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73878CF5-A4BD-43B2-9FA1-055D29D29EEE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B90F51DA-47FF-401E-860C-92F612142860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0ACD10CE-04A2-4991-8EDB-898A97570924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D53A7184-20B7-4253-9D11-79A527CD1804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B533DBA0-E87F-4DCF-9085-259539466A75}">
      <text>
        <r>
          <rPr>
            <b/>
            <sz val="9"/>
            <color indexed="81"/>
            <rFont val="Tahoma"/>
            <family val="2"/>
          </rPr>
          <t>Page no - 54  10K December ended 2024
Reported Sales</t>
        </r>
      </text>
    </comment>
    <comment ref="I59" authorId="0" shapeId="0" xr:uid="{5350E535-A526-40B9-B7B2-A489CF40AF10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D7911C8F-9F29-4B24-9FBF-1580443214E7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0A34C5D1-9DC5-40DB-9B08-542E5D13E5E7}">
      <text>
        <r>
          <rPr>
            <b/>
            <sz val="9"/>
            <color indexed="81"/>
            <rFont val="Tahoma"/>
            <family val="2"/>
          </rPr>
          <t>Page no - 54 10K December ended 2024
Operating profit</t>
        </r>
      </text>
    </comment>
    <comment ref="I61" authorId="0" shapeId="0" xr:uid="{469A02A0-1445-4E65-8266-4B5E729CDF5B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675AAA5D-42C8-46A3-96CD-8CDBD2D53C45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E4B2AB5B-801C-4906-96CF-0F86ABB8867C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184ADF26-EB8C-477D-A679-B3FED496421A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5182C7D2-0B38-406C-9E23-F7985E3D1D58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8CB5FF46-A0EB-4B7B-985F-4120C18A24F3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4B3D0A12-5A58-49C5-8A3F-E131B2F6C9F2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AEA0D04A-E709-4CF0-BB4B-259884AFD1FE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7C56E780-E167-4141-BF4F-2D5BFCB97797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35A06477-F414-457A-9C5E-5EE8FDE37B1E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3C7AEAD6-2C75-4409-88B2-CB0DFB92DA57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C62B9868-4859-4224-8503-BECD6D6E9B9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04A3B31D-6859-4877-8AAB-8C1BFC71830F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DAB5867A-7B3D-4D15-9D9B-E908C8578766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AC8D9DCC-16F6-4451-B3B2-FE846B675CC6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350316B9-9CF7-4E22-A68F-CD2E96186D85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D6401B80-91D8-4374-AF1B-E9DD0F156872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D8395FCC-9B10-4F59-9EBD-C618C3FE523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986A5A90-FAA2-46C7-A554-D9B9E53525E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1E1FC561-BDC2-487C-9F52-6B4B31DA91A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FD6A03CE-D2E4-4318-AAD6-E63249F0EC4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E105F929-04F0-4B60-AF02-B18531FBCC9E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441A166D-C2E3-40B7-A308-DD9A0D591805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F3A1D9F3-9F75-4A01-BD86-30311D30A3C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E1895CA3-74B0-4F32-B0D0-9B09D577539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5096EDA3-3EE3-45E2-99C7-A8BD2541BE9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2596BC3A-2326-4434-B117-E413132F45E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656E4298-C051-479C-A5D5-C34724652DFA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F4184F90-071F-40EF-8A22-F8B8553D2DA5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1BA154D8-C198-42DF-B07F-E6018C459BB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8E7B2FC8-24D2-41C1-AA18-86BF9963EFE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5D37092F-3653-44AF-8F77-2C73A222239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504E0085-6A39-4248-92C8-2142762D7B9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82B90B2F-0FCC-4426-9D4F-C234B8732C0D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3F581852-F88F-46A8-BEC4-A482D2CA7CE2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2E9A963A-6490-4ADD-928D-6AE78D55C9E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26F97579-4F7F-44A6-A9B6-F37FCF32C44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2691EF04-A3DD-47F5-9B52-1873390C20D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340F6A1B-46A1-44ED-B05F-B21301E9720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58C92248-A249-4F9A-8B3A-D25D9F611355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A65D772B-22A1-4514-AB6B-E682790DEC06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CC991112-3E2E-416E-AF8C-97FA1FACA6F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A2C8BCB2-3FAE-4F3E-8FE2-8572C37A5F8F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6E01407B-9BE6-45A4-AF33-57AD2B2D84D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043FD32A-EA4F-4A78-8189-1F628802DE8A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1A41CF05-5CFD-4FA3-B638-ACCCB051D24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4F2502F5-8C31-414B-99AB-05E378F62DD6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8A8D6240-E0E4-413B-A79F-BDE9F11275A5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0DF86CC1-8DA7-4583-BC7B-93905E952C8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12D548AE-2688-4AF8-8DA4-8627DA8FA38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6E300D78-E21D-4D2B-8478-CA48B007C14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06EA84E6-1C05-4485-BE07-BC6AEA8FBF0E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CBB80A1B-6E54-4AAC-B8E9-0A60E3335B42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476A6D71-13F5-4F21-BCC8-F64E0774FA5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F45F517D-D88A-444D-98D8-01CB83E340CE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AEEC5298-A500-4556-94E1-3FEBDBDF06C9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7B9218C1-D42F-406A-8BCD-1B2367F50D24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29631F1F-1502-4577-9CFD-7133549B1B36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0E120C96-8AEC-484C-8983-883244BF6000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D42D14F7-4F3B-40EA-96F6-2CCC1055FB7D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B45EAE8E-49D6-438B-94F4-EF6E08C69A30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822837D9-54B1-4652-B5B9-639A2F812067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52AFC963-8EA8-48F4-8C51-BCD752700419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B42" authorId="1" shapeId="0" xr:uid="{6E81BC1E-D48A-4ED4-8AE4-433DE106D34C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771F28A4-9148-4D39-84C4-57C0FD6195F9}">
      <text>
        <r>
          <rPr>
            <b/>
            <sz val="9"/>
            <color indexed="81"/>
            <rFont val="Tahoma"/>
            <family val="2"/>
          </rPr>
          <t>Page no - 54  10K December ended 2024
Reported Sales</t>
        </r>
      </text>
    </comment>
    <comment ref="I59" authorId="0" shapeId="0" xr:uid="{14B4F176-5ED3-4F81-B6B9-E154B7929410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8A717DA8-DD7F-4578-85F0-52EF711C67B6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491FD095-9E29-4799-BE29-6D1A1111F7C8}">
      <text>
        <r>
          <rPr>
            <b/>
            <sz val="9"/>
            <color indexed="81"/>
            <rFont val="Tahoma"/>
            <family val="2"/>
          </rPr>
          <t>Page no - 54 10K December ended 2024
Operating profit</t>
        </r>
      </text>
    </comment>
    <comment ref="I61" authorId="0" shapeId="0" xr:uid="{08C7239E-5B8A-41A9-AF55-7E48C1BCEF77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87F42DB7-D087-4795-A37C-56410B035EF5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205EA2CB-36FE-4236-8029-D913351BD1C3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339FDBB9-10A7-45E3-BDDB-1B4D450D1F35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68E68D96-66E0-4051-8CB7-53F8D67D05DC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EC88A997-534B-4795-BA6E-2A2DBBCB00FA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0FD4537E-AB11-4D0A-89A4-3AD60CD6E7E0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24B8D8BC-8530-435E-A860-B00DB798D9D5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BA7543AC-BCE7-4ED4-90BC-5E745E2C03D5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F3CFBF42-C7C7-49CE-A8CB-D744C0B3028F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35B7B498-C1CD-4257-8D77-6DB896FF44C5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A3EFE575-1F0D-424B-939E-294ABE1B84D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6A3EF490-68FA-4A17-8058-0C741FEEDFAE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14C395D7-7E52-4ABF-B6C9-E67B91A0FF80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57D80B5C-B2A7-4356-908E-D51D8E2FB2C6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A78F9FD4-82BA-4B44-B5FF-0D601CF8B2B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A31CB6F7-C4C4-49DF-A71D-BD21A718B9C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07A66C1B-CFBC-42BE-8A7D-FF12217ED54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54B6B99C-0C88-44D9-89F1-BC7FC82725B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F8FD0C9A-DAA0-4573-BE6C-6E3C0A5112E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1E5504CC-4C5B-4CF4-BF52-ABEC19AEB9A0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D162FF95-D49A-4F4B-A1EE-A4B9142D4760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59B7EC34-E442-4796-898D-750E370D3143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026701FD-2768-4CED-A6D7-8D2E7D9EF4ED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D8B4364A-979D-47BB-BD80-4E88FB0F59CE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17E7343B-DDD3-45ED-8AF7-F3D94A07632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E5524A2B-5DFB-4DFF-8A25-37047017931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41776F53-1B9F-4F0F-91F2-E971F83AE4E4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FC7C14BF-2C82-4830-8EF8-B3E717812AF5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131DBDE6-9717-486B-B4F6-85EECE41A6C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9DDA2F56-AE85-43DD-8AA1-DA6769E755D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330BFEA0-1A24-4206-A135-B5BC9DE2C1C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20E6245A-F4C8-43FA-81A3-FB3FDB793DC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E4CF4A3C-EBD8-47BC-AADB-AD687EB0C406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F95B1AEC-378E-4C72-BE07-B85C2EF569C4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8C66864B-72C8-4ACF-867E-D7E5762024DA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35D79D5F-5C76-4904-8D7D-334C0776805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EB1758B6-DC4D-4A8F-A110-D40E059DEB7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614AE27F-1D94-4D19-B413-0B48060C18F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A81C42EE-5A13-44E2-99EA-B91AE6383E4C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910C9CDB-28C9-4BC2-9E93-D2CEB6F151D4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A9975A12-1570-49EE-BB8D-3ECED2C7996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AA5DD445-C1F6-4F5C-9DAC-8D8674B1FD7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A9582C67-BB2E-4655-B709-6F42813BD33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62B9FE1E-C993-4CE1-B96F-1AD03387C891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34A63500-0620-45D4-863C-A14BB71C045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6D8236C6-9116-4F82-AA0D-274544EAC8C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FD5C3338-9CF5-48E3-8AAD-C7845FF22BB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6C6396BA-F546-4B01-B4E0-28D5C5F77E76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543CF3AE-52C4-43E3-8A41-A3AAA014995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204122B4-0426-42B3-ACF0-91149A1D6D2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7CC4C35F-3C25-415F-8B9B-A21357F5F60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057E26A3-6034-4298-8C4C-A672203FEE1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4B371623-0913-423F-A1FE-B2E43AC31362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91F4C333-7448-4EE0-A10C-A8C645E133B2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D2B04C2E-3948-43C5-8825-8566BA0A6142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FA46B3AC-DCE0-4066-9C76-A8834DB793A5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427EE66A-A54D-41F2-8BCD-52F36514C67D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F1359860-C1FE-4895-98B0-B78A63E5EE86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C042E3F6-1FC5-4A0C-B940-498EC8DC19A4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DFB49499-F140-48F3-B991-F569D8978DAB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E9440B29-B0A7-4D01-8381-0B3270BA7059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7EC51E00-17F0-417B-B070-29B8D3266FEF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B5B26901-BB35-4F86-AEED-185FB8D62C57}">
      <text>
        <r>
          <rPr>
            <b/>
            <sz val="9"/>
            <color indexed="81"/>
            <rFont val="Tahoma"/>
            <family val="2"/>
          </rPr>
          <t>Page no - 54  10K December ended 2024
Reported Sales</t>
        </r>
      </text>
    </comment>
    <comment ref="I59" authorId="0" shapeId="0" xr:uid="{934228C3-0BF0-4056-BDE1-59C077094384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92DD9A27-F0B9-4900-834F-AA332BE214CB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88278AC9-D6A0-4D5C-8875-AD0C7D0277F2}">
      <text>
        <r>
          <rPr>
            <b/>
            <sz val="9"/>
            <color indexed="81"/>
            <rFont val="Tahoma"/>
            <family val="2"/>
          </rPr>
          <t>Page no - 54 10K December ended 2024
Operating profit</t>
        </r>
      </text>
    </comment>
    <comment ref="I61" authorId="0" shapeId="0" xr:uid="{6C6CC3AE-0CAB-4013-9F31-7AF993334877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A3BA0A72-476B-4CC8-B000-601E0FAA262D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FF93E97F-9004-4556-B18F-0CC92FACBFD0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2BA0A9EC-22D0-47C5-8D41-79CD6E8EE2E7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05164763-828B-4A3B-9818-3B7681B46037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3B33DD45-DF09-4163-96ED-45CF4C816CBD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4507E91C-2BD3-490D-8C46-3A8C9ABAE4FA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9499C06A-F144-4300-A18A-FD7ED3D7F929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826204E7-5025-4AC1-944D-BAC08FFF5456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AA7795D8-678D-482A-A11F-66B6417FE8A8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D79E1CD7-CF53-4228-8C73-810B091CDED9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C667E5B0-EE18-4A0F-9C47-60E69BE47B4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93F5D866-5A53-4A6B-820E-7A67F271535E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6026AA93-87E2-4098-8DDF-1810E09EB344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F2DEA599-BF3E-4E3E-9995-4BCCA6F94876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7AE0C336-FB3A-4D90-9945-839390E64B7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C7E2609A-62D9-4C10-A1A0-5CDECF30592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F597E224-3E2F-424C-8C18-58568BDAF09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E54FE6FC-D5CC-4555-A263-2555EBA53A3A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B37E24FF-369A-48A3-B2A7-0A842971EF1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1D9B78F6-DD94-4A30-B40A-52A2DB7FD3E4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D31C3BD9-836F-41E5-8882-C9490F236F9F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4BB25E00-4A84-4B10-8F86-9398E1B0B2DE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916CEDF0-5D6F-41BB-9C9E-69ED338BBB3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FECEE296-E7E2-469F-AC24-097077CACD3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EEE5018B-E070-4CC7-99FD-3AD0A352410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9AE51B0E-0322-46AD-A12B-AC1A58CAE674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F026C105-CCAE-4BDB-97B9-E38F26797701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52209B19-7794-419F-8812-6A08974BA754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58258954-CC6A-4ABF-A894-FE2B0259818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2C04C3F3-4FEE-455C-B634-F6CAE156651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E3737594-345D-4618-B6C2-37E15C3F64C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B57876C7-C810-42AE-9EC7-DF91281DF782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C37D76DA-4257-4D5C-B433-4D35B394FAE7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C3E3D03D-DA87-472D-9A2B-C5F6ED1A55DA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0C77A214-C6F1-4EF9-89AA-197F49A2C74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EC3D33FE-10A8-4744-A16D-DB7849AB837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9033DC14-FA97-4319-9F82-EDD7F28AF15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F07C8EAF-67EE-40B4-83B8-E33B963FD67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E9AE9AF9-FDCC-48C1-9F13-91AC84CD5DB4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9EC84B19-11C8-4000-8CD5-EA5FDD332B9B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C51CA47D-20DB-4CCB-8418-11596221A2B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A589E950-5B6B-444B-9E90-3BEA1892980F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BF9A0C25-C1A0-4239-8B34-03874D86597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6812DC32-F4A5-4B8D-80D6-D5E188DBDB54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94FC8891-5047-43D2-9D36-B807177EF96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4A1E717E-C7B2-46DA-8C93-188B5CCED19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C4F6AA8F-BAD3-4B4E-A75C-0EF2C17FD97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369E6C24-898D-4F79-99FB-A599137C989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10505A6D-5069-4E11-8968-BD4D336789F6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F1E4D8AA-55E9-4BF2-A4BC-201E334A8C8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249DB370-883C-4462-880D-1BCA93789D1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3AB2B3BC-7DFD-446C-836A-09D79000E5F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752B52C9-6F2D-43A5-8FA8-BB16390993E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0D5FA7C0-DAC4-4398-B563-FDE9E0B30A20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98BEA540-009C-48CC-8523-5E2B928FAED0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7466AA35-9CD4-4B2B-8BCD-C6D03013625B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DF6B68A5-36A6-4B05-AA2A-06B7DC73207C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8161A8CC-92AD-4EF0-96B0-801B500A87A1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C154A39A-E635-4F89-8199-7A20B977BF8D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85D72CEF-39AE-4313-8471-9EA28CADFC10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7FCCD1BF-DAF0-4D7F-889F-38E6ACA72C11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992CE7CC-B839-4828-AAA1-3F869EB46FBD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DB113E94-44E1-4867-A0D1-7C9E9C0590A2}">
      <text>
        <r>
          <rPr>
            <b/>
            <sz val="9"/>
            <color indexed="81"/>
            <rFont val="Tahoma"/>
            <family val="2"/>
          </rPr>
          <t>Page no - 54  10K December ended 2024
Reported Sales</t>
        </r>
      </text>
    </comment>
    <comment ref="I59" authorId="0" shapeId="0" xr:uid="{E094EC42-FABA-4547-94C1-FF9FDE39F229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DC53A48C-E8AF-4459-A3FD-E843C931381A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E75EC698-1BE7-468F-83C0-A00DC345100B}">
      <text>
        <r>
          <rPr>
            <b/>
            <sz val="9"/>
            <color indexed="81"/>
            <rFont val="Tahoma"/>
            <family val="2"/>
          </rPr>
          <t>Page no - 54 10K December ended 2024
Operating profit</t>
        </r>
      </text>
    </comment>
    <comment ref="I61" authorId="0" shapeId="0" xr:uid="{02C969E4-2982-4596-9B11-D01ECCFBA415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98734EC2-BE66-4728-9746-9433EB062B79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866F9385-DAC3-473F-B536-A592BB452699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BE78D1BF-180E-4A62-B2BD-DF27CD83E7A1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8A3C8377-268D-4EF3-A5E4-F3AD28F8275A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EFB82658-07FD-40BE-8E98-72D0E2551321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D6F9C83D-D2F7-48DB-A5A7-9CB4CBB9B7D8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6A96B3E3-11B8-4224-9C38-7DE602856270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230CA784-B296-4593-963A-9F137F720A25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929B9CE9-BF0F-4D93-B1D8-49D2A75537FB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ABCF70E7-34BD-4E3B-AF3B-B3F483AFAA1D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B5CCC833-4C9E-4180-A270-7727F909260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4A693CF1-621B-4B71-814B-F4F85B414B96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B1AC8BE7-21CB-4BD9-AEA6-5912DC1060A1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2A7F023C-4E5B-4D4A-B532-ADAB72CABA67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558324FB-D92F-455D-AA78-BFA4FA70AE4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789E03FA-89D3-4D07-BE2F-6D42462C0B7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014CE1C6-F9BA-4E49-894B-DE372CB2075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EDF3A9D8-E4D8-41C4-A037-39CDAC5A2A5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672C3368-697D-4D0E-AD81-FFA26F64941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47BABB5A-3F3F-4721-BD1F-73C7A0D5932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6D423099-5F1C-4CB8-A6DE-BC00733CF60B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539FDC9E-6C51-46E4-82A1-77DA8660A2FE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2F8E1587-6F72-4784-9FC7-BC522DEF2765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F4489A92-79E5-47DA-B297-E2DC3833177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DEECD99B-D691-48E0-8B3A-3E05ECC64694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9547C716-6FFA-4EC0-840E-B101428C082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71D19DB9-7B1F-4848-96E9-526E79400EB3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92F13FFA-9E62-4265-B063-589F8877251A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AA59ED2D-FAD4-4A22-A7A9-988A68EC8AB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4A1E1431-4301-4E7E-A0EB-D3CDD5B618A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894BF937-62EA-4229-9240-D472331D40D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B705C8A3-246E-477D-9185-A91449E0632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0DA8535A-FA13-4BC1-A028-3D1A46A17E17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53BD6A49-3BF5-4D3A-B071-ED6BA18F2888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9A48525A-CB5C-48AC-8DC6-8BC782E854C5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665E61BA-DD18-4A80-98EB-2C6E8BDE858F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3B86406B-AD05-4666-9291-13E0027D368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730D8F00-6B8E-4F38-9547-7803DFCBAEA5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8ED44304-7B88-486E-B303-871E94E53515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022460A6-48FD-4E3A-8370-60F599F60668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21862658-4359-4508-995F-993FAAE6983D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03E2C091-8768-4D37-BE0D-4F174ACE088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D28B2C64-F921-4EB7-9ECA-C44C49733DC4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FDBAF1EC-DD87-4A03-A371-B8CA8741D166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64FC6B6F-8CAE-4EF3-B27B-B3A8D259E4D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9B4823ED-DEA9-41C3-94E0-FC9B7766E43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5140897D-FFE0-4225-96CD-EBC96844A2A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3C2CCC7C-4500-4921-BCB6-6F4DAC57441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EF63A9C5-B6F2-4E6A-AA5C-45D03A55EBC0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56083576-C00D-4FC9-9260-E5459255EB2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BA313D86-473A-4105-9719-0A987E02947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939F5CAB-B628-4ACC-8E29-EF49E8CB69C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62C0087B-11EB-47B2-A64F-56FF7C83515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7EF82F6F-E8A9-432E-A408-8B72E2B8DD00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8C51A3EB-40BC-4292-9B1D-B59C76B9CE55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F46DC6A4-79CB-4E40-96E7-660F1E89E903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D2F695EF-261D-4139-846E-22C0925B720B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DA338182-5604-415F-BBB2-BFD9BBE25497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2D7E622C-544D-402E-92E1-3D07FB05C51A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D4A54C81-E329-4545-ADBE-EA87DEB79F77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6E4C01EF-F932-4482-BBA4-04D6074A2420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E77B8CC0-4F40-427C-B69C-B9B1EA81D82A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B3D00C51-2C58-49A3-9642-99CAADF4E3D6}">
      <text>
        <r>
          <rPr>
            <b/>
            <sz val="9"/>
            <color indexed="81"/>
            <rFont val="Tahoma"/>
            <family val="2"/>
          </rPr>
          <t>Page no - 54  10K December ended 2024
Reported Sales</t>
        </r>
      </text>
    </comment>
    <comment ref="I59" authorId="0" shapeId="0" xr:uid="{369BB671-78D9-49E7-A7D1-93ED14C5EA21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C64E5A73-2776-4C0E-ACBA-73C9ADB7C701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F470E0FD-8179-405C-AF1E-3B0FAE11DC01}">
      <text>
        <r>
          <rPr>
            <b/>
            <sz val="9"/>
            <color indexed="81"/>
            <rFont val="Tahoma"/>
            <family val="2"/>
          </rPr>
          <t>Page no - 54 10K December ended 2024
Operating profit</t>
        </r>
      </text>
    </comment>
    <comment ref="I61" authorId="0" shapeId="0" xr:uid="{364ED60B-6F6E-48F0-ACE7-19958EC98B57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6333C38E-3059-4554-AF57-B2E95044A1BA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A76CA36B-E8EA-496B-BCDF-83478A313190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410168BB-35D5-4A47-B907-922470FA821D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E8B78A56-A3DB-45EB-A7D8-CE2B1745FD00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26A12780-9FF3-44E1-82C6-5072C0D39894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8B2C6A0F-DEC5-4922-B265-698AC0F49E23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6B5A69E6-C224-4FD5-B6D7-69C72D41409B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00F1B696-BC6D-488E-83F8-86611F96CDFA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397A4586-39EB-4893-96AA-BB4FBFBA4D56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233E2436-ED8D-4801-910A-C475F9590E4A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E653035C-4270-42E6-9C30-BE0926678F2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F1536B91-ED01-47CA-94C5-011A924E925D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E2D3D925-4A77-4EBA-AD35-D1E1C3F21EE2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48B0D765-A1CF-4BFF-A49F-BB251BA633A2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2A591D0E-0F90-40C9-813B-E25EB3FA9F40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0E2EF1DF-133E-4928-8FFC-D5031C81919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FD664198-51AD-4E7A-B8B3-C01D56D3211F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52C35066-9B19-403C-B3A9-98509AB96F4F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9FFF83A0-1897-44B1-84D2-B30CAC6B922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5A73D5AB-9D96-4255-B74B-A1D0EFEA744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C76A45D0-ACF9-4FB4-9840-FBAD6F2B721D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60CF5263-DC5A-4709-9237-6370E6A3DD03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2CFA1717-CABA-4BB4-9768-3F93D69694BE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248E59CE-B544-4F04-B766-B8E939939DB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B9AFABD2-DC9F-4648-BF96-FFEB641B3906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006B234A-6889-4F41-8F31-2CE2BD7A5B2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4E9232E0-CDFF-4EE2-808A-86986E5EE78D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F6B369B1-AF12-4BB0-BF58-811DF9A1F7D3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88BC7B26-7D02-46A9-A51E-3E860F292B52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96CCF01C-CF50-4572-8E4F-11CEED3D2AF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FF8FD682-F040-4ADD-9B34-271718368CE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2AA1DBAB-E2DF-4427-97BC-C3AA15A3B27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3EE4EBA0-5A26-40BC-BD7E-742ED1C5582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91C121F9-D497-4D53-88D5-E71227722967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E3383CDE-B1EC-4957-83D5-4F47E8B58FE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6C6E47AB-D923-41BC-A543-CD97AB8D1C9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A76D042A-38FD-48AA-8705-96F11299CB34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0F8CE114-A392-4DF4-96FF-B396D8302C9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F5073818-3FA4-4172-826F-7FD41A13CDC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14FF1C0B-78F3-47C2-8144-22B3776AA1F1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20E8FE4D-8AB5-4820-B386-303C88B78ED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1C12B67D-C481-4774-8C22-875FEF2C3C1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34804400-6D9E-4635-A828-95F1FC9651E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594255B7-BAA9-4C06-9601-AF5FA6E24257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8A115814-C7A6-469B-B0FE-BEA9AFBB523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6628435C-0582-4187-A8DD-8A8DC4FBE89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1275A4EC-FC97-47B1-B410-BDFB38B9CA7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D89B7770-8D7F-492C-9C80-0D03AC3B96F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F48372FC-3A54-4649-8F7C-BD495C50DD3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822A4603-94AC-46D8-AE64-F9A2BFABA7A5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31B93039-B312-47CD-80A9-C7F2855E704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F4385656-78C6-4322-B452-4C025F09AC9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5E500F1B-EEF7-451E-A017-E8837438482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22CAE58A-1E44-4B36-81CE-39D50FF76920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735D85EC-1F5D-4121-A247-AA1689B0ED0C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B9C642D3-269A-4A21-B82A-56C045D62879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C97A32E5-5BC8-47EB-A50D-C29006EEA482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8F5D2944-5C7E-4E85-AE44-621D3788C6EB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24F45E25-08E2-4EE7-965E-08E510F4BEB6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92607F1A-41CA-4FC8-A4C3-4C5FB53A6A00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84CF4770-39F4-43B4-A4DC-8F1D72AAEBD9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B8DC8B6D-7D70-417B-9E55-53CCF8524E7E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C42359A5-AC99-4C0D-8098-358FC9C87E87}">
      <text>
        <r>
          <rPr>
            <b/>
            <sz val="9"/>
            <color indexed="81"/>
            <rFont val="Tahoma"/>
            <family val="2"/>
          </rPr>
          <t>Page no - 54  10K December ended 2024
Reported Sales</t>
        </r>
      </text>
    </comment>
    <comment ref="I59" authorId="0" shapeId="0" xr:uid="{D5FFED33-5919-4D24-BBAD-0CE825B49EA4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BFB09D74-4D16-4B18-BAFB-70B7CF4ED8EB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7903D212-2941-4A2D-A957-0D4B93A348E8}">
      <text>
        <r>
          <rPr>
            <b/>
            <sz val="9"/>
            <color indexed="81"/>
            <rFont val="Tahoma"/>
            <family val="2"/>
          </rPr>
          <t>Page no - 54 10K December ended 2024
Operating profit</t>
        </r>
      </text>
    </comment>
    <comment ref="I61" authorId="0" shapeId="0" xr:uid="{B21F9F34-4971-4327-9295-4B319A43C751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2181A5CC-020D-4662-B0F2-365E99A91D8D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AF55FBD6-69C8-4325-878D-33F1F9319B2C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2FE3D230-B845-4CD4-973D-FCFE8DF89CC8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1F4FE6D5-69BC-4B27-BBD5-9FD57BA4557A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DC31E890-C0A2-4D67-BC1B-5B05105A97BA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12F660D5-F6FE-4BAD-9D4D-2292E10BD41C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CFAA3DB2-E357-4156-A4BC-07A4070D0F94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8E85EF8F-2023-4FE4-A44D-ED88FC5800ED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22116924-E28B-4551-86A0-BDDCCF48DAAB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C62F572C-8285-4A0C-9652-8B735FA1AE53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8CCA092A-B594-4561-9281-A04244E0BF7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CE667BDA-1DB1-4F91-B79C-625C56A021D1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B8DF099A-C001-4CA7-B3FF-851535B2453E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3542BD13-90F1-451D-95F8-80196FE677A1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18A2870C-1074-4A89-9976-15B122C5070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1E0BEFD0-C464-4CBE-B982-AFE3FC97922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46FEA9D4-1059-4FD4-8009-95C4BA6DEEF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AE89A7E4-F1EA-4DF5-BD38-EDAA25DCD6AA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46AC8AF9-D454-43A3-AF28-42D60058D98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A525D0F9-7207-4A72-873F-8ABBC9E2473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FB13FB85-49D8-4EA8-835C-09DBBE9EDF52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672B32FA-1A38-42DD-B8D8-BB551A5B20D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6C5F5AB5-6AF9-4D4A-B42A-F230EBE13D1F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5035CBA6-3C49-4E97-9D41-236E1984CA26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3EE91A78-7EB8-4DA7-B36F-89B41994F0E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5C8C6750-2ECF-4324-9C0D-9B6A2D3C808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A0213816-0996-48E6-8B26-DD9BEA999D68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39DF2277-F47C-4AC1-9A8E-A9EBB17FF4F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62E8BA0E-7587-47BA-9EBD-FCDBD79E85D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052D9277-3AE5-41BD-BA6B-D0ABECF656F5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ED13E703-799C-45B5-AC62-CFE6826A018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7A1C977E-5E5B-4D13-8805-A376A1602CE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5C6F4E69-74BF-4131-9707-632F948E1232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B803F15A-86DE-463A-A514-B9ED4B368FA1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1C6B3167-E8C0-4F9C-990E-00045B40869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A391C982-1681-41F5-90FD-04E55D9CB0A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636BB567-28F1-4D8B-95DB-E8CFD308648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A041F803-BA56-493E-B095-49156CC1064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F7121EBB-93A6-4C29-A4F9-C8DD83E5EB17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8DD5DCB8-3A72-4E1A-8CAB-59186596265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9F34670B-3497-4FF3-8D79-5EC50CCDF652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E29D7D84-A011-430A-8BD6-32C73D3EA6E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7C2F7CE5-342D-400F-8357-60B1163FCA7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CAB2760D-BE3C-4FF4-A9F2-A0C1BFFC554C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CE60A619-43CE-4D26-8C07-4D25CB16D51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38C31002-3852-42AF-A2E8-84389D476EC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061450F0-9D96-442E-A3C8-36F8C8666136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471334D7-471A-4BCC-A6C1-C6C3C94491C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2A68F5CD-0176-4251-B640-7F4430ACFF9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E9AC7C10-6931-4B07-AB29-5F7C6EF30BF6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DDAC8DA4-74D7-4917-A7B7-7A8E5DD0D688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9F5A241E-B080-412D-9ED5-E56C7413871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E6FC7A21-1D06-4C0A-BDB1-211825D0295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2633420C-1E01-4E1A-BE0E-360AC9BA3E80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A9212B5A-2A3F-4B50-9411-05E4ACF5B124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E9BE76B6-920A-4C00-ADEE-F7403F0E11AA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DE790A4E-3BB5-4702-9F0D-E2B935CBE4C3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DCEC34E0-D696-4282-9244-137D4F061E90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8E2FD0D7-C23C-480E-B6EF-930CFBC7BF37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EB89668F-D84A-40A5-84AC-9DD7601BA3A5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9910F401-95BA-42CC-82DC-B334EE77C473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ABFA6357-7436-4881-BC23-6C31D960CF0A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EA40DDE3-1B00-4194-AECD-500018F5F2A8}">
      <text>
        <r>
          <rPr>
            <b/>
            <sz val="9"/>
            <color indexed="81"/>
            <rFont val="Tahoma"/>
            <family val="2"/>
          </rPr>
          <t>Page no - 62 10K December ended 2022
Reported Sales</t>
        </r>
      </text>
    </comment>
    <comment ref="I59" authorId="0" shapeId="0" xr:uid="{A38AFA16-35F2-4169-8A74-30870DA6150F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7C28F4F1-B3C1-42C1-98DF-13F6A5D22234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670E6E49-F90D-42E4-B9BE-7B5B873A1A75}">
      <text>
        <r>
          <rPr>
            <b/>
            <sz val="9"/>
            <color indexed="81"/>
            <rFont val="Tahoma"/>
            <family val="2"/>
          </rPr>
          <t>Page no - 62 10K December ended 2022
Operating profit</t>
        </r>
      </text>
    </comment>
    <comment ref="I61" authorId="0" shapeId="0" xr:uid="{CCD35D65-1655-4151-9023-B66001AA044A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987641D7-F3FB-44A5-8983-632B9C8BA99C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2113B922-69E3-499F-80F6-8CFA398FA0DA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15092DC4-B042-429C-BED6-76C48FB65E5D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D173B629-4F0F-4D7A-A208-505B0C03E55D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ADD2DEF9-E558-4584-A105-CD6CF1E15C33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DE8B3092-E17E-478A-B078-EA43D351D251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EED9CC76-C87D-4F4D-AD1F-C6DBB2A98E2C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4AABF708-B4E7-4B45-BEEA-F860DEB0BD84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55CA5448-DE7C-4F65-85B2-DC95F4C1DD98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9891790B-78FD-40F2-A7F2-C27764362BF7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31E4F4EF-F9B1-4718-82B8-B1DFCCA01D9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A00040FC-4E09-416B-BE64-D5188512ED0F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8E7968D5-859E-4A81-93CA-CA793ADB1AD9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2B8193D5-0C23-42D1-8BE9-5AAA6E47A6BD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B614C19F-4B40-4797-8772-E1A41360341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F569C2E1-DE7C-4C0A-BF80-2B3A3C03B090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9D52AEB6-62A2-4FEF-85EC-C68EA16128C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66947F34-51FA-4AA2-B66A-23029705F09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06955586-2C8A-46B7-9F1C-1213D0D0F246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F936173B-5EB9-49D5-83D1-65486B25274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6E2B2B7A-A5E3-49E0-88F7-D894AAE93B7C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D71B7AA6-3157-4020-91DC-B17CC55E0FC2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A68A302B-C9E5-450E-A84B-B92E7874DE0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CF4A0826-280A-4BC9-B82D-F1825298268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FA6F2761-78C8-4113-9586-DA1EBA6751A5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D9128D18-D7AF-4E12-86D4-7851EE996E1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54E76F6E-F55D-4422-AAC8-BD140F334557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C0FAB21E-3C7C-4D9A-B633-3DE0B0B9B580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3AFB9A80-7035-4EF7-B864-9CFDFAFB4F6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98E7B488-06A0-4AE2-A22B-979ED139FBBE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69997CAF-5E5A-443D-9C36-FE5CD79962D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F862C63F-4C4F-4321-9AE2-2805EAB0C20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0C5D0BB3-A225-4437-90C0-A5A9F14D7A82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0679CA4A-71D2-442B-BA7E-D12913CD8531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E00B1307-BD08-4767-B317-31883004F4F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6AB8EDDC-8A63-4BBF-9373-1D9E4769114E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2BCA8794-C5BF-4855-A86A-A249F5CFE25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4239306B-5803-4E37-AB94-6525BE01D98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84F4FE0A-6ED8-47E1-9FFD-C599D7E6F4E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F510D35D-7F15-4B48-ACF7-6C58CAC1A40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53E39866-EBDB-448D-82D0-5DE9A97AA2AF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E4A941FD-5EAF-4EA7-8673-9768C3B055C6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D324C0F1-D781-46A6-B75E-11BC93EB13A4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6F2D19A0-7F58-4F65-A9CB-33A7B42AC292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898051E6-EB47-4EC4-BA1A-CD29B9FD24D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F26BE769-7248-4D63-861B-7CD4E51CC83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6B3B2110-C4C7-4FB4-B802-06D44122727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0A5130EF-BDF1-4833-8CCA-03C31C4783B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325C5E2B-30DF-473C-9730-7F4DBCF38A9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DA8907CB-2C5B-40E6-9DC6-02049997C92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1614BB46-ED42-4DFB-A036-BF72C2C8C9C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BDFF66DA-DA7B-479F-8439-7032F7C088B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79E5BC49-12AD-4142-AF46-AF3D45C46275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FD0053F5-4647-434A-8C36-5219D1A2B74C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E695B891-86D5-46D0-A988-809CD117E38A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025E7454-E937-4FC2-BADD-EF25FCAEDD79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677F6825-C4EB-40E7-A1EC-0C0AE0FF77A8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B7F02245-786B-47FB-89F7-DA81278734B2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7F2294A9-2005-410A-8C5C-207378C85D9C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65B68ABC-8734-4689-B60F-D83E9C9CA5A9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089622A1-CFED-445B-ABCD-F76EA31E6442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C6C1AC25-D6E8-4F50-A227-5825AFC10645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87D74E00-F1DC-4A57-A5BC-4FE42C529DFC}">
      <text>
        <r>
          <rPr>
            <b/>
            <sz val="9"/>
            <color indexed="81"/>
            <rFont val="Tahoma"/>
            <family val="2"/>
          </rPr>
          <t>Page no - 62 10K December ended 2022
Reported Sales</t>
        </r>
      </text>
    </comment>
    <comment ref="I59" authorId="0" shapeId="0" xr:uid="{C847994B-497C-432B-BED8-DB2F8A9F2D39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38A44CCE-2AAB-4E32-A8EA-8CE43829948C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297C27A1-6085-455C-91AD-D4F41CF44311}">
      <text>
        <r>
          <rPr>
            <b/>
            <sz val="9"/>
            <color indexed="81"/>
            <rFont val="Tahoma"/>
            <family val="2"/>
          </rPr>
          <t>Page no - 62 10K December ended 2022
Operating profit</t>
        </r>
      </text>
    </comment>
    <comment ref="I61" authorId="0" shapeId="0" xr:uid="{9BE747E8-C1D2-4737-A1AD-1B9AB6366267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6EAA3EF0-2212-4B3D-A5AB-3E0644427A46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44593512-727C-4022-804C-9217E16A59FF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8E59C268-52D4-4E64-B40C-07ED7339C888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B11F50EC-BFE8-44DA-BA4A-ADD764E2CCB7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B6D5386E-FBA5-447B-87D0-53B876C3D2BA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E9DA35E2-D0EC-4372-A875-11D47C52B956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F568F36E-9B87-4964-A221-963DAF487270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117399DA-FB2B-4133-84D5-5893C06E5F75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48673C90-03C2-485B-912B-62667B254D68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295F4F4F-92C7-489C-887F-B4B13428452A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8AFCCFC3-0297-4723-8A4C-556572E0F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686F0EA2-4653-48C7-AC8B-782AFAFE1050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F71AA607-5FF3-41B6-A7A8-2C7EF93E6533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FFEA88DF-BD4C-42B2-8A5F-4D5B3F90D939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F8F9669A-1544-40F0-B88D-EEC488BBDBB0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B22FED1A-2452-4A97-8EB4-34D616F839D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5172BCF4-C217-403A-ADF0-70EF3777AD7A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C8157A2E-8C06-4F71-AF43-B037392B897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66E630BE-7AE6-4280-94EE-A4BBF9F32B2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5C97EA2B-2948-48D1-A847-DB8CF429C36E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6D2CAF47-F671-4FFD-B9E3-B4315D78B6BF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6B1CB1A1-130C-4865-A3B6-B4FD199DAB4C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9E491565-E797-4635-B1E1-9E0FB5D1C0B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35BA8645-51E3-494D-BBAC-B277EFA90B3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38DDCEE3-15A7-4574-B25A-1A3E1ED2F1B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995F1A7F-FB5A-403C-9FF6-BAC5C0D6686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9A6BAF1E-8481-409F-A632-92DC78CC7D06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C77410AC-768E-4084-A0D6-FC2B66A7A22A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54D00956-040A-4882-BFDB-76110B8E686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A98A8980-F858-475C-933E-AF78550C8CE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89F62028-A0CB-4C11-BD90-0D10FEA6C9FF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E768572B-BBE1-45A7-828C-3CB9CAE7534A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B31BC2BA-EB8A-4B1D-B14A-C249E2506742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3C0F4526-096E-4676-A8DB-CF2E7085E3DA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AF4D626C-EA37-4DB1-BFB6-D79A2EB65504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7848AC0B-2DAB-4DA7-A08B-1DE6B60A267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B816EB7F-0A8A-420B-A455-777C79DD4E6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00F27FEF-BDCF-4331-8EA2-C31F0123B769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F5EED246-6DE5-4518-9EF7-FF9A037DCB7D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A21587AA-39FA-4043-8B37-FD15901780AC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6E4B97D6-4D91-4844-A8BE-42321133A37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8B9873CC-AE78-494E-861B-FF6768A3C283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BD2E2856-2C51-4528-9AE5-3D2C1D0F099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3872D6F1-41D3-4087-955E-073CE72EA9FB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0DA8F621-9EC4-47CD-AC68-564CAAF9DD17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E1914096-D5A0-4FDE-A043-A5E055BC6D8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277FB895-B850-4D8A-8796-1B7CD2EED50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A04E2FA3-821C-4305-91F5-9C24F361B134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DF4A22BC-3B5B-4CF7-892C-62AB85780E6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CD0215BD-EB4B-403A-A60D-051A51FAE22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45579868-4591-444B-A30D-21F56EED9A69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2774BF23-8DE2-4923-97CC-FFDFAE278CFB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E963EED0-34E3-4D10-A59C-0D26569D563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hp</author>
    <author>DELL</author>
  </authors>
  <commentList>
    <comment ref="C15" authorId="0" shapeId="0" xr:uid="{28E1D3BA-6C47-4864-9BF1-5E5BD8FDDE0F}">
      <text>
        <r>
          <rPr>
            <sz val="12"/>
            <color indexed="81"/>
            <rFont val="Calibri"/>
            <family val="2"/>
            <scheme val="minor"/>
          </rPr>
          <t>Closing Price as on 28-07-23 as on investing.com</t>
        </r>
      </text>
    </comment>
    <comment ref="C16" authorId="0" shapeId="0" xr:uid="{C51FE31F-D7D8-471B-B809-080A22D7C105}">
      <text>
        <r>
          <rPr>
            <b/>
            <sz val="9"/>
            <color indexed="81"/>
            <rFont val="Tahoma"/>
            <family val="2"/>
          </rPr>
          <t>10Q June 2023
Pg 2</t>
        </r>
      </text>
    </comment>
    <comment ref="F19" authorId="0" shapeId="0" xr:uid="{26E24102-3F01-48C8-825E-B8288DB59CB5}">
      <text>
        <r>
          <rPr>
            <b/>
            <sz val="9"/>
            <color indexed="81"/>
            <rFont val="Tahoma"/>
            <family val="2"/>
          </rPr>
          <t>Page no - 8 
10Q, June ended 2023
Add Non - controlling interest</t>
        </r>
      </text>
    </comment>
    <comment ref="E24" authorId="0" shapeId="0" xr:uid="{4B9B8127-283A-4812-B4A1-5FD9775B656C}">
      <text>
        <r>
          <rPr>
            <b/>
            <sz val="9"/>
            <color indexed="81"/>
            <rFont val="Tahoma"/>
            <family val="2"/>
          </rPr>
          <t xml:space="preserve">Page no - 8 10Q, June ended 2023
Add - Short term debt
Add - Long term debt
</t>
        </r>
      </text>
    </comment>
    <comment ref="F27" authorId="1" shapeId="0" xr:uid="{29AD0B41-8FAD-4E4B-A151-F9365B9F2F40}">
      <text>
        <r>
          <rPr>
            <b/>
            <sz val="9"/>
            <color indexed="81"/>
            <rFont val="Tahoma"/>
            <family val="2"/>
          </rPr>
          <t>10K Dec - 22 , Page 92
Add - Funded status - US - 2022
Less - Funded Status International -2022
Add - Funded status - Retiree Medical 2022</t>
        </r>
      </text>
    </comment>
    <comment ref="F29" authorId="0" shapeId="0" xr:uid="{8C3C3EC3-8A59-4D44-AF68-5F7DE859CE97}">
      <text>
        <r>
          <rPr>
            <b/>
            <sz val="9"/>
            <color indexed="81"/>
            <rFont val="Tahoma"/>
            <family val="2"/>
          </rPr>
          <t xml:space="preserve">Page no - 8 
10Q, June ended 2023
</t>
        </r>
      </text>
    </comment>
    <comment ref="F31" authorId="1" shapeId="0" xr:uid="{7B9F8344-AA4F-46C5-84EC-673DAE7AE2A7}">
      <text>
        <r>
          <rPr>
            <b/>
            <sz val="9"/>
            <color indexed="81"/>
            <rFont val="Tahoma"/>
            <family val="2"/>
          </rPr>
          <t>10Q, Page 6 (BS)
Short-Term Inv+Inv. In noncontrolled affiliates</t>
        </r>
      </text>
    </comment>
    <comment ref="B40" authorId="1" shapeId="0" xr:uid="{17BA2336-92FD-464B-A71E-9FE383F8EA01}">
      <text>
        <r>
          <rPr>
            <b/>
            <sz val="9"/>
            <color indexed="81"/>
            <rFont val="Tahoma"/>
            <family val="2"/>
          </rPr>
          <t>PAGE 88, 10K December ended, 2022
Stock Options</t>
        </r>
      </text>
    </comment>
    <comment ref="B41" authorId="1" shapeId="0" xr:uid="{59ABB212-79F3-4120-97EE-D691DFB8A06B}">
      <text>
        <r>
          <rPr>
            <b/>
            <sz val="9"/>
            <color indexed="81"/>
            <rFont val="Tahoma"/>
            <family val="2"/>
          </rPr>
          <t>Page 89, 10K December ended 2022
PSU's has not been considered</t>
        </r>
      </text>
    </comment>
    <comment ref="H59" authorId="0" shapeId="0" xr:uid="{0078C7D6-B1D4-4FAE-ABDF-BBADA9DA49C8}">
      <text>
        <r>
          <rPr>
            <b/>
            <sz val="9"/>
            <color indexed="81"/>
            <rFont val="Tahoma"/>
            <family val="2"/>
          </rPr>
          <t>Page no - 62 10K December ended 2022
Reported Sales</t>
        </r>
      </text>
    </comment>
    <comment ref="I59" authorId="0" shapeId="0" xr:uid="{743729A5-198B-4A53-BF09-A3200319EAD1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59" authorId="0" shapeId="0" xr:uid="{26518B0D-E17C-4603-9490-7EC14EA942C8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1" authorId="0" shapeId="0" xr:uid="{C10442B7-5DFF-4695-8F44-6164B4AC3554}">
      <text>
        <r>
          <rPr>
            <b/>
            <sz val="9"/>
            <color indexed="81"/>
            <rFont val="Tahoma"/>
            <family val="2"/>
          </rPr>
          <t>Page no - 62 10K December ended 2022
Operating profit</t>
        </r>
      </text>
    </comment>
    <comment ref="I61" authorId="0" shapeId="0" xr:uid="{C37483B3-8AF2-42AC-AE52-60DB0B500B75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1" authorId="0" shapeId="0" xr:uid="{77047A94-D7F2-421F-BC77-F4C8B60F64D7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64" authorId="1" shapeId="0" xr:uid="{4BC291CE-0439-41B1-A5EF-DD449FB640FD}">
      <text>
        <r>
          <rPr>
            <b/>
            <sz val="9"/>
            <color indexed="81"/>
            <rFont val="Tahoma"/>
            <family val="2"/>
          </rPr>
          <t xml:space="preserve">Page 64, 10K December ended 2022
</t>
        </r>
      </text>
    </comment>
    <comment ref="I64" authorId="1" shapeId="0" xr:uid="{910F2C6A-8C24-493E-925C-8FF53C76700E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J64" authorId="0" shapeId="0" xr:uid="{0CDF3ECD-A69F-4E0A-8AB4-90106A4384F2}">
      <text>
        <r>
          <rPr>
            <b/>
            <sz val="9"/>
            <color indexed="81"/>
            <rFont val="Tahoma"/>
            <family val="2"/>
          </rPr>
          <t>Page 6, 10Q June ended 2023
CFS</t>
        </r>
      </text>
    </comment>
    <comment ref="H67" authorId="0" shapeId="0" xr:uid="{63D174FA-212E-4474-82EF-AFB0C2214144}">
      <text>
        <r>
          <rPr>
            <b/>
            <sz val="9"/>
            <color indexed="81"/>
            <rFont val="Tahoma"/>
            <family val="2"/>
          </rPr>
          <t>Page no - 62 10K December ended 2022</t>
        </r>
      </text>
    </comment>
    <comment ref="I67" authorId="0" shapeId="0" xr:uid="{0D09FB52-0CA7-42E8-B799-16E49213756F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67" authorId="0" shapeId="0" xr:uid="{0B6C115D-31FA-4732-A3A3-13560EE8C265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H73" authorId="0" shapeId="0" xr:uid="{EAA8A8BD-072A-43CA-8681-BB7C30361D6F}">
      <text>
        <r>
          <rPr>
            <b/>
            <sz val="9"/>
            <color indexed="81"/>
            <rFont val="Tahoma"/>
            <family val="2"/>
          </rPr>
          <t xml:space="preserve">Page no - 62 10K December ended 2022
Non controlling interest
+ Pg 48 10K 
</t>
        </r>
      </text>
    </comment>
    <comment ref="I73" authorId="0" shapeId="0" xr:uid="{B4FB0C2C-1034-4F73-BC9F-83ACF40CE654}">
      <text>
        <r>
          <rPr>
            <b/>
            <sz val="9"/>
            <color indexed="81"/>
            <rFont val="Tahoma"/>
            <family val="2"/>
          </rPr>
          <t>Page no 4 10Q June Ended 2023
Non controlling interest
+ Pg 45 10Q</t>
        </r>
      </text>
    </comment>
    <comment ref="J73" authorId="0" shapeId="0" xr:uid="{0F5E5E48-CCB4-4351-AB54-D87F1E8DEA6E}">
      <text>
        <r>
          <rPr>
            <b/>
            <sz val="9"/>
            <color indexed="81"/>
            <rFont val="Tahoma"/>
            <family val="2"/>
          </rPr>
          <t>Page no 4 10Q June Ended 2023
Non controlling interest
+ Pg 46 10Q</t>
        </r>
      </text>
    </comment>
    <comment ref="I74" authorId="2" shapeId="0" xr:uid="{B574979B-F238-4179-AC94-9245648A9D7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pg 37 10-q</t>
        </r>
      </text>
    </comment>
    <comment ref="H76" authorId="0" shapeId="0" xr:uid="{4A7E1C7C-67C7-42A5-BC2F-32C401E06B7D}">
      <text>
        <r>
          <rPr>
            <b/>
            <sz val="9"/>
            <color indexed="81"/>
            <rFont val="Tahoma"/>
            <family val="2"/>
          </rPr>
          <t xml:space="preserve">Page no - 62 10K December ended 2022
</t>
        </r>
      </text>
    </comment>
    <comment ref="I76" authorId="0" shapeId="0" xr:uid="{0D1C69AF-7BB4-44DF-B727-A617419346FB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J76" authorId="0" shapeId="0" xr:uid="{5209FAA2-9E1E-4196-8557-5ACC1669A890}">
      <text>
        <r>
          <rPr>
            <b/>
            <sz val="9"/>
            <color indexed="81"/>
            <rFont val="Tahoma"/>
            <family val="2"/>
          </rPr>
          <t>Page no 4 10Q June Ended 2023</t>
        </r>
      </text>
    </comment>
    <comment ref="E85" authorId="0" shapeId="0" xr:uid="{65FEC026-2B9D-42C4-848F-86327107385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5" authorId="0" shapeId="0" xr:uid="{7E8AD0D2-171F-436C-8B7A-B83A773F2840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85" authorId="0" shapeId="0" xr:uid="{CACCAE0D-CA9E-4AB3-8507-D659224048F2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5" authorId="0" shapeId="0" xr:uid="{E706073F-6575-48CA-BC27-607FEE0C84BD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6" authorId="0" shapeId="0" xr:uid="{46E61B75-EC10-4744-8868-29AB118A0F03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6" authorId="0" shapeId="0" xr:uid="{316F258A-4F80-4966-BF8F-EAFEB1CB84B1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6" authorId="0" shapeId="0" xr:uid="{D5FFBDF5-885F-40E6-A976-78427BE3517F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6" authorId="0" shapeId="0" xr:uid="{A6A72838-8BE1-4B0E-9500-B9A17E6E3461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6" authorId="0" shapeId="0" xr:uid="{5015F3E0-3CF3-416A-8C82-AD0BC03803E6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6" authorId="0" shapeId="0" xr:uid="{9E5AC35C-44C1-4625-8B7A-2C0FCBC9D736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7" authorId="0" shapeId="0" xr:uid="{3BB3E359-F3ED-4A9F-988B-CF722DD27515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7" authorId="0" shapeId="0" xr:uid="{8069B6BB-6DEB-4483-9C29-4252F3C8BFD6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7" authorId="0" shapeId="0" xr:uid="{4946B74E-2F24-4146-BEB7-586777A3172B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7" authorId="0" shapeId="0" xr:uid="{6A8C6DB5-A9BE-4343-B7DE-D460817C1C35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7" authorId="0" shapeId="0" xr:uid="{62D10C47-2CDA-40F4-8625-2E0FDFFA887D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7" authorId="0" shapeId="0" xr:uid="{BBD5BA86-8EAC-48FB-BD07-DFF5B7A8971C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8" authorId="0" shapeId="0" xr:uid="{B07394CC-871E-41F7-AD55-2E8C244B5B8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8" authorId="0" shapeId="0" xr:uid="{529D7D73-DCDB-4C00-9253-1BB51DBE9F3D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8" authorId="0" shapeId="0" xr:uid="{E37FC6AF-E40E-42AA-BD7B-4EAF70D056C5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8" authorId="0" shapeId="0" xr:uid="{5589F327-C6B6-4789-A1A8-9BD7DEFAB729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8" authorId="0" shapeId="0" xr:uid="{8C926B67-2AAB-4BB5-AA83-CDDF2C0A2AF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8" authorId="0" shapeId="0" xr:uid="{215D71E2-8E81-4DE5-83C8-A0D93AACBD4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89" authorId="0" shapeId="0" xr:uid="{0B10DFAC-215B-48F7-9860-2633789AFBD8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89" authorId="0" shapeId="0" xr:uid="{C8CAAE41-40B7-4347-AA4F-2A7D108675A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89" authorId="0" shapeId="0" xr:uid="{5DCBA7F9-89C7-4287-B99A-1BC934CFFD53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K89" authorId="0" shapeId="0" xr:uid="{C0805491-F632-4E8D-96A9-4962087F1093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89" authorId="0" shapeId="0" xr:uid="{F3C83375-0623-4D6D-9B3B-D825B9417392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89" authorId="0" shapeId="0" xr:uid="{C90AFC03-5917-4CD2-95CB-428D41056790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4" authorId="0" shapeId="0" xr:uid="{921D7D70-F112-4EAA-8FC2-DB5E6FC0CC40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I94" authorId="0" shapeId="0" xr:uid="{675ECC75-5D23-42DF-B4A4-B4DD28DC3767}">
      <text>
        <r>
          <rPr>
            <b/>
            <sz val="9"/>
            <color indexed="81"/>
            <rFont val="Tahoma"/>
            <family val="2"/>
          </rPr>
          <t>10Q June 2023
PG 45</t>
        </r>
      </text>
    </comment>
    <comment ref="M94" authorId="0" shapeId="0" xr:uid="{163E91E3-7E2E-4902-A4F0-9E67477C51CD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5" authorId="0" shapeId="0" xr:uid="{62593042-A940-494B-8E69-1F7880FFE934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5" authorId="0" shapeId="0" xr:uid="{8330A1D0-1115-4EC0-A450-801126827611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96" authorId="0" shapeId="0" xr:uid="{489D097A-2BDF-47FB-BF7C-331403176FF6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G96" authorId="0" shapeId="0" xr:uid="{2BDE5184-8705-40F0-B06E-FCA295F61B22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M96" authorId="0" shapeId="0" xr:uid="{60D08C8E-D0A4-46D2-9BE9-996BCFF20A3B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O96" authorId="0" shapeId="0" xr:uid="{C3BE33FE-6BC8-4FD2-B8D7-42C498C52FD2}">
      <text>
        <r>
          <rPr>
            <b/>
            <sz val="9"/>
            <color indexed="81"/>
            <rFont val="Tahoma"/>
            <family val="2"/>
          </rPr>
          <t>10Q June 2023
PG 46</t>
        </r>
      </text>
    </comment>
    <comment ref="E101" authorId="0" shapeId="0" xr:uid="{8790261D-1308-4C32-9BA6-1BF6BEE8A64C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  <comment ref="E102" authorId="0" shapeId="0" xr:uid="{7D3FBA8F-66D6-4370-A89A-17E45628D767}">
      <text>
        <r>
          <rPr>
            <b/>
            <sz val="9"/>
            <color indexed="81"/>
            <rFont val="Tahoma"/>
            <family val="2"/>
          </rPr>
          <t>10K Dec 2022
PG 48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<sst xmlns="http://schemas.openxmlformats.org/spreadsheetml/2006/main" count="1341" uniqueCount="215">
  <si>
    <t>Name of Target Company</t>
  </si>
  <si>
    <t>Median</t>
  </si>
  <si>
    <t>25th Percentile</t>
  </si>
  <si>
    <t>Industry Multiple Range</t>
  </si>
  <si>
    <t>Minority Interest</t>
  </si>
  <si>
    <t>Total Debt</t>
  </si>
  <si>
    <t>Debt Equivalent</t>
  </si>
  <si>
    <t>Cash &amp; Cash Eq</t>
  </si>
  <si>
    <t>Investments</t>
  </si>
  <si>
    <t>Diluted Shares O/S</t>
  </si>
  <si>
    <t>75th Percentile</t>
  </si>
  <si>
    <t>Metrics</t>
  </si>
  <si>
    <t>Lower</t>
  </si>
  <si>
    <t>Higher</t>
  </si>
  <si>
    <t>LTM EV/EBITDA</t>
  </si>
  <si>
    <t>FY1 EV/EBITDA</t>
  </si>
  <si>
    <t>FY2 EV/EBITDA</t>
  </si>
  <si>
    <t>LTM EV/EBIT</t>
  </si>
  <si>
    <t>FY1 EV/EBIT</t>
  </si>
  <si>
    <t>FY2 EV/EBIT</t>
  </si>
  <si>
    <t>LTM EV/Sales</t>
  </si>
  <si>
    <t>FY1 EV/Sales</t>
  </si>
  <si>
    <t>FY2 EV/Sales</t>
  </si>
  <si>
    <t>FY1 P/E</t>
  </si>
  <si>
    <t>FY2 P/E</t>
  </si>
  <si>
    <t>Basic Shares o/s</t>
  </si>
  <si>
    <t>Diluted Shares o/s</t>
  </si>
  <si>
    <t>ESoPS/Warrants etc. Treasury Stock Method</t>
  </si>
  <si>
    <t>Exercise</t>
  </si>
  <si>
    <t>Notional</t>
  </si>
  <si>
    <t>Net</t>
  </si>
  <si>
    <t>O/S</t>
  </si>
  <si>
    <t>Price</t>
  </si>
  <si>
    <t>ITM?</t>
  </si>
  <si>
    <t>Shares Issued</t>
  </si>
  <si>
    <t>Cash</t>
  </si>
  <si>
    <t>Buyback</t>
  </si>
  <si>
    <t>Dilution</t>
  </si>
  <si>
    <t>LTM</t>
  </si>
  <si>
    <t>Sales</t>
  </si>
  <si>
    <t>EBITDA</t>
  </si>
  <si>
    <t>EBIT</t>
  </si>
  <si>
    <t>Comparable Company Analysis</t>
  </si>
  <si>
    <t>(All numbers are in millions except per share data)</t>
  </si>
  <si>
    <t>Industry</t>
  </si>
  <si>
    <t>Geography</t>
  </si>
  <si>
    <t>US</t>
  </si>
  <si>
    <t>Currency</t>
  </si>
  <si>
    <t>USD</t>
  </si>
  <si>
    <t>F10</t>
  </si>
  <si>
    <t>F33</t>
  </si>
  <si>
    <t>F18</t>
  </si>
  <si>
    <t>F32</t>
  </si>
  <si>
    <t>K59</t>
  </si>
  <si>
    <t>K65</t>
  </si>
  <si>
    <t>K63</t>
  </si>
  <si>
    <t>K74</t>
  </si>
  <si>
    <t>L59</t>
  </si>
  <si>
    <t>L65</t>
  </si>
  <si>
    <t>L63</t>
  </si>
  <si>
    <t>L74</t>
  </si>
  <si>
    <t>M59</t>
  </si>
  <si>
    <t>M65</t>
  </si>
  <si>
    <t>M63</t>
  </si>
  <si>
    <t>M74</t>
  </si>
  <si>
    <t>P65</t>
  </si>
  <si>
    <t>Reported Currency</t>
  </si>
  <si>
    <t>Exchange Rate</t>
  </si>
  <si>
    <t>LTM Multiples</t>
  </si>
  <si>
    <t>FY1 Multiple</t>
  </si>
  <si>
    <t>FY2 Multiple</t>
  </si>
  <si>
    <t>Peer Group Companies</t>
  </si>
  <si>
    <t>CMP</t>
  </si>
  <si>
    <t>Market Cap</t>
  </si>
  <si>
    <t>EV</t>
  </si>
  <si>
    <t>EV/Sales</t>
  </si>
  <si>
    <t>EV/EBITDA</t>
  </si>
  <si>
    <t>EV/EBIT</t>
  </si>
  <si>
    <t>P/E</t>
  </si>
  <si>
    <t>Growth</t>
  </si>
  <si>
    <t>Mean</t>
  </si>
  <si>
    <t>Basic Details</t>
  </si>
  <si>
    <t>Analyst Name</t>
  </si>
  <si>
    <t>Updation Date</t>
  </si>
  <si>
    <t>Ticker</t>
  </si>
  <si>
    <t>Latest Annual</t>
  </si>
  <si>
    <t>Latest Quarter</t>
  </si>
  <si>
    <t>Tax Rate</t>
  </si>
  <si>
    <t>Enterprise Value</t>
  </si>
  <si>
    <t>Class A</t>
  </si>
  <si>
    <t>Class B</t>
  </si>
  <si>
    <t>Class C</t>
  </si>
  <si>
    <t>Per Share Price</t>
  </si>
  <si>
    <t>Shares Outstanding Basic</t>
  </si>
  <si>
    <t>Shares Outstanding Diluted</t>
  </si>
  <si>
    <t>+ Pref. Share Capital</t>
  </si>
  <si>
    <t>Total Pref. Capital (Other Than Convertible) in Balance Sheet</t>
  </si>
  <si>
    <t>Add: Convertible Pref Not Converted to Common Equity</t>
  </si>
  <si>
    <t>+ Debt</t>
  </si>
  <si>
    <t>: Total Debt (Other Than Convertible) Reported in B/S</t>
  </si>
  <si>
    <t>Add: Convertible Debt not Converted to Common Equity</t>
  </si>
  <si>
    <t>+ Debt Equivalents</t>
  </si>
  <si>
    <t>Unfunded Pension Obligations</t>
  </si>
  <si>
    <t>Capitalised Value of Operating Lease</t>
  </si>
  <si>
    <t>- Cash &amp; Cash Equivalents</t>
  </si>
  <si>
    <t>Total Enterprise Value</t>
  </si>
  <si>
    <t>Non Operating Assets</t>
  </si>
  <si>
    <t>Operating EV</t>
  </si>
  <si>
    <t>Weighted Average Share Price of All Classes of Share</t>
  </si>
  <si>
    <t>Calculation of Dilution</t>
  </si>
  <si>
    <t>Units Outstanding</t>
  </si>
  <si>
    <t>Convertible Debt / Pref shares</t>
  </si>
  <si>
    <t>Conversion Price</t>
  </si>
  <si>
    <t>Share Dilution</t>
  </si>
  <si>
    <t>Nature</t>
  </si>
  <si>
    <t>Face Value</t>
  </si>
  <si>
    <t>BV</t>
  </si>
  <si>
    <t>Debt/Pref</t>
  </si>
  <si>
    <t>Key Financials</t>
  </si>
  <si>
    <t>Annual</t>
  </si>
  <si>
    <t>Crt. YTD</t>
  </si>
  <si>
    <t>Pr. YTD</t>
  </si>
  <si>
    <t>FY1</t>
  </si>
  <si>
    <t>FY2</t>
  </si>
  <si>
    <t>FY3</t>
  </si>
  <si>
    <t>12M</t>
  </si>
  <si>
    <t>Reported Sales</t>
  </si>
  <si>
    <t>Reported EBIT/Operating Income</t>
  </si>
  <si>
    <t>Add/Less: Exceptional/No-Operating Items reported above EBIT</t>
  </si>
  <si>
    <t>Adjusted EBIT</t>
  </si>
  <si>
    <t>Add: D&amp;A</t>
  </si>
  <si>
    <t>Adjusted EBITDA</t>
  </si>
  <si>
    <t>Reported Net Income</t>
  </si>
  <si>
    <t>Add/Less: Exceptional Items reported above EBIT</t>
  </si>
  <si>
    <t>Add/Less: Exceptional Items reported below EBIT</t>
  </si>
  <si>
    <t>Less: Tax on Adjustments</t>
  </si>
  <si>
    <t>Add/Less: Non Tax Deductable Adjustments</t>
  </si>
  <si>
    <t>Adjusted Net Income</t>
  </si>
  <si>
    <t>Less: Share of Minority Interest</t>
  </si>
  <si>
    <t>Adjusted Net Income to Common Shareholders of the Company</t>
  </si>
  <si>
    <t>Diluted Weighted Average No of Shares</t>
  </si>
  <si>
    <t>Diluted EPS</t>
  </si>
  <si>
    <t>Gartner</t>
  </si>
  <si>
    <t>IT</t>
  </si>
  <si>
    <t>-</t>
  </si>
  <si>
    <t>CAGR</t>
  </si>
  <si>
    <t>GDDY</t>
  </si>
  <si>
    <t>Nikhil</t>
  </si>
  <si>
    <t xml:space="preserve">pg66 </t>
  </si>
  <si>
    <t xml:space="preserve">Stock options/ESoPS/Warrants/RSUs/PSU </t>
  </si>
  <si>
    <t>pg64</t>
  </si>
  <si>
    <t>pg65</t>
  </si>
  <si>
    <t>take from market screener</t>
  </si>
  <si>
    <t>Estimates</t>
  </si>
  <si>
    <t>6M</t>
  </si>
  <si>
    <t>pg41+</t>
  </si>
  <si>
    <t>pg 48 10k</t>
  </si>
  <si>
    <t>Source of Estimates: Consensus estimates from market screener as on 10 Sep 2023</t>
  </si>
  <si>
    <t>Particulars</t>
  </si>
  <si>
    <t>Current YTD</t>
  </si>
  <si>
    <t>Previous YTD</t>
  </si>
  <si>
    <t>Pre tax</t>
  </si>
  <si>
    <t>Post tax</t>
  </si>
  <si>
    <t>Tax impact</t>
  </si>
  <si>
    <t>Exceptional Items reported above EBIT</t>
  </si>
  <si>
    <t>Gain associated with the juice transaction</t>
  </si>
  <si>
    <t>Impairment of Intangible asset</t>
  </si>
  <si>
    <t>MTM net impact</t>
  </si>
  <si>
    <t>Restructuring and impairmnet charges</t>
  </si>
  <si>
    <t>Acquisition related charges</t>
  </si>
  <si>
    <t>Total</t>
  </si>
  <si>
    <t>Exceptional items reported below EBIT</t>
  </si>
  <si>
    <t>Restructuring</t>
  </si>
  <si>
    <t>Acquistion</t>
  </si>
  <si>
    <t>Pension &amp; retiring</t>
  </si>
  <si>
    <t>Non-Tax deductable adjustments</t>
  </si>
  <si>
    <t>Tax expense related to TCJ Act</t>
  </si>
  <si>
    <t>Tax benefit related to IRS Audit</t>
  </si>
  <si>
    <t>GoDaddy</t>
  </si>
  <si>
    <t>page 77</t>
  </si>
  <si>
    <t>pg 110</t>
  </si>
  <si>
    <t>pg 88</t>
  </si>
  <si>
    <t>pg97</t>
  </si>
  <si>
    <t>4605 shares</t>
  </si>
  <si>
    <t>pg 79</t>
  </si>
  <si>
    <t>Trade desk</t>
  </si>
  <si>
    <t>TTD</t>
  </si>
  <si>
    <t>pg7</t>
  </si>
  <si>
    <t>Source:https://investors.thetradedesk.com/news-events/news-details/2025/The-Trade-Desk-Reports-Fourth-Quarter-and-Fiscal-Year-2024-Financial-Results/default.aspx</t>
  </si>
  <si>
    <t>Go_daddy</t>
  </si>
  <si>
    <t>Trade_desk</t>
  </si>
  <si>
    <t>Verisign</t>
  </si>
  <si>
    <t>VRSN</t>
  </si>
  <si>
    <t>Snowflake</t>
  </si>
  <si>
    <t>SNOW</t>
  </si>
  <si>
    <t>we don't take this value for the estimation of fy1 and fy2 if they are in negative</t>
  </si>
  <si>
    <t>OKTA</t>
  </si>
  <si>
    <t>Okta</t>
  </si>
  <si>
    <t>Manhattan Associates</t>
  </si>
  <si>
    <t>Manhattan_Associates</t>
  </si>
  <si>
    <t>MANH</t>
  </si>
  <si>
    <t>Crowdstrike_Holdings</t>
  </si>
  <si>
    <t>Nutanix</t>
  </si>
  <si>
    <t>Dynatrace</t>
  </si>
  <si>
    <t>CRWD</t>
  </si>
  <si>
    <t>Crowdstrike Holdings</t>
  </si>
  <si>
    <t>Cognizant</t>
  </si>
  <si>
    <t>Implied EV-Cognizant</t>
  </si>
  <si>
    <t>Implied Equity-Cognizant</t>
  </si>
  <si>
    <t>Implied Per Share Value-Cognizant</t>
  </si>
  <si>
    <t>Cognizant Valuation Range as per Trading Comps</t>
  </si>
  <si>
    <t>Calculation of Diluted Shares-Cognizant</t>
  </si>
  <si>
    <t>Cognizant CMP (31 July 2023)</t>
  </si>
  <si>
    <t>NTNX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</si>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</sst>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(* #,##0_);_(* \(#,##0\);_(* &quot;-&quot;??_);_(@_)"/>
    <numFmt numFmtId="165" formatCode="0.0&quot;x&quot;"/>
    <numFmt numFmtId="166" formatCode="0.0"/>
    <numFmt numFmtId="167" formatCode="_ * #,##0.0_ ;_ * \-#,##0.0_ ;_ * &quot;-&quot;??_ ;_ @_ "/>
    <numFmt numFmtId="168" formatCode="_(* #,##0.0_);_(* \(#,##0.0\);_(* &quot;-&quot;??_);_(@_)"/>
    <numFmt numFmtId="169" formatCode="0.0%"/>
    <numFmt numFmtId="170" formatCode="0.000"/>
    <numFmt numFmtId="171" formatCode="_ * #,##0_ ;_ * \-#,##0_ ;_ * &quot;-&quot;??_ ;_ @_ "/>
    <numFmt numFmtId="172" formatCode="dd\ mmm\'yy"/>
    <numFmt numFmtId="173" formatCode="0.000&quot;x&quot;"/>
    <numFmt numFmtId="174" formatCode="_(* #,##0.00_);_(* \(#,##0.00\);_(* &quot;-&quot;??_);_(@_)"/>
  </numFmts>
  <fonts count="3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Gill Sans"/>
    </font>
    <font>
      <sz val="10"/>
      <color theme="0"/>
      <name val="Gill Sans"/>
    </font>
    <font>
      <i/>
      <sz val="10"/>
      <color theme="1"/>
      <name val="Calibri"/>
      <family val="2"/>
    </font>
    <font>
      <b/>
      <sz val="16"/>
      <color theme="1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Gill Sans"/>
    </font>
    <font>
      <b/>
      <sz val="9"/>
      <color indexed="81"/>
      <name val="Tahoma"/>
      <family val="2"/>
    </font>
    <font>
      <sz val="10"/>
      <color theme="1"/>
      <name val="Gill Sans MT"/>
      <family val="2"/>
    </font>
    <font>
      <sz val="18"/>
      <color theme="2"/>
      <name val="Gill Sans MT"/>
      <family val="2"/>
    </font>
    <font>
      <sz val="10"/>
      <color theme="2"/>
      <name val="Gill Sans MT"/>
      <family val="2"/>
    </font>
    <font>
      <sz val="10"/>
      <color theme="0"/>
      <name val="Gill Sans MT"/>
      <family val="2"/>
    </font>
    <font>
      <i/>
      <sz val="10"/>
      <color indexed="8"/>
      <name val="Gill Sans MT"/>
      <family val="2"/>
    </font>
    <font>
      <b/>
      <sz val="10"/>
      <color indexed="8"/>
      <name val="Gill Sans MT"/>
      <family val="2"/>
    </font>
    <font>
      <sz val="10"/>
      <color indexed="8"/>
      <name val="Gill Sans MT"/>
      <family val="2"/>
    </font>
    <font>
      <sz val="10"/>
      <color theme="0" tint="-0.14999847407452621"/>
      <name val="Gill Sans MT"/>
      <family val="2"/>
    </font>
    <font>
      <i/>
      <sz val="10"/>
      <color theme="1"/>
      <name val="Gill Sans MT"/>
      <family val="2"/>
    </font>
    <font>
      <b/>
      <sz val="10"/>
      <color theme="1"/>
      <name val="Gill Sans MT"/>
      <family val="2"/>
    </font>
    <font>
      <b/>
      <sz val="10"/>
      <color theme="0"/>
      <name val="Gill Sans"/>
    </font>
    <font>
      <sz val="12"/>
      <color indexed="81"/>
      <name val="Calibri"/>
      <family val="2"/>
      <scheme val="minor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44546A"/>
      </bottom>
      <diagonal/>
    </border>
    <border>
      <left/>
      <right/>
      <top style="medium">
        <color rgb="FF000000"/>
      </top>
      <bottom style="medium">
        <color rgb="FF44546A"/>
      </bottom>
      <diagonal/>
    </border>
    <border>
      <left style="medium">
        <color rgb="FF000000"/>
      </left>
      <right/>
      <top style="medium">
        <color rgb="FF44546A"/>
      </top>
      <bottom/>
      <diagonal/>
    </border>
    <border>
      <left/>
      <right/>
      <top style="medium">
        <color rgb="FF44546A"/>
      </top>
      <bottom/>
      <diagonal/>
    </border>
    <border>
      <left/>
      <right style="medium">
        <color rgb="FF000000"/>
      </right>
      <top style="medium">
        <color rgb="FF44546A"/>
      </top>
      <bottom/>
      <diagonal/>
    </border>
    <border>
      <left/>
      <right/>
      <top style="medium">
        <color rgb="FF44546A"/>
      </top>
      <bottom style="medium">
        <color rgb="FF000000"/>
      </bottom>
      <diagonal/>
    </border>
    <border>
      <left/>
      <right style="medium">
        <color rgb="FF000000"/>
      </right>
      <top style="medium">
        <color rgb="FF44546A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0" fontId="2" fillId="0" borderId="5"/>
    <xf numFmtId="9" fontId="2" fillId="0" borderId="5" applyFont="0" applyFill="0" applyBorder="0" applyAlignment="0" applyProtection="0"/>
    <xf numFmtId="43" fontId="2" fillId="0" borderId="5" applyFont="0" applyFill="0" applyBorder="0" applyAlignment="0" applyProtection="0"/>
    <xf numFmtId="0" fontId="1" fillId="0" borderId="5"/>
    <xf numFmtId="43" fontId="1" fillId="0" borderId="5" applyFont="0" applyFill="0" applyBorder="0" applyAlignment="0" applyProtection="0"/>
  </cellStyleXfs>
  <cellXfs count="216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/>
    <xf numFmtId="9" fontId="9" fillId="3" borderId="1" xfId="0" applyNumberFormat="1" applyFont="1" applyFill="1" applyBorder="1"/>
    <xf numFmtId="0" fontId="9" fillId="0" borderId="0" xfId="0" applyFont="1" applyAlignment="1">
      <alignment horizontal="center" wrapText="1"/>
    </xf>
    <xf numFmtId="164" fontId="10" fillId="4" borderId="1" xfId="0" applyNumberFormat="1" applyFont="1" applyFill="1" applyBorder="1"/>
    <xf numFmtId="165" fontId="10" fillId="4" borderId="1" xfId="0" applyNumberFormat="1" applyFont="1" applyFill="1" applyBorder="1" applyAlignment="1">
      <alignment horizontal="center" vertical="center"/>
    </xf>
    <xf numFmtId="164" fontId="9" fillId="5" borderId="1" xfId="0" applyNumberFormat="1" applyFont="1" applyFill="1" applyBorder="1"/>
    <xf numFmtId="0" fontId="10" fillId="4" borderId="1" xfId="0" applyFont="1" applyFill="1" applyBorder="1"/>
    <xf numFmtId="164" fontId="9" fillId="0" borderId="0" xfId="0" applyNumberFormat="1" applyFont="1"/>
    <xf numFmtId="166" fontId="9" fillId="5" borderId="1" xfId="0" applyNumberFormat="1" applyFont="1" applyFill="1" applyBorder="1"/>
    <xf numFmtId="167" fontId="9" fillId="0" borderId="0" xfId="0" applyNumberFormat="1" applyFont="1"/>
    <xf numFmtId="167" fontId="9" fillId="6" borderId="6" xfId="0" applyNumberFormat="1" applyFont="1" applyFill="1" applyBorder="1"/>
    <xf numFmtId="0" fontId="9" fillId="4" borderId="1" xfId="0" applyFont="1" applyFill="1" applyBorder="1"/>
    <xf numFmtId="9" fontId="9" fillId="4" borderId="1" xfId="0" applyNumberFormat="1" applyFont="1" applyFill="1" applyBorder="1"/>
    <xf numFmtId="0" fontId="9" fillId="0" borderId="0" xfId="0" applyFont="1" applyAlignment="1">
      <alignment horizontal="center"/>
    </xf>
    <xf numFmtId="43" fontId="10" fillId="4" borderId="1" xfId="0" applyNumberFormat="1" applyFont="1" applyFill="1" applyBorder="1"/>
    <xf numFmtId="0" fontId="10" fillId="0" borderId="0" xfId="0" applyFont="1"/>
    <xf numFmtId="166" fontId="9" fillId="0" borderId="0" xfId="0" applyNumberFormat="1" applyFont="1"/>
    <xf numFmtId="0" fontId="4" fillId="7" borderId="7" xfId="0" applyFont="1" applyFill="1" applyBorder="1"/>
    <xf numFmtId="168" fontId="10" fillId="4" borderId="1" xfId="0" applyNumberFormat="1" applyFont="1" applyFill="1" applyBorder="1"/>
    <xf numFmtId="168" fontId="11" fillId="5" borderId="1" xfId="0" applyNumberFormat="1" applyFont="1" applyFill="1" applyBorder="1"/>
    <xf numFmtId="0" fontId="9" fillId="0" borderId="11" xfId="0" applyFont="1" applyBorder="1"/>
    <xf numFmtId="0" fontId="11" fillId="0" borderId="0" xfId="0" applyFont="1" applyAlignment="1">
      <alignment horizontal="right"/>
    </xf>
    <xf numFmtId="0" fontId="11" fillId="0" borderId="0" xfId="0" applyFont="1"/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right"/>
    </xf>
    <xf numFmtId="0" fontId="9" fillId="0" borderId="14" xfId="0" applyFont="1" applyBorder="1"/>
    <xf numFmtId="0" fontId="11" fillId="0" borderId="15" xfId="0" applyFont="1" applyBorder="1" applyAlignment="1">
      <alignment horizontal="right"/>
    </xf>
    <xf numFmtId="0" fontId="11" fillId="0" borderId="15" xfId="0" applyFont="1" applyBorder="1"/>
    <xf numFmtId="0" fontId="11" fillId="0" borderId="16" xfId="0" applyFont="1" applyBorder="1" applyAlignment="1">
      <alignment horizontal="right"/>
    </xf>
    <xf numFmtId="0" fontId="9" fillId="0" borderId="17" xfId="0" applyFont="1" applyBorder="1"/>
    <xf numFmtId="168" fontId="11" fillId="8" borderId="18" xfId="0" applyNumberFormat="1" applyFont="1" applyFill="1" applyBorder="1"/>
    <xf numFmtId="168" fontId="11" fillId="8" borderId="1" xfId="0" applyNumberFormat="1" applyFont="1" applyFill="1" applyBorder="1"/>
    <xf numFmtId="168" fontId="11" fillId="9" borderId="1" xfId="0" applyNumberFormat="1" applyFont="1" applyFill="1" applyBorder="1" applyAlignment="1">
      <alignment horizontal="center"/>
    </xf>
    <xf numFmtId="168" fontId="11" fillId="9" borderId="1" xfId="0" applyNumberFormat="1" applyFont="1" applyFill="1" applyBorder="1"/>
    <xf numFmtId="164" fontId="11" fillId="9" borderId="1" xfId="0" applyNumberFormat="1" applyFont="1" applyFill="1" applyBorder="1"/>
    <xf numFmtId="168" fontId="11" fillId="9" borderId="19" xfId="0" applyNumberFormat="1" applyFont="1" applyFill="1" applyBorder="1"/>
    <xf numFmtId="168" fontId="11" fillId="5" borderId="20" xfId="0" applyNumberFormat="1" applyFont="1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9" fillId="0" borderId="26" xfId="0" applyFont="1" applyBorder="1"/>
    <xf numFmtId="169" fontId="9" fillId="0" borderId="26" xfId="0" applyNumberFormat="1" applyFont="1" applyBorder="1"/>
    <xf numFmtId="0" fontId="9" fillId="0" borderId="27" xfId="0" applyFont="1" applyBorder="1"/>
    <xf numFmtId="0" fontId="9" fillId="0" borderId="28" xfId="0" applyFont="1" applyBorder="1"/>
    <xf numFmtId="0" fontId="9" fillId="0" borderId="29" xfId="0" applyFont="1" applyBorder="1"/>
    <xf numFmtId="0" fontId="13" fillId="0" borderId="25" xfId="0" applyFont="1" applyBorder="1"/>
    <xf numFmtId="0" fontId="14" fillId="0" borderId="0" xfId="0" applyFont="1"/>
    <xf numFmtId="0" fontId="9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170" fontId="10" fillId="4" borderId="1" xfId="0" applyNumberFormat="1" applyFont="1" applyFill="1" applyBorder="1"/>
    <xf numFmtId="171" fontId="9" fillId="0" borderId="0" xfId="0" applyNumberFormat="1" applyFont="1"/>
    <xf numFmtId="2" fontId="9" fillId="0" borderId="0" xfId="0" applyNumberFormat="1" applyFont="1"/>
    <xf numFmtId="165" fontId="9" fillId="0" borderId="0" xfId="0" applyNumberFormat="1" applyFont="1"/>
    <xf numFmtId="165" fontId="9" fillId="0" borderId="0" xfId="0" applyNumberFormat="1" applyFont="1" applyAlignment="1">
      <alignment horizontal="center"/>
    </xf>
    <xf numFmtId="165" fontId="9" fillId="0" borderId="31" xfId="0" applyNumberFormat="1" applyFont="1" applyBorder="1" applyAlignment="1">
      <alignment horizontal="center"/>
    </xf>
    <xf numFmtId="165" fontId="9" fillId="4" borderId="32" xfId="0" applyNumberFormat="1" applyFont="1" applyFill="1" applyBorder="1" applyAlignment="1">
      <alignment horizontal="center"/>
    </xf>
    <xf numFmtId="165" fontId="9" fillId="10" borderId="1" xfId="0" applyNumberFormat="1" applyFont="1" applyFill="1" applyBorder="1" applyAlignment="1">
      <alignment horizontal="center"/>
    </xf>
    <xf numFmtId="165" fontId="9" fillId="0" borderId="33" xfId="0" applyNumberFormat="1" applyFont="1" applyBorder="1" applyAlignment="1">
      <alignment horizontal="center"/>
    </xf>
    <xf numFmtId="165" fontId="9" fillId="4" borderId="34" xfId="0" applyNumberFormat="1" applyFont="1" applyFill="1" applyBorder="1" applyAlignment="1">
      <alignment horizontal="center"/>
    </xf>
    <xf numFmtId="165" fontId="9" fillId="4" borderId="35" xfId="0" applyNumberFormat="1" applyFont="1" applyFill="1" applyBorder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5" fontId="9" fillId="0" borderId="14" xfId="0" applyNumberFormat="1" applyFont="1" applyBorder="1" applyAlignment="1">
      <alignment horizontal="center"/>
    </xf>
    <xf numFmtId="165" fontId="9" fillId="4" borderId="36" xfId="0" applyNumberFormat="1" applyFont="1" applyFill="1" applyBorder="1" applyAlignment="1">
      <alignment horizontal="center"/>
    </xf>
    <xf numFmtId="165" fontId="9" fillId="4" borderId="37" xfId="0" applyNumberFormat="1" applyFont="1" applyFill="1" applyBorder="1" applyAlignment="1">
      <alignment horizontal="center"/>
    </xf>
    <xf numFmtId="1" fontId="9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"/>
    </xf>
    <xf numFmtId="165" fontId="9" fillId="0" borderId="0" xfId="0" applyNumberFormat="1" applyFont="1" applyAlignment="1">
      <alignment horizontal="center" vertical="center"/>
    </xf>
    <xf numFmtId="10" fontId="9" fillId="0" borderId="0" xfId="1" applyNumberFormat="1" applyFont="1"/>
    <xf numFmtId="43" fontId="9" fillId="5" borderId="1" xfId="0" applyNumberFormat="1" applyFont="1" applyFill="1" applyBorder="1"/>
    <xf numFmtId="43" fontId="0" fillId="0" borderId="0" xfId="0" applyNumberFormat="1"/>
    <xf numFmtId="173" fontId="9" fillId="4" borderId="34" xfId="0" applyNumberFormat="1" applyFont="1" applyFill="1" applyBorder="1" applyAlignment="1">
      <alignment horizontal="center"/>
    </xf>
    <xf numFmtId="0" fontId="3" fillId="0" borderId="0" xfId="0" applyFont="1"/>
    <xf numFmtId="0" fontId="19" fillId="12" borderId="5" xfId="2" applyFont="1" applyFill="1"/>
    <xf numFmtId="0" fontId="18" fillId="12" borderId="5" xfId="2" applyFont="1" applyFill="1"/>
    <xf numFmtId="0" fontId="20" fillId="12" borderId="5" xfId="2" applyFont="1" applyFill="1"/>
    <xf numFmtId="0" fontId="18" fillId="0" borderId="5" xfId="2" applyFont="1"/>
    <xf numFmtId="0" fontId="21" fillId="12" borderId="38" xfId="2" applyFont="1" applyFill="1" applyBorder="1"/>
    <xf numFmtId="0" fontId="20" fillId="12" borderId="39" xfId="2" applyFont="1" applyFill="1" applyBorder="1"/>
    <xf numFmtId="0" fontId="20" fillId="12" borderId="40" xfId="2" applyFont="1" applyFill="1" applyBorder="1"/>
    <xf numFmtId="0" fontId="18" fillId="0" borderId="41" xfId="2" applyFont="1" applyBorder="1"/>
    <xf numFmtId="0" fontId="18" fillId="11" borderId="42" xfId="2" applyFont="1" applyFill="1" applyBorder="1"/>
    <xf numFmtId="15" fontId="18" fillId="11" borderId="42" xfId="2" applyNumberFormat="1" applyFont="1" applyFill="1" applyBorder="1"/>
    <xf numFmtId="0" fontId="18" fillId="11" borderId="42" xfId="2" applyFont="1" applyFill="1" applyBorder="1" applyAlignment="1">
      <alignment horizontal="right"/>
    </xf>
    <xf numFmtId="172" fontId="18" fillId="11" borderId="42" xfId="2" applyNumberFormat="1" applyFont="1" applyFill="1" applyBorder="1"/>
    <xf numFmtId="0" fontId="18" fillId="0" borderId="43" xfId="2" applyFont="1" applyBorder="1"/>
    <xf numFmtId="0" fontId="18" fillId="0" borderId="44" xfId="2" applyFont="1" applyBorder="1"/>
    <xf numFmtId="9" fontId="18" fillId="11" borderId="45" xfId="3" applyFont="1" applyFill="1" applyBorder="1"/>
    <xf numFmtId="0" fontId="18" fillId="0" borderId="5" xfId="2" applyFont="1" applyAlignment="1">
      <alignment horizontal="center"/>
    </xf>
    <xf numFmtId="0" fontId="21" fillId="12" borderId="46" xfId="2" applyFont="1" applyFill="1" applyBorder="1"/>
    <xf numFmtId="0" fontId="21" fillId="12" borderId="47" xfId="2" applyFont="1" applyFill="1" applyBorder="1"/>
    <xf numFmtId="0" fontId="21" fillId="12" borderId="47" xfId="2" applyFont="1" applyFill="1" applyBorder="1" applyAlignment="1">
      <alignment horizontal="right"/>
    </xf>
    <xf numFmtId="0" fontId="21" fillId="12" borderId="48" xfId="2" applyFont="1" applyFill="1" applyBorder="1"/>
    <xf numFmtId="174" fontId="18" fillId="11" borderId="5" xfId="4" applyNumberFormat="1" applyFont="1" applyFill="1" applyBorder="1"/>
    <xf numFmtId="164" fontId="18" fillId="11" borderId="5" xfId="4" applyNumberFormat="1" applyFont="1" applyFill="1" applyBorder="1"/>
    <xf numFmtId="0" fontId="18" fillId="0" borderId="42" xfId="2" applyFont="1" applyBorder="1"/>
    <xf numFmtId="16" fontId="18" fillId="0" borderId="5" xfId="2" applyNumberFormat="1" applyFont="1"/>
    <xf numFmtId="164" fontId="18" fillId="0" borderId="42" xfId="4" applyNumberFormat="1" applyFont="1" applyBorder="1"/>
    <xf numFmtId="164" fontId="18" fillId="13" borderId="5" xfId="4" applyNumberFormat="1" applyFont="1" applyFill="1" applyBorder="1"/>
    <xf numFmtId="164" fontId="18" fillId="0" borderId="5" xfId="4" applyNumberFormat="1" applyFont="1" applyFill="1" applyBorder="1"/>
    <xf numFmtId="164" fontId="18" fillId="13" borderId="42" xfId="4" applyNumberFormat="1" applyFont="1" applyFill="1" applyBorder="1"/>
    <xf numFmtId="164" fontId="18" fillId="0" borderId="5" xfId="4" applyNumberFormat="1" applyFont="1" applyBorder="1"/>
    <xf numFmtId="164" fontId="18" fillId="11" borderId="42" xfId="4" applyNumberFormat="1" applyFont="1" applyFill="1" applyBorder="1"/>
    <xf numFmtId="0" fontId="18" fillId="0" borderId="41" xfId="2" quotePrefix="1" applyFont="1" applyBorder="1"/>
    <xf numFmtId="164" fontId="22" fillId="11" borderId="5" xfId="4" applyNumberFormat="1" applyFont="1" applyFill="1" applyBorder="1"/>
    <xf numFmtId="0" fontId="22" fillId="0" borderId="5" xfId="2" applyFont="1"/>
    <xf numFmtId="164" fontId="22" fillId="13" borderId="5" xfId="4" applyNumberFormat="1" applyFont="1" applyFill="1" applyBorder="1"/>
    <xf numFmtId="0" fontId="23" fillId="0" borderId="49" xfId="2" applyFont="1" applyBorder="1"/>
    <xf numFmtId="0" fontId="23" fillId="0" borderId="50" xfId="2" applyFont="1" applyBorder="1"/>
    <xf numFmtId="164" fontId="23" fillId="0" borderId="50" xfId="4" applyNumberFormat="1" applyFont="1" applyBorder="1"/>
    <xf numFmtId="164" fontId="23" fillId="13" borderId="51" xfId="4" applyNumberFormat="1" applyFont="1" applyFill="1" applyBorder="1"/>
    <xf numFmtId="164" fontId="18" fillId="0" borderId="5" xfId="2" applyNumberFormat="1" applyFont="1"/>
    <xf numFmtId="0" fontId="24" fillId="0" borderId="41" xfId="2" applyFont="1" applyBorder="1"/>
    <xf numFmtId="0" fontId="23" fillId="0" borderId="5" xfId="2" applyFont="1"/>
    <xf numFmtId="164" fontId="23" fillId="0" borderId="5" xfId="4" applyNumberFormat="1" applyFont="1" applyBorder="1"/>
    <xf numFmtId="164" fontId="18" fillId="0" borderId="5" xfId="4" applyNumberFormat="1" applyFont="1" applyFill="1"/>
    <xf numFmtId="43" fontId="18" fillId="13" borderId="45" xfId="4" applyFont="1" applyFill="1" applyBorder="1"/>
    <xf numFmtId="164" fontId="22" fillId="0" borderId="5" xfId="4" applyNumberFormat="1" applyFont="1"/>
    <xf numFmtId="17" fontId="18" fillId="0" borderId="5" xfId="2" applyNumberFormat="1" applyFont="1"/>
    <xf numFmtId="0" fontId="18" fillId="12" borderId="47" xfId="2" applyFont="1" applyFill="1" applyBorder="1"/>
    <xf numFmtId="0" fontId="18" fillId="12" borderId="48" xfId="2" applyFont="1" applyFill="1" applyBorder="1"/>
    <xf numFmtId="0" fontId="25" fillId="0" borderId="5" xfId="2" applyFont="1"/>
    <xf numFmtId="0" fontId="18" fillId="0" borderId="41" xfId="2" applyFont="1" applyBorder="1" applyAlignment="1">
      <alignment horizontal="right"/>
    </xf>
    <xf numFmtId="0" fontId="18" fillId="0" borderId="5" xfId="2" applyFont="1" applyAlignment="1">
      <alignment horizontal="right"/>
    </xf>
    <xf numFmtId="0" fontId="18" fillId="0" borderId="52" xfId="2" applyFont="1" applyBorder="1" applyAlignment="1">
      <alignment horizontal="center"/>
    </xf>
    <xf numFmtId="0" fontId="18" fillId="0" borderId="42" xfId="2" applyFont="1" applyBorder="1" applyAlignment="1">
      <alignment horizontal="right"/>
    </xf>
    <xf numFmtId="0" fontId="18" fillId="0" borderId="43" xfId="2" applyFont="1" applyBorder="1" applyAlignment="1">
      <alignment horizontal="right"/>
    </xf>
    <xf numFmtId="0" fontId="18" fillId="0" borderId="44" xfId="2" applyFont="1" applyBorder="1" applyAlignment="1">
      <alignment horizontal="right"/>
    </xf>
    <xf numFmtId="0" fontId="18" fillId="0" borderId="45" xfId="2" applyFont="1" applyBorder="1" applyAlignment="1">
      <alignment horizontal="right"/>
    </xf>
    <xf numFmtId="0" fontId="18" fillId="0" borderId="5" xfId="2" applyFont="1" applyAlignment="1">
      <alignment horizontal="left"/>
    </xf>
    <xf numFmtId="168" fontId="18" fillId="11" borderId="41" xfId="4" applyNumberFormat="1" applyFont="1" applyFill="1" applyBorder="1"/>
    <xf numFmtId="168" fontId="18" fillId="11" borderId="5" xfId="4" applyNumberFormat="1" applyFont="1" applyFill="1"/>
    <xf numFmtId="168" fontId="18" fillId="13" borderId="5" xfId="4" applyNumberFormat="1" applyFont="1" applyFill="1" applyAlignment="1">
      <alignment horizontal="center"/>
    </xf>
    <xf numFmtId="168" fontId="18" fillId="13" borderId="5" xfId="4" applyNumberFormat="1" applyFont="1" applyFill="1"/>
    <xf numFmtId="164" fontId="18" fillId="13" borderId="5" xfId="4" applyNumberFormat="1" applyFont="1" applyFill="1"/>
    <xf numFmtId="168" fontId="18" fillId="13" borderId="42" xfId="4" applyNumberFormat="1" applyFont="1" applyFill="1" applyBorder="1"/>
    <xf numFmtId="168" fontId="18" fillId="0" borderId="5" xfId="4" applyNumberFormat="1" applyFont="1" applyFill="1" applyBorder="1"/>
    <xf numFmtId="168" fontId="18" fillId="13" borderId="51" xfId="4" applyNumberFormat="1" applyFont="1" applyFill="1" applyBorder="1"/>
    <xf numFmtId="0" fontId="22" fillId="0" borderId="38" xfId="2" applyFont="1" applyBorder="1"/>
    <xf numFmtId="0" fontId="22" fillId="0" borderId="39" xfId="2" applyFont="1" applyBorder="1"/>
    <xf numFmtId="0" fontId="18" fillId="0" borderId="39" xfId="2" applyFont="1" applyBorder="1"/>
    <xf numFmtId="0" fontId="22" fillId="0" borderId="41" xfId="2" applyFont="1" applyBorder="1"/>
    <xf numFmtId="0" fontId="22" fillId="0" borderId="5" xfId="2" applyFont="1" applyAlignment="1">
      <alignment horizontal="right"/>
    </xf>
    <xf numFmtId="0" fontId="26" fillId="0" borderId="5" xfId="2" applyFont="1"/>
    <xf numFmtId="164" fontId="18" fillId="11" borderId="5" xfId="4" applyNumberFormat="1" applyFont="1" applyFill="1"/>
    <xf numFmtId="43" fontId="18" fillId="11" borderId="5" xfId="4" applyFont="1" applyFill="1"/>
    <xf numFmtId="43" fontId="18" fillId="13" borderId="5" xfId="4" applyFont="1" applyFill="1"/>
    <xf numFmtId="43" fontId="18" fillId="13" borderId="42" xfId="4" applyFont="1" applyFill="1" applyBorder="1"/>
    <xf numFmtId="43" fontId="18" fillId="0" borderId="5" xfId="4" applyFont="1" applyFill="1" applyBorder="1"/>
    <xf numFmtId="43" fontId="18" fillId="13" borderId="52" xfId="4" applyFont="1" applyFill="1" applyBorder="1"/>
    <xf numFmtId="164" fontId="18" fillId="0" borderId="44" xfId="4" applyNumberFormat="1" applyFont="1" applyBorder="1"/>
    <xf numFmtId="43" fontId="18" fillId="13" borderId="44" xfId="4" applyFont="1" applyFill="1" applyBorder="1"/>
    <xf numFmtId="43" fontId="18" fillId="13" borderId="51" xfId="4" applyFont="1" applyFill="1" applyBorder="1"/>
    <xf numFmtId="0" fontId="21" fillId="12" borderId="5" xfId="2" applyFont="1" applyFill="1"/>
    <xf numFmtId="0" fontId="21" fillId="12" borderId="5" xfId="2" applyFont="1" applyFill="1" applyAlignment="1">
      <alignment horizontal="right"/>
    </xf>
    <xf numFmtId="0" fontId="21" fillId="14" borderId="5" xfId="2" applyFont="1" applyFill="1" applyAlignment="1">
      <alignment horizontal="right"/>
    </xf>
    <xf numFmtId="14" fontId="18" fillId="0" borderId="53" xfId="2" applyNumberFormat="1" applyFont="1" applyBorder="1"/>
    <xf numFmtId="0" fontId="18" fillId="14" borderId="5" xfId="2" applyFont="1" applyFill="1"/>
    <xf numFmtId="164" fontId="18" fillId="11" borderId="5" xfId="4" applyNumberFormat="1" applyFont="1" applyFill="1" applyAlignment="1">
      <alignment wrapText="1"/>
    </xf>
    <xf numFmtId="164" fontId="23" fillId="13" borderId="5" xfId="4" applyNumberFormat="1" applyFont="1" applyFill="1"/>
    <xf numFmtId="164" fontId="18" fillId="14" borderId="5" xfId="4" applyNumberFormat="1" applyFont="1" applyFill="1"/>
    <xf numFmtId="10" fontId="18" fillId="11" borderId="5" xfId="3" applyNumberFormat="1" applyFont="1" applyFill="1"/>
    <xf numFmtId="164" fontId="18" fillId="0" borderId="5" xfId="4" applyNumberFormat="1" applyFont="1"/>
    <xf numFmtId="164" fontId="23" fillId="0" borderId="5" xfId="4" applyNumberFormat="1" applyFont="1"/>
    <xf numFmtId="0" fontId="27" fillId="0" borderId="5" xfId="2" applyFont="1"/>
    <xf numFmtId="164" fontId="27" fillId="13" borderId="5" xfId="4" applyNumberFormat="1" applyFont="1" applyFill="1"/>
    <xf numFmtId="43" fontId="23" fillId="13" borderId="5" xfId="4" applyFont="1" applyFill="1"/>
    <xf numFmtId="174" fontId="18" fillId="11" borderId="5" xfId="4" applyNumberFormat="1" applyFont="1" applyFill="1"/>
    <xf numFmtId="0" fontId="28" fillId="15" borderId="5" xfId="2" applyFont="1" applyFill="1"/>
    <xf numFmtId="0" fontId="11" fillId="0" borderId="5" xfId="2" applyFont="1"/>
    <xf numFmtId="0" fontId="11" fillId="15" borderId="5" xfId="2" applyFont="1" applyFill="1"/>
    <xf numFmtId="0" fontId="12" fillId="15" borderId="43" xfId="2" applyFont="1" applyFill="1" applyBorder="1"/>
    <xf numFmtId="0" fontId="12" fillId="15" borderId="44" xfId="2" applyFont="1" applyFill="1" applyBorder="1"/>
    <xf numFmtId="0" fontId="12" fillId="15" borderId="45" xfId="2" applyFont="1" applyFill="1" applyBorder="1"/>
    <xf numFmtId="0" fontId="16" fillId="0" borderId="5" xfId="2" applyFont="1"/>
    <xf numFmtId="0" fontId="2" fillId="0" borderId="5" xfId="2"/>
    <xf numFmtId="0" fontId="16" fillId="0" borderId="54" xfId="2" applyFont="1" applyBorder="1"/>
    <xf numFmtId="0" fontId="18" fillId="16" borderId="5" xfId="2" applyFont="1" applyFill="1"/>
    <xf numFmtId="164" fontId="18" fillId="16" borderId="5" xfId="4" applyNumberFormat="1" applyFont="1" applyFill="1" applyBorder="1"/>
    <xf numFmtId="17" fontId="18" fillId="16" borderId="5" xfId="2" applyNumberFormat="1" applyFont="1" applyFill="1"/>
    <xf numFmtId="0" fontId="2" fillId="0" borderId="0" xfId="0" applyFont="1"/>
    <xf numFmtId="164" fontId="18" fillId="17" borderId="5" xfId="4" applyNumberFormat="1" applyFont="1" applyFill="1"/>
    <xf numFmtId="0" fontId="18" fillId="17" borderId="5" xfId="2" applyFont="1" applyFill="1"/>
    <xf numFmtId="0" fontId="23" fillId="17" borderId="5" xfId="2" applyFont="1" applyFill="1"/>
    <xf numFmtId="174" fontId="18" fillId="17" borderId="5" xfId="4" applyNumberFormat="1" applyFont="1" applyFill="1"/>
    <xf numFmtId="0" fontId="9" fillId="0" borderId="26" xfId="2" applyFont="1" applyBorder="1"/>
    <xf numFmtId="0" fontId="9" fillId="0" borderId="28" xfId="2" applyFont="1" applyBorder="1"/>
    <xf numFmtId="0" fontId="9" fillId="0" borderId="29" xfId="2" applyFont="1" applyBorder="1"/>
    <xf numFmtId="0" fontId="7" fillId="2" borderId="2" xfId="0" applyFont="1" applyFill="1" applyBorder="1" applyAlignment="1">
      <alignment horizontal="center"/>
    </xf>
    <xf numFmtId="0" fontId="8" fillId="0" borderId="3" xfId="0" applyFont="1" applyBorder="1"/>
    <xf numFmtId="0" fontId="7" fillId="2" borderId="4" xfId="0" applyFont="1" applyFill="1" applyBorder="1" applyAlignment="1">
      <alignment horizontal="center" wrapText="1"/>
    </xf>
    <xf numFmtId="0" fontId="8" fillId="0" borderId="5" xfId="0" applyFont="1" applyBorder="1"/>
    <xf numFmtId="0" fontId="12" fillId="2" borderId="8" xfId="0" applyFont="1" applyFill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  <xf numFmtId="0" fontId="9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8" fillId="0" borderId="30" xfId="0" applyFont="1" applyBorder="1"/>
    <xf numFmtId="0" fontId="9" fillId="4" borderId="2" xfId="0" applyFont="1" applyFill="1" applyBorder="1" applyAlignment="1">
      <alignment horizontal="center" wrapText="1"/>
    </xf>
    <xf numFmtId="0" fontId="28" fillId="15" borderId="5" xfId="2" applyFont="1" applyFill="1" applyAlignment="1">
      <alignment horizontal="center"/>
    </xf>
    <xf numFmtId="0" fontId="18" fillId="0" borderId="5" xfId="2" applyFont="1" applyAlignment="1">
      <alignment horizontal="center"/>
    </xf>
    <xf numFmtId="0" fontId="22" fillId="0" borderId="39" xfId="2" applyFont="1" applyBorder="1" applyAlignment="1">
      <alignment horizontal="center" wrapText="1"/>
    </xf>
    <xf numFmtId="0" fontId="22" fillId="0" borderId="5" xfId="2" applyFont="1" applyAlignment="1">
      <alignment horizontal="center" wrapText="1"/>
    </xf>
    <xf numFmtId="0" fontId="22" fillId="0" borderId="40" xfId="2" applyFont="1" applyBorder="1" applyAlignment="1">
      <alignment horizontal="center" wrapText="1"/>
    </xf>
    <xf numFmtId="0" fontId="22" fillId="0" borderId="42" xfId="2" applyFont="1" applyBorder="1" applyAlignment="1">
      <alignment horizontal="center" wrapText="1"/>
    </xf>
    <xf numFmtId="164" fontId="18" fillId="11" borderId="5" xfId="4" applyNumberFormat="1" applyFont="1" applyFill="1" applyAlignment="1">
      <alignment horizontal="center"/>
    </xf>
  </cellXfs>
  <cellStyles count="7">
    <cellStyle name="Comma 2" xfId="4" xr:uid="{22FAF283-5CF0-4F2C-8CF3-798D2B3B0E99}"/>
    <cellStyle name="Comma 3" xfId="6" xr:uid="{BE1E4E7E-6677-4DD2-A31A-711BA95E01E0}"/>
    <cellStyle name="Normal" xfId="0" builtinId="0"/>
    <cellStyle name="Normal 2" xfId="2" xr:uid="{D5EC10D0-8DF4-4C0B-983B-DE9D380C5803}"/>
    <cellStyle name="Normal 3" xfId="5" xr:uid="{70D8A61E-2FFC-4700-89C1-CC80B8795489}"/>
    <cellStyle name="Percent" xfId="1" builtinId="5"/>
    <cellStyle name="Percent 2" xfId="3" xr:uid="{1FA4DCB7-45F3-4899-9ECE-03AAE62A1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gnizant/cognizant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 Segments"/>
      <sheetName val="cognizant-IS"/>
      <sheetName val="Cognizant CFS"/>
      <sheetName val="Fixed Assets Schedule"/>
      <sheetName val="extra calculation"/>
      <sheetName val="Debt Schedule"/>
      <sheetName val="Altman Z-score"/>
      <sheetName val="Regression beta"/>
      <sheetName val="Cognizant-BS"/>
      <sheetName val="WACC"/>
      <sheetName val="DCF valuation"/>
      <sheetName val="Valuation"/>
      <sheetName val="bottom up beta"/>
      <sheetName val="Gartner"/>
      <sheetName val="Go_daddy"/>
      <sheetName val="Trade_desk"/>
      <sheetName val="Verisign"/>
      <sheetName val="Snowflake"/>
      <sheetName val="Okta"/>
      <sheetName val="Out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3">
          <cell r="D23">
            <v>0.21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showGridLines="0" zoomScale="90" zoomScaleNormal="90" workbookViewId="0">
      <selection activeCell="H54" sqref="H54"/>
    </sheetView>
  </sheetViews>
  <sheetFormatPr defaultColWidth="14.44140625" defaultRowHeight="15" customHeight="1"/>
  <cols>
    <col min="1" max="1" width="14.5546875" customWidth="1"/>
    <col min="2" max="12" width="12.5546875" customWidth="1"/>
    <col min="13" max="13" width="14.109375" customWidth="1"/>
    <col min="14" max="14" width="17.88671875" customWidth="1"/>
    <col min="15" max="15" width="17.5546875" customWidth="1"/>
    <col min="16" max="16" width="15.5546875" customWidth="1"/>
    <col min="17" max="26" width="8.6640625" customWidth="1"/>
  </cols>
  <sheetData>
    <row r="1" spans="1:24" ht="14.25" customHeight="1"/>
    <row r="2" spans="1:24" ht="14.25" customHeight="1">
      <c r="A2" s="1" t="s">
        <v>0</v>
      </c>
      <c r="C2" s="2" t="s">
        <v>206</v>
      </c>
      <c r="G2" t="s">
        <v>2</v>
      </c>
      <c r="H2" cm="1">
        <f t="array" ref="H2">_xlfn.IFS($G$2=Output!$F$25,1,'Valuation '!$G$2=Output!$F$26,2,'Valuation '!$G$2=Output!$F$27,3)</f>
        <v>2</v>
      </c>
      <c r="W2" s="3" t="s">
        <v>1</v>
      </c>
      <c r="X2">
        <v>1</v>
      </c>
    </row>
    <row r="3" spans="1:24" ht="14.25" customHeight="1">
      <c r="W3" s="3" t="s">
        <v>2</v>
      </c>
      <c r="X3">
        <v>2</v>
      </c>
    </row>
    <row r="4" spans="1:24" ht="14.25" customHeight="1">
      <c r="B4" s="4"/>
      <c r="C4" s="195" t="s">
        <v>3</v>
      </c>
      <c r="D4" s="196"/>
      <c r="E4" s="195" t="s">
        <v>207</v>
      </c>
      <c r="F4" s="196"/>
      <c r="G4" s="197" t="s">
        <v>4</v>
      </c>
      <c r="H4" s="197" t="s">
        <v>5</v>
      </c>
      <c r="I4" s="197" t="s">
        <v>6</v>
      </c>
      <c r="J4" s="197" t="s">
        <v>7</v>
      </c>
      <c r="K4" s="197" t="s">
        <v>8</v>
      </c>
      <c r="L4" s="195" t="s">
        <v>208</v>
      </c>
      <c r="M4" s="196"/>
      <c r="N4" s="197" t="s">
        <v>9</v>
      </c>
      <c r="O4" s="195" t="s">
        <v>209</v>
      </c>
      <c r="P4" s="196"/>
      <c r="W4" s="3" t="s">
        <v>10</v>
      </c>
      <c r="X4">
        <v>3</v>
      </c>
    </row>
    <row r="5" spans="1:24" ht="14.25" customHeight="1">
      <c r="B5" s="4" t="s">
        <v>11</v>
      </c>
      <c r="C5" s="4" t="s">
        <v>12</v>
      </c>
      <c r="D5" s="4" t="s">
        <v>13</v>
      </c>
      <c r="E5" s="4" t="s">
        <v>12</v>
      </c>
      <c r="F5" s="4" t="s">
        <v>13</v>
      </c>
      <c r="G5" s="198"/>
      <c r="H5" s="198"/>
      <c r="I5" s="198"/>
      <c r="J5" s="198"/>
      <c r="K5" s="198"/>
      <c r="L5" s="4" t="s">
        <v>12</v>
      </c>
      <c r="M5" s="4" t="s">
        <v>13</v>
      </c>
      <c r="N5" s="198"/>
      <c r="O5" s="4" t="s">
        <v>12</v>
      </c>
      <c r="P5" s="4" t="s">
        <v>13</v>
      </c>
    </row>
    <row r="6" spans="1:24" ht="14.25" customHeight="1">
      <c r="C6" s="5">
        <v>0.1</v>
      </c>
      <c r="D6" s="5">
        <v>0.1</v>
      </c>
      <c r="G6" s="6"/>
      <c r="H6" s="6"/>
      <c r="I6" s="6"/>
      <c r="J6" s="6"/>
      <c r="K6" s="6"/>
      <c r="N6" s="6"/>
    </row>
    <row r="7" spans="1:24" ht="14.25" customHeight="1">
      <c r="A7" s="3" t="s">
        <v>14</v>
      </c>
      <c r="B7" s="7">
        <f>B62</f>
        <v>3800</v>
      </c>
      <c r="C7" s="8">
        <f ca="1">CHOOSE($H$2,Output!$H$25,Output!$H$26,Output!$H$27)*(1-'Valuation '!$C$6)</f>
        <v>24.508258540196351</v>
      </c>
      <c r="D7" s="8">
        <f ca="1">CHOOSE($H$2,Output!$H$25,Output!$H$26,Output!$H$27)*(1+'Valuation '!$C$6)</f>
        <v>29.954538215795541</v>
      </c>
      <c r="E7" s="9">
        <f ca="1">$B7*$C7</f>
        <v>93131.38245274614</v>
      </c>
      <c r="F7" s="9">
        <f ca="1">$B7*$D7</f>
        <v>113827.24522002306</v>
      </c>
      <c r="G7" s="10">
        <v>0</v>
      </c>
      <c r="H7" s="10">
        <v>908</v>
      </c>
      <c r="I7" s="10">
        <v>296</v>
      </c>
      <c r="J7" s="10">
        <v>2231</v>
      </c>
      <c r="K7" s="10">
        <v>102</v>
      </c>
      <c r="L7" s="11">
        <f ca="1">E7+J7+K7-H7-I7-G7</f>
        <v>94260.38245274614</v>
      </c>
      <c r="M7" s="11">
        <f ca="1">F7-H7-G7-I7+J7+K7</f>
        <v>114956.24522002306</v>
      </c>
      <c r="N7" s="12">
        <f>$C$45</f>
        <v>497.4</v>
      </c>
      <c r="O7" s="13">
        <f ca="1">L7/N7</f>
        <v>189.50619713057125</v>
      </c>
      <c r="P7" s="13">
        <f ca="1">M7/N7</f>
        <v>231.11428472059322</v>
      </c>
    </row>
    <row r="8" spans="1:24" ht="14.25" customHeight="1">
      <c r="A8" s="3" t="s">
        <v>15</v>
      </c>
      <c r="B8" s="7">
        <f>C62</f>
        <v>4012</v>
      </c>
      <c r="C8" s="8">
        <f ca="1">CHOOSE($H$2,Output!$M$25,Output!$M$26,Output!$M$27)*(1-'Valuation '!$C$6)</f>
        <v>22.480430967882626</v>
      </c>
      <c r="D8" s="8">
        <f ca="1">CHOOSE($H$2,Output!$M$25,Output!$M$26,Output!$M$27)*(1+'Valuation '!$C$6)</f>
        <v>27.476082294078768</v>
      </c>
      <c r="E8" s="9">
        <f t="shared" ref="E8:E9" ca="1" si="0">$B8*$C8</f>
        <v>90191.489043145091</v>
      </c>
      <c r="F8" s="9">
        <f t="shared" ref="F8:F9" ca="1" si="1">$B8*$D8</f>
        <v>110234.04216384402</v>
      </c>
      <c r="G8" s="10">
        <v>0</v>
      </c>
      <c r="H8" s="10">
        <v>908</v>
      </c>
      <c r="I8" s="10">
        <v>296</v>
      </c>
      <c r="J8" s="10">
        <v>2231</v>
      </c>
      <c r="K8" s="10">
        <v>102</v>
      </c>
      <c r="L8" s="11">
        <f t="shared" ref="L8:L9" ca="1" si="2">E8+J8+K8-H8-I8-G8</f>
        <v>91320.489043145091</v>
      </c>
      <c r="M8" s="11">
        <f t="shared" ref="M8:M9" ca="1" si="3">F8-H8-G8-I8+J8+K8</f>
        <v>111363.04216384402</v>
      </c>
      <c r="N8" s="12">
        <f t="shared" ref="N8:N9" si="4">$C$45</f>
        <v>497.4</v>
      </c>
      <c r="O8" s="13">
        <f t="shared" ref="O8:O9" ca="1" si="5">L8/N8</f>
        <v>183.59567559940712</v>
      </c>
      <c r="P8" s="13">
        <f t="shared" ref="P8:P9" ca="1" si="6">M8/N8</f>
        <v>223.8903139602815</v>
      </c>
    </row>
    <row r="9" spans="1:24" ht="14.25" customHeight="1">
      <c r="A9" s="3" t="s">
        <v>16</v>
      </c>
      <c r="B9" s="7">
        <f>D62</f>
        <v>4406</v>
      </c>
      <c r="C9" s="8">
        <f ca="1">CHOOSE($H$2,Output!$R$25,Output!$R$26,Output!$R$27)*(1-'Valuation '!$C$6)</f>
        <v>20.294989486891456</v>
      </c>
      <c r="D9" s="8">
        <f ca="1">CHOOSE($H$2,Output!$R$25,Output!$R$26,Output!$R$27)*(1+'Valuation '!$C$6)</f>
        <v>24.804987150645115</v>
      </c>
      <c r="E9" s="9">
        <f t="shared" ca="1" si="0"/>
        <v>89419.723679243762</v>
      </c>
      <c r="F9" s="9">
        <f t="shared" ca="1" si="1"/>
        <v>109290.77338574237</v>
      </c>
      <c r="G9" s="10">
        <v>0</v>
      </c>
      <c r="H9" s="10">
        <v>908</v>
      </c>
      <c r="I9" s="10">
        <v>296</v>
      </c>
      <c r="J9" s="10">
        <v>2231</v>
      </c>
      <c r="K9" s="10">
        <v>102</v>
      </c>
      <c r="L9" s="11">
        <f t="shared" ca="1" si="2"/>
        <v>90548.723679243762</v>
      </c>
      <c r="M9" s="11">
        <f t="shared" ca="1" si="3"/>
        <v>110419.77338574237</v>
      </c>
      <c r="N9" s="12">
        <f t="shared" si="4"/>
        <v>497.4</v>
      </c>
      <c r="O9" s="13">
        <f t="shared" ca="1" si="5"/>
        <v>182.04407655658176</v>
      </c>
      <c r="P9" s="13">
        <f t="shared" ca="1" si="6"/>
        <v>221.99391513016161</v>
      </c>
    </row>
    <row r="10" spans="1:24" ht="14.25" customHeight="1"/>
    <row r="11" spans="1:24" ht="14.25" customHeight="1">
      <c r="L11" s="3" t="s">
        <v>210</v>
      </c>
      <c r="O11" s="14">
        <f ca="1">QUARTILE(O7:O9,1)</f>
        <v>182.81987607799442</v>
      </c>
      <c r="P11" s="14">
        <f ca="1">QUARTILE(P7:P9,1)</f>
        <v>222.94211454522156</v>
      </c>
    </row>
    <row r="12" spans="1:24" ht="14.25" customHeight="1"/>
    <row r="13" spans="1:24" ht="14.25" customHeight="1">
      <c r="B13" s="4"/>
      <c r="C13" s="195" t="s">
        <v>3</v>
      </c>
      <c r="D13" s="196"/>
      <c r="E13" s="195" t="s">
        <v>207</v>
      </c>
      <c r="F13" s="196"/>
      <c r="G13" s="197" t="s">
        <v>4</v>
      </c>
      <c r="H13" s="197" t="s">
        <v>5</v>
      </c>
      <c r="I13" s="197" t="s">
        <v>6</v>
      </c>
      <c r="J13" s="197" t="s">
        <v>7</v>
      </c>
      <c r="K13" s="197" t="s">
        <v>8</v>
      </c>
      <c r="L13" s="195" t="s">
        <v>208</v>
      </c>
      <c r="M13" s="196"/>
      <c r="N13" s="197" t="s">
        <v>9</v>
      </c>
      <c r="O13" s="195" t="s">
        <v>209</v>
      </c>
      <c r="P13" s="196"/>
    </row>
    <row r="14" spans="1:24" ht="14.25" customHeight="1">
      <c r="B14" s="4" t="s">
        <v>11</v>
      </c>
      <c r="C14" s="4" t="s">
        <v>12</v>
      </c>
      <c r="D14" s="4" t="s">
        <v>13</v>
      </c>
      <c r="E14" s="4" t="s">
        <v>12</v>
      </c>
      <c r="F14" s="4" t="s">
        <v>13</v>
      </c>
      <c r="G14" s="198"/>
      <c r="H14" s="198"/>
      <c r="I14" s="198"/>
      <c r="J14" s="198"/>
      <c r="K14" s="198"/>
      <c r="L14" s="4" t="s">
        <v>12</v>
      </c>
      <c r="M14" s="4" t="s">
        <v>13</v>
      </c>
      <c r="N14" s="198"/>
      <c r="O14" s="4" t="s">
        <v>12</v>
      </c>
      <c r="P14" s="4" t="s">
        <v>13</v>
      </c>
    </row>
    <row r="15" spans="1:24" ht="14.25" customHeight="1">
      <c r="C15" s="5">
        <v>0.1</v>
      </c>
      <c r="D15" s="5">
        <v>0.1</v>
      </c>
      <c r="G15" s="6"/>
      <c r="H15" s="6"/>
      <c r="I15" s="6"/>
      <c r="J15" s="6"/>
      <c r="K15" s="6"/>
      <c r="N15" s="6"/>
    </row>
    <row r="16" spans="1:24" ht="14.25" customHeight="1">
      <c r="A16" s="3" t="s">
        <v>17</v>
      </c>
      <c r="B16" s="7">
        <f>B63</f>
        <v>3254</v>
      </c>
      <c r="C16" s="8">
        <f ca="1">CHOOSE($H$2,Output!$I$25,Output!$I$26,Output!$I$27)*(1-'Valuation '!$C$15)</f>
        <v>22.36254835980759</v>
      </c>
      <c r="D16" s="8">
        <f ca="1">CHOOSE($H$2,Output!$I$25,Output!$I$26,Output!$I$27)*(1+'Valuation '!$C$15)</f>
        <v>27.332003550875942</v>
      </c>
      <c r="E16" s="9">
        <f ca="1">B16*C16</f>
        <v>72767.732362813898</v>
      </c>
      <c r="F16" s="9">
        <f ca="1">B16*D16</f>
        <v>88938.339554550315</v>
      </c>
      <c r="G16" s="10">
        <v>0</v>
      </c>
      <c r="H16" s="10">
        <v>908</v>
      </c>
      <c r="I16" s="10">
        <v>296</v>
      </c>
      <c r="J16" s="10">
        <v>2231</v>
      </c>
      <c r="K16" s="10">
        <v>102</v>
      </c>
      <c r="L16" s="11">
        <f ca="1">E16+J16+K16-H16-I16-G16</f>
        <v>73896.732362813898</v>
      </c>
      <c r="M16" s="11">
        <f ca="1">F16-H16-G16-I16+J16+K16</f>
        <v>90067.339554550315</v>
      </c>
      <c r="N16" s="12">
        <f>$C$45</f>
        <v>497.4</v>
      </c>
      <c r="O16" s="13">
        <f ca="1">L16/N16</f>
        <v>148.56600796705649</v>
      </c>
      <c r="P16" s="13">
        <f ca="1">M16/N16</f>
        <v>181.07627574296404</v>
      </c>
    </row>
    <row r="17" spans="1:16" ht="14.25" customHeight="1">
      <c r="A17" s="3" t="s">
        <v>18</v>
      </c>
      <c r="B17" s="7">
        <f>C63</f>
        <v>3464</v>
      </c>
      <c r="C17" s="8">
        <f ca="1">CHOOSE($H$2,Output!$N$25,Output!$N$26,Output!$N$27)*(1-'Valuation '!$C$15)</f>
        <v>27.341143660177487</v>
      </c>
      <c r="D17" s="8">
        <f ca="1">CHOOSE($H$2,Output!$N$25,Output!$N$26,Output!$N$27)*(1+'Valuation '!$C$15)</f>
        <v>33.416953362439152</v>
      </c>
      <c r="E17" s="9">
        <f t="shared" ref="E17:E18" ca="1" si="7">B17*C17</f>
        <v>94709.721638854811</v>
      </c>
      <c r="F17" s="9">
        <f t="shared" ref="F17:F18" ca="1" si="8">B17*D17</f>
        <v>115756.32644748922</v>
      </c>
      <c r="G17" s="10">
        <v>0</v>
      </c>
      <c r="H17" s="10">
        <v>908</v>
      </c>
      <c r="I17" s="10">
        <v>296</v>
      </c>
      <c r="J17" s="10">
        <v>2231</v>
      </c>
      <c r="K17" s="10">
        <v>102</v>
      </c>
      <c r="L17" s="11">
        <f t="shared" ref="L17:L18" ca="1" si="9">E17+J17+K17-H17-I17-G17</f>
        <v>95838.721638854811</v>
      </c>
      <c r="M17" s="11">
        <f t="shared" ref="M17:M18" ca="1" si="10">F17-H17-G17-I17+J17+K17</f>
        <v>116885.32644748922</v>
      </c>
      <c r="N17" s="12">
        <f>N16</f>
        <v>497.4</v>
      </c>
      <c r="O17" s="13">
        <f t="shared" ref="O17:O18" ca="1" si="11">L17/N17</f>
        <v>192.67937603308167</v>
      </c>
      <c r="P17" s="13">
        <f t="shared" ref="P17:P18" ca="1" si="12">M17/N17</f>
        <v>234.99261449032815</v>
      </c>
    </row>
    <row r="18" spans="1:16" ht="14.25" customHeight="1">
      <c r="A18" s="3" t="s">
        <v>19</v>
      </c>
      <c r="B18" s="7">
        <f>D63</f>
        <v>3757</v>
      </c>
      <c r="C18" s="8">
        <f ca="1">CHOOSE($H$2,Output!$S$25,Output!$S$26,Output!$S$27)*(1-'Valuation '!$C$15)</f>
        <v>24.009898798049012</v>
      </c>
      <c r="D18" s="8">
        <f ca="1">CHOOSE($H$2,Output!$S$25,Output!$S$26,Output!$S$27)*(1+'Valuation '!$C$15)</f>
        <v>29.345431864282126</v>
      </c>
      <c r="E18" s="9">
        <f t="shared" ca="1" si="7"/>
        <v>90205.189784270129</v>
      </c>
      <c r="F18" s="9">
        <f t="shared" ca="1" si="8"/>
        <v>110250.78751410794</v>
      </c>
      <c r="G18" s="10">
        <v>0</v>
      </c>
      <c r="H18" s="10">
        <v>908</v>
      </c>
      <c r="I18" s="10">
        <v>296</v>
      </c>
      <c r="J18" s="10">
        <v>2231</v>
      </c>
      <c r="K18" s="10">
        <v>102</v>
      </c>
      <c r="L18" s="11">
        <f t="shared" ca="1" si="9"/>
        <v>91334.189784270129</v>
      </c>
      <c r="M18" s="11">
        <f t="shared" ca="1" si="10"/>
        <v>111379.78751410794</v>
      </c>
      <c r="N18" s="12">
        <f>N17</f>
        <v>497.4</v>
      </c>
      <c r="O18" s="13">
        <f t="shared" ca="1" si="11"/>
        <v>183.62322031417398</v>
      </c>
      <c r="P18" s="13">
        <f t="shared" ca="1" si="12"/>
        <v>223.92397972277433</v>
      </c>
    </row>
    <row r="19" spans="1:16" ht="14.25" customHeight="1"/>
    <row r="20" spans="1:16" ht="14.25" customHeight="1">
      <c r="L20" s="3" t="s">
        <v>210</v>
      </c>
      <c r="O20" s="14">
        <f ca="1">QUARTILE(O16:O18,1)</f>
        <v>166.09461414061525</v>
      </c>
      <c r="P20" s="14">
        <f ca="1">QUARTILE(P16:P18,1)</f>
        <v>202.5001277328692</v>
      </c>
    </row>
    <row r="21" spans="1:16" ht="14.25" customHeight="1"/>
    <row r="22" spans="1:16" ht="14.25" customHeight="1">
      <c r="B22" s="4"/>
      <c r="C22" s="195" t="s">
        <v>3</v>
      </c>
      <c r="D22" s="196"/>
      <c r="E22" s="195" t="s">
        <v>207</v>
      </c>
      <c r="F22" s="196"/>
      <c r="G22" s="197" t="s">
        <v>4</v>
      </c>
      <c r="H22" s="197" t="s">
        <v>5</v>
      </c>
      <c r="I22" s="197" t="s">
        <v>6</v>
      </c>
      <c r="J22" s="197" t="s">
        <v>7</v>
      </c>
      <c r="K22" s="197" t="s">
        <v>8</v>
      </c>
      <c r="L22" s="195" t="s">
        <v>208</v>
      </c>
      <c r="M22" s="196"/>
      <c r="N22" s="197" t="s">
        <v>9</v>
      </c>
      <c r="O22" s="195" t="s">
        <v>209</v>
      </c>
      <c r="P22" s="196"/>
    </row>
    <row r="23" spans="1:16" ht="14.25" customHeight="1">
      <c r="B23" s="4" t="s">
        <v>11</v>
      </c>
      <c r="C23" s="4" t="s">
        <v>12</v>
      </c>
      <c r="D23" s="4" t="s">
        <v>13</v>
      </c>
      <c r="E23" s="4" t="s">
        <v>12</v>
      </c>
      <c r="F23" s="4" t="s">
        <v>13</v>
      </c>
      <c r="G23" s="198"/>
      <c r="H23" s="198"/>
      <c r="I23" s="198"/>
      <c r="J23" s="198"/>
      <c r="K23" s="198"/>
      <c r="L23" s="4" t="s">
        <v>12</v>
      </c>
      <c r="M23" s="4" t="s">
        <v>13</v>
      </c>
      <c r="N23" s="198"/>
      <c r="O23" s="4" t="s">
        <v>12</v>
      </c>
      <c r="P23" s="4" t="s">
        <v>13</v>
      </c>
    </row>
    <row r="24" spans="1:16" ht="14.25" customHeight="1">
      <c r="C24" s="5">
        <v>0.1</v>
      </c>
      <c r="D24" s="5">
        <v>0.1</v>
      </c>
      <c r="G24" s="6"/>
      <c r="H24" s="6"/>
      <c r="I24" s="6"/>
      <c r="J24" s="6"/>
      <c r="K24" s="6"/>
      <c r="N24" s="6"/>
    </row>
    <row r="25" spans="1:16" ht="14.25" customHeight="1">
      <c r="A25" s="3" t="s">
        <v>20</v>
      </c>
      <c r="B25" s="7">
        <f>B61</f>
        <v>20661</v>
      </c>
      <c r="C25" s="8">
        <f ca="1">CHOOSE($H$2,Output!$G$25,Output!$G$26,Output!$G$27)*(1-'Valuation '!$C$24)</f>
        <v>7.7387921126042283</v>
      </c>
      <c r="D25" s="8">
        <f ca="1">CHOOSE($H$2,Output!$G$25,Output!$G$26,Output!$G$27)*(1+'Valuation '!$C$24)</f>
        <v>9.4585236931829471</v>
      </c>
      <c r="E25" s="76">
        <f ca="1">B25*C25</f>
        <v>159891.18383851595</v>
      </c>
      <c r="F25" s="76">
        <f ca="1">B25*D25</f>
        <v>195422.55802485286</v>
      </c>
      <c r="G25" s="10">
        <v>0</v>
      </c>
      <c r="H25" s="10">
        <v>908</v>
      </c>
      <c r="I25" s="10">
        <v>296</v>
      </c>
      <c r="J25" s="10">
        <v>2231</v>
      </c>
      <c r="K25" s="10">
        <v>102</v>
      </c>
      <c r="L25" s="11">
        <f ca="1">E25+J25+K25-H25-I25-G25</f>
        <v>161020.18383851595</v>
      </c>
      <c r="M25" s="11">
        <f ca="1">F25-H25-G25-I25+J25+K25</f>
        <v>196551.55802485286</v>
      </c>
      <c r="N25" s="12">
        <f>$C$45</f>
        <v>497.4</v>
      </c>
      <c r="O25" s="13">
        <f ca="1">L25/N25</f>
        <v>323.72373107864087</v>
      </c>
      <c r="P25" s="13">
        <f ca="1">M25/N25</f>
        <v>395.15793732378944</v>
      </c>
    </row>
    <row r="26" spans="1:16" ht="14.25" customHeight="1">
      <c r="A26" s="3" t="s">
        <v>21</v>
      </c>
      <c r="B26" s="7">
        <f>C61</f>
        <v>21730</v>
      </c>
      <c r="C26" s="8">
        <f ca="1">CHOOSE($H$2,Output!$L$25,Output!$L$26,Output!$L$27)*(1-'Valuation '!$C$24)</f>
        <v>6.2945078909303209</v>
      </c>
      <c r="D26" s="8">
        <f ca="1">CHOOSE($H$2,Output!$L$25,Output!$L$26,Output!$L$27)*(1+'Valuation '!$C$24)</f>
        <v>7.6932874222481704</v>
      </c>
      <c r="E26" s="76">
        <f t="shared" ref="E26:E27" ca="1" si="13">B26*C26</f>
        <v>136779.65646991588</v>
      </c>
      <c r="F26" s="76">
        <f t="shared" ref="F26:F27" ca="1" si="14">B26*D26</f>
        <v>167175.13568545275</v>
      </c>
      <c r="G26" s="10">
        <v>0</v>
      </c>
      <c r="H26" s="10">
        <v>908</v>
      </c>
      <c r="I26" s="10">
        <v>296</v>
      </c>
      <c r="J26" s="10">
        <v>2231</v>
      </c>
      <c r="K26" s="10">
        <v>102</v>
      </c>
      <c r="L26" s="11">
        <f t="shared" ref="L26:L27" ca="1" si="15">E26+J26+K26-H26-I26-G26</f>
        <v>137908.65646991588</v>
      </c>
      <c r="M26" s="11">
        <f t="shared" ref="M26:M27" ca="1" si="16">F26-H26-G26-I26+J26+K26</f>
        <v>168304.13568545275</v>
      </c>
      <c r="N26" s="12">
        <f t="shared" ref="N26:N27" si="17">$C$45</f>
        <v>497.4</v>
      </c>
      <c r="O26" s="13">
        <f t="shared" ref="O26:O27" ca="1" si="18">L26/N26</f>
        <v>277.25906005210271</v>
      </c>
      <c r="P26" s="13">
        <f t="shared" ref="P26:P27" ca="1" si="19">M26/N26</f>
        <v>338.36778384690945</v>
      </c>
    </row>
    <row r="27" spans="1:16" ht="14.25" customHeight="1">
      <c r="A27" s="3" t="s">
        <v>22</v>
      </c>
      <c r="B27" s="7">
        <f>D61</f>
        <v>23266</v>
      </c>
      <c r="C27" s="8">
        <f ca="1">CHOOSE($H$2,Output!$Q$25,Output!$Q$26,Output!$Q$27)*(1-'Valuation '!$C$24)</f>
        <v>5.7410781028356661</v>
      </c>
      <c r="D27" s="8">
        <f ca="1">CHOOSE($H$2,Output!$Q$25,Output!$Q$26,Output!$Q$27)*(1+'Valuation '!$C$24)</f>
        <v>7.0168732367991478</v>
      </c>
      <c r="E27" s="76">
        <f t="shared" ca="1" si="13"/>
        <v>133571.9231405746</v>
      </c>
      <c r="F27" s="76">
        <f t="shared" ca="1" si="14"/>
        <v>163254.57272736897</v>
      </c>
      <c r="G27" s="10">
        <v>0</v>
      </c>
      <c r="H27" s="10">
        <v>908</v>
      </c>
      <c r="I27" s="10">
        <v>296</v>
      </c>
      <c r="J27" s="10">
        <v>2231</v>
      </c>
      <c r="K27" s="10">
        <v>102</v>
      </c>
      <c r="L27" s="11">
        <f t="shared" ca="1" si="15"/>
        <v>134700.9231405746</v>
      </c>
      <c r="M27" s="11">
        <f t="shared" ca="1" si="16"/>
        <v>164383.57272736897</v>
      </c>
      <c r="N27" s="12">
        <f t="shared" si="17"/>
        <v>497.4</v>
      </c>
      <c r="O27" s="13">
        <f t="shared" ca="1" si="18"/>
        <v>270.81005858579533</v>
      </c>
      <c r="P27" s="13">
        <f t="shared" ca="1" si="19"/>
        <v>330.48567094364489</v>
      </c>
    </row>
    <row r="28" spans="1:16" ht="14.25" customHeight="1"/>
    <row r="29" spans="1:16" ht="14.25" customHeight="1">
      <c r="L29" s="3" t="s">
        <v>210</v>
      </c>
      <c r="O29" s="14">
        <f ca="1">MEDIAN(O25:O27)</f>
        <v>277.25906005210271</v>
      </c>
      <c r="P29" s="14">
        <f ca="1">MEDIAN(P25:P27)</f>
        <v>338.36778384690945</v>
      </c>
    </row>
    <row r="30" spans="1:16" ht="14.25" customHeight="1"/>
    <row r="31" spans="1:16" ht="14.25" customHeight="1">
      <c r="B31" s="4"/>
      <c r="C31" s="195" t="s">
        <v>3</v>
      </c>
      <c r="D31" s="196"/>
      <c r="E31" s="202"/>
      <c r="F31" s="203"/>
      <c r="G31" s="204"/>
      <c r="H31" s="204"/>
      <c r="I31" s="204"/>
      <c r="J31" s="204"/>
      <c r="K31" s="204"/>
      <c r="L31" s="202"/>
      <c r="M31" s="203"/>
      <c r="N31" s="204"/>
      <c r="O31" s="195" t="s">
        <v>209</v>
      </c>
      <c r="P31" s="196"/>
    </row>
    <row r="32" spans="1:16" ht="14.25" customHeight="1">
      <c r="B32" s="4" t="s">
        <v>11</v>
      </c>
      <c r="C32" s="4" t="s">
        <v>12</v>
      </c>
      <c r="D32" s="4" t="s">
        <v>13</v>
      </c>
      <c r="G32" s="203"/>
      <c r="H32" s="203"/>
      <c r="I32" s="203"/>
      <c r="J32" s="203"/>
      <c r="K32" s="203"/>
      <c r="N32" s="203"/>
      <c r="O32" s="4" t="s">
        <v>12</v>
      </c>
      <c r="P32" s="4" t="s">
        <v>13</v>
      </c>
    </row>
    <row r="33" spans="1:16" ht="14.25" customHeight="1">
      <c r="C33" s="5">
        <v>0.1</v>
      </c>
      <c r="D33" s="5">
        <v>0.1</v>
      </c>
      <c r="G33" s="6"/>
      <c r="H33" s="6"/>
      <c r="I33" s="6"/>
      <c r="J33" s="6"/>
      <c r="K33" s="6"/>
      <c r="N33" s="6"/>
    </row>
    <row r="34" spans="1:16" ht="14.25" customHeight="1">
      <c r="A34" s="3" t="s">
        <v>23</v>
      </c>
      <c r="B34" s="18">
        <v>4.75</v>
      </c>
      <c r="C34" s="8">
        <f ca="1">CHOOSE($H$2,Output!$O$25,Output!$O$26,Output!$O$27)*(1-'Valuation '!$C$33)</f>
        <v>25.259923120505487</v>
      </c>
      <c r="D34" s="8">
        <f ca="1">CHOOSE($H$2,Output!$O$25,Output!$O$26,Output!$O$27)*(1+'Valuation '!$C$33)</f>
        <v>30.873239369506706</v>
      </c>
      <c r="E34" s="11"/>
      <c r="F34" s="11"/>
      <c r="G34" s="19"/>
      <c r="H34" s="19"/>
      <c r="I34" s="19"/>
      <c r="J34" s="19"/>
      <c r="K34" s="19"/>
      <c r="L34" s="11"/>
      <c r="M34" s="11"/>
      <c r="N34" s="20"/>
      <c r="O34" s="13">
        <f ca="1">$B34*C34</f>
        <v>119.98463482240106</v>
      </c>
      <c r="P34" s="13">
        <f t="shared" ref="P34:P35" ca="1" si="20">$B34*D34</f>
        <v>146.64788700515686</v>
      </c>
    </row>
    <row r="35" spans="1:16" ht="14.25" customHeight="1">
      <c r="A35" s="3" t="s">
        <v>24</v>
      </c>
      <c r="B35" s="18">
        <v>5.01</v>
      </c>
      <c r="C35" s="8">
        <f ca="1">CHOOSE($H$2,Output!$T$25,Output!$T$26,Output!$T$27)*(1-'Valuation '!$C$33)</f>
        <v>27.214037221029415</v>
      </c>
      <c r="D35" s="8">
        <f ca="1">CHOOSE($H$2,Output!$T$25,Output!$T$26,Output!$T$27)*(1+'Valuation '!$C$33)</f>
        <v>33.261601047924842</v>
      </c>
      <c r="E35" s="11"/>
      <c r="F35" s="11"/>
      <c r="G35" s="19"/>
      <c r="H35" s="19"/>
      <c r="I35" s="19"/>
      <c r="J35" s="19"/>
      <c r="K35" s="19"/>
      <c r="L35" s="11"/>
      <c r="M35" s="11"/>
      <c r="N35" s="20"/>
      <c r="O35" s="13">
        <f t="shared" ref="O35" ca="1" si="21">$B35*C35</f>
        <v>136.34232647735737</v>
      </c>
      <c r="P35" s="13">
        <f t="shared" ca="1" si="20"/>
        <v>166.64062125010344</v>
      </c>
    </row>
    <row r="36" spans="1:16" ht="14.25" customHeight="1"/>
    <row r="37" spans="1:16" ht="14.25" customHeight="1">
      <c r="L37" s="3" t="s">
        <v>210</v>
      </c>
      <c r="O37" s="14">
        <f ca="1">QUARTILE(O34:O35,1)</f>
        <v>124.07405773614013</v>
      </c>
      <c r="P37" s="14">
        <f ca="1">QUARTILE(P34:P35,1)</f>
        <v>151.64607056639352</v>
      </c>
    </row>
    <row r="38" spans="1:16" ht="14.25" customHeight="1">
      <c r="O38" s="13"/>
      <c r="P38" s="13"/>
    </row>
    <row r="39" spans="1:16" ht="14.25" customHeight="1">
      <c r="O39" s="13"/>
      <c r="P39" s="13"/>
    </row>
    <row r="40" spans="1:16" ht="14.25" customHeight="1">
      <c r="N40" s="13"/>
      <c r="O40" s="13"/>
      <c r="P40" s="13"/>
    </row>
    <row r="41" spans="1:16" ht="14.25" customHeight="1"/>
    <row r="42" spans="1:16" ht="14.25" customHeight="1">
      <c r="A42" s="21" t="s">
        <v>211</v>
      </c>
      <c r="B42" s="21"/>
      <c r="C42" s="21"/>
    </row>
    <row r="43" spans="1:16" ht="14.25" customHeight="1"/>
    <row r="44" spans="1:16" ht="14.25" customHeight="1">
      <c r="A44" s="3" t="s">
        <v>25</v>
      </c>
      <c r="C44" s="22">
        <v>494.6</v>
      </c>
    </row>
    <row r="45" spans="1:16" ht="14.25" customHeight="1">
      <c r="A45" s="3" t="s">
        <v>26</v>
      </c>
      <c r="C45" s="23">
        <v>497.4</v>
      </c>
    </row>
    <row r="46" spans="1:16" ht="14.25" customHeight="1"/>
    <row r="47" spans="1:16" ht="14.25" customHeight="1"/>
    <row r="48" spans="1:16" ht="14.25" customHeight="1">
      <c r="A48" s="3" t="s">
        <v>212</v>
      </c>
      <c r="C48" s="22">
        <v>84.1</v>
      </c>
    </row>
    <row r="49" spans="1:10" ht="14.25" customHeight="1">
      <c r="A49" s="199" t="s">
        <v>27</v>
      </c>
      <c r="B49" s="200"/>
      <c r="C49" s="200"/>
      <c r="D49" s="200"/>
      <c r="E49" s="200"/>
      <c r="F49" s="200"/>
      <c r="G49" s="200"/>
      <c r="H49" s="201"/>
    </row>
    <row r="50" spans="1:10" ht="14.25" customHeight="1">
      <c r="A50" s="24"/>
      <c r="B50" s="25"/>
      <c r="C50" s="25" t="s">
        <v>28</v>
      </c>
      <c r="D50" s="26"/>
      <c r="E50" s="27" t="s">
        <v>29</v>
      </c>
      <c r="F50" s="27"/>
      <c r="G50" s="27"/>
      <c r="H50" s="28" t="s">
        <v>30</v>
      </c>
    </row>
    <row r="51" spans="1:10" ht="14.25" customHeight="1">
      <c r="A51" s="29"/>
      <c r="B51" s="30" t="s">
        <v>31</v>
      </c>
      <c r="C51" s="30" t="s">
        <v>32</v>
      </c>
      <c r="D51" s="30" t="s">
        <v>33</v>
      </c>
      <c r="E51" s="30" t="s">
        <v>34</v>
      </c>
      <c r="F51" s="30" t="s">
        <v>35</v>
      </c>
      <c r="G51" s="31" t="s">
        <v>36</v>
      </c>
      <c r="H51" s="32" t="s">
        <v>37</v>
      </c>
    </row>
    <row r="52" spans="1:10" ht="14.25" customHeight="1">
      <c r="A52" s="33"/>
      <c r="B52" s="34">
        <v>2.8</v>
      </c>
      <c r="C52" s="35"/>
      <c r="D52" s="36" t="str">
        <f t="shared" ref="D52:D53" si="22">IF(C52&lt;$C$48,"Yes","No")</f>
        <v>Yes</v>
      </c>
      <c r="E52" s="37">
        <f t="shared" ref="E52:E53" si="23">IF(D52="Yes",B52,0)</f>
        <v>2.8</v>
      </c>
      <c r="F52" s="38">
        <f t="shared" ref="F52:F53" si="24">E52*C52</f>
        <v>0</v>
      </c>
      <c r="G52" s="37">
        <f t="shared" ref="G52:G53" si="25">F52/$C$48</f>
        <v>0</v>
      </c>
      <c r="H52" s="39">
        <f t="shared" ref="H52:H53" si="26">E52-G52</f>
        <v>2.8</v>
      </c>
      <c r="I52" s="77">
        <f>B52*(1-C52/C48)</f>
        <v>2.8</v>
      </c>
      <c r="J52" t="b">
        <f>H52=I52</f>
        <v>1</v>
      </c>
    </row>
    <row r="53" spans="1:10" ht="14.25" customHeight="1">
      <c r="A53" s="33"/>
      <c r="B53" s="34"/>
      <c r="C53" s="35"/>
      <c r="D53" s="36" t="str">
        <f t="shared" si="22"/>
        <v>Yes</v>
      </c>
      <c r="E53" s="37">
        <f t="shared" si="23"/>
        <v>0</v>
      </c>
      <c r="F53" s="38">
        <f t="shared" si="24"/>
        <v>0</v>
      </c>
      <c r="G53" s="37">
        <f t="shared" si="25"/>
        <v>0</v>
      </c>
      <c r="H53" s="39">
        <f t="shared" si="26"/>
        <v>0</v>
      </c>
    </row>
    <row r="54" spans="1:10" ht="14.25" customHeight="1">
      <c r="A54" s="29"/>
      <c r="B54" s="31"/>
      <c r="C54" s="31"/>
      <c r="D54" s="31"/>
      <c r="E54" s="31"/>
      <c r="F54" s="31"/>
      <c r="G54" s="31"/>
      <c r="H54" s="40">
        <f>SUM(H52:H53)</f>
        <v>2.8</v>
      </c>
    </row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>
      <c r="A60" s="41" t="s">
        <v>206</v>
      </c>
      <c r="B60" s="42">
        <v>2025</v>
      </c>
      <c r="C60" s="42">
        <v>2026</v>
      </c>
      <c r="D60" s="42">
        <v>2027</v>
      </c>
      <c r="E60" s="42"/>
      <c r="F60" s="43"/>
      <c r="G60" s="44"/>
    </row>
    <row r="61" spans="1:10" ht="14.25" customHeight="1">
      <c r="A61" s="45" t="s">
        <v>39</v>
      </c>
      <c r="B61" s="182">
        <v>20661</v>
      </c>
      <c r="C61" s="182">
        <v>21730</v>
      </c>
      <c r="D61" s="192">
        <v>23266</v>
      </c>
      <c r="G61" s="46"/>
    </row>
    <row r="62" spans="1:10" ht="14.25" customHeight="1">
      <c r="A62" s="45" t="s">
        <v>40</v>
      </c>
      <c r="B62" s="182">
        <v>3800</v>
      </c>
      <c r="C62" s="182">
        <v>4012</v>
      </c>
      <c r="D62" s="192">
        <v>4406</v>
      </c>
      <c r="G62" s="47"/>
    </row>
    <row r="63" spans="1:10" ht="14.25" customHeight="1">
      <c r="A63" s="48" t="s">
        <v>41</v>
      </c>
      <c r="B63" s="193">
        <v>3254</v>
      </c>
      <c r="C63" s="193">
        <v>3464</v>
      </c>
      <c r="D63" s="194">
        <v>3757</v>
      </c>
      <c r="E63" s="49"/>
      <c r="F63" s="49"/>
      <c r="G63" s="50"/>
    </row>
    <row r="64" spans="1:10" ht="14.25" customHeight="1">
      <c r="A64" s="51"/>
      <c r="F64" s="79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1">
    <mergeCell ref="A49:H49"/>
    <mergeCell ref="L31:M31"/>
    <mergeCell ref="N31:N32"/>
    <mergeCell ref="O31:P31"/>
    <mergeCell ref="C31:D31"/>
    <mergeCell ref="E31:F31"/>
    <mergeCell ref="G31:G32"/>
    <mergeCell ref="H31:H32"/>
    <mergeCell ref="I31:I32"/>
    <mergeCell ref="J31:J32"/>
    <mergeCell ref="K31:K32"/>
    <mergeCell ref="L22:M22"/>
    <mergeCell ref="N22:N23"/>
    <mergeCell ref="O22:P22"/>
    <mergeCell ref="C22:D22"/>
    <mergeCell ref="E22:F22"/>
    <mergeCell ref="G22:G23"/>
    <mergeCell ref="H22:H23"/>
    <mergeCell ref="I22:I23"/>
    <mergeCell ref="J22:J23"/>
    <mergeCell ref="K22:K23"/>
    <mergeCell ref="L13:M13"/>
    <mergeCell ref="N13:N14"/>
    <mergeCell ref="O13:P13"/>
    <mergeCell ref="C13:D13"/>
    <mergeCell ref="E13:F13"/>
    <mergeCell ref="G13:G14"/>
    <mergeCell ref="H13:H14"/>
    <mergeCell ref="I13:I14"/>
    <mergeCell ref="J13:J14"/>
    <mergeCell ref="K13:K14"/>
    <mergeCell ref="L4:M4"/>
    <mergeCell ref="N4:N5"/>
    <mergeCell ref="O4:P4"/>
    <mergeCell ref="C4:D4"/>
    <mergeCell ref="E4:F4"/>
    <mergeCell ref="G4:G5"/>
    <mergeCell ref="H4:H5"/>
    <mergeCell ref="I4:I5"/>
    <mergeCell ref="J4:J5"/>
    <mergeCell ref="K4:K5"/>
  </mergeCells>
  <dataValidations count="1">
    <dataValidation type="list" allowBlank="1" showInputMessage="1" showErrorMessage="1" sqref="G2" xr:uid="{2DCC3829-22AE-4AD1-8CD1-29DAFC4435A7}">
      <formula1>$W$2:$W$4</formula1>
    </dataValidation>
  </dataValidation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showGridLines="0" zoomScale="90" zoomScaleNormal="9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E18" sqref="E18"/>
    </sheetView>
  </sheetViews>
  <sheetFormatPr defaultColWidth="14.44140625" defaultRowHeight="15" customHeight="1"/>
  <cols>
    <col min="1" max="1" width="28.21875" customWidth="1"/>
    <col min="2" max="4" width="8.6640625" customWidth="1"/>
    <col min="5" max="5" width="9.88671875" customWidth="1"/>
    <col min="6" max="6" width="15" customWidth="1"/>
    <col min="7" max="7" width="8.6640625" customWidth="1"/>
    <col min="8" max="8" width="9.88671875" bestFit="1" customWidth="1"/>
    <col min="9" max="10" width="8.6640625" customWidth="1"/>
    <col min="11" max="11" width="1.88671875" customWidth="1"/>
    <col min="12" max="12" width="8.6640625" customWidth="1"/>
    <col min="13" max="13" width="10.44140625" customWidth="1"/>
    <col min="14" max="15" width="8.6640625" customWidth="1"/>
    <col min="16" max="16" width="1.88671875" customWidth="1"/>
    <col min="17" max="17" width="8.6640625" customWidth="1"/>
    <col min="18" max="18" width="10.44140625" customWidth="1"/>
    <col min="19" max="26" width="8.6640625" customWidth="1"/>
  </cols>
  <sheetData>
    <row r="1" spans="1:21" ht="14.25" customHeight="1">
      <c r="A1" s="52" t="s">
        <v>42</v>
      </c>
    </row>
    <row r="2" spans="1:21" ht="14.25" customHeight="1">
      <c r="A2" s="3" t="s">
        <v>43</v>
      </c>
    </row>
    <row r="3" spans="1:21" ht="0.75" customHeight="1"/>
    <row r="4" spans="1:21" ht="0.75" customHeight="1"/>
    <row r="5" spans="1:21" ht="14.25" customHeight="1"/>
    <row r="6" spans="1:21" ht="14.25" customHeight="1">
      <c r="A6" s="3" t="s">
        <v>44</v>
      </c>
      <c r="C6" s="15"/>
    </row>
    <row r="7" spans="1:21" ht="14.25" customHeight="1">
      <c r="A7" s="3" t="s">
        <v>45</v>
      </c>
      <c r="C7" s="15" t="s">
        <v>46</v>
      </c>
    </row>
    <row r="8" spans="1:21" ht="14.25" customHeight="1">
      <c r="A8" s="3" t="s">
        <v>47</v>
      </c>
      <c r="C8" s="15" t="s">
        <v>48</v>
      </c>
    </row>
    <row r="9" spans="1:21" ht="0.75" customHeight="1"/>
    <row r="10" spans="1:21" ht="0.75" customHeight="1"/>
    <row r="11" spans="1:21" ht="14.25" customHeight="1">
      <c r="B11" s="53" t="s">
        <v>49</v>
      </c>
      <c r="C11" s="53"/>
      <c r="D11" s="53" t="s">
        <v>50</v>
      </c>
      <c r="E11" s="53" t="s">
        <v>51</v>
      </c>
      <c r="F11" s="53" t="s">
        <v>52</v>
      </c>
      <c r="G11" s="53" t="s">
        <v>53</v>
      </c>
      <c r="H11" s="53" t="s">
        <v>54</v>
      </c>
      <c r="I11" s="53" t="s">
        <v>55</v>
      </c>
      <c r="J11" s="53" t="s">
        <v>56</v>
      </c>
      <c r="K11" s="53"/>
      <c r="L11" s="53" t="s">
        <v>57</v>
      </c>
      <c r="M11" s="53" t="s">
        <v>58</v>
      </c>
      <c r="N11" s="53" t="s">
        <v>59</v>
      </c>
      <c r="O11" s="53" t="s">
        <v>60</v>
      </c>
      <c r="Q11" s="3" t="s">
        <v>61</v>
      </c>
      <c r="R11" s="53" t="s">
        <v>62</v>
      </c>
      <c r="S11" s="53" t="s">
        <v>63</v>
      </c>
      <c r="T11" s="53" t="s">
        <v>64</v>
      </c>
      <c r="U11" s="53" t="s">
        <v>65</v>
      </c>
    </row>
    <row r="12" spans="1:21" ht="14.25" customHeight="1">
      <c r="A12" s="15"/>
      <c r="B12" s="205" t="s">
        <v>66</v>
      </c>
      <c r="C12" s="205" t="s">
        <v>67</v>
      </c>
      <c r="D12" s="15"/>
      <c r="E12" s="15"/>
      <c r="F12" s="15"/>
      <c r="G12" s="206" t="s">
        <v>68</v>
      </c>
      <c r="H12" s="207"/>
      <c r="I12" s="207"/>
      <c r="J12" s="196"/>
      <c r="L12" s="206" t="s">
        <v>69</v>
      </c>
      <c r="M12" s="207"/>
      <c r="N12" s="207"/>
      <c r="O12" s="196"/>
      <c r="P12" s="17"/>
      <c r="Q12" s="208" t="s">
        <v>70</v>
      </c>
      <c r="R12" s="207"/>
      <c r="S12" s="207"/>
      <c r="T12" s="196"/>
      <c r="U12" s="16"/>
    </row>
    <row r="13" spans="1:21" ht="14.25" customHeight="1">
      <c r="A13" s="54" t="s">
        <v>71</v>
      </c>
      <c r="B13" s="198"/>
      <c r="C13" s="198"/>
      <c r="D13" s="55" t="s">
        <v>72</v>
      </c>
      <c r="E13" s="55" t="s">
        <v>73</v>
      </c>
      <c r="F13" s="55" t="s">
        <v>74</v>
      </c>
      <c r="G13" s="55" t="s">
        <v>75</v>
      </c>
      <c r="H13" s="55" t="s">
        <v>76</v>
      </c>
      <c r="I13" s="55" t="s">
        <v>77</v>
      </c>
      <c r="J13" s="55" t="s">
        <v>78</v>
      </c>
      <c r="K13" s="17"/>
      <c r="L13" s="55" t="s">
        <v>75</v>
      </c>
      <c r="M13" s="55" t="s">
        <v>76</v>
      </c>
      <c r="N13" s="55" t="s">
        <v>77</v>
      </c>
      <c r="O13" s="55" t="s">
        <v>78</v>
      </c>
      <c r="P13" s="17"/>
      <c r="Q13" s="55" t="s">
        <v>75</v>
      </c>
      <c r="R13" s="55" t="s">
        <v>76</v>
      </c>
      <c r="S13" s="55" t="s">
        <v>77</v>
      </c>
      <c r="T13" s="55" t="s">
        <v>78</v>
      </c>
      <c r="U13" s="15" t="s">
        <v>79</v>
      </c>
    </row>
    <row r="14" spans="1:21" ht="14.25" customHeight="1">
      <c r="A14" s="3" t="s">
        <v>142</v>
      </c>
      <c r="B14" t="str" cm="1">
        <f t="array" aca="1" ref="B14" ca="1">INDIRECT($A14&amp;"!"&amp;B$11)</f>
        <v>USD</v>
      </c>
      <c r="C14" s="56">
        <v>1</v>
      </c>
      <c r="D14" s="57" cm="1">
        <f t="array" aca="1" ref="D14" ca="1">INDIRECT($A14&amp;"!"&amp;D$11)</f>
        <v>522.48169098867788</v>
      </c>
      <c r="E14" s="57" cm="1">
        <f t="array" aca="1" ref="E14" ca="1">INDIRECT($A14&amp;"!"&amp;E$11)*$C14</f>
        <v>40736.385884919997</v>
      </c>
      <c r="F14" s="57" cm="1">
        <f t="array" aca="1" ref="F14" ca="1">INDIRECT($A14&amp;"!"&amp;F$11)*$C14</f>
        <v>40849.612884920003</v>
      </c>
      <c r="G14" s="58" cm="1">
        <f t="array" aca="1" ref="G14" ca="1">$F14/(INDIRECT($A14&amp;"!"&amp;G$11)*$C14)</f>
        <v>7.9696453883741585</v>
      </c>
      <c r="H14" s="58" cm="1">
        <f t="array" aca="1" ref="H14" ca="1">$F14/(INDIRECT($A14&amp;"!"&amp;H$11)*$C14)</f>
        <v>26.252964578997432</v>
      </c>
      <c r="I14" s="58" cm="1">
        <f t="array" aca="1" ref="I14" ca="1">$F14/(INDIRECT($A14&amp;"!"&amp;I$11)*$C14)</f>
        <v>23.23224955990252</v>
      </c>
      <c r="J14" s="58" cm="1">
        <f t="array" aca="1" ref="J14" ca="1">$E14/(INDIRECT($A14&amp;"!"&amp;J$11)*$C14)</f>
        <v>36.9323534768087</v>
      </c>
      <c r="K14" s="58"/>
      <c r="L14" s="58" cm="1">
        <f t="array" aca="1" ref="L14" ca="1">$F14/(INDIRECT($A14&amp;"!"&amp;L$11)*$C14)</f>
        <v>6.1921498991844786</v>
      </c>
      <c r="M14" s="58" cm="1">
        <f t="array" aca="1" ref="M14" ca="1">$F14/(INDIRECT($A14&amp;"!"&amp;M$11)*$C14)</f>
        <v>25.707748826255507</v>
      </c>
      <c r="N14" s="58" cm="1">
        <f t="array" aca="1" ref="N14" ca="1">$F14/(INDIRECT($A14&amp;"!"&amp;N$11)*$C14)</f>
        <v>32.996456288303719</v>
      </c>
      <c r="O14" s="58" cm="1">
        <f t="array" aca="1" ref="O14" ca="1">$E14/(INDIRECT($A14&amp;"!"&amp;O$11)*$C14)</f>
        <v>46.317664451301873</v>
      </c>
      <c r="P14" s="58"/>
      <c r="Q14" s="58" cm="1">
        <f t="array" aca="1" ref="Q14" ca="1">$F14/(INDIRECT($A14&amp;"!"&amp;Q$11)*$C14)</f>
        <v>5.6846107549290288</v>
      </c>
      <c r="R14" s="58" cm="1">
        <f t="array" aca="1" ref="R14" ca="1">$F14/(INDIRECT($A14&amp;"!"&amp;R$11)*$C14)</f>
        <v>26.002299735786124</v>
      </c>
      <c r="S14" s="58" cm="1">
        <f t="array" aca="1" ref="S14" ca="1">$F14/(INDIRECT($A14&amp;"!"&amp;S$11)*$C14)</f>
        <v>27.979186907479455</v>
      </c>
      <c r="T14" s="58" cm="1">
        <f t="array" aca="1" ref="T14" ca="1">$E14/(INDIRECT($A14&amp;"!"&amp;T$11)*$C14)</f>
        <v>40.333055331603958</v>
      </c>
      <c r="U14" s="75" cm="1">
        <f t="array" aca="1" ref="U14" ca="1">INDIRECT($A14&amp;"!"&amp;U$11)</f>
        <v>7.6847992219967631E-2</v>
      </c>
    </row>
    <row r="15" spans="1:21" ht="14.25" customHeight="1">
      <c r="A15" s="187" t="s">
        <v>189</v>
      </c>
      <c r="B15" t="str" cm="1">
        <f t="array" aca="1" ref="B15" ca="1">INDIRECT($A15&amp;"!"&amp;B$11)</f>
        <v>USD</v>
      </c>
      <c r="C15" s="56">
        <v>1</v>
      </c>
      <c r="D15" s="57" cm="1">
        <f t="array" aca="1" ref="D15" ca="1">INDIRECT($A15&amp;"!"&amp;D$11)</f>
        <v>206.26</v>
      </c>
      <c r="E15" s="57" cm="1">
        <f t="array" aca="1" ref="E15" ca="1">INDIRECT($A15&amp;"!"&amp;E$11)*$C15</f>
        <v>30178.087471560004</v>
      </c>
      <c r="F15" s="57" cm="1">
        <f t="array" aca="1" ref="F15" ca="1">INDIRECT($A15&amp;"!"&amp;F$11)*$C15</f>
        <v>32830.987471560009</v>
      </c>
      <c r="G15" s="58" cm="1">
        <f t="array" aca="1" ref="G15" ca="1">$F15/(INDIRECT($A15&amp;"!"&amp;G$11)*$C15)</f>
        <v>7.178996648202574</v>
      </c>
      <c r="H15" s="58" cm="1">
        <f t="array" aca="1" ref="H15" ca="1">$F15/(INDIRECT($A15&amp;"!"&amp;H$11)*$C15)</f>
        <v>23.519584118891043</v>
      </c>
      <c r="I15" s="58" cm="1">
        <f t="array" aca="1" ref="I15" ca="1">$F15/(INDIRECT($A15&amp;"!"&amp;I$11)*$C15)</f>
        <v>21.441345004937308</v>
      </c>
      <c r="J15" s="58" cm="1">
        <f t="array" aca="1" ref="J15" ca="1">$E15/(INDIRECT($A15&amp;"!"&amp;J$11)*$C15)</f>
        <v>37.319419659305773</v>
      </c>
      <c r="K15" s="59"/>
      <c r="L15" s="58" cm="1">
        <f t="array" aca="1" ref="L15" ca="1">$F15/(INDIRECT($A15&amp;"!"&amp;L$11)*$C15)</f>
        <v>6.6797533004191267</v>
      </c>
      <c r="M15" s="58" cm="1">
        <f t="array" aca="1" ref="M15" ca="1">$F15/(INDIRECT($A15&amp;"!"&amp;M$11)*$C15)</f>
        <v>21.167625707001939</v>
      </c>
      <c r="N15" s="58" cm="1">
        <f t="array" aca="1" ref="N15" ca="1">$F15/(INDIRECT($A15&amp;"!"&amp;N$11)*$C15)</f>
        <v>30.231111852265201</v>
      </c>
      <c r="O15" s="58" cm="1">
        <f t="array" aca="1" ref="O15" ca="1">$E15/(INDIRECT($A15&amp;"!"&amp;O$11)*$C15)</f>
        <v>32.501978967754447</v>
      </c>
      <c r="Q15" s="58" cm="1">
        <f t="array" aca="1" ref="Q15" ca="1">$F15/(INDIRECT($A15&amp;"!"&amp;Q$11)*$C15)</f>
        <v>6.21799005143182</v>
      </c>
      <c r="R15" s="58" cm="1">
        <f t="array" aca="1" ref="R15" ca="1">$F15/(INDIRECT($A15&amp;"!"&amp;R$11)*$C15)</f>
        <v>18.955535491662822</v>
      </c>
      <c r="S15" s="58" cm="1">
        <f t="array" aca="1" ref="S15" ca="1">$F15/(INDIRECT($A15&amp;"!"&amp;S$11)*$C15)</f>
        <v>26.349107120032109</v>
      </c>
      <c r="T15" s="58" cm="1">
        <f t="array" aca="1" ref="T15" ca="1">$E15/(INDIRECT($A15&amp;"!"&amp;T$11)*$C15)</f>
        <v>26.872740402101517</v>
      </c>
      <c r="U15" s="75" cm="1">
        <f t="array" aca="1" ref="U15" ca="1">INDIRECT($A15&amp;"!"&amp;U$11)</f>
        <v>0.11672777457012518</v>
      </c>
    </row>
    <row r="16" spans="1:21" ht="14.25" customHeight="1">
      <c r="A16" s="187" t="s">
        <v>190</v>
      </c>
      <c r="B16" t="str" cm="1">
        <f t="array" aca="1" ref="B16" ca="1">INDIRECT($A16&amp;"!"&amp;B$11)</f>
        <v>USD</v>
      </c>
      <c r="C16" s="56">
        <v>1</v>
      </c>
      <c r="D16" s="57" cm="1">
        <f t="array" aca="1" ref="D16" ca="1">INDIRECT($A16&amp;"!"&amp;D$11)</f>
        <v>120.21</v>
      </c>
      <c r="E16" s="57" cm="1">
        <f t="array" aca="1" ref="E16" ca="1">INDIRECT($A16&amp;"!"&amp;E$11)*$C16</f>
        <v>63729.902806969993</v>
      </c>
      <c r="F16" s="57" cm="1">
        <f t="array" aca="1" ref="F16" ca="1">INDIRECT($A16&amp;"!"&amp;F$11)*$C16</f>
        <v>62593.541806969988</v>
      </c>
      <c r="G16" s="58" cm="1">
        <f t="array" aca="1" ref="G16" ca="1">$F16/(INDIRECT($A16&amp;"!"&amp;G$11)*$C16)</f>
        <v>25.602400250557189</v>
      </c>
      <c r="H16" s="58" cm="1">
        <f t="array" aca="1" ref="H16" ca="1">$F16/(INDIRECT($A16&amp;"!"&amp;H$11)*$C16)</f>
        <v>61.91250426010879</v>
      </c>
      <c r="I16" s="58" cm="1">
        <f t="array" aca="1" ref="I16" ca="1">$F16/(INDIRECT($A16&amp;"!"&amp;I$11)*$C16)</f>
        <v>56.981439800972232</v>
      </c>
      <c r="J16" s="58" cm="1">
        <f t="array" aca="1" ref="J16" ca="1">$E16/(INDIRECT($A16&amp;"!"&amp;J$11)*$C16)</f>
        <v>76.570555202816749</v>
      </c>
      <c r="K16" s="58"/>
      <c r="L16" s="58" cm="1">
        <f t="array" aca="1" ref="L16" ca="1">$F16/(INDIRECT($A16&amp;"!"&amp;L$11)*$C16)</f>
        <v>21.628729027978572</v>
      </c>
      <c r="M16" s="58" cm="1">
        <f t="array" aca="1" ref="M16" ca="1">$F16/(INDIRECT($A16&amp;"!"&amp;M$11)*$C16)</f>
        <v>55.197126813906515</v>
      </c>
      <c r="N16" s="58" cm="1">
        <f t="array" aca="1" ref="N16" ca="1">$F16/(INDIRECT($A16&amp;"!"&amp;N$11)*$C16)</f>
        <v>123.2398932998031</v>
      </c>
      <c r="O16" s="58" cm="1">
        <f t="array" aca="1" ref="O16" ca="1">$E16/(INDIRECT($A16&amp;"!"&amp;O$11)*$C16)</f>
        <v>142.15905154354226</v>
      </c>
      <c r="P16" s="58"/>
      <c r="Q16" s="58" cm="1">
        <f t="array" aca="1" ref="Q16" ca="1">$F16/(INDIRECT($A16&amp;"!"&amp;Q$11)*$C16)</f>
        <v>17.981482851758113</v>
      </c>
      <c r="R16" s="58" cm="1">
        <f t="array" aca="1" ref="R16" ca="1">$F16/(INDIRECT($A16&amp;"!"&amp;R$11)*$C16)</f>
        <v>44.267002692340867</v>
      </c>
      <c r="S16" s="58" cm="1">
        <f t="array" aca="1" ref="S16" ca="1">$F16/(INDIRECT($A16&amp;"!"&amp;S$11)*$C16)</f>
        <v>82.457570553247251</v>
      </c>
      <c r="T16" s="58" cm="1">
        <f t="array" aca="1" ref="T16" ca="1">$E16/(INDIRECT($A16&amp;"!"&amp;T$11)*$C16)</f>
        <v>100.80655300058524</v>
      </c>
      <c r="U16" s="75" cm="1">
        <f t="array" aca="1" ref="U16" ca="1">INDIRECT($A16&amp;"!"&amp;U$11)</f>
        <v>0.19517053726231515</v>
      </c>
    </row>
    <row r="17" spans="1:21" ht="14.25" customHeight="1">
      <c r="A17" s="187" t="s">
        <v>191</v>
      </c>
      <c r="B17" t="str" cm="1">
        <f t="array" aca="1" ref="B17" ca="1">INDIRECT($A17&amp;"!"&amp;B$11)</f>
        <v>USD</v>
      </c>
      <c r="C17" s="56">
        <v>1</v>
      </c>
      <c r="D17" s="57" cm="1">
        <f t="array" aca="1" ref="D17" ca="1">INDIRECT($A17&amp;"!"&amp;D$11)</f>
        <v>227.38</v>
      </c>
      <c r="E17" s="57" cm="1">
        <f t="array" aca="1" ref="E17" ca="1">INDIRECT($A17&amp;"!"&amp;E$11)*$C17</f>
        <v>21669.313999999998</v>
      </c>
      <c r="F17" s="57" cm="1">
        <f t="array" aca="1" ref="F17" ca="1">INDIRECT($A17&amp;"!"&amp;F$11)*$C17</f>
        <v>23246.613999999994</v>
      </c>
      <c r="G17" s="58" cm="1">
        <f t="array" aca="1" ref="G17" ca="1">$F17/(INDIRECT($A17&amp;"!"&amp;G$11)*$C17)</f>
        <v>14.926553229741874</v>
      </c>
      <c r="H17" s="58" cm="1">
        <f t="array" aca="1" ref="H17" ca="1">$F17/(INDIRECT($A17&amp;"!"&amp;H$11)*$C17)</f>
        <v>19.612430608284818</v>
      </c>
      <c r="I17" s="58" cm="1">
        <f t="array" aca="1" ref="I17" ca="1">$F17/(INDIRECT($A17&amp;"!"&amp;I$11)*$C17)</f>
        <v>19.354436766297557</v>
      </c>
      <c r="J17" s="58" cm="1">
        <f t="array" aca="1" ref="J17" ca="1">$E17/(INDIRECT($A17&amp;"!"&amp;J$11)*$C17)</f>
        <v>22.604955722301796</v>
      </c>
      <c r="K17" s="59"/>
      <c r="L17" s="58" cm="1">
        <f t="array" aca="1" ref="L17" ca="1">$F17/(INDIRECT($A17&amp;"!"&amp;L$11)*$C17)</f>
        <v>14.323237215033885</v>
      </c>
      <c r="M17" s="58" cm="1">
        <f t="array" aca="1" ref="M17" ca="1">$F17/(INDIRECT($A17&amp;"!"&amp;M$11)*$C17)</f>
        <v>19.469525963149074</v>
      </c>
      <c r="N17" s="58" cm="1">
        <f t="array" aca="1" ref="N17" ca="1">$F17/(INDIRECT($A17&amp;"!"&amp;N$11)*$C17)</f>
        <v>20.96177998196573</v>
      </c>
      <c r="O17" s="58" cm="1">
        <f t="array" aca="1" ref="O17" ca="1">$E17/(INDIRECT($A17&amp;"!"&amp;O$11)*$C17)</f>
        <v>26.588115337423311</v>
      </c>
      <c r="Q17" s="58" cm="1">
        <f t="array" aca="1" ref="Q17" ca="1">$F17/(INDIRECT($A17&amp;"!"&amp;Q$11)*$C17)</f>
        <v>14.105955097087374</v>
      </c>
      <c r="R17" s="58" cm="1">
        <f t="array" aca="1" ref="R17" ca="1">$F17/(INDIRECT($A17&amp;"!"&amp;R$11)*$C17)</f>
        <v>19.534969747899154</v>
      </c>
      <c r="S17" s="58" cm="1">
        <f t="array" aca="1" ref="S17" ca="1">$F17/(INDIRECT($A17&amp;"!"&amp;S$11)*$C17)</f>
        <v>20.793035778175309</v>
      </c>
      <c r="T17" s="58" cm="1">
        <f t="array" aca="1" ref="T17" ca="1">$E17/(INDIRECT($A17&amp;"!"&amp;T$11)*$C17)</f>
        <v>26.085607319128442</v>
      </c>
      <c r="U17" s="75" cm="1">
        <f t="array" aca="1" ref="U17" ca="1">INDIRECT($A17&amp;"!"&amp;U$11)</f>
        <v>3.0474455659448285E-2</v>
      </c>
    </row>
    <row r="18" spans="1:21" ht="14.25" customHeight="1">
      <c r="A18" s="187" t="s">
        <v>193</v>
      </c>
      <c r="B18" t="str" cm="1">
        <f t="array" aca="1" ref="B18" ca="1">INDIRECT($A18&amp;"!"&amp;B$11)</f>
        <v>USD</v>
      </c>
      <c r="C18" s="56">
        <v>1</v>
      </c>
      <c r="D18" s="57" cm="1">
        <f t="array" aca="1" ref="D18" ca="1">INDIRECT($A18&amp;"!"&amp;D$11)</f>
        <v>183.55</v>
      </c>
      <c r="E18" s="57" cm="1">
        <f t="array" aca="1" ref="E18" ca="1">INDIRECT($A18&amp;"!"&amp;E$11)*$C18</f>
        <v>60589.85500000001</v>
      </c>
      <c r="F18" s="57" cm="1">
        <f t="array" aca="1" ref="F18" ca="1">INDIRECT($A18&amp;"!"&amp;F$11)*$C18</f>
        <v>60705.064000000013</v>
      </c>
      <c r="G18" s="58" cm="1">
        <f t="array" aca="1" ref="G18" ca="1">$F18/(INDIRECT($A18&amp;"!"&amp;G$11)*$C18)</f>
        <v>17.779521281658898</v>
      </c>
      <c r="H18" s="58" cm="1">
        <f t="array" aca="1" ref="H18" ca="1">$F18/(INDIRECT($A18&amp;"!"&amp;H$11)*$C18)</f>
        <v>58.067465513959434</v>
      </c>
      <c r="I18" s="58" cm="1">
        <f t="array" aca="1" ref="I18" ca="1">$F18/(INDIRECT($A18&amp;"!"&amp;I$11)*$C18)</f>
        <v>280.18325317776083</v>
      </c>
      <c r="J18" s="58" cm="1">
        <f t="array" aca="1" ref="J18" ca="1">$E18/(INDIRECT($A18&amp;"!"&amp;J$11)*$C18)</f>
        <v>31.67132512603051</v>
      </c>
      <c r="K18" s="59"/>
      <c r="L18" s="58" cm="1">
        <f t="array" aca="1" ref="L18" ca="1">$F18/(INDIRECT($A18&amp;"!"&amp;L$11)*$C18)</f>
        <v>16.74160617760618</v>
      </c>
      <c r="M18" s="58" cm="1">
        <f t="array" aca="1" ref="M18" ca="1">$F18/(INDIRECT($A18&amp;"!"&amp;M$11)*$C18)</f>
        <v>146.55978754225015</v>
      </c>
      <c r="N18" s="58" cm="1">
        <f t="array" aca="1" ref="N18" ca="1">$F18/(INDIRECT($A18&amp;"!"&amp;N$11)*$C18)</f>
        <v>261.99854984894267</v>
      </c>
      <c r="O18" s="58" cm="1">
        <f t="array" aca="1" ref="O18" ca="1">$E18/(INDIRECT($A18&amp;"!"&amp;O$11)*$C18)</f>
        <v>-47.114972783825827</v>
      </c>
      <c r="Q18" s="58" cm="1">
        <f t="array" aca="1" ref="Q18" ca="1">$F18/(INDIRECT($A18&amp;"!"&amp;Q$11)*$C18)</f>
        <v>13.535131326644374</v>
      </c>
      <c r="R18" s="58" cm="1">
        <f t="array" aca="1" ref="R18" ca="1">$F18/(INDIRECT($A18&amp;"!"&amp;R$11)*$C18)</f>
        <v>115.871471654896</v>
      </c>
      <c r="S18" s="58" cm="1">
        <f t="array" aca="1" ref="S18" ca="1">$F18/(INDIRECT($A18&amp;"!"&amp;S$11)*$C18)</f>
        <v>166.68057111477214</v>
      </c>
      <c r="T18" s="58" cm="1">
        <f t="array" aca="1" ref="T18" ca="1">$E18/(INDIRECT($A18&amp;"!"&amp;T$11)*$C18)</f>
        <v>-47.261977379095171</v>
      </c>
      <c r="U18" s="75" cm="1">
        <f t="array" aca="1" ref="U18" ca="1">INDIRECT($A18&amp;"!"&amp;U$11)</f>
        <v>-0.11570728167976685</v>
      </c>
    </row>
    <row r="19" spans="1:21" ht="14.25" customHeight="1">
      <c r="A19" s="187" t="s">
        <v>197</v>
      </c>
      <c r="B19" t="str" cm="1">
        <f t="array" aca="1" ref="B19" ca="1">INDIRECT($A19&amp;"!"&amp;B$11)</f>
        <v>USD</v>
      </c>
      <c r="C19" s="56">
        <v>1</v>
      </c>
      <c r="D19" s="57" cm="1">
        <f t="array" aca="1" ref="D19" ca="1">INDIRECT($A19&amp;"!"&amp;D$11)</f>
        <v>95.78</v>
      </c>
      <c r="E19" s="57" cm="1">
        <f t="array" aca="1" ref="E19" ca="1">INDIRECT($A19&amp;"!"&amp;E$11)*$C19</f>
        <v>17513.852767920001</v>
      </c>
      <c r="F19" s="57" cm="1">
        <f t="array" aca="1" ref="F19" ca="1">INDIRECT($A19&amp;"!"&amp;F$11)*$C19</f>
        <v>17707.852767920001</v>
      </c>
      <c r="G19" s="58" cm="1">
        <f t="array" aca="1" ref="G19" ca="1">$F19/(INDIRECT($A19&amp;"!"&amp;G$11)*$C19)</f>
        <v>6.7846179187432956</v>
      </c>
      <c r="H19" s="58" cm="1">
        <f t="array" aca="1" ref="H19" ca="1">$F19/(INDIRECT($A19&amp;"!"&amp;H$11)*$C19)</f>
        <v>30.166699774991486</v>
      </c>
      <c r="I19" s="58" cm="1">
        <f t="array" aca="1" ref="I19" ca="1">$F19/(INDIRECT($A19&amp;"!"&amp;I$11)*$C19)</f>
        <v>35.486678893627257</v>
      </c>
      <c r="J19" s="58" cm="1">
        <f t="array" aca="1" ref="J19" ca="1">$E19/(INDIRECT($A19&amp;"!"&amp;J$11)*$C19)</f>
        <v>34.468827959307788</v>
      </c>
      <c r="K19" s="59"/>
      <c r="L19" s="58" cm="1">
        <f t="array" aca="1" ref="L19" ca="1">$F19/(INDIRECT($A19&amp;"!"&amp;L$11)*$C19)</f>
        <v>6.1829094860055873</v>
      </c>
      <c r="M19" s="58" cm="1">
        <f t="array" aca="1" ref="M19" ca="1">$F19/(INDIRECT($A19&amp;"!"&amp;M$11)*$C19)</f>
        <v>24.735092565889094</v>
      </c>
      <c r="N19" s="58" cm="1">
        <f t="array" aca="1" ref="N19" ca="1">$F19/(INDIRECT($A19&amp;"!"&amp;N$11)*$C19)</f>
        <v>24.804388244740164</v>
      </c>
      <c r="O19" s="58" cm="1">
        <f t="array" aca="1" ref="O19" ca="1">$E19/(INDIRECT($A19&amp;"!"&amp;O$11)*$C19)</f>
        <v>289.24612333476472</v>
      </c>
      <c r="Q19" s="58" cm="1">
        <f t="array" aca="1" ref="Q19" ca="1">$F19/(INDIRECT($A19&amp;"!"&amp;Q$11)*$C19)</f>
        <v>5.6251120609656926</v>
      </c>
      <c r="R19" s="58" cm="1">
        <f t="array" aca="1" ref="R19" ca="1">$F19/(INDIRECT($A19&amp;"!"&amp;R$11)*$C19)</f>
        <v>21.399217846429003</v>
      </c>
      <c r="S19" s="58" cm="1">
        <f t="array" aca="1" ref="S19" ca="1">$F19/(INDIRECT($A19&amp;"!"&amp;S$11)*$C19)</f>
        <v>21.831898370016027</v>
      </c>
      <c r="T19" s="58" cm="1">
        <f t="array" aca="1" ref="T19" ca="1">$E19/(INDIRECT($A19&amp;"!"&amp;T$11)*$C19)</f>
        <v>182.58812310175148</v>
      </c>
      <c r="U19" s="75" cm="1">
        <f t="array" aca="1" ref="U19" ca="1">INDIRECT($A19&amp;"!"&amp;U$11)</f>
        <v>0.21736072509397641</v>
      </c>
    </row>
    <row r="20" spans="1:21" ht="14.25" customHeight="1">
      <c r="A20" s="187" t="s">
        <v>199</v>
      </c>
      <c r="B20" t="str" cm="1">
        <f t="array" aca="1" ref="B20" ca="1">INDIRECT($A20&amp;"!"&amp;B$11)</f>
        <v>USD</v>
      </c>
      <c r="C20" s="56">
        <v>1</v>
      </c>
      <c r="D20" s="57" cm="1">
        <f t="array" aca="1" ref="D20" ca="1">INDIRECT($A20&amp;"!"&amp;D$11)</f>
        <v>178.33</v>
      </c>
      <c r="E20" s="57" cm="1">
        <f t="array" aca="1" ref="E20" ca="1">INDIRECT($A20&amp;"!"&amp;E$11)*$C20</f>
        <v>11148.121620000002</v>
      </c>
      <c r="F20" s="57" cm="1">
        <f t="array" aca="1" ref="F20" ca="1">INDIRECT($A20&amp;"!"&amp;F$11)*$C20</f>
        <v>10929.785620000002</v>
      </c>
      <c r="G20" s="58" cm="1">
        <f t="array" aca="1" ref="G20" ca="1">$F20/(INDIRECT($A20&amp;"!"&amp;G$11)*$C20)</f>
        <v>10.485695446451873</v>
      </c>
      <c r="H20" s="58" cm="1">
        <f t="array" aca="1" ref="H20" ca="1">$F20/(INDIRECT($A20&amp;"!"&amp;H$11)*$C20)</f>
        <v>30.209468269762304</v>
      </c>
      <c r="I20" s="58" cm="1">
        <f t="array" aca="1" ref="I20" ca="1">$F20/(INDIRECT($A20&amp;"!"&amp;I$11)*$C20)</f>
        <v>29.692355141659498</v>
      </c>
      <c r="J20" s="58" cm="1">
        <f t="array" aca="1" ref="J20" ca="1">$E20/(INDIRECT($A20&amp;"!"&amp;J$11)*$C20)</f>
        <v>37.976908942258568</v>
      </c>
      <c r="K20" s="59"/>
      <c r="L20" s="58" cm="1">
        <f t="array" aca="1" ref="L20" ca="1">$F20/(INDIRECT($A20&amp;"!"&amp;L$11)*$C20)</f>
        <v>10.253082195121953</v>
      </c>
      <c r="M20" s="58" cm="1">
        <f t="array" aca="1" ref="M20" ca="1">$F20/(INDIRECT($A20&amp;"!"&amp;M$11)*$C20)</f>
        <v>30.293197394678497</v>
      </c>
      <c r="N20" s="58" cm="1">
        <f t="array" aca="1" ref="N20" ca="1">$F20/(INDIRECT($A20&amp;"!"&amp;N$11)*$C20)</f>
        <v>30.822858488437682</v>
      </c>
      <c r="O20" s="58" cm="1">
        <f t="array" aca="1" ref="O20" ca="1">$E20/(INDIRECT($A20&amp;"!"&amp;O$11)*$C20)</f>
        <v>55.992574686087401</v>
      </c>
      <c r="Q20" s="58" cm="1">
        <f t="array" aca="1" ref="Q20" ca="1">$F20/(INDIRECT($A20&amp;"!"&amp;Q$11)*$C20)</f>
        <v>9.4712180415944562</v>
      </c>
      <c r="R20" s="58" cm="1">
        <f t="array" aca="1" ref="R20" ca="1">$F20/(INDIRECT($A20&amp;"!"&amp;R$11)*$C20)</f>
        <v>27.148002036761056</v>
      </c>
      <c r="S20" s="58" cm="1">
        <f t="array" aca="1" ref="S20" ca="1">$F20/(INDIRECT($A20&amp;"!"&amp;S$11)*$C20)</f>
        <v>27.663339964565939</v>
      </c>
      <c r="T20" s="58" cm="1">
        <f t="array" aca="1" ref="T20" ca="1">$E20/(INDIRECT($A20&amp;"!"&amp;T$11)*$C20)</f>
        <v>48.031545109866443</v>
      </c>
      <c r="U20" s="75" cm="1">
        <f t="array" aca="1" ref="U20" ca="1">INDIRECT($A20&amp;"!"&amp;U$11)</f>
        <v>8.482528693331659E-2</v>
      </c>
    </row>
    <row r="21" spans="1:21" ht="14.25" customHeight="1">
      <c r="A21" s="187" t="s">
        <v>201</v>
      </c>
      <c r="B21" t="str" cm="1">
        <f t="array" aca="1" ref="B21" ca="1">INDIRECT($A21&amp;"!"&amp;B$11)</f>
        <v>USD</v>
      </c>
      <c r="C21" s="56">
        <v>1</v>
      </c>
      <c r="D21" s="57" cm="1">
        <f t="array" aca="1" ref="D21" ca="1">INDIRECT($A21&amp;"!"&amp;D$11)</f>
        <v>431.64</v>
      </c>
      <c r="E21" s="57" cm="1">
        <f t="array" aca="1" ref="E21" ca="1">INDIRECT($A21&amp;"!"&amp;E$11)*$C21</f>
        <v>111821.52278999999</v>
      </c>
      <c r="F21" s="57" cm="1">
        <f t="array" aca="1" ref="F21" ca="1">INDIRECT($A21&amp;"!"&amp;F$11)*$C21</f>
        <v>108144.54578999999</v>
      </c>
      <c r="G21" s="58" cm="1">
        <f t="array" aca="1" ref="G21" ca="1">$F21/(INDIRECT($A21&amp;"!"&amp;G$11)*$C21)</f>
        <v>27.357588107766251</v>
      </c>
      <c r="H21" s="58" cm="1">
        <f t="array" aca="1" ref="H21" ca="1">$F21/(INDIRECT($A21&amp;"!"&amp;H$11)*$C21)</f>
        <v>129.09775728636316</v>
      </c>
      <c r="I21" s="58" cm="1">
        <f t="array" aca="1" ref="I21" ca="1">$F21/(INDIRECT($A21&amp;"!"&amp;I$11)*$C21)</f>
        <v>105.4403179553979</v>
      </c>
      <c r="J21" s="58" cm="1">
        <f t="array" aca="1" ref="J21" ca="1">$E21/(INDIRECT($A21&amp;"!"&amp;J$11)*$C21)</f>
        <v>113.22127744302816</v>
      </c>
      <c r="K21" s="59"/>
      <c r="L21" s="58" cm="1">
        <f t="array" aca="1" ref="L21" ca="1">$F21/(INDIRECT($A21&amp;"!"&amp;L$11)*$C21)</f>
        <v>22.586580156641602</v>
      </c>
      <c r="M21" s="58" cm="1">
        <f t="array" aca="1" ref="M21" ca="1">$F21/(INDIRECT($A21&amp;"!"&amp;M$11)*$C21)</f>
        <v>90.954201673675342</v>
      </c>
      <c r="N21" s="58" cm="1">
        <f t="array" aca="1" ref="N21" ca="1">$F21/(INDIRECT($A21&amp;"!"&amp;N$11)*$C21)</f>
        <v>111.58124823565826</v>
      </c>
      <c r="O21" s="58" cm="1">
        <f t="array" aca="1" ref="O21" ca="1">$E21/(INDIRECT($A21&amp;"!"&amp;O$11)*$C21)</f>
        <v>-1064.9668837142856</v>
      </c>
      <c r="Q21" s="58" cm="1">
        <f t="array" aca="1" ref="Q21" ca="1">$F21/(INDIRECT($A21&amp;"!"&amp;Q$11)*$C21)</f>
        <v>18.514731345659989</v>
      </c>
      <c r="R21" s="58" cm="1">
        <f t="array" aca="1" ref="R21" ca="1">$F21/(INDIRECT($A21&amp;"!"&amp;R$11)*$C21)</f>
        <v>69.591084806949794</v>
      </c>
      <c r="S21" s="58" cm="1">
        <f t="array" aca="1" ref="S21" ca="1">$F21/(INDIRECT($A21&amp;"!"&amp;S$11)*$C21)</f>
        <v>80.285483140311797</v>
      </c>
      <c r="T21" s="58" cm="1">
        <f t="array" aca="1" ref="T21" ca="1">$E21/(INDIRECT($A21&amp;"!"&amp;T$11)*$C21)</f>
        <v>776.53835270833326</v>
      </c>
      <c r="U21" s="75" cm="1">
        <f t="array" aca="1" ref="U21" ca="1">INDIRECT($A21&amp;"!"&amp;U$11)</f>
        <v>0.34824145162561648</v>
      </c>
    </row>
    <row r="22" spans="1:21" ht="14.25" customHeight="1">
      <c r="A22" s="187" t="s">
        <v>202</v>
      </c>
      <c r="B22" t="str" cm="1">
        <f t="array" aca="1" ref="B22" ca="1">INDIRECT($A22&amp;"!"&amp;B$11)</f>
        <v>USD</v>
      </c>
      <c r="C22" s="56">
        <v>1</v>
      </c>
      <c r="D22" s="57" cm="1">
        <f t="array" aca="1" ref="D22" ca="1">INDIRECT($A22&amp;"!"&amp;D$11)</f>
        <v>71.689237071028401</v>
      </c>
      <c r="E22" s="57" cm="1">
        <f t="array" aca="1" ref="E22" ca="1">INDIRECT($A22&amp;"!"&amp;E$11)*$C22</f>
        <v>20371.787120000001</v>
      </c>
      <c r="F22" s="57" cm="1">
        <f t="array" aca="1" ref="F22" ca="1">INDIRECT($A22&amp;"!"&amp;F$11)*$C22</f>
        <v>19920.190120000003</v>
      </c>
      <c r="G22" s="58" cm="1">
        <f t="array" aca="1" ref="G22" ca="1">$F22/(INDIRECT($A22&amp;"!"&amp;G$11)*$C22)</f>
        <v>16.917761203663442</v>
      </c>
      <c r="H22" s="58" cm="1">
        <f t="array" aca="1" ref="H22" ca="1">$F22/(INDIRECT($A22&amp;"!"&amp;H$11)*$C22)</f>
        <v>51.808036723016912</v>
      </c>
      <c r="I22" s="58" cm="1">
        <f t="array" aca="1" ref="I22" ca="1">$F22/(INDIRECT($A22&amp;"!"&amp;I$11)*$C22)</f>
        <v>43.518854975673804</v>
      </c>
      <c r="J22" s="58" cm="1">
        <f t="array" aca="1" ref="J22" ca="1">$E22/(INDIRECT($A22&amp;"!"&amp;J$11)*$C22)</f>
        <v>49.326361065375309</v>
      </c>
      <c r="K22" s="59"/>
      <c r="L22" s="58" cm="1">
        <f t="array" aca="1" ref="L22" ca="1">$F22/(INDIRECT($A22&amp;"!"&amp;L$11)*$C22)</f>
        <v>7.9363307250996025</v>
      </c>
      <c r="M22" s="58" cm="1">
        <f t="array" aca="1" ref="M22" ca="1">$F22/(INDIRECT($A22&amp;"!"&amp;M$11)*$C22)</f>
        <v>36.841483484372112</v>
      </c>
      <c r="N22" s="58" cm="1">
        <f t="array" aca="1" ref="N22" ca="1">$F22/(INDIRECT($A22&amp;"!"&amp;N$11)*$C22)</f>
        <v>42.783913487972512</v>
      </c>
      <c r="O22" s="58" cm="1">
        <f t="array" aca="1" ref="O22" ca="1">$E22/(INDIRECT($A22&amp;"!"&amp;O$11)*$C22)</f>
        <v>275.66694343707712</v>
      </c>
      <c r="Q22" s="58" cm="1">
        <f t="array" aca="1" ref="Q22" ca="1">$F22/(INDIRECT($A22&amp;"!"&amp;Q$11)*$C22)</f>
        <v>6.8619325249741658</v>
      </c>
      <c r="R22" s="58" cm="1">
        <f t="array" aca="1" ref="R22" ca="1">$F22/(INDIRECT($A22&amp;"!"&amp;R$11)*$C22)</f>
        <v>299.10195375375383</v>
      </c>
      <c r="S22" s="58" cm="1">
        <f t="array" aca="1" ref="S22" ca="1">$F22/(INDIRECT($A22&amp;"!"&amp;S$11)*$C22)</f>
        <v>35.052243744501155</v>
      </c>
      <c r="T22" s="58" cm="1">
        <f t="array" aca="1" ref="T22" ca="1">$E22/(INDIRECT($A22&amp;"!"&amp;T$11)*$C22)</f>
        <v>109.46688404083827</v>
      </c>
      <c r="U22" s="75" cm="1">
        <f t="array" aca="1" ref="U22" ca="1">INDIRECT($A22&amp;"!"&amp;U$11)</f>
        <v>0.3396476166694522</v>
      </c>
    </row>
    <row r="23" spans="1:21" ht="14.25" customHeight="1">
      <c r="A23" s="187" t="s">
        <v>203</v>
      </c>
      <c r="B23" t="str" cm="1">
        <f t="array" aca="1" ref="B23" ca="1">INDIRECT($A23&amp;"!"&amp;B$11)</f>
        <v>USD</v>
      </c>
      <c r="C23" s="56">
        <v>1</v>
      </c>
      <c r="D23" s="57" cm="1">
        <f t="array" aca="1" ref="D23" ca="1">INDIRECT($A23&amp;"!"&amp;D$11)</f>
        <v>61.471195943539087</v>
      </c>
      <c r="E23" s="57" cm="1">
        <f t="array" aca="1" ref="E23" ca="1">INDIRECT($A23&amp;"!"&amp;E$11)*$C23</f>
        <v>19008.386320000001</v>
      </c>
      <c r="F23" s="57" cm="1">
        <f t="array" aca="1" ref="F23" ca="1">INDIRECT($A23&amp;"!"&amp;F$11)*$C23</f>
        <v>18154.374319999999</v>
      </c>
      <c r="G23" s="58" cm="1">
        <f t="array" aca="1" ref="G23" ca="1">$F23/(INDIRECT($A23&amp;"!"&amp;G$11)*$C23)</f>
        <v>41.908572035365538</v>
      </c>
      <c r="H23" s="58" cm="1">
        <f t="array" aca="1" ref="H23" ca="1">$F23/(INDIRECT($A23&amp;"!"&amp;H$11)*$C23)</f>
        <v>38.565116474701853</v>
      </c>
      <c r="I23" s="58" cm="1">
        <f t="array" aca="1" ref="I23" ca="1">$F23/(INDIRECT($A23&amp;"!"&amp;I$11)*$C23)</f>
        <v>34.399181288322637</v>
      </c>
      <c r="J23" s="58" cm="1">
        <f t="array" aca="1" ref="J23" ca="1">$E23/(INDIRECT($A23&amp;"!"&amp;J$11)*$C23)</f>
        <v>46.062288285712206</v>
      </c>
      <c r="K23" s="59"/>
      <c r="L23" s="58" cm="1">
        <f t="array" aca="1" ref="L23" ca="1">$F23/(INDIRECT($A23&amp;"!"&amp;L$11)*$C23)</f>
        <v>10.748593439905269</v>
      </c>
      <c r="M23" s="58" cm="1">
        <f t="array" aca="1" ref="M23" ca="1">$F23/(INDIRECT($A23&amp;"!"&amp;M$11)*$C23)</f>
        <v>37.509037851239668</v>
      </c>
      <c r="N23" s="58" cm="1">
        <f t="array" aca="1" ref="N23" ca="1">$F23/(INDIRECT($A23&amp;"!"&amp;N$11)*$C23)</f>
        <v>35.779216239653131</v>
      </c>
      <c r="O23" s="58" cm="1">
        <f t="array" aca="1" ref="O23" ca="1">$E23/(INDIRECT($A23&amp;"!"&amp;O$11)*$C23)</f>
        <v>40.195361218016501</v>
      </c>
      <c r="Q23" s="58" cm="1">
        <f t="array" aca="1" ref="Q23" ca="1">$F23/(INDIRECT($A23&amp;"!"&amp;Q$11)*$C23)</f>
        <v>9.3386699176954728</v>
      </c>
      <c r="R23" s="58" cm="1">
        <f t="array" aca="1" ref="R23" ca="1">$F23/(INDIRECT($A23&amp;"!"&amp;R$11)*$C23)</f>
        <v>32.291665457132687</v>
      </c>
      <c r="S23" s="58" cm="1">
        <f t="array" aca="1" ref="S23" ca="1">$F23/(INDIRECT($A23&amp;"!"&amp;S$11)*$C23)</f>
        <v>30.609297454054964</v>
      </c>
      <c r="T23" s="58" cm="1">
        <f t="array" aca="1" ref="T23" ca="1">$E23/(INDIRECT($A23&amp;"!"&amp;T$11)*$C23)</f>
        <v>80.204161687763715</v>
      </c>
      <c r="U23" s="75" cm="1">
        <f t="array" aca="1" ref="U23" ca="1">INDIRECT($A23&amp;"!"&amp;U$11)</f>
        <v>0.18614791394919394</v>
      </c>
    </row>
    <row r="24" spans="1:21" ht="14.25" customHeight="1" thickBot="1">
      <c r="B24" s="20"/>
      <c r="C24" s="11"/>
      <c r="D24" s="57"/>
      <c r="E24" s="60"/>
      <c r="F24" s="61" t="s">
        <v>80</v>
      </c>
      <c r="G24" s="62">
        <f ca="1">AVERAGE(G14:G23)</f>
        <v>17.69113515105251</v>
      </c>
      <c r="H24" s="62">
        <f t="shared" ref="H24:J24" ca="1" si="0">AVERAGE(H14:H23)</f>
        <v>46.921202760907725</v>
      </c>
      <c r="I24" s="62">
        <f t="shared" ca="1" si="0"/>
        <v>64.973011256455152</v>
      </c>
      <c r="J24" s="62">
        <f t="shared" ca="1" si="0"/>
        <v>48.615427288294555</v>
      </c>
      <c r="K24" s="63"/>
      <c r="L24" s="62">
        <f t="shared" ref="L24:O24" ca="1" si="1">AVERAGE(L14:L23)</f>
        <v>12.327297162299624</v>
      </c>
      <c r="M24" s="62">
        <f t="shared" ca="1" si="1"/>
        <v>48.843482782241793</v>
      </c>
      <c r="N24" s="62">
        <f t="shared" ca="1" si="1"/>
        <v>71.519941596774203</v>
      </c>
      <c r="O24" s="62">
        <f t="shared" ca="1" si="1"/>
        <v>-20.341404352214379</v>
      </c>
      <c r="P24" s="63"/>
      <c r="Q24" s="62">
        <f t="shared" ref="Q24:T24" ca="1" si="2">AVERAGE(Q14:Q23)</f>
        <v>10.733683397274049</v>
      </c>
      <c r="R24" s="62">
        <f t="shared" ca="1" si="2"/>
        <v>67.416320322361145</v>
      </c>
      <c r="S24" s="62">
        <f t="shared" ca="1" si="2"/>
        <v>51.970173414715603</v>
      </c>
      <c r="T24" s="62">
        <f t="shared" ca="1" si="2"/>
        <v>134.36650453228771</v>
      </c>
      <c r="U24" s="62"/>
    </row>
    <row r="25" spans="1:21" ht="14.25" customHeight="1" thickBot="1">
      <c r="B25" s="20"/>
      <c r="C25" s="11"/>
      <c r="D25" s="57"/>
      <c r="E25" s="60"/>
      <c r="F25" s="64" t="s">
        <v>1</v>
      </c>
      <c r="G25" s="65">
        <f ca="1">MEDIAN(G14:G23)</f>
        <v>15.922157216702658</v>
      </c>
      <c r="H25" s="65">
        <f t="shared" ref="H25:J25" ca="1" si="3">MEDIAN(H14:H23)</f>
        <v>34.387292372232082</v>
      </c>
      <c r="I25" s="65">
        <f t="shared" ca="1" si="3"/>
        <v>34.942930090974947</v>
      </c>
      <c r="J25" s="65">
        <f t="shared" ca="1" si="3"/>
        <v>37.64816430078217</v>
      </c>
      <c r="K25" s="63"/>
      <c r="L25" s="65">
        <f t="shared" ref="L25:O25" ca="1" si="4">MEDIAN(L14:L23)</f>
        <v>10.500837817513611</v>
      </c>
      <c r="M25" s="65">
        <f t="shared" ca="1" si="4"/>
        <v>33.567340439525303</v>
      </c>
      <c r="N25" s="65">
        <f t="shared" ca="1" si="4"/>
        <v>34.387836263978429</v>
      </c>
      <c r="O25" s="65">
        <f t="shared" ca="1" si="4"/>
        <v>43.256512834659191</v>
      </c>
      <c r="P25" s="63"/>
      <c r="Q25" s="65">
        <f t="shared" ref="Q25:T25" ca="1" si="5">MEDIAN(Q14:Q23)</f>
        <v>9.4049439796449654</v>
      </c>
      <c r="R25" s="78">
        <f t="shared" ca="1" si="5"/>
        <v>29.719833746946872</v>
      </c>
      <c r="S25" s="65">
        <f t="shared" ca="1" si="5"/>
        <v>29.29424218076721</v>
      </c>
      <c r="T25" s="65">
        <f t="shared" ca="1" si="5"/>
        <v>64.117853398815072</v>
      </c>
      <c r="U25" s="66"/>
    </row>
    <row r="26" spans="1:21" ht="14.25" customHeight="1" thickBot="1">
      <c r="B26" s="20"/>
      <c r="C26" s="11"/>
      <c r="D26" s="57"/>
      <c r="E26" s="60"/>
      <c r="F26" s="67" t="s">
        <v>2</v>
      </c>
      <c r="G26" s="65">
        <f ca="1">QUARTILE(G14:G23,1)</f>
        <v>8.5986579028935868</v>
      </c>
      <c r="H26" s="65">
        <f t="shared" ref="H26:T26" ca="1" si="6">QUARTILE(H14:H23,1)</f>
        <v>27.231398377995944</v>
      </c>
      <c r="I26" s="65">
        <f t="shared" ca="1" si="6"/>
        <v>24.847275955341765</v>
      </c>
      <c r="J26" s="65">
        <f t="shared" ca="1" si="6"/>
        <v>35.084709338683012</v>
      </c>
      <c r="K26" s="63"/>
      <c r="L26" s="65">
        <f t="shared" ca="1" si="6"/>
        <v>6.9938976565892457</v>
      </c>
      <c r="M26" s="65">
        <f t="shared" ca="1" si="6"/>
        <v>24.978256630980695</v>
      </c>
      <c r="N26" s="65">
        <f t="shared" ca="1" si="6"/>
        <v>30.379048511308319</v>
      </c>
      <c r="O26" s="65">
        <f t="shared" ca="1" si="6"/>
        <v>28.066581245006095</v>
      </c>
      <c r="P26" s="63"/>
      <c r="Q26" s="65">
        <f t="shared" ca="1" si="6"/>
        <v>6.3789756698174065</v>
      </c>
      <c r="R26" s="65">
        <f t="shared" ca="1" si="6"/>
        <v>22.549988318768285</v>
      </c>
      <c r="S26" s="65">
        <f t="shared" ca="1" si="6"/>
        <v>26.677665331165567</v>
      </c>
      <c r="T26" s="65">
        <f t="shared" ca="1" si="6"/>
        <v>30.237819134477128</v>
      </c>
      <c r="U26" s="66"/>
    </row>
    <row r="27" spans="1:21" ht="14.25" customHeight="1" thickBot="1">
      <c r="B27" s="20"/>
      <c r="C27" s="11"/>
      <c r="D27" s="57"/>
      <c r="E27" s="60"/>
      <c r="F27" s="68" t="s">
        <v>10</v>
      </c>
      <c r="G27" s="69">
        <f ca="1">QUARTILE(G14:G23,3)</f>
        <v>23.646680508332615</v>
      </c>
      <c r="H27" s="69">
        <f t="shared" ref="H27:T27" ca="1" si="7">QUARTILE(H14:H23,3)</f>
        <v>56.5026083162238</v>
      </c>
      <c r="I27" s="69">
        <f t="shared" ca="1" si="7"/>
        <v>53.615793594647627</v>
      </c>
      <c r="J27" s="69">
        <f t="shared" ca="1" si="7"/>
        <v>48.510342870459532</v>
      </c>
      <c r="K27" s="63"/>
      <c r="L27" s="69">
        <f t="shared" ca="1" si="7"/>
        <v>16.137013936963108</v>
      </c>
      <c r="M27" s="69">
        <f t="shared" ca="1" si="7"/>
        <v>50.775104573239801</v>
      </c>
      <c r="N27" s="69">
        <f t="shared" ca="1" si="7"/>
        <v>94.38191454873683</v>
      </c>
      <c r="O27" s="69">
        <f t="shared" ca="1" si="7"/>
        <v>120.61743232917854</v>
      </c>
      <c r="P27" s="63"/>
      <c r="Q27" s="69">
        <f t="shared" ca="1" si="7"/>
        <v>13.963249154476625</v>
      </c>
      <c r="R27" s="69">
        <f t="shared" ca="1" si="7"/>
        <v>63.260064278297563</v>
      </c>
      <c r="S27" s="69">
        <f t="shared" ca="1" si="7"/>
        <v>68.977173291359136</v>
      </c>
      <c r="T27" s="69">
        <f t="shared" ca="1" si="7"/>
        <v>107.30180128077501</v>
      </c>
      <c r="U27" s="70"/>
    </row>
    <row r="28" spans="1:21" ht="14.25" customHeight="1">
      <c r="B28" s="20"/>
      <c r="C28" s="20"/>
      <c r="D28" s="71"/>
      <c r="E28" s="59"/>
      <c r="F28" s="59"/>
      <c r="G28" s="60"/>
      <c r="H28" s="60"/>
      <c r="I28" s="60"/>
      <c r="J28" s="60"/>
      <c r="K28" s="60"/>
    </row>
    <row r="29" spans="1:21" ht="14.25" customHeight="1">
      <c r="A29" s="72"/>
      <c r="J29" s="59"/>
      <c r="K29" s="59"/>
    </row>
    <row r="30" spans="1:21" ht="14.25" customHeight="1">
      <c r="J30" s="59"/>
      <c r="K30" s="59"/>
    </row>
    <row r="31" spans="1:21" ht="14.25" customHeight="1">
      <c r="A31" s="73"/>
      <c r="B31" s="73"/>
      <c r="J31" s="74"/>
      <c r="K31" s="74"/>
    </row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12:B13"/>
    <mergeCell ref="C12:C13"/>
    <mergeCell ref="G12:J12"/>
    <mergeCell ref="L12:O12"/>
    <mergeCell ref="Q12:T1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7AF8-26E4-479B-8D8C-2980851B259A}">
  <dimension ref="A1:P106"/>
  <sheetViews>
    <sheetView tabSelected="1" topLeftCell="A46" zoomScale="80" zoomScaleNormal="80" workbookViewId="0">
      <selection activeCell="H68" sqref="H68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142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f>DATE(2025,2,11)</f>
        <v>45699</v>
      </c>
    </row>
    <row r="7" spans="1:9">
      <c r="A7" s="87" t="s">
        <v>84</v>
      </c>
      <c r="F7" s="90" t="s">
        <v>143</v>
      </c>
    </row>
    <row r="8" spans="1:9">
      <c r="A8" s="87" t="s">
        <v>85</v>
      </c>
      <c r="F8" s="91">
        <v>45657</v>
      </c>
    </row>
    <row r="9" spans="1:9">
      <c r="A9" s="87" t="s">
        <v>86</v>
      </c>
      <c r="F9" s="91"/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522.12</v>
      </c>
      <c r="D15" s="101"/>
      <c r="E15" s="101"/>
      <c r="F15" s="102"/>
      <c r="G15" s="103"/>
    </row>
    <row r="16" spans="1:9">
      <c r="A16" s="87" t="s">
        <v>93</v>
      </c>
      <c r="C16" s="101">
        <f>76818191/10^6</f>
        <v>76.818190999999999</v>
      </c>
      <c r="D16" s="101"/>
      <c r="E16" s="101"/>
      <c r="F16" s="104"/>
    </row>
    <row r="17" spans="1:9">
      <c r="A17" s="87" t="s">
        <v>94</v>
      </c>
      <c r="C17" s="105">
        <f>C16+H45+G53</f>
        <v>77.967106958017311</v>
      </c>
      <c r="D17" s="105"/>
      <c r="E17" s="105"/>
      <c r="F17" s="104"/>
      <c r="H17" s="106"/>
    </row>
    <row r="18" spans="1:9">
      <c r="A18" s="87" t="s">
        <v>73</v>
      </c>
      <c r="C18" s="105">
        <f>C15*C17</f>
        <v>40708.18588492</v>
      </c>
      <c r="D18" s="105"/>
      <c r="E18" s="105"/>
      <c r="F18" s="107">
        <f>SUM(C18:E18)+28.2</f>
        <v>40736.385884919997</v>
      </c>
      <c r="G18" s="83" t="s">
        <v>148</v>
      </c>
      <c r="I18" s="106"/>
    </row>
    <row r="19" spans="1:9">
      <c r="A19" s="87" t="s">
        <v>4</v>
      </c>
      <c r="D19" s="108"/>
      <c r="E19" s="108"/>
      <c r="F19" s="109">
        <v>0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2459.915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f>2459915/1000</f>
        <v>2459.915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f>5214/1000</f>
        <v>5.2140000000000004</v>
      </c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f>1933147/1000</f>
        <v>1933.1469999999999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41268.367884920001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f>(155998+262757)/1000</f>
        <v>418.755</v>
      </c>
      <c r="H31" s="106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40849.612884920003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522.48169098867788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>
        <v>0.4</v>
      </c>
      <c r="C40" s="138">
        <f>293.38-96.17</f>
        <v>197.20999999999998</v>
      </c>
      <c r="D40" s="139" t="str">
        <f>IF(C40&lt;$C$15,"Yes","N0")</f>
        <v>Yes</v>
      </c>
      <c r="E40" s="140">
        <f>IF(D40="Yes",B40,0)</f>
        <v>0.4</v>
      </c>
      <c r="F40" s="141">
        <f>E40*C40</f>
        <v>78.884</v>
      </c>
      <c r="G40" s="140">
        <f>F40/$C$15</f>
        <v>0.15108404198268596</v>
      </c>
      <c r="H40" s="142">
        <f>E40-G40</f>
        <v>0.24891595801731406</v>
      </c>
      <c r="I40" s="125" t="s">
        <v>150</v>
      </c>
      <c r="J40" s="143"/>
      <c r="K40" s="143"/>
      <c r="L40" s="106"/>
      <c r="M40" s="143"/>
      <c r="N40" s="143"/>
    </row>
    <row r="41" spans="1:14">
      <c r="B41" s="137">
        <v>0.9</v>
      </c>
      <c r="C41" s="138">
        <v>0</v>
      </c>
      <c r="D41" s="139" t="str">
        <f>IF(C41&lt;$C$15,"Yes","N0")</f>
        <v>Yes</v>
      </c>
      <c r="E41" s="140">
        <f>IF(D41="Yes",B41,0)</f>
        <v>0.9</v>
      </c>
      <c r="F41" s="141">
        <f>E41*C41</f>
        <v>0</v>
      </c>
      <c r="G41" s="140">
        <f>F41/$C$15</f>
        <v>0</v>
      </c>
      <c r="H41" s="142">
        <f>E41-G41</f>
        <v>0.9</v>
      </c>
      <c r="I41" s="125" t="s">
        <v>151</v>
      </c>
      <c r="J41" s="143"/>
      <c r="K41" s="143"/>
      <c r="L41" s="106"/>
      <c r="M41" s="143"/>
      <c r="N41" s="143"/>
    </row>
    <row r="42" spans="1:14">
      <c r="B42" s="137"/>
      <c r="C42" s="138"/>
      <c r="D42" s="139"/>
      <c r="E42" s="140"/>
      <c r="F42" s="141"/>
      <c r="G42" s="140"/>
      <c r="H42" s="142"/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1.1489159580173141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f>5125650/1000</f>
        <v>5125.6499999999996</v>
      </c>
      <c r="I59" s="151"/>
      <c r="J59" s="165"/>
      <c r="K59" s="166">
        <f>H59+I59-J59</f>
        <v>5125.6499999999996</v>
      </c>
      <c r="L59" s="151">
        <v>6597</v>
      </c>
      <c r="M59" s="151">
        <v>7186</v>
      </c>
      <c r="N59" s="151">
        <v>7867</v>
      </c>
      <c r="O59" s="167"/>
      <c r="P59" s="168">
        <f>_xlfn.RRI(3,H59,N59)</f>
        <v>0.1535065569746048</v>
      </c>
    </row>
    <row r="60" spans="1:16" ht="5.25" customHeight="1">
      <c r="H60" s="169"/>
      <c r="I60" s="169"/>
      <c r="J60" s="169"/>
      <c r="K60" s="169"/>
    </row>
    <row r="61" spans="1:16">
      <c r="A61" s="83" t="s">
        <v>127</v>
      </c>
      <c r="H61" s="151">
        <f>1156287/1000</f>
        <v>1156.287</v>
      </c>
      <c r="I61" s="151"/>
      <c r="J61" s="151"/>
      <c r="K61" s="166">
        <f>H61+I61-J61</f>
        <v>1156.287</v>
      </c>
    </row>
    <row r="62" spans="1:16" s="120" customFormat="1">
      <c r="A62" s="83" t="s">
        <v>128</v>
      </c>
      <c r="H62" s="151">
        <f>H63-H61</f>
        <v>602.02800000000002</v>
      </c>
      <c r="I62" s="151"/>
      <c r="J62" s="151"/>
      <c r="K62" s="170"/>
    </row>
    <row r="63" spans="1:16" s="120" customFormat="1">
      <c r="A63" s="171" t="s">
        <v>129</v>
      </c>
      <c r="H63" s="172">
        <f>H65+H64</f>
        <v>1758.3150000000001</v>
      </c>
      <c r="I63" s="172"/>
      <c r="J63" s="172"/>
      <c r="K63" s="166">
        <f>H63+I63-J63</f>
        <v>1758.3150000000001</v>
      </c>
      <c r="L63" s="151">
        <v>1238</v>
      </c>
      <c r="M63" s="151">
        <v>1460</v>
      </c>
      <c r="N63" s="151">
        <v>1634</v>
      </c>
      <c r="O63" s="169"/>
      <c r="P63" s="168">
        <f>_xlfn.RRI(3,H63,N63)</f>
        <v>-2.4145377370292764E-2</v>
      </c>
    </row>
    <row r="64" spans="1:16">
      <c r="A64" s="83" t="s">
        <v>130</v>
      </c>
      <c r="H64" s="151">
        <f>(112083+90232)/1000</f>
        <v>202.315</v>
      </c>
      <c r="I64" s="151"/>
      <c r="J64" s="151"/>
      <c r="K64" s="169"/>
    </row>
    <row r="65" spans="1:16" s="120" customFormat="1">
      <c r="A65" s="120" t="s">
        <v>131</v>
      </c>
      <c r="H65" s="172">
        <v>1556</v>
      </c>
      <c r="I65" s="172"/>
      <c r="J65" s="172"/>
      <c r="K65" s="166">
        <f>H65+I65-J65</f>
        <v>1556</v>
      </c>
      <c r="L65" s="151">
        <v>1589</v>
      </c>
      <c r="M65" s="151">
        <v>1571</v>
      </c>
      <c r="N65" s="151">
        <v>1943</v>
      </c>
      <c r="O65" s="169"/>
      <c r="P65" s="168">
        <f>_xlfn.RRI(3,H65,N65)</f>
        <v>7.6847992219967631E-2</v>
      </c>
    </row>
    <row r="66" spans="1:16" ht="6" customHeight="1">
      <c r="H66" s="169"/>
      <c r="I66" s="169"/>
      <c r="J66" s="169"/>
      <c r="K66" s="169"/>
    </row>
    <row r="67" spans="1:16">
      <c r="A67" s="83" t="s">
        <v>132</v>
      </c>
      <c r="H67" s="151">
        <v>1254</v>
      </c>
      <c r="I67" s="151"/>
      <c r="J67" s="151"/>
      <c r="K67" s="166">
        <f>H67+I67-J67</f>
        <v>1254</v>
      </c>
    </row>
    <row r="68" spans="1:16">
      <c r="A68" s="83" t="s">
        <v>133</v>
      </c>
      <c r="H68" s="151">
        <f>H62</f>
        <v>602.02800000000002</v>
      </c>
      <c r="I68" s="151"/>
      <c r="J68" s="151"/>
    </row>
    <row r="69" spans="1:16">
      <c r="A69" s="83" t="s">
        <v>134</v>
      </c>
      <c r="G69" s="83" t="s">
        <v>155</v>
      </c>
      <c r="H69" s="151"/>
      <c r="I69" s="151"/>
      <c r="J69" s="151"/>
    </row>
    <row r="70" spans="1:16">
      <c r="A70" s="83" t="s">
        <v>135</v>
      </c>
      <c r="H70" s="151"/>
      <c r="I70" s="151"/>
      <c r="J70" s="151"/>
    </row>
    <row r="71" spans="1:16">
      <c r="A71" s="83" t="s">
        <v>136</v>
      </c>
      <c r="H71" s="151"/>
      <c r="I71" s="151"/>
      <c r="J71" s="151"/>
    </row>
    <row r="72" spans="1:16">
      <c r="A72" s="120" t="s">
        <v>137</v>
      </c>
      <c r="H72" s="172"/>
      <c r="I72" s="172"/>
      <c r="J72" s="172"/>
    </row>
    <row r="73" spans="1:16">
      <c r="A73" s="83" t="s">
        <v>138</v>
      </c>
      <c r="H73" s="151"/>
      <c r="I73" s="151"/>
      <c r="J73" s="151"/>
    </row>
    <row r="74" spans="1:16" s="120" customFormat="1">
      <c r="A74" s="120" t="s">
        <v>139</v>
      </c>
      <c r="G74" s="120" t="s">
        <v>156</v>
      </c>
      <c r="H74" s="166">
        <v>1103</v>
      </c>
      <c r="I74" s="166">
        <v>0</v>
      </c>
      <c r="J74" s="166">
        <v>0</v>
      </c>
      <c r="K74" s="166">
        <f>H74+I74-J74</f>
        <v>1103</v>
      </c>
      <c r="L74" s="151">
        <v>879.5</v>
      </c>
      <c r="M74" s="151">
        <v>1010</v>
      </c>
      <c r="N74" s="151">
        <v>1150</v>
      </c>
      <c r="O74" s="169"/>
      <c r="P74" s="168">
        <f>_xlfn.RRI(3,H74,N74)</f>
        <v>1.400658649111608E-2</v>
      </c>
    </row>
    <row r="75" spans="1:16">
      <c r="H75" s="169"/>
      <c r="I75" s="169"/>
      <c r="J75" s="169"/>
      <c r="K75" s="169"/>
    </row>
    <row r="76" spans="1:16">
      <c r="A76" s="83" t="s">
        <v>140</v>
      </c>
      <c r="H76" s="151">
        <f>78338/1000</f>
        <v>78.337999999999994</v>
      </c>
      <c r="I76" s="151">
        <v>0</v>
      </c>
      <c r="J76" s="151"/>
      <c r="K76" s="169"/>
    </row>
    <row r="77" spans="1:16">
      <c r="A77" s="83" t="s">
        <v>141</v>
      </c>
      <c r="H77" s="173">
        <f>H74/H76</f>
        <v>14.080012254589089</v>
      </c>
      <c r="I77" s="173"/>
      <c r="J77" s="173"/>
      <c r="K77" s="166">
        <f>H77+I77-J77</f>
        <v>14.080012254589089</v>
      </c>
      <c r="L77" s="174">
        <v>11.38</v>
      </c>
      <c r="M77" s="174">
        <v>13.28</v>
      </c>
      <c r="N77" s="174">
        <v>15.19</v>
      </c>
      <c r="P77" s="168">
        <f>_xlfn.RRI(3,H77,N77)</f>
        <v>2.561629827105949E-2</v>
      </c>
    </row>
    <row r="78" spans="1:16">
      <c r="H78" s="169"/>
      <c r="I78" s="169"/>
      <c r="J78" s="169"/>
      <c r="K78" s="169"/>
      <c r="L78" s="150" t="s">
        <v>157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FE03-5B3A-4645-9715-8D15DD0CEFD1}">
  <dimension ref="A1:P106"/>
  <sheetViews>
    <sheetView topLeftCell="F52" zoomScale="110" zoomScaleNormal="110" workbookViewId="0">
      <selection activeCell="H64" sqref="H64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178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v>45699</v>
      </c>
    </row>
    <row r="7" spans="1:9">
      <c r="A7" s="87" t="s">
        <v>84</v>
      </c>
      <c r="F7" s="90" t="s">
        <v>146</v>
      </c>
    </row>
    <row r="8" spans="1:9">
      <c r="A8" s="87" t="s">
        <v>85</v>
      </c>
      <c r="F8" s="91">
        <v>45657</v>
      </c>
    </row>
    <row r="9" spans="1:9">
      <c r="A9" s="87" t="s">
        <v>86</v>
      </c>
      <c r="F9" s="91"/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206.26</v>
      </c>
      <c r="D15" s="101"/>
      <c r="E15" s="101"/>
      <c r="F15" s="102"/>
      <c r="G15" s="103"/>
    </row>
    <row r="16" spans="1:9">
      <c r="A16" s="87" t="s">
        <v>93</v>
      </c>
      <c r="C16" s="101">
        <f>141355906/10^6</f>
        <v>141.355906</v>
      </c>
      <c r="D16" s="101"/>
      <c r="E16" s="101"/>
      <c r="F16" s="104"/>
    </row>
    <row r="17" spans="1:9">
      <c r="A17" s="87" t="s">
        <v>94</v>
      </c>
      <c r="C17" s="105">
        <f>C16+H45+G53</f>
        <v>146.31090600000002</v>
      </c>
      <c r="D17" s="105"/>
      <c r="E17" s="105"/>
      <c r="F17" s="104"/>
      <c r="H17" s="106"/>
    </row>
    <row r="18" spans="1:9">
      <c r="A18" s="87" t="s">
        <v>73</v>
      </c>
      <c r="C18" s="105">
        <f>C15*C17</f>
        <v>30178.087471560004</v>
      </c>
      <c r="D18" s="105"/>
      <c r="E18" s="105"/>
      <c r="F18" s="107">
        <f>SUM(C18:E18)</f>
        <v>30178.087471560004</v>
      </c>
      <c r="I18" s="106"/>
    </row>
    <row r="19" spans="1:9">
      <c r="A19" s="87" t="s">
        <v>4</v>
      </c>
      <c r="D19" s="108"/>
      <c r="E19" s="108"/>
      <c r="F19" s="109">
        <v>0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3795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f>15.9+3779.1</f>
        <v>3795</v>
      </c>
      <c r="F24" s="104"/>
      <c r="G24" s="83" t="s">
        <v>179</v>
      </c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  <c r="G27" s="83" t="s">
        <v>180</v>
      </c>
      <c r="H27" s="184"/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1089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32884.087471560008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53.1</v>
      </c>
      <c r="G31" s="83" t="s">
        <v>181</v>
      </c>
      <c r="H31" s="185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32830.987471560009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206.26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/>
      <c r="C40" s="138"/>
      <c r="D40" s="139" t="str">
        <f>IF(C40&lt;$C$15,"Yes","N0")</f>
        <v>Yes</v>
      </c>
      <c r="E40" s="140">
        <f>IF(D40="Yes",B40,0)</f>
        <v>0</v>
      </c>
      <c r="F40" s="141">
        <f>E40*C40</f>
        <v>0</v>
      </c>
      <c r="G40" s="140">
        <f>F40/$C$15</f>
        <v>0</v>
      </c>
      <c r="H40" s="142">
        <f>E40-G40</f>
        <v>0</v>
      </c>
      <c r="I40" s="186" t="s">
        <v>182</v>
      </c>
      <c r="J40" s="143" t="s">
        <v>183</v>
      </c>
      <c r="K40" s="143"/>
      <c r="L40" s="106"/>
      <c r="M40" s="143"/>
      <c r="N40" s="143"/>
    </row>
    <row r="41" spans="1:14">
      <c r="B41" s="137">
        <f>(4955/1000)</f>
        <v>4.9550000000000001</v>
      </c>
      <c r="C41" s="138">
        <v>0</v>
      </c>
      <c r="D41" s="139" t="str">
        <f>IF(C41&lt;$C$15,"Yes","N0")</f>
        <v>Yes</v>
      </c>
      <c r="E41" s="140">
        <f>IF(D41="Yes",B41,0)</f>
        <v>4.9550000000000001</v>
      </c>
      <c r="F41" s="141">
        <f>E41*C41</f>
        <v>0</v>
      </c>
      <c r="G41" s="140">
        <f>F41/$C$15</f>
        <v>0</v>
      </c>
      <c r="H41" s="142">
        <f>E41-G41</f>
        <v>4.9550000000000001</v>
      </c>
      <c r="I41" s="125"/>
      <c r="J41" s="143"/>
      <c r="K41" s="143"/>
      <c r="L41" s="106"/>
      <c r="M41" s="143"/>
      <c r="N41" s="143"/>
    </row>
    <row r="42" spans="1:14">
      <c r="B42" s="137"/>
      <c r="C42" s="138"/>
      <c r="D42" s="139"/>
      <c r="E42" s="140"/>
      <c r="F42" s="141"/>
      <c r="G42" s="140"/>
      <c r="H42" s="142"/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4.9550000000000001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v>4573.2</v>
      </c>
      <c r="I59" s="151"/>
      <c r="J59" s="165"/>
      <c r="K59" s="166">
        <f>H59+I59-J59</f>
        <v>4573.2</v>
      </c>
      <c r="L59" s="151">
        <v>4915</v>
      </c>
      <c r="M59" s="151">
        <v>5280</v>
      </c>
      <c r="N59" s="151">
        <v>5707</v>
      </c>
      <c r="O59" s="167"/>
      <c r="P59" s="168">
        <f>_xlfn.RRI(3,H59,N59)</f>
        <v>7.6620287438690537E-2</v>
      </c>
    </row>
    <row r="60" spans="1:16" ht="5.25" customHeight="1">
      <c r="H60" s="169"/>
      <c r="I60" s="169"/>
      <c r="J60" s="169"/>
      <c r="K60" s="169"/>
    </row>
    <row r="61" spans="1:16">
      <c r="A61" s="83" t="s">
        <v>127</v>
      </c>
      <c r="H61" s="151">
        <v>893.5</v>
      </c>
      <c r="I61" s="151"/>
      <c r="J61" s="151"/>
      <c r="K61" s="166">
        <f>H61+I61-J61</f>
        <v>893.5</v>
      </c>
    </row>
    <row r="62" spans="1:16" s="120" customFormat="1">
      <c r="A62" s="83" t="s">
        <v>128</v>
      </c>
      <c r="H62" s="151">
        <f>H63-H61</f>
        <v>637.70000000000005</v>
      </c>
      <c r="I62" s="151"/>
      <c r="J62" s="151"/>
      <c r="K62" s="170"/>
    </row>
    <row r="63" spans="1:16" s="120" customFormat="1">
      <c r="A63" s="171" t="s">
        <v>129</v>
      </c>
      <c r="H63" s="172">
        <f>H65+H64</f>
        <v>1531.2</v>
      </c>
      <c r="I63" s="172"/>
      <c r="J63" s="172"/>
      <c r="K63" s="166">
        <f>H63+I63-J63</f>
        <v>1531.2</v>
      </c>
      <c r="L63" s="151">
        <v>1086</v>
      </c>
      <c r="M63" s="151">
        <v>1246</v>
      </c>
      <c r="N63" s="151">
        <v>1438</v>
      </c>
      <c r="O63" s="169"/>
      <c r="P63" s="168">
        <f>_xlfn.RRI(3,H63,N63)</f>
        <v>-2.071525660853879E-2</v>
      </c>
    </row>
    <row r="64" spans="1:16">
      <c r="A64" s="83" t="s">
        <v>130</v>
      </c>
      <c r="H64" s="151">
        <v>135.30000000000001</v>
      </c>
      <c r="I64" s="151"/>
      <c r="J64" s="151"/>
      <c r="K64" s="169"/>
    </row>
    <row r="65" spans="1:16" s="120" customFormat="1">
      <c r="A65" s="120" t="s">
        <v>131</v>
      </c>
      <c r="H65" s="172">
        <v>1395.9</v>
      </c>
      <c r="I65" s="172"/>
      <c r="J65" s="172"/>
      <c r="K65" s="166">
        <f>H65+I65-J65</f>
        <v>1395.9</v>
      </c>
      <c r="L65" s="151">
        <v>1551</v>
      </c>
      <c r="M65" s="151">
        <v>1732</v>
      </c>
      <c r="N65" s="151">
        <v>1944</v>
      </c>
      <c r="O65" s="169"/>
      <c r="P65" s="168">
        <f>_xlfn.RRI(3,H65,N65)</f>
        <v>0.11672777457012518</v>
      </c>
    </row>
    <row r="66" spans="1:16" ht="6" customHeight="1">
      <c r="H66" s="169"/>
      <c r="I66" s="169"/>
      <c r="J66" s="169"/>
      <c r="K66" s="169"/>
    </row>
    <row r="67" spans="1:16">
      <c r="A67" s="83" t="s">
        <v>132</v>
      </c>
      <c r="H67" s="151">
        <v>936.9</v>
      </c>
      <c r="I67" s="151"/>
      <c r="J67" s="151"/>
      <c r="K67" s="166">
        <f>H67+I67-J67</f>
        <v>936.9</v>
      </c>
    </row>
    <row r="68" spans="1:16">
      <c r="A68" s="83" t="s">
        <v>133</v>
      </c>
      <c r="H68" s="151">
        <f>H62</f>
        <v>637.70000000000005</v>
      </c>
      <c r="I68" s="151"/>
      <c r="J68" s="151"/>
    </row>
    <row r="69" spans="1:16">
      <c r="A69" s="83" t="s">
        <v>134</v>
      </c>
      <c r="G69" s="184" t="s">
        <v>184</v>
      </c>
      <c r="H69" s="151">
        <f>4.7+4.6+32.1-26.9+16.1</f>
        <v>30.600000000000009</v>
      </c>
      <c r="I69" s="151"/>
      <c r="J69" s="151"/>
    </row>
    <row r="70" spans="1:16">
      <c r="A70" s="83" t="s">
        <v>135</v>
      </c>
      <c r="G70" s="184"/>
      <c r="H70" s="151">
        <f>(H68+H69)*21%</f>
        <v>140.34300000000002</v>
      </c>
      <c r="I70" s="151"/>
      <c r="J70" s="151"/>
    </row>
    <row r="71" spans="1:16">
      <c r="A71" s="83" t="s">
        <v>136</v>
      </c>
      <c r="G71" s="184"/>
      <c r="H71" s="151">
        <v>0</v>
      </c>
      <c r="I71" s="151"/>
      <c r="J71" s="151"/>
    </row>
    <row r="72" spans="1:16">
      <c r="A72" s="120" t="s">
        <v>137</v>
      </c>
      <c r="H72" s="172">
        <f>H68+H70+H69</f>
        <v>808.64300000000014</v>
      </c>
      <c r="I72" s="172"/>
      <c r="J72" s="172"/>
    </row>
    <row r="73" spans="1:16">
      <c r="A73" s="83" t="s">
        <v>138</v>
      </c>
      <c r="H73" s="151">
        <v>0</v>
      </c>
      <c r="I73" s="151"/>
      <c r="J73" s="151"/>
    </row>
    <row r="74" spans="1:16" s="120" customFormat="1">
      <c r="A74" s="120" t="s">
        <v>139</v>
      </c>
      <c r="G74" s="120" t="s">
        <v>156</v>
      </c>
      <c r="H74" s="166">
        <f>H72-H73</f>
        <v>808.64300000000014</v>
      </c>
      <c r="I74" s="166"/>
      <c r="J74" s="166"/>
      <c r="K74" s="166">
        <f>H74+I74-J74</f>
        <v>808.64300000000014</v>
      </c>
      <c r="L74" s="151">
        <v>928.5</v>
      </c>
      <c r="M74" s="151">
        <v>1123</v>
      </c>
      <c r="N74" s="151">
        <v>1296</v>
      </c>
      <c r="O74" s="169"/>
      <c r="P74" s="168">
        <f>_xlfn.RRI(3,H74,N74)</f>
        <v>0.17026097668145446</v>
      </c>
    </row>
    <row r="75" spans="1:16">
      <c r="H75" s="169"/>
      <c r="I75" s="169"/>
      <c r="J75" s="169"/>
      <c r="K75" s="169"/>
    </row>
    <row r="76" spans="1:16">
      <c r="A76" s="83" t="s">
        <v>140</v>
      </c>
      <c r="H76" s="151">
        <f>145287/1000</f>
        <v>145.28700000000001</v>
      </c>
      <c r="I76" s="151">
        <v>1384</v>
      </c>
      <c r="J76" s="151">
        <v>1390</v>
      </c>
      <c r="K76" s="169"/>
    </row>
    <row r="77" spans="1:16">
      <c r="A77" s="83" t="s">
        <v>141</v>
      </c>
      <c r="H77" s="173">
        <f>H74/H76</f>
        <v>5.5658317674671522</v>
      </c>
      <c r="I77" s="173">
        <f t="shared" ref="I77:J77" si="0">I74/I76</f>
        <v>0</v>
      </c>
      <c r="J77" s="173">
        <f t="shared" si="0"/>
        <v>0</v>
      </c>
      <c r="K77" s="166">
        <f>H77+I77-J77</f>
        <v>5.5658317674671522</v>
      </c>
      <c r="L77" s="174">
        <v>6.47</v>
      </c>
      <c r="M77" s="174">
        <v>7.86</v>
      </c>
      <c r="N77" s="174">
        <v>9.1790000000000003</v>
      </c>
      <c r="P77" s="168">
        <f>_xlfn.RRI(3,H77,N77)</f>
        <v>0.18146746024005189</v>
      </c>
    </row>
    <row r="78" spans="1:16">
      <c r="H78" s="169"/>
      <c r="I78" s="169"/>
      <c r="J78" s="169"/>
      <c r="K78" s="169"/>
      <c r="L78" s="150" t="s">
        <v>157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26A5-BE6E-4369-824F-DA1A7137CE46}">
  <dimension ref="A1:P106"/>
  <sheetViews>
    <sheetView zoomScaleNormal="100" workbookViewId="0">
      <selection activeCell="P77" sqref="P77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185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v>45699</v>
      </c>
    </row>
    <row r="7" spans="1:9">
      <c r="A7" s="87" t="s">
        <v>84</v>
      </c>
      <c r="F7" s="90" t="s">
        <v>186</v>
      </c>
    </row>
    <row r="8" spans="1:9">
      <c r="A8" s="87" t="s">
        <v>85</v>
      </c>
      <c r="F8" s="91">
        <v>45657</v>
      </c>
    </row>
    <row r="9" spans="1:9">
      <c r="A9" s="87" t="s">
        <v>86</v>
      </c>
      <c r="F9" s="91"/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120.21</v>
      </c>
      <c r="D15" s="100">
        <v>120.21</v>
      </c>
      <c r="E15" s="101"/>
      <c r="F15" s="102"/>
      <c r="G15" s="103"/>
    </row>
    <row r="16" spans="1:9">
      <c r="A16" s="87" t="s">
        <v>93</v>
      </c>
      <c r="C16" s="101">
        <f>452425879/10^6</f>
        <v>452.42587900000001</v>
      </c>
      <c r="D16" s="101">
        <f>43662678/10^6</f>
        <v>43.662678</v>
      </c>
      <c r="E16" s="101"/>
      <c r="F16" s="104"/>
    </row>
    <row r="17" spans="1:9">
      <c r="A17" s="87" t="s">
        <v>94</v>
      </c>
      <c r="C17" s="105">
        <f>C16+H45+G53</f>
        <v>486.49207457441145</v>
      </c>
      <c r="D17" s="105">
        <f>D16</f>
        <v>43.662678</v>
      </c>
      <c r="E17" s="105"/>
      <c r="F17" s="104"/>
      <c r="H17" s="106"/>
    </row>
    <row r="18" spans="1:9">
      <c r="A18" s="87" t="s">
        <v>73</v>
      </c>
      <c r="C18" s="105">
        <f>C15*C17</f>
        <v>58481.212284589994</v>
      </c>
      <c r="D18" s="105">
        <f>D15*D17</f>
        <v>5248.6905223799995</v>
      </c>
      <c r="E18" s="105"/>
      <c r="F18" s="107">
        <f>SUM(C18:E18)</f>
        <v>63729.902806969993</v>
      </c>
      <c r="I18" s="106"/>
    </row>
    <row r="19" spans="1:9">
      <c r="A19" s="87" t="s">
        <v>4</v>
      </c>
      <c r="D19" s="108"/>
      <c r="E19" s="108"/>
      <c r="F19" s="109">
        <v>0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247.72300000000001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f>247723/1000</f>
        <v>247.72300000000001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  <c r="H27" s="184"/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1369.463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62608.162806969987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14.621</v>
      </c>
      <c r="G31" s="83" t="s">
        <v>187</v>
      </c>
      <c r="H31" s="185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62593.541806969988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120.21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>
        <v>9.8000000000000007</v>
      </c>
      <c r="C40" s="138">
        <v>43.31</v>
      </c>
      <c r="D40" s="139" t="str">
        <f>IF(C40&lt;$C$15,"Yes","N0")</f>
        <v>Yes</v>
      </c>
      <c r="E40" s="140">
        <f>IF(D40="Yes",B40,0)</f>
        <v>9.8000000000000007</v>
      </c>
      <c r="F40" s="141">
        <f>E40*C40</f>
        <v>424.43800000000005</v>
      </c>
      <c r="G40" s="140">
        <f>F40/$C$15</f>
        <v>3.530804425588554</v>
      </c>
      <c r="H40" s="142">
        <f>E40-G40</f>
        <v>6.2691955744114463</v>
      </c>
      <c r="I40" s="186"/>
      <c r="J40" s="143"/>
      <c r="K40" s="143"/>
      <c r="L40" s="106"/>
      <c r="M40" s="143"/>
      <c r="N40" s="143"/>
    </row>
    <row r="41" spans="1:14">
      <c r="B41" s="137">
        <v>10.196999999999999</v>
      </c>
      <c r="C41" s="138">
        <v>0</v>
      </c>
      <c r="D41" s="139" t="str">
        <f>IF(C41&lt;$C$15,"Yes","N0")</f>
        <v>Yes</v>
      </c>
      <c r="E41" s="140">
        <f>IF(D41="Yes",B41,0)</f>
        <v>10.196999999999999</v>
      </c>
      <c r="F41" s="141">
        <f>E41*C41</f>
        <v>0</v>
      </c>
      <c r="G41" s="140">
        <f>F41/$C$15</f>
        <v>0</v>
      </c>
      <c r="H41" s="142">
        <f>E41-G41</f>
        <v>10.196999999999999</v>
      </c>
      <c r="I41" s="125"/>
      <c r="J41" s="143"/>
      <c r="K41" s="143"/>
      <c r="L41" s="106"/>
      <c r="M41" s="143"/>
      <c r="N41" s="143"/>
    </row>
    <row r="42" spans="1:14">
      <c r="B42" s="137">
        <v>17.600000000000001</v>
      </c>
      <c r="C42" s="138">
        <v>0</v>
      </c>
      <c r="D42" s="139" t="str">
        <f>IF(C42&lt;$C$15,"Yes","N0")</f>
        <v>Yes</v>
      </c>
      <c r="E42" s="140">
        <f>IF(D42="Yes",B42,0)</f>
        <v>17.600000000000001</v>
      </c>
      <c r="F42" s="141">
        <f>E42*C42</f>
        <v>0</v>
      </c>
      <c r="G42" s="140">
        <f>F42/$C$15</f>
        <v>0</v>
      </c>
      <c r="H42" s="142">
        <f>E42-G42</f>
        <v>17.600000000000001</v>
      </c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34.066195574411445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f>2444831/1000</f>
        <v>2444.8310000000001</v>
      </c>
      <c r="I59" s="151"/>
      <c r="J59" s="165"/>
      <c r="K59" s="166">
        <f>H59+I59-J59</f>
        <v>2444.8310000000001</v>
      </c>
      <c r="L59" s="151">
        <v>2894</v>
      </c>
      <c r="M59" s="151">
        <v>3481</v>
      </c>
      <c r="N59" s="151">
        <v>4161</v>
      </c>
      <c r="O59" s="167"/>
      <c r="P59" s="168">
        <f>_xlfn.RRI(3,H59,N59)</f>
        <v>0.19394125075740676</v>
      </c>
    </row>
    <row r="60" spans="1:16" ht="5.25" customHeight="1">
      <c r="H60" s="169"/>
      <c r="I60" s="169"/>
      <c r="J60" s="169"/>
      <c r="K60" s="169"/>
    </row>
    <row r="61" spans="1:16">
      <c r="A61" s="83" t="s">
        <v>127</v>
      </c>
      <c r="H61" s="151">
        <v>427.16699999999997</v>
      </c>
      <c r="I61" s="151"/>
      <c r="J61" s="151"/>
      <c r="K61" s="166">
        <f>H61+I61-J61</f>
        <v>427.16699999999997</v>
      </c>
    </row>
    <row r="62" spans="1:16" s="120" customFormat="1">
      <c r="A62" s="83" t="s">
        <v>128</v>
      </c>
      <c r="H62" s="151">
        <f>H63-H61</f>
        <v>671.32300000000009</v>
      </c>
      <c r="I62" s="151"/>
      <c r="J62" s="151"/>
      <c r="K62" s="170"/>
    </row>
    <row r="63" spans="1:16" s="120" customFormat="1">
      <c r="A63" s="171" t="s">
        <v>129</v>
      </c>
      <c r="H63" s="172">
        <f>H65+H64</f>
        <v>1098.49</v>
      </c>
      <c r="I63" s="172"/>
      <c r="J63" s="172"/>
      <c r="K63" s="166">
        <f>H63+I63-J63</f>
        <v>1098.49</v>
      </c>
      <c r="L63" s="151">
        <v>507.9</v>
      </c>
      <c r="M63" s="151">
        <v>759.1</v>
      </c>
      <c r="N63" s="151">
        <v>1035</v>
      </c>
      <c r="O63" s="169"/>
      <c r="P63" s="168">
        <f>_xlfn.RRI(3,H63,N63)</f>
        <v>-1.9649411168584652E-2</v>
      </c>
    </row>
    <row r="64" spans="1:16">
      <c r="A64" s="83" t="s">
        <v>130</v>
      </c>
      <c r="H64" s="151">
        <v>87.49</v>
      </c>
      <c r="I64" s="151"/>
      <c r="J64" s="151"/>
      <c r="K64" s="169"/>
    </row>
    <row r="65" spans="1:16" s="120" customFormat="1">
      <c r="A65" s="120" t="s">
        <v>131</v>
      </c>
      <c r="H65" s="172">
        <v>1011</v>
      </c>
      <c r="I65" s="172"/>
      <c r="J65" s="172"/>
      <c r="K65" s="166">
        <f>H65+I65-J65</f>
        <v>1011</v>
      </c>
      <c r="L65" s="151">
        <v>1134</v>
      </c>
      <c r="M65" s="151">
        <v>1414</v>
      </c>
      <c r="N65" s="151">
        <v>1726</v>
      </c>
      <c r="O65" s="169"/>
      <c r="P65" s="168">
        <f>_xlfn.RRI(3,H65,N65)</f>
        <v>0.19517053726231515</v>
      </c>
    </row>
    <row r="66" spans="1:16" ht="6" customHeight="1">
      <c r="H66" s="169"/>
      <c r="I66" s="169"/>
      <c r="J66" s="169"/>
      <c r="K66" s="169"/>
    </row>
    <row r="67" spans="1:16">
      <c r="A67" s="83" t="s">
        <v>132</v>
      </c>
      <c r="H67" s="151">
        <v>936.9</v>
      </c>
      <c r="I67" s="151"/>
      <c r="J67" s="151"/>
      <c r="K67" s="166">
        <f>H67+I67-J67</f>
        <v>936.9</v>
      </c>
    </row>
    <row r="68" spans="1:16">
      <c r="A68" s="83" t="s">
        <v>133</v>
      </c>
      <c r="H68" s="151">
        <f>H62</f>
        <v>671.32300000000009</v>
      </c>
      <c r="I68" s="151"/>
      <c r="J68" s="151"/>
    </row>
    <row r="69" spans="1:16">
      <c r="A69" s="83" t="s">
        <v>134</v>
      </c>
      <c r="G69" s="184" t="s">
        <v>184</v>
      </c>
      <c r="H69" s="151"/>
      <c r="I69" s="151"/>
      <c r="J69" s="151"/>
    </row>
    <row r="70" spans="1:16">
      <c r="A70" s="83" t="s">
        <v>135</v>
      </c>
      <c r="G70" s="184"/>
      <c r="H70" s="151"/>
      <c r="I70" s="151"/>
      <c r="J70" s="151"/>
    </row>
    <row r="71" spans="1:16">
      <c r="A71" s="83" t="s">
        <v>136</v>
      </c>
      <c r="G71" s="184"/>
      <c r="H71" s="151">
        <v>0</v>
      </c>
      <c r="I71" s="151"/>
      <c r="J71" s="151"/>
    </row>
    <row r="72" spans="1:16">
      <c r="A72" s="120" t="s">
        <v>137</v>
      </c>
      <c r="H72" s="172">
        <f>H68+H70</f>
        <v>671.32300000000009</v>
      </c>
      <c r="I72" s="172"/>
      <c r="J72" s="172"/>
    </row>
    <row r="73" spans="1:16">
      <c r="A73" s="83" t="s">
        <v>138</v>
      </c>
      <c r="H73" s="151">
        <v>0</v>
      </c>
      <c r="I73" s="151"/>
      <c r="J73" s="151"/>
    </row>
    <row r="74" spans="1:16" s="120" customFormat="1">
      <c r="A74" s="120" t="s">
        <v>139</v>
      </c>
      <c r="G74" s="120" t="s">
        <v>188</v>
      </c>
      <c r="H74" s="166">
        <f>832303/1000</f>
        <v>832.303</v>
      </c>
      <c r="I74" s="166"/>
      <c r="J74" s="166"/>
      <c r="K74" s="166">
        <f>H74+I74-J74</f>
        <v>832.303</v>
      </c>
      <c r="L74" s="151">
        <v>448.3</v>
      </c>
      <c r="M74" s="151">
        <v>632.20000000000005</v>
      </c>
      <c r="N74" s="151">
        <v>846.4</v>
      </c>
      <c r="O74" s="169"/>
      <c r="P74" s="168">
        <f>_xlfn.RRI(3,H74,N74)</f>
        <v>5.6142021915146501E-3</v>
      </c>
    </row>
    <row r="75" spans="1:16">
      <c r="H75" s="169"/>
      <c r="I75" s="169"/>
      <c r="J75" s="169"/>
      <c r="K75" s="169"/>
    </row>
    <row r="76" spans="1:16">
      <c r="A76" s="83" t="s">
        <v>140</v>
      </c>
      <c r="H76" s="151">
        <f>501924/1000</f>
        <v>501.92399999999998</v>
      </c>
      <c r="I76" s="151">
        <v>0</v>
      </c>
      <c r="J76" s="151">
        <v>0</v>
      </c>
      <c r="K76" s="169"/>
    </row>
    <row r="77" spans="1:16">
      <c r="A77" s="83" t="s">
        <v>141</v>
      </c>
      <c r="H77" s="173">
        <f>H74/H76</f>
        <v>1.6582251496242459</v>
      </c>
      <c r="I77" s="173"/>
      <c r="J77" s="173"/>
      <c r="K77" s="166">
        <f>H77+I77-J77</f>
        <v>1.6582251496242459</v>
      </c>
      <c r="L77" s="174">
        <v>0.879</v>
      </c>
      <c r="M77" s="174">
        <v>1.21</v>
      </c>
      <c r="N77" s="174">
        <v>1.603</v>
      </c>
      <c r="P77" s="168">
        <f>_xlfn.RRI(3,H77,N77)</f>
        <v>-1.1226826750232011E-2</v>
      </c>
    </row>
    <row r="78" spans="1:16">
      <c r="H78" s="169"/>
      <c r="I78" s="169"/>
      <c r="J78" s="169"/>
      <c r="K78" s="169"/>
      <c r="L78" s="150" t="s">
        <v>157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3B6A-C9D1-47EF-B4D4-331B8664C0CF}">
  <dimension ref="A1:P106"/>
  <sheetViews>
    <sheetView topLeftCell="A52" zoomScale="90" zoomScaleNormal="90" workbookViewId="0">
      <selection activeCell="P77" sqref="P77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.21875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191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v>45699</v>
      </c>
    </row>
    <row r="7" spans="1:9">
      <c r="A7" s="87" t="s">
        <v>84</v>
      </c>
      <c r="F7" s="90" t="s">
        <v>192</v>
      </c>
    </row>
    <row r="8" spans="1:9">
      <c r="A8" s="87" t="s">
        <v>85</v>
      </c>
      <c r="F8" s="91">
        <v>45657</v>
      </c>
    </row>
    <row r="9" spans="1:9">
      <c r="A9" s="87" t="s">
        <v>86</v>
      </c>
      <c r="F9" s="91"/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227.38</v>
      </c>
      <c r="D15" s="101"/>
      <c r="E15" s="101"/>
      <c r="F15" s="102"/>
      <c r="G15" s="103"/>
    </row>
    <row r="16" spans="1:9">
      <c r="A16" s="87" t="s">
        <v>93</v>
      </c>
      <c r="C16" s="101">
        <v>94.6</v>
      </c>
      <c r="D16" s="101"/>
      <c r="E16" s="101"/>
      <c r="F16" s="104"/>
    </row>
    <row r="17" spans="1:9">
      <c r="A17" s="87" t="s">
        <v>94</v>
      </c>
      <c r="C17" s="105">
        <f>C16+H45+G53</f>
        <v>95.3</v>
      </c>
      <c r="D17" s="105"/>
      <c r="E17" s="105"/>
      <c r="F17" s="104"/>
      <c r="H17" s="106"/>
    </row>
    <row r="18" spans="1:9">
      <c r="A18" s="87" t="s">
        <v>73</v>
      </c>
      <c r="C18" s="105">
        <f>C15*C17</f>
        <v>21669.313999999998</v>
      </c>
      <c r="D18" s="105"/>
      <c r="E18" s="105"/>
      <c r="F18" s="107">
        <f>SUM(C18:E18)</f>
        <v>21669.313999999998</v>
      </c>
      <c r="I18" s="106"/>
    </row>
    <row r="19" spans="1:9">
      <c r="A19" s="87" t="s">
        <v>4</v>
      </c>
      <c r="D19" s="108"/>
      <c r="E19" s="108"/>
      <c r="F19" s="109">
        <v>0.1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1792.3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v>1792.3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  <c r="H27" s="184"/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206.7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23255.013999999996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8.4</v>
      </c>
      <c r="H31" s="185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23246.613999999994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227.38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/>
      <c r="C40" s="138"/>
      <c r="D40" s="139" t="str">
        <f>IF(C40&lt;$C$15,"Yes","N0")</f>
        <v>Yes</v>
      </c>
      <c r="E40" s="140">
        <f>IF(D40="Yes",B40,0)</f>
        <v>0</v>
      </c>
      <c r="F40" s="141">
        <f>E40*C40</f>
        <v>0</v>
      </c>
      <c r="G40" s="140">
        <f>F40/$C$15</f>
        <v>0</v>
      </c>
      <c r="H40" s="142">
        <f>E40-G40</f>
        <v>0</v>
      </c>
      <c r="I40" s="186"/>
      <c r="J40" s="143"/>
      <c r="K40" s="143"/>
      <c r="L40" s="106"/>
      <c r="M40" s="143"/>
      <c r="N40" s="143"/>
    </row>
    <row r="41" spans="1:14">
      <c r="B41" s="137">
        <v>0.7</v>
      </c>
      <c r="C41" s="138">
        <v>0</v>
      </c>
      <c r="D41" s="139" t="str">
        <f>IF(C41&lt;$C$15,"Yes","N0")</f>
        <v>Yes</v>
      </c>
      <c r="E41" s="140">
        <f>IF(D41="Yes",B41,0)</f>
        <v>0.7</v>
      </c>
      <c r="F41" s="141">
        <f>E41*C41</f>
        <v>0</v>
      </c>
      <c r="G41" s="140">
        <f>F41/$C$15</f>
        <v>0</v>
      </c>
      <c r="H41" s="142">
        <f>E41-G41</f>
        <v>0.7</v>
      </c>
      <c r="I41" s="125"/>
      <c r="J41" s="143"/>
      <c r="K41" s="143"/>
      <c r="L41" s="106"/>
      <c r="M41" s="143"/>
      <c r="N41" s="143"/>
    </row>
    <row r="42" spans="1:14">
      <c r="B42" s="137"/>
      <c r="C42" s="138"/>
      <c r="D42" s="139"/>
      <c r="E42" s="140"/>
      <c r="F42" s="141"/>
      <c r="G42" s="140"/>
      <c r="H42" s="142"/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0.7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v>1557.4</v>
      </c>
      <c r="I59" s="151"/>
      <c r="J59" s="165"/>
      <c r="K59" s="166">
        <f>H59+I59-J59</f>
        <v>1557.4</v>
      </c>
      <c r="L59" s="151">
        <v>1623</v>
      </c>
      <c r="M59" s="151">
        <v>1648</v>
      </c>
      <c r="N59" s="151">
        <v>1787</v>
      </c>
      <c r="O59" s="167"/>
      <c r="P59" s="168">
        <f>_xlfn.RRI(3,H59,N59)</f>
        <v>4.6907057172158595E-2</v>
      </c>
    </row>
    <row r="60" spans="1:16" ht="5.25" customHeight="1">
      <c r="H60" s="169"/>
      <c r="I60" s="169"/>
      <c r="J60" s="169"/>
      <c r="K60" s="169"/>
    </row>
    <row r="61" spans="1:16">
      <c r="A61" s="83" t="s">
        <v>127</v>
      </c>
      <c r="H61" s="151">
        <v>1058.2</v>
      </c>
      <c r="I61" s="151"/>
      <c r="J61" s="151"/>
      <c r="K61" s="166">
        <f>H61+I61-J61</f>
        <v>1058.2</v>
      </c>
    </row>
    <row r="62" spans="1:16" s="120" customFormat="1">
      <c r="A62" s="83" t="s">
        <v>128</v>
      </c>
      <c r="H62" s="151">
        <f>H63-H61</f>
        <v>142.89999999999986</v>
      </c>
      <c r="I62" s="151"/>
      <c r="J62" s="151"/>
      <c r="K62" s="170"/>
    </row>
    <row r="63" spans="1:16" s="120" customFormat="1">
      <c r="A63" s="171" t="s">
        <v>129</v>
      </c>
      <c r="H63" s="172">
        <f>H65+H64</f>
        <v>1201.0999999999999</v>
      </c>
      <c r="I63" s="172"/>
      <c r="J63" s="172"/>
      <c r="K63" s="166">
        <f>H63+I63-J63</f>
        <v>1201.0999999999999</v>
      </c>
      <c r="L63" s="151">
        <v>1109</v>
      </c>
      <c r="M63" s="151">
        <v>1118</v>
      </c>
      <c r="N63" s="151">
        <v>1207</v>
      </c>
      <c r="O63" s="169"/>
      <c r="P63" s="168">
        <f>_xlfn.RRI(3,H63,N63)</f>
        <v>1.6347142032646644E-3</v>
      </c>
    </row>
    <row r="64" spans="1:16">
      <c r="A64" s="83" t="s">
        <v>130</v>
      </c>
      <c r="H64" s="151">
        <v>15.8</v>
      </c>
      <c r="I64" s="151"/>
      <c r="J64" s="151"/>
      <c r="K64" s="169"/>
    </row>
    <row r="65" spans="1:16" s="120" customFormat="1">
      <c r="A65" s="120" t="s">
        <v>131</v>
      </c>
      <c r="H65" s="172">
        <v>1185.3</v>
      </c>
      <c r="I65" s="172"/>
      <c r="J65" s="172"/>
      <c r="K65" s="166">
        <f>H65+I65-J65</f>
        <v>1185.3</v>
      </c>
      <c r="L65" s="151">
        <v>1194</v>
      </c>
      <c r="M65" s="151">
        <v>1190</v>
      </c>
      <c r="N65" s="151">
        <v>1297</v>
      </c>
      <c r="O65" s="169"/>
      <c r="P65" s="168">
        <f>_xlfn.RRI(3,H65,N65)</f>
        <v>3.0474455659448285E-2</v>
      </c>
    </row>
    <row r="66" spans="1:16" ht="6" customHeight="1">
      <c r="H66" s="169"/>
      <c r="I66" s="169"/>
      <c r="J66" s="169"/>
      <c r="K66" s="169"/>
    </row>
    <row r="67" spans="1:16">
      <c r="A67" s="83" t="s">
        <v>132</v>
      </c>
      <c r="H67" s="151">
        <v>785.8</v>
      </c>
      <c r="I67" s="151"/>
      <c r="J67" s="151"/>
      <c r="K67" s="166">
        <f>H67+I67-J67</f>
        <v>785.8</v>
      </c>
    </row>
    <row r="68" spans="1:16">
      <c r="A68" s="83" t="s">
        <v>133</v>
      </c>
      <c r="H68" s="151">
        <f>H62</f>
        <v>142.89999999999986</v>
      </c>
      <c r="I68" s="151"/>
      <c r="J68" s="151"/>
    </row>
    <row r="69" spans="1:16">
      <c r="A69" s="83" t="s">
        <v>134</v>
      </c>
      <c r="G69" s="184"/>
      <c r="H69" s="151"/>
      <c r="I69" s="151"/>
      <c r="J69" s="151"/>
    </row>
    <row r="70" spans="1:16">
      <c r="A70" s="83" t="s">
        <v>135</v>
      </c>
      <c r="G70" s="184"/>
      <c r="H70" s="151">
        <f>H68*F11</f>
        <v>30.008999999999972</v>
      </c>
      <c r="I70" s="151"/>
      <c r="J70" s="151"/>
    </row>
    <row r="71" spans="1:16">
      <c r="A71" s="83" t="s">
        <v>136</v>
      </c>
      <c r="G71" s="184"/>
      <c r="H71" s="151">
        <v>0</v>
      </c>
      <c r="I71" s="151"/>
      <c r="J71" s="151"/>
    </row>
    <row r="72" spans="1:16">
      <c r="A72" s="120" t="s">
        <v>137</v>
      </c>
      <c r="H72" s="172">
        <f>H67+H68+H69+H70</f>
        <v>958.70899999999983</v>
      </c>
      <c r="I72" s="172"/>
      <c r="J72" s="172"/>
    </row>
    <row r="73" spans="1:16">
      <c r="A73" s="83" t="s">
        <v>138</v>
      </c>
      <c r="H73" s="151">
        <v>0.1</v>
      </c>
      <c r="I73" s="151"/>
      <c r="J73" s="151"/>
    </row>
    <row r="74" spans="1:16" s="120" customFormat="1">
      <c r="A74" s="120" t="s">
        <v>139</v>
      </c>
      <c r="H74" s="166">
        <f>H72-H73</f>
        <v>958.60899999999981</v>
      </c>
      <c r="I74" s="166"/>
      <c r="J74" s="166"/>
      <c r="K74" s="166">
        <f>H74+I74-J74</f>
        <v>958.60899999999981</v>
      </c>
      <c r="L74" s="151">
        <v>815</v>
      </c>
      <c r="M74" s="151">
        <v>830.7</v>
      </c>
      <c r="N74" s="151">
        <v>899</v>
      </c>
      <c r="O74" s="169"/>
      <c r="P74" s="168">
        <f>_xlfn.RRI(3,H74,N74)</f>
        <v>-2.1172723289676343E-2</v>
      </c>
    </row>
    <row r="75" spans="1:16">
      <c r="H75" s="169"/>
      <c r="I75" s="169"/>
      <c r="J75" s="169"/>
      <c r="K75" s="169"/>
    </row>
    <row r="76" spans="1:16">
      <c r="A76" s="83" t="s">
        <v>140</v>
      </c>
      <c r="H76" s="151">
        <v>98.2</v>
      </c>
      <c r="I76" s="151">
        <v>0</v>
      </c>
      <c r="J76" s="151">
        <v>0</v>
      </c>
      <c r="K76" s="169"/>
    </row>
    <row r="77" spans="1:16">
      <c r="A77" s="83" t="s">
        <v>141</v>
      </c>
      <c r="H77" s="173">
        <f>H74/H76</f>
        <v>9.7618024439918507</v>
      </c>
      <c r="I77" s="173"/>
      <c r="J77" s="173"/>
      <c r="K77" s="166">
        <f>H77+I77-J77</f>
        <v>9.7618024439918507</v>
      </c>
      <c r="L77" s="174">
        <v>8.68</v>
      </c>
      <c r="M77" s="174">
        <v>9.1029999999999998</v>
      </c>
      <c r="N77" s="174">
        <v>10.08</v>
      </c>
      <c r="P77" s="168">
        <f>_xlfn.RRI(3,H77,N77)</f>
        <v>1.0749431963414713E-2</v>
      </c>
    </row>
    <row r="78" spans="1:16">
      <c r="H78" s="169"/>
      <c r="I78" s="169"/>
      <c r="J78" s="169"/>
      <c r="K78" s="169"/>
      <c r="L78" s="150" t="s">
        <v>157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CA60-2F99-4B06-A728-07EC81161101}">
  <dimension ref="A1:P106"/>
  <sheetViews>
    <sheetView topLeftCell="A22" zoomScaleNormal="100" workbookViewId="0">
      <selection activeCell="E102" sqref="E102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193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v>45699</v>
      </c>
    </row>
    <row r="7" spans="1:9">
      <c r="A7" s="87" t="s">
        <v>84</v>
      </c>
      <c r="F7" s="90" t="s">
        <v>194</v>
      </c>
    </row>
    <row r="8" spans="1:9">
      <c r="A8" s="87" t="s">
        <v>85</v>
      </c>
      <c r="F8" s="91">
        <v>45322</v>
      </c>
    </row>
    <row r="9" spans="1:9">
      <c r="A9" s="87" t="s">
        <v>86</v>
      </c>
      <c r="F9" s="91">
        <v>45596</v>
      </c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183.55</v>
      </c>
      <c r="D15" s="101"/>
      <c r="E15" s="101"/>
      <c r="F15" s="102"/>
      <c r="G15" s="103"/>
    </row>
    <row r="16" spans="1:9">
      <c r="A16" s="87" t="s">
        <v>93</v>
      </c>
      <c r="C16" s="101">
        <v>330.1</v>
      </c>
      <c r="D16" s="101"/>
      <c r="E16" s="101"/>
      <c r="F16" s="104"/>
    </row>
    <row r="17" spans="1:9">
      <c r="A17" s="87" t="s">
        <v>94</v>
      </c>
      <c r="C17" s="105">
        <f>C16+H45+G53</f>
        <v>330.1</v>
      </c>
      <c r="D17" s="105"/>
      <c r="E17" s="105"/>
      <c r="F17" s="104"/>
      <c r="H17" s="106"/>
    </row>
    <row r="18" spans="1:9">
      <c r="A18" s="87" t="s">
        <v>73</v>
      </c>
      <c r="C18" s="105">
        <f>C15*C17</f>
        <v>60589.85500000001</v>
      </c>
      <c r="D18" s="105"/>
      <c r="E18" s="105"/>
      <c r="F18" s="107">
        <f>SUM(C18:E18)</f>
        <v>60589.85500000001</v>
      </c>
      <c r="I18" s="106"/>
    </row>
    <row r="19" spans="1:9">
      <c r="A19" s="87" t="s">
        <v>4</v>
      </c>
      <c r="D19" s="108"/>
      <c r="E19" s="108"/>
      <c r="F19" s="109">
        <v>-5.3220000000000001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2269.4589999999998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v>2269.4589999999998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  <c r="H27" s="184"/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2148.9279999999999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60705.064000000013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0</v>
      </c>
      <c r="H31" s="185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60705.064000000013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183.55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/>
      <c r="C40" s="138"/>
      <c r="D40" s="139" t="str">
        <f>IF(C40&lt;$C$15,"Yes","N0")</f>
        <v>Yes</v>
      </c>
      <c r="E40" s="140">
        <f>IF(D40="Yes",B40,0)</f>
        <v>0</v>
      </c>
      <c r="F40" s="141">
        <f>E40*C40</f>
        <v>0</v>
      </c>
      <c r="G40" s="140">
        <f>F40/$C$15</f>
        <v>0</v>
      </c>
      <c r="H40" s="142">
        <f>E40-G40</f>
        <v>0</v>
      </c>
      <c r="I40" s="186" t="s">
        <v>182</v>
      </c>
      <c r="J40" s="143" t="s">
        <v>183</v>
      </c>
      <c r="K40" s="143"/>
      <c r="L40" s="106"/>
      <c r="M40" s="143"/>
      <c r="N40" s="143"/>
    </row>
    <row r="41" spans="1:14">
      <c r="B41" s="137"/>
      <c r="C41" s="138">
        <v>0</v>
      </c>
      <c r="D41" s="139" t="str">
        <f>IF(C41&lt;$C$15,"Yes","N0")</f>
        <v>Yes</v>
      </c>
      <c r="E41" s="140">
        <f>IF(D41="Yes",B41,0)</f>
        <v>0</v>
      </c>
      <c r="F41" s="141">
        <f>E41*C41</f>
        <v>0</v>
      </c>
      <c r="G41" s="140">
        <f>F41/$C$15</f>
        <v>0</v>
      </c>
      <c r="H41" s="142">
        <f>E41-G41</f>
        <v>0</v>
      </c>
      <c r="I41" s="125"/>
      <c r="J41" s="143"/>
      <c r="K41" s="143"/>
      <c r="L41" s="106"/>
      <c r="M41" s="143"/>
      <c r="N41" s="143"/>
    </row>
    <row r="42" spans="1:14">
      <c r="B42" s="137"/>
      <c r="C42" s="138"/>
      <c r="D42" s="139"/>
      <c r="E42" s="140"/>
      <c r="F42" s="141"/>
      <c r="G42" s="140"/>
      <c r="H42" s="142"/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0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v>2806.489</v>
      </c>
      <c r="I59" s="151">
        <v>2639.6260000000002</v>
      </c>
      <c r="J59" s="165">
        <v>2031.79</v>
      </c>
      <c r="K59" s="166">
        <f>H59+I59-J59</f>
        <v>3414.3249999999998</v>
      </c>
      <c r="L59" s="188">
        <v>3626</v>
      </c>
      <c r="M59" s="151">
        <v>4485</v>
      </c>
      <c r="N59" s="151">
        <v>5497</v>
      </c>
      <c r="O59" s="167"/>
      <c r="P59" s="168">
        <f>_xlfn.RRI(3,H59,N59)</f>
        <v>0.25118289226417612</v>
      </c>
    </row>
    <row r="60" spans="1:16" ht="5.25" customHeight="1">
      <c r="H60" s="169"/>
      <c r="I60" s="169"/>
      <c r="J60" s="169"/>
      <c r="K60" s="169"/>
      <c r="L60" s="189"/>
    </row>
    <row r="61" spans="1:16">
      <c r="A61" s="83" t="s">
        <v>127</v>
      </c>
      <c r="H61" s="151">
        <v>-1094.7729999999999</v>
      </c>
      <c r="I61" s="151">
        <v>-1069.3320000000001</v>
      </c>
      <c r="J61" s="151">
        <v>-819.26800000000003</v>
      </c>
      <c r="K61" s="166">
        <f>H61+I61-J61</f>
        <v>-1344.837</v>
      </c>
      <c r="L61" s="189"/>
    </row>
    <row r="62" spans="1:16" s="120" customFormat="1">
      <c r="A62" s="83" t="s">
        <v>128</v>
      </c>
      <c r="H62" s="151">
        <f>H63-H61</f>
        <v>1324.473</v>
      </c>
      <c r="I62" s="151">
        <f t="shared" ref="I62:J62" si="0">I63-I61</f>
        <v>1128.2320000000002</v>
      </c>
      <c r="J62" s="151">
        <f t="shared" si="0"/>
        <v>891.20600000000002</v>
      </c>
      <c r="K62" s="170"/>
      <c r="L62" s="190"/>
    </row>
    <row r="63" spans="1:16" s="120" customFormat="1">
      <c r="A63" s="171" t="s">
        <v>129</v>
      </c>
      <c r="H63" s="172">
        <v>229.7</v>
      </c>
      <c r="I63" s="172">
        <v>58.9</v>
      </c>
      <c r="J63" s="172">
        <v>71.938000000000002</v>
      </c>
      <c r="K63" s="166">
        <f>H63+I63-J63</f>
        <v>216.66199999999998</v>
      </c>
      <c r="L63" s="188">
        <v>231.7</v>
      </c>
      <c r="M63" s="151">
        <v>364.2</v>
      </c>
      <c r="N63" s="151">
        <v>546.79999999999995</v>
      </c>
      <c r="O63" s="169"/>
      <c r="P63" s="168">
        <f>_xlfn.RRI(3,H63,N63)</f>
        <v>0.33522924790227382</v>
      </c>
    </row>
    <row r="64" spans="1:16">
      <c r="A64" s="83" t="s">
        <v>130</v>
      </c>
      <c r="H64" s="151">
        <v>87.49</v>
      </c>
      <c r="I64" s="151">
        <v>132.37799999999999</v>
      </c>
      <c r="J64" s="151">
        <v>84.917000000000002</v>
      </c>
      <c r="K64" s="169"/>
      <c r="L64" s="189"/>
    </row>
    <row r="65" spans="1:16" s="120" customFormat="1">
      <c r="A65" s="120" t="s">
        <v>131</v>
      </c>
      <c r="H65" s="172">
        <v>1011</v>
      </c>
      <c r="I65" s="172">
        <f>I63+I64</f>
        <v>191.27799999999999</v>
      </c>
      <c r="J65" s="172">
        <f>J63+J64</f>
        <v>156.85500000000002</v>
      </c>
      <c r="K65" s="166">
        <f>H65+I65-J65</f>
        <v>1045.423</v>
      </c>
      <c r="L65" s="188">
        <v>414.2</v>
      </c>
      <c r="M65" s="151">
        <v>523.9</v>
      </c>
      <c r="N65" s="151">
        <v>699.1</v>
      </c>
      <c r="O65" s="169"/>
      <c r="P65" s="168">
        <f>_xlfn.RRI(3,H65,N65)</f>
        <v>-0.11570728167976685</v>
      </c>
    </row>
    <row r="66" spans="1:16" ht="6" customHeight="1">
      <c r="H66" s="169"/>
      <c r="I66" s="169"/>
      <c r="J66" s="169"/>
      <c r="K66" s="169"/>
      <c r="L66" s="189"/>
    </row>
    <row r="67" spans="1:16">
      <c r="A67" s="83" t="s">
        <v>132</v>
      </c>
      <c r="H67" s="151">
        <v>-836.09699999999998</v>
      </c>
      <c r="I67" s="151">
        <v>-958.16600000000005</v>
      </c>
      <c r="J67" s="151">
        <v>-666.745</v>
      </c>
      <c r="K67" s="166">
        <f>H67+I67-J67</f>
        <v>-1127.518</v>
      </c>
      <c r="L67" s="189"/>
    </row>
    <row r="68" spans="1:16">
      <c r="A68" s="83" t="s">
        <v>133</v>
      </c>
      <c r="H68" s="151">
        <f>H62</f>
        <v>1324.473</v>
      </c>
      <c r="I68" s="151">
        <f t="shared" ref="I68:J68" si="1">I62</f>
        <v>1128.2320000000002</v>
      </c>
      <c r="J68" s="151">
        <f t="shared" si="1"/>
        <v>891.20600000000002</v>
      </c>
      <c r="L68" s="189"/>
    </row>
    <row r="69" spans="1:16">
      <c r="A69" s="83" t="s">
        <v>134</v>
      </c>
      <c r="G69" s="184"/>
      <c r="H69" s="151">
        <v>30.76</v>
      </c>
      <c r="I69" s="151">
        <v>5.4580000000000002</v>
      </c>
      <c r="J69" s="151">
        <v>11.795999999999999</v>
      </c>
      <c r="L69" s="189"/>
    </row>
    <row r="70" spans="1:16">
      <c r="A70" s="83" t="s">
        <v>135</v>
      </c>
      <c r="G70" s="184"/>
      <c r="H70" s="151">
        <f>SUM(H68:H69)*$F$11</f>
        <v>284.59893</v>
      </c>
      <c r="I70" s="151">
        <f t="shared" ref="I70:J70" si="2">SUM(I68:I69)*$F$11</f>
        <v>238.07490000000004</v>
      </c>
      <c r="J70" s="151">
        <f t="shared" si="2"/>
        <v>189.63042000000002</v>
      </c>
      <c r="L70" s="189"/>
    </row>
    <row r="71" spans="1:16">
      <c r="A71" s="83" t="s">
        <v>136</v>
      </c>
      <c r="G71" s="184"/>
      <c r="H71" s="151">
        <v>0</v>
      </c>
      <c r="I71" s="151"/>
      <c r="J71" s="151"/>
      <c r="L71" s="189"/>
    </row>
    <row r="72" spans="1:16">
      <c r="A72" s="120" t="s">
        <v>137</v>
      </c>
      <c r="H72" s="172">
        <f>H68+H70+H69</f>
        <v>1639.8319300000001</v>
      </c>
      <c r="I72" s="172">
        <f t="shared" ref="I72:J72" si="3">I68+I70+I69</f>
        <v>1371.7649000000004</v>
      </c>
      <c r="J72" s="172">
        <f t="shared" si="3"/>
        <v>1092.6324200000001</v>
      </c>
      <c r="L72" s="189"/>
    </row>
    <row r="73" spans="1:16">
      <c r="A73" s="83" t="s">
        <v>138</v>
      </c>
      <c r="H73" s="151">
        <v>1.893</v>
      </c>
      <c r="I73" s="151">
        <v>5.3220000000000001</v>
      </c>
      <c r="J73" s="151">
        <v>1.333</v>
      </c>
      <c r="L73" s="189"/>
    </row>
    <row r="74" spans="1:16" s="120" customFormat="1">
      <c r="A74" s="120" t="s">
        <v>139</v>
      </c>
      <c r="H74" s="166">
        <f>H72-H73</f>
        <v>1637.93893</v>
      </c>
      <c r="I74" s="166">
        <f t="shared" ref="I74:J74" si="4">I72-I73</f>
        <v>1366.4429000000005</v>
      </c>
      <c r="J74" s="166">
        <f t="shared" si="4"/>
        <v>1091.2994200000001</v>
      </c>
      <c r="K74" s="166">
        <f>H74+I74-J74</f>
        <v>1913.0824100000002</v>
      </c>
      <c r="L74" s="188">
        <v>-1286</v>
      </c>
      <c r="M74" s="151">
        <v>-1282</v>
      </c>
      <c r="N74" s="151">
        <v>-1280</v>
      </c>
      <c r="O74" s="169"/>
      <c r="P74" s="168" t="e">
        <f>_xlfn.RRI(3,H74,N74)</f>
        <v>#NUM!</v>
      </c>
    </row>
    <row r="75" spans="1:16">
      <c r="H75" s="169"/>
      <c r="I75" s="169"/>
      <c r="J75" s="169"/>
      <c r="K75" s="169"/>
      <c r="L75" s="189"/>
    </row>
    <row r="76" spans="1:16">
      <c r="A76" s="83" t="s">
        <v>140</v>
      </c>
      <c r="H76" s="151">
        <v>328.00099999999998</v>
      </c>
      <c r="I76" s="151">
        <v>333.13600000000002</v>
      </c>
      <c r="J76" s="151">
        <v>326.964</v>
      </c>
      <c r="K76" s="169"/>
      <c r="L76" s="189"/>
    </row>
    <row r="77" spans="1:16">
      <c r="A77" s="83" t="s">
        <v>141</v>
      </c>
      <c r="H77" s="173">
        <f>H74/H76</f>
        <v>4.9937010253017524</v>
      </c>
      <c r="I77" s="173">
        <f t="shared" ref="I77:J77" si="5">I74/I76</f>
        <v>4.1017569401085456</v>
      </c>
      <c r="J77" s="173">
        <f t="shared" si="5"/>
        <v>3.3376745452098704</v>
      </c>
      <c r="K77" s="166">
        <f>H77+I77-J77</f>
        <v>5.7577834202004272</v>
      </c>
      <c r="L77" s="191">
        <v>-3.87</v>
      </c>
      <c r="M77" s="174">
        <v>-3.7280000000000002</v>
      </c>
      <c r="N77" s="174">
        <v>-3.637</v>
      </c>
      <c r="P77" s="168" t="e">
        <f>_xlfn.RRI(3,H77,N77)</f>
        <v>#NUM!</v>
      </c>
    </row>
    <row r="78" spans="1:16">
      <c r="H78" s="169"/>
      <c r="I78" s="169"/>
      <c r="J78" s="169"/>
      <c r="K78" s="169"/>
      <c r="L78" s="150" t="s">
        <v>157</v>
      </c>
    </row>
    <row r="79" spans="1:16">
      <c r="L79" s="83" t="s">
        <v>195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2F77-7412-460B-9614-ED5B211D236B}">
  <dimension ref="A1:P106"/>
  <sheetViews>
    <sheetView topLeftCell="A52" zoomScaleNormal="100" workbookViewId="0">
      <selection activeCell="M77" sqref="M77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193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v>45699</v>
      </c>
    </row>
    <row r="7" spans="1:9">
      <c r="A7" s="87" t="s">
        <v>84</v>
      </c>
      <c r="F7" s="90" t="s">
        <v>196</v>
      </c>
    </row>
    <row r="8" spans="1:9">
      <c r="A8" s="87" t="s">
        <v>85</v>
      </c>
      <c r="F8" s="91">
        <v>45688</v>
      </c>
    </row>
    <row r="9" spans="1:9">
      <c r="A9" s="87" t="s">
        <v>86</v>
      </c>
      <c r="F9" s="91" t="s">
        <v>144</v>
      </c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95.78</v>
      </c>
      <c r="D15" s="101">
        <f>C15</f>
        <v>95.78</v>
      </c>
      <c r="E15" s="101"/>
      <c r="F15" s="102"/>
      <c r="G15" s="103"/>
    </row>
    <row r="16" spans="1:9">
      <c r="A16" s="87" t="s">
        <v>93</v>
      </c>
      <c r="C16" s="101">
        <f>165819291/10^6</f>
        <v>165.81929099999999</v>
      </c>
      <c r="D16" s="101">
        <f>7783873/10^6</f>
        <v>7.7838729999999998</v>
      </c>
      <c r="E16" s="101"/>
      <c r="F16" s="104"/>
    </row>
    <row r="17" spans="1:9">
      <c r="A17" s="87" t="s">
        <v>94</v>
      </c>
      <c r="C17" s="105">
        <f>C16+H45+G53</f>
        <v>175.0711360615995</v>
      </c>
      <c r="D17" s="105">
        <f>D16</f>
        <v>7.7838729999999998</v>
      </c>
      <c r="E17" s="105"/>
      <c r="F17" s="104"/>
      <c r="H17" s="106"/>
    </row>
    <row r="18" spans="1:9">
      <c r="A18" s="87" t="s">
        <v>73</v>
      </c>
      <c r="C18" s="105">
        <f>C15*C17</f>
        <v>16768.313411980002</v>
      </c>
      <c r="D18" s="105">
        <f>D15*D17</f>
        <v>745.53935593999995</v>
      </c>
      <c r="E18" s="105"/>
      <c r="F18" s="107">
        <f>SUM(C18:E18)</f>
        <v>17513.852767920001</v>
      </c>
      <c r="I18" s="106"/>
    </row>
    <row r="19" spans="1:9">
      <c r="A19" s="87" t="s">
        <v>4</v>
      </c>
      <c r="D19" s="108"/>
      <c r="E19" s="108"/>
      <c r="F19" s="109">
        <v>0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603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v>603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  <c r="H27" s="184"/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409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17707.852767920001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0</v>
      </c>
      <c r="H31" s="185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17707.852767920001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95.78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>
        <v>2.1989999999999998</v>
      </c>
      <c r="C40" s="138">
        <v>57.98</v>
      </c>
      <c r="D40" s="139" t="str">
        <f>IF(C40&lt;$C$15,"Yes","N0")</f>
        <v>Yes</v>
      </c>
      <c r="E40" s="140">
        <f>IF(D40="Yes",B40,0)</f>
        <v>2.1989999999999998</v>
      </c>
      <c r="F40" s="141">
        <f>E40*C40</f>
        <v>127.49801999999998</v>
      </c>
      <c r="G40" s="140">
        <f>F40/$C$15</f>
        <v>1.331154938400501</v>
      </c>
      <c r="H40" s="142">
        <f>E40-G40</f>
        <v>0.86784506159949881</v>
      </c>
      <c r="I40" s="186" t="s">
        <v>182</v>
      </c>
      <c r="J40" s="143" t="s">
        <v>183</v>
      </c>
      <c r="K40" s="143"/>
      <c r="L40" s="106"/>
      <c r="M40" s="143"/>
      <c r="N40" s="143"/>
    </row>
    <row r="41" spans="1:14">
      <c r="B41" s="137">
        <v>7.798</v>
      </c>
      <c r="C41" s="138">
        <v>0</v>
      </c>
      <c r="D41" s="139" t="str">
        <f>IF(C41&lt;$C$15,"Yes","N0")</f>
        <v>Yes</v>
      </c>
      <c r="E41" s="140">
        <f>IF(D41="Yes",B41,0)</f>
        <v>7.798</v>
      </c>
      <c r="F41" s="141">
        <f>E41*C41</f>
        <v>0</v>
      </c>
      <c r="G41" s="140">
        <f>F41/$C$15</f>
        <v>0</v>
      </c>
      <c r="H41" s="142">
        <f>E41-G41</f>
        <v>7.798</v>
      </c>
      <c r="I41" s="125"/>
      <c r="J41" s="143"/>
      <c r="K41" s="143"/>
      <c r="L41" s="106"/>
      <c r="M41" s="143"/>
      <c r="N41" s="143"/>
    </row>
    <row r="42" spans="1:14">
      <c r="B42" s="137">
        <v>0.58599999999999997</v>
      </c>
      <c r="C42" s="138">
        <v>0</v>
      </c>
      <c r="D42" s="139" t="str">
        <f>IF(C42&lt;$C$15,"Yes","N0")</f>
        <v>Yes</v>
      </c>
      <c r="E42" s="140">
        <f>IF(D42="Yes",B42,0)</f>
        <v>0.58599999999999997</v>
      </c>
      <c r="F42" s="141">
        <f>E42*C42</f>
        <v>0</v>
      </c>
      <c r="G42" s="140">
        <f>F42/$C$15</f>
        <v>0</v>
      </c>
      <c r="H42" s="142">
        <f>E42-G42</f>
        <v>0.58599999999999997</v>
      </c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9.2518450615994983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v>2610</v>
      </c>
      <c r="I59" s="151"/>
      <c r="J59" s="165"/>
      <c r="K59" s="166">
        <f>H59+I59-J59</f>
        <v>2610</v>
      </c>
      <c r="L59" s="188">
        <v>2864</v>
      </c>
      <c r="M59" s="151">
        <v>3148</v>
      </c>
      <c r="N59" s="151">
        <v>3494</v>
      </c>
      <c r="O59" s="167"/>
      <c r="P59" s="168">
        <f>_xlfn.RRI(3,H59,N59)</f>
        <v>0.10211639872019784</v>
      </c>
    </row>
    <row r="60" spans="1:16" ht="5.25" customHeight="1">
      <c r="H60" s="169"/>
      <c r="I60" s="169"/>
      <c r="J60" s="169"/>
      <c r="K60" s="169"/>
      <c r="L60" s="189"/>
    </row>
    <row r="61" spans="1:16">
      <c r="A61" s="83" t="s">
        <v>127</v>
      </c>
      <c r="H61" s="151">
        <v>-74</v>
      </c>
      <c r="I61" s="151"/>
      <c r="J61" s="151"/>
      <c r="K61" s="166">
        <f>H61+I61-J61</f>
        <v>-74</v>
      </c>
      <c r="L61" s="189"/>
    </row>
    <row r="62" spans="1:16" s="120" customFormat="1">
      <c r="A62" s="83" t="s">
        <v>128</v>
      </c>
      <c r="H62" s="151">
        <f>H63-H61</f>
        <v>573</v>
      </c>
      <c r="I62" s="151"/>
      <c r="J62" s="151"/>
      <c r="K62" s="170"/>
      <c r="L62" s="190"/>
    </row>
    <row r="63" spans="1:16" s="120" customFormat="1">
      <c r="A63" s="171" t="s">
        <v>129</v>
      </c>
      <c r="H63" s="172">
        <f>H65-H64</f>
        <v>499</v>
      </c>
      <c r="I63" s="172"/>
      <c r="J63" s="172"/>
      <c r="K63" s="166">
        <f>H63+I63-J63</f>
        <v>499</v>
      </c>
      <c r="L63" s="188">
        <v>713.9</v>
      </c>
      <c r="M63" s="151">
        <v>811.1</v>
      </c>
      <c r="N63" s="151">
        <v>947.3</v>
      </c>
      <c r="O63" s="169"/>
      <c r="P63" s="168">
        <f>_xlfn.RRI(3,H63,N63)</f>
        <v>0.23821386825651225</v>
      </c>
    </row>
    <row r="64" spans="1:16">
      <c r="A64" s="83" t="s">
        <v>130</v>
      </c>
      <c r="H64" s="151">
        <v>88</v>
      </c>
      <c r="I64" s="151"/>
      <c r="J64" s="151"/>
      <c r="K64" s="169"/>
      <c r="L64" s="189"/>
    </row>
    <row r="65" spans="1:16" s="120" customFormat="1">
      <c r="A65" s="120" t="s">
        <v>131</v>
      </c>
      <c r="H65" s="172">
        <v>587</v>
      </c>
      <c r="I65" s="172"/>
      <c r="J65" s="172"/>
      <c r="K65" s="166">
        <f>H65+I65-J65</f>
        <v>587</v>
      </c>
      <c r="L65" s="188">
        <v>715.9</v>
      </c>
      <c r="M65" s="151">
        <v>827.5</v>
      </c>
      <c r="N65" s="151">
        <v>1059</v>
      </c>
      <c r="O65" s="169"/>
      <c r="P65" s="168">
        <f>_xlfn.RRI(3,H65,N65)</f>
        <v>0.21736072509397641</v>
      </c>
    </row>
    <row r="66" spans="1:16" ht="6" customHeight="1">
      <c r="H66" s="169"/>
      <c r="I66" s="169"/>
      <c r="J66" s="169"/>
      <c r="K66" s="169"/>
      <c r="L66" s="189"/>
    </row>
    <row r="67" spans="1:16">
      <c r="A67" s="83" t="s">
        <v>132</v>
      </c>
      <c r="H67" s="151">
        <v>-836.09699999999998</v>
      </c>
      <c r="I67" s="151"/>
      <c r="J67" s="151"/>
      <c r="K67" s="166">
        <f>H67+I67-J67</f>
        <v>-836.09699999999998</v>
      </c>
      <c r="L67" s="189"/>
    </row>
    <row r="68" spans="1:16">
      <c r="A68" s="83" t="s">
        <v>133</v>
      </c>
      <c r="H68" s="151">
        <f>H62</f>
        <v>573</v>
      </c>
      <c r="I68" s="151"/>
      <c r="J68" s="151"/>
      <c r="L68" s="189"/>
    </row>
    <row r="69" spans="1:16">
      <c r="A69" s="83" t="s">
        <v>134</v>
      </c>
      <c r="G69" s="184"/>
      <c r="H69" s="151">
        <v>30.76</v>
      </c>
      <c r="I69" s="151"/>
      <c r="J69" s="151"/>
      <c r="L69" s="189"/>
    </row>
    <row r="70" spans="1:16">
      <c r="A70" s="83" t="s">
        <v>135</v>
      </c>
      <c r="G70" s="184"/>
      <c r="H70" s="151">
        <f>SUM(H68:H69)*$F$11</f>
        <v>126.78959999999999</v>
      </c>
      <c r="I70" s="151"/>
      <c r="J70" s="151"/>
      <c r="L70" s="189"/>
    </row>
    <row r="71" spans="1:16">
      <c r="A71" s="83" t="s">
        <v>136</v>
      </c>
      <c r="G71" s="184"/>
      <c r="H71" s="151">
        <v>0</v>
      </c>
      <c r="I71" s="151"/>
      <c r="J71" s="151"/>
      <c r="L71" s="189"/>
    </row>
    <row r="72" spans="1:16">
      <c r="A72" s="120" t="s">
        <v>137</v>
      </c>
      <c r="H72" s="172">
        <v>510</v>
      </c>
      <c r="I72" s="172"/>
      <c r="J72" s="172"/>
      <c r="L72" s="189"/>
    </row>
    <row r="73" spans="1:16">
      <c r="A73" s="83" t="s">
        <v>138</v>
      </c>
      <c r="H73" s="151">
        <v>1.893</v>
      </c>
      <c r="I73" s="151"/>
      <c r="J73" s="151"/>
      <c r="L73" s="189"/>
    </row>
    <row r="74" spans="1:16" s="120" customFormat="1">
      <c r="A74" s="120" t="s">
        <v>139</v>
      </c>
      <c r="H74" s="166">
        <f>H72-H73</f>
        <v>508.10700000000003</v>
      </c>
      <c r="I74" s="166"/>
      <c r="J74" s="166"/>
      <c r="K74" s="166">
        <f>H74+I74-J74</f>
        <v>508.10700000000003</v>
      </c>
      <c r="L74" s="188">
        <v>60.55</v>
      </c>
      <c r="M74" s="151">
        <v>95.92</v>
      </c>
      <c r="N74" s="151">
        <v>371</v>
      </c>
      <c r="O74" s="169"/>
      <c r="P74" s="168">
        <f>_xlfn.RRI(3,H74,N74)</f>
        <v>-9.9522407047189843E-2</v>
      </c>
    </row>
    <row r="75" spans="1:16">
      <c r="H75" s="169"/>
      <c r="I75" s="169"/>
      <c r="J75" s="169"/>
      <c r="K75" s="169"/>
      <c r="L75" s="189"/>
    </row>
    <row r="76" spans="1:16">
      <c r="A76" s="83" t="s">
        <v>140</v>
      </c>
      <c r="H76" s="151">
        <v>175.08600000000001</v>
      </c>
      <c r="I76" s="151"/>
      <c r="J76" s="151"/>
      <c r="K76" s="169"/>
      <c r="L76" s="189"/>
    </row>
    <row r="77" spans="1:16">
      <c r="A77" s="83" t="s">
        <v>141</v>
      </c>
      <c r="H77" s="173">
        <f>H74/H76</f>
        <v>2.9020424248654946</v>
      </c>
      <c r="I77" s="173"/>
      <c r="J77" s="173"/>
      <c r="K77" s="166">
        <f>H77+I77-J77</f>
        <v>2.9020424248654946</v>
      </c>
      <c r="L77" s="191">
        <v>0.44369999999999998</v>
      </c>
      <c r="M77" s="174">
        <v>0.6966</v>
      </c>
      <c r="N77" s="174">
        <v>2.04</v>
      </c>
      <c r="P77" s="168">
        <f>_xlfn.RRI(3,H77,N77)</f>
        <v>-0.11084910471541576</v>
      </c>
    </row>
    <row r="78" spans="1:16">
      <c r="H78" s="169"/>
      <c r="I78" s="169"/>
      <c r="J78" s="169"/>
      <c r="K78" s="169"/>
      <c r="L78" s="150" t="s">
        <v>157</v>
      </c>
    </row>
    <row r="79" spans="1:16">
      <c r="L79" s="83" t="s">
        <v>195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0DCB-40DB-4E51-9599-7BBB87261BD5}">
  <dimension ref="A1:P106"/>
  <sheetViews>
    <sheetView topLeftCell="A67" zoomScale="90" zoomScaleNormal="90" workbookViewId="0">
      <selection activeCell="H76" sqref="H76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.21875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198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v>45699</v>
      </c>
    </row>
    <row r="7" spans="1:9">
      <c r="A7" s="87" t="s">
        <v>84</v>
      </c>
      <c r="F7" s="90" t="s">
        <v>200</v>
      </c>
    </row>
    <row r="8" spans="1:9">
      <c r="A8" s="87" t="s">
        <v>85</v>
      </c>
      <c r="F8" s="91">
        <v>45657</v>
      </c>
    </row>
    <row r="9" spans="1:9">
      <c r="A9" s="87" t="s">
        <v>86</v>
      </c>
      <c r="F9" s="91"/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178.33</v>
      </c>
      <c r="D15" s="101"/>
      <c r="E15" s="101"/>
      <c r="F15" s="102"/>
      <c r="G15" s="103"/>
    </row>
    <row r="16" spans="1:9">
      <c r="A16" s="87" t="s">
        <v>93</v>
      </c>
      <c r="C16" s="101">
        <v>61.124000000000002</v>
      </c>
      <c r="D16" s="101"/>
      <c r="E16" s="101"/>
      <c r="F16" s="104"/>
    </row>
    <row r="17" spans="1:9">
      <c r="A17" s="87" t="s">
        <v>94</v>
      </c>
      <c r="C17" s="105">
        <f>C16+H45+G53</f>
        <v>62.514000000000003</v>
      </c>
      <c r="D17" s="105"/>
      <c r="E17" s="105"/>
      <c r="F17" s="104"/>
      <c r="H17" s="106"/>
    </row>
    <row r="18" spans="1:9">
      <c r="A18" s="87" t="s">
        <v>73</v>
      </c>
      <c r="C18" s="105">
        <f>C15*C17</f>
        <v>11148.121620000002</v>
      </c>
      <c r="D18" s="105"/>
      <c r="E18" s="105"/>
      <c r="F18" s="107">
        <f>SUM(C18:E18)</f>
        <v>11148.121620000002</v>
      </c>
      <c r="I18" s="106"/>
    </row>
    <row r="19" spans="1:9">
      <c r="A19" s="87" t="s">
        <v>4</v>
      </c>
      <c r="D19" s="108"/>
      <c r="E19" s="108"/>
      <c r="F19" s="109">
        <v>0.1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47.793999999999997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v>47.793999999999997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  <c r="H27" s="184"/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266.23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10929.785620000002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0</v>
      </c>
      <c r="H31" s="185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10929.785620000002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178.33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>
        <v>1.39</v>
      </c>
      <c r="C40" s="138"/>
      <c r="D40" s="139" t="str">
        <f>IF(C40&lt;$C$15,"Yes","N0")</f>
        <v>Yes</v>
      </c>
      <c r="E40" s="140">
        <f>IF(D40="Yes",B40,0)</f>
        <v>1.39</v>
      </c>
      <c r="F40" s="141">
        <f>E40*C40</f>
        <v>0</v>
      </c>
      <c r="G40" s="140">
        <f>F40/$C$15</f>
        <v>0</v>
      </c>
      <c r="H40" s="142">
        <f>E40-G40</f>
        <v>1.39</v>
      </c>
      <c r="I40" s="186"/>
      <c r="J40" s="143"/>
      <c r="K40" s="143"/>
      <c r="L40" s="106"/>
      <c r="M40" s="143"/>
      <c r="N40" s="143"/>
    </row>
    <row r="41" spans="1:14">
      <c r="B41" s="137"/>
      <c r="C41" s="138">
        <v>0</v>
      </c>
      <c r="D41" s="139" t="str">
        <f>IF(C41&lt;$C$15,"Yes","N0")</f>
        <v>Yes</v>
      </c>
      <c r="E41" s="140">
        <f>IF(D41="Yes",B41,0)</f>
        <v>0</v>
      </c>
      <c r="F41" s="141">
        <f>E41*C41</f>
        <v>0</v>
      </c>
      <c r="G41" s="140">
        <f>F41/$C$15</f>
        <v>0</v>
      </c>
      <c r="H41" s="142">
        <f>E41-G41</f>
        <v>0</v>
      </c>
      <c r="I41" s="125"/>
      <c r="J41" s="143"/>
      <c r="K41" s="143"/>
      <c r="L41" s="106"/>
      <c r="M41" s="143"/>
      <c r="N41" s="143"/>
    </row>
    <row r="42" spans="1:14">
      <c r="B42" s="137"/>
      <c r="C42" s="138"/>
      <c r="D42" s="139"/>
      <c r="E42" s="140"/>
      <c r="F42" s="141"/>
      <c r="G42" s="140"/>
      <c r="H42" s="142"/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1.39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v>1042.3520000000001</v>
      </c>
      <c r="I59" s="151"/>
      <c r="J59" s="165"/>
      <c r="K59" s="166">
        <f>H59+I59-J59</f>
        <v>1042.3520000000001</v>
      </c>
      <c r="L59" s="151">
        <v>1066</v>
      </c>
      <c r="M59" s="151">
        <v>1154</v>
      </c>
      <c r="N59" s="151">
        <v>1274</v>
      </c>
      <c r="O59" s="167"/>
      <c r="P59" s="168">
        <f>_xlfn.RRI(3,H59,N59)</f>
        <v>6.9182088596684288E-2</v>
      </c>
    </row>
    <row r="60" spans="1:16" ht="5.25" customHeight="1">
      <c r="H60" s="169"/>
      <c r="I60" s="169"/>
      <c r="J60" s="169"/>
      <c r="K60" s="169"/>
    </row>
    <row r="61" spans="1:16">
      <c r="A61" s="83" t="s">
        <v>127</v>
      </c>
      <c r="H61" s="151">
        <v>1058.2</v>
      </c>
      <c r="I61" s="151"/>
      <c r="J61" s="151"/>
      <c r="K61" s="166">
        <f>H61+I61-J61</f>
        <v>1058.2</v>
      </c>
    </row>
    <row r="62" spans="1:16" s="120" customFormat="1">
      <c r="A62" s="83" t="s">
        <v>128</v>
      </c>
      <c r="H62" s="151">
        <f>H63-H61</f>
        <v>-690.09900000000005</v>
      </c>
      <c r="I62" s="151"/>
      <c r="J62" s="151"/>
      <c r="K62" s="170"/>
    </row>
    <row r="63" spans="1:16" s="120" customFormat="1">
      <c r="A63" s="171" t="s">
        <v>129</v>
      </c>
      <c r="H63" s="172">
        <f>H65+H64</f>
        <v>368.101</v>
      </c>
      <c r="I63" s="172"/>
      <c r="J63" s="172"/>
      <c r="K63" s="166">
        <f>H63+I63-J63</f>
        <v>368.101</v>
      </c>
      <c r="L63" s="151">
        <v>354.6</v>
      </c>
      <c r="M63" s="151">
        <v>395.1</v>
      </c>
      <c r="N63" s="151">
        <v>451.8</v>
      </c>
      <c r="O63" s="169"/>
      <c r="P63" s="168">
        <f>_xlfn.RRI(3,H63,N63)</f>
        <v>7.0680130295542876E-2</v>
      </c>
    </row>
    <row r="64" spans="1:16">
      <c r="A64" s="83" t="s">
        <v>130</v>
      </c>
      <c r="H64" s="151">
        <v>6.3010000000000002</v>
      </c>
      <c r="I64" s="151"/>
      <c r="J64" s="151"/>
      <c r="K64" s="169"/>
    </row>
    <row r="65" spans="1:16" s="120" customFormat="1">
      <c r="A65" s="120" t="s">
        <v>131</v>
      </c>
      <c r="H65" s="172">
        <v>361.8</v>
      </c>
      <c r="I65" s="172"/>
      <c r="J65" s="172"/>
      <c r="K65" s="166">
        <f>H65+I65-J65</f>
        <v>361.8</v>
      </c>
      <c r="L65" s="151">
        <v>360.8</v>
      </c>
      <c r="M65" s="151">
        <v>402.6</v>
      </c>
      <c r="N65" s="151">
        <v>461.9</v>
      </c>
      <c r="O65" s="169"/>
      <c r="P65" s="168">
        <f>_xlfn.RRI(3,H65,N65)</f>
        <v>8.482528693331659E-2</v>
      </c>
    </row>
    <row r="66" spans="1:16" ht="6" customHeight="1">
      <c r="H66" s="169"/>
      <c r="I66" s="169"/>
      <c r="J66" s="169"/>
      <c r="K66" s="169"/>
    </row>
    <row r="67" spans="1:16">
      <c r="A67" s="83" t="s">
        <v>132</v>
      </c>
      <c r="H67" s="151">
        <v>785.8</v>
      </c>
      <c r="I67" s="151"/>
      <c r="J67" s="151"/>
      <c r="K67" s="166">
        <f>H67+I67-J67</f>
        <v>785.8</v>
      </c>
    </row>
    <row r="68" spans="1:16">
      <c r="A68" s="83" t="s">
        <v>133</v>
      </c>
      <c r="H68" s="151">
        <f>H62</f>
        <v>-690.09900000000005</v>
      </c>
      <c r="I68" s="151"/>
      <c r="J68" s="151"/>
    </row>
    <row r="69" spans="1:16">
      <c r="A69" s="83" t="s">
        <v>134</v>
      </c>
      <c r="G69" s="184"/>
      <c r="H69" s="151"/>
      <c r="I69" s="151"/>
      <c r="J69" s="151"/>
    </row>
    <row r="70" spans="1:16">
      <c r="A70" s="83" t="s">
        <v>135</v>
      </c>
      <c r="G70" s="184"/>
      <c r="H70" s="151">
        <f>H68*F11</f>
        <v>-144.92079000000001</v>
      </c>
      <c r="I70" s="151"/>
      <c r="J70" s="151"/>
    </row>
    <row r="71" spans="1:16">
      <c r="A71" s="83" t="s">
        <v>136</v>
      </c>
      <c r="G71" s="184"/>
      <c r="H71" s="151">
        <v>0</v>
      </c>
      <c r="I71" s="151"/>
      <c r="J71" s="151"/>
    </row>
    <row r="72" spans="1:16">
      <c r="A72" s="120" t="s">
        <v>137</v>
      </c>
      <c r="H72" s="172">
        <v>293.64999999999998</v>
      </c>
      <c r="I72" s="172"/>
      <c r="J72" s="172"/>
    </row>
    <row r="73" spans="1:16">
      <c r="A73" s="83" t="s">
        <v>138</v>
      </c>
      <c r="H73" s="151">
        <v>0.1</v>
      </c>
      <c r="I73" s="151"/>
      <c r="J73" s="151"/>
    </row>
    <row r="74" spans="1:16" s="120" customFormat="1">
      <c r="A74" s="120" t="s">
        <v>139</v>
      </c>
      <c r="H74" s="166">
        <f>H72-H73</f>
        <v>293.54999999999995</v>
      </c>
      <c r="I74" s="166"/>
      <c r="J74" s="166"/>
      <c r="K74" s="166">
        <f>H74+I74-J74</f>
        <v>293.54999999999995</v>
      </c>
      <c r="L74" s="151">
        <v>199.1</v>
      </c>
      <c r="M74" s="151">
        <v>232.1</v>
      </c>
      <c r="N74" s="151">
        <v>261.89999999999998</v>
      </c>
      <c r="O74" s="169"/>
      <c r="P74" s="168">
        <f>_xlfn.RRI(3,H74,N74)</f>
        <v>-3.7314409714719776E-2</v>
      </c>
    </row>
    <row r="75" spans="1:16">
      <c r="H75" s="169"/>
      <c r="I75" s="169"/>
      <c r="J75" s="169"/>
      <c r="K75" s="169"/>
    </row>
    <row r="76" spans="1:16">
      <c r="A76" s="83" t="s">
        <v>140</v>
      </c>
      <c r="H76" s="151">
        <v>62.183</v>
      </c>
      <c r="I76" s="151">
        <v>0</v>
      </c>
      <c r="J76" s="151">
        <v>0</v>
      </c>
      <c r="K76" s="169"/>
    </row>
    <row r="77" spans="1:16">
      <c r="A77" s="83" t="s">
        <v>141</v>
      </c>
      <c r="H77" s="173">
        <f>H74/H76</f>
        <v>4.7207436115980244</v>
      </c>
      <c r="I77" s="173"/>
      <c r="J77" s="173"/>
      <c r="K77" s="166">
        <f>H77+I77-J77</f>
        <v>4.7207436115980244</v>
      </c>
      <c r="L77" s="174">
        <v>3.1520000000000001</v>
      </c>
      <c r="M77" s="174">
        <v>3.7930000000000001</v>
      </c>
      <c r="N77" s="174">
        <v>4.47</v>
      </c>
      <c r="P77" s="168">
        <f>_xlfn.RRI(3,H77,N77)</f>
        <v>-1.80281540307351E-2</v>
      </c>
    </row>
    <row r="78" spans="1:16">
      <c r="H78" s="169"/>
      <c r="I78" s="169"/>
      <c r="J78" s="169"/>
      <c r="K78" s="169"/>
      <c r="L78" s="150" t="s">
        <v>157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8386-1AEA-4DFB-A303-6EC503C11D33}">
  <dimension ref="A1:P106"/>
  <sheetViews>
    <sheetView topLeftCell="A55" zoomScale="80" zoomScaleNormal="80" workbookViewId="0">
      <selection activeCell="N78" sqref="N78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205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f>DATE(2025,2,11)</f>
        <v>45699</v>
      </c>
    </row>
    <row r="7" spans="1:9">
      <c r="A7" s="87" t="s">
        <v>84</v>
      </c>
      <c r="F7" s="90" t="s">
        <v>204</v>
      </c>
    </row>
    <row r="8" spans="1:9">
      <c r="A8" s="87" t="s">
        <v>85</v>
      </c>
      <c r="F8" s="91">
        <v>45688</v>
      </c>
    </row>
    <row r="9" spans="1:9">
      <c r="A9" s="87" t="s">
        <v>86</v>
      </c>
      <c r="F9" s="91"/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431.64</v>
      </c>
      <c r="D15" s="101"/>
      <c r="E15" s="101"/>
      <c r="F15" s="102"/>
      <c r="G15" s="103"/>
    </row>
    <row r="16" spans="1:9">
      <c r="A16" s="87" t="s">
        <v>93</v>
      </c>
      <c r="C16" s="101">
        <v>247.87299999999999</v>
      </c>
      <c r="D16" s="101"/>
      <c r="E16" s="101"/>
      <c r="F16" s="104"/>
    </row>
    <row r="17" spans="1:9">
      <c r="A17" s="87" t="s">
        <v>94</v>
      </c>
      <c r="C17" s="105">
        <f>C16+H45+G53</f>
        <v>259.06200257158741</v>
      </c>
      <c r="D17" s="105"/>
      <c r="E17" s="105"/>
      <c r="F17" s="104"/>
      <c r="H17" s="106"/>
    </row>
    <row r="18" spans="1:9">
      <c r="A18" s="87" t="s">
        <v>73</v>
      </c>
      <c r="C18" s="105">
        <f>C15*C17</f>
        <v>111821.52278999999</v>
      </c>
      <c r="D18" s="105"/>
      <c r="E18" s="105"/>
      <c r="F18" s="107">
        <f>SUM(C18:E18)</f>
        <v>111821.52278999999</v>
      </c>
      <c r="G18" s="83" t="s">
        <v>148</v>
      </c>
      <c r="I18" s="106"/>
    </row>
    <row r="19" spans="1:9">
      <c r="A19" s="87" t="s">
        <v>4</v>
      </c>
      <c r="D19" s="108"/>
      <c r="E19" s="108"/>
      <c r="F19" s="109">
        <v>39.423000000000002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744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v>744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4323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108281.94578999998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137.4</v>
      </c>
      <c r="H31" s="106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108144.54578999999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F18/C17</f>
        <v>431.64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>
        <v>1.2170000000000001</v>
      </c>
      <c r="C40" s="138">
        <v>9.93</v>
      </c>
      <c r="D40" s="139" t="str">
        <f>IF(C40&lt;$C$15,"Yes","N0")</f>
        <v>Yes</v>
      </c>
      <c r="E40" s="140">
        <f>IF(D40="Yes",B40,0)</f>
        <v>1.2170000000000001</v>
      </c>
      <c r="F40" s="141">
        <f>E40*C40</f>
        <v>12.084810000000001</v>
      </c>
      <c r="G40" s="140">
        <f>F40/$C$15</f>
        <v>2.7997428412566031E-2</v>
      </c>
      <c r="H40" s="142">
        <f>E40-G40</f>
        <v>1.1890025715874339</v>
      </c>
      <c r="I40" s="125" t="s">
        <v>150</v>
      </c>
      <c r="J40" s="143"/>
      <c r="K40" s="143"/>
      <c r="L40" s="106"/>
      <c r="M40" s="143"/>
      <c r="N40" s="143"/>
    </row>
    <row r="41" spans="1:14">
      <c r="B41" s="137">
        <v>10</v>
      </c>
      <c r="C41" s="138">
        <v>0</v>
      </c>
      <c r="D41" s="139" t="str">
        <f>IF(C41&lt;$C$15,"Yes","N0")</f>
        <v>Yes</v>
      </c>
      <c r="E41" s="140">
        <f>IF(D41="Yes",B41,0)</f>
        <v>10</v>
      </c>
      <c r="F41" s="141">
        <f>E41*C41</f>
        <v>0</v>
      </c>
      <c r="G41" s="140">
        <f>F41/$C$15</f>
        <v>0</v>
      </c>
      <c r="H41" s="142">
        <f>E41-G41</f>
        <v>10</v>
      </c>
      <c r="I41" s="125" t="s">
        <v>151</v>
      </c>
      <c r="J41" s="143"/>
      <c r="K41" s="143"/>
      <c r="L41" s="106"/>
      <c r="M41" s="143"/>
      <c r="N41" s="143"/>
    </row>
    <row r="42" spans="1:14">
      <c r="B42" s="137"/>
      <c r="C42" s="138"/>
      <c r="D42" s="139"/>
      <c r="E42" s="140"/>
      <c r="F42" s="141"/>
      <c r="G42" s="140"/>
      <c r="H42" s="142"/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11.189002571587434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v>3953</v>
      </c>
      <c r="I59" s="151"/>
      <c r="J59" s="165"/>
      <c r="K59" s="166">
        <f>H59+I59-J59</f>
        <v>3953</v>
      </c>
      <c r="L59" s="151">
        <v>4788</v>
      </c>
      <c r="M59" s="151">
        <v>5841</v>
      </c>
      <c r="N59" s="151">
        <v>7428</v>
      </c>
      <c r="O59" s="167"/>
      <c r="P59" s="168">
        <f>_xlfn.RRI(3,H59,N59)</f>
        <v>0.23399962269481844</v>
      </c>
    </row>
    <row r="60" spans="1:16" ht="5.25" customHeight="1">
      <c r="H60" s="169"/>
      <c r="I60" s="169"/>
      <c r="J60" s="169"/>
      <c r="K60" s="169"/>
    </row>
    <row r="61" spans="1:16">
      <c r="A61" s="83" t="s">
        <v>127</v>
      </c>
      <c r="H61" s="151">
        <v>-120.43</v>
      </c>
      <c r="I61" s="151"/>
      <c r="J61" s="151"/>
      <c r="K61" s="166">
        <f>H61+I61-J61</f>
        <v>-120.43</v>
      </c>
    </row>
    <row r="62" spans="1:16" s="120" customFormat="1">
      <c r="A62" s="83" t="s">
        <v>128</v>
      </c>
      <c r="H62" s="151">
        <f>H63-H61</f>
        <v>1146.077</v>
      </c>
      <c r="I62" s="151"/>
      <c r="J62" s="151"/>
      <c r="K62" s="170"/>
    </row>
    <row r="63" spans="1:16" s="120" customFormat="1">
      <c r="A63" s="171" t="s">
        <v>129</v>
      </c>
      <c r="H63" s="172">
        <f>H65+H64</f>
        <v>1025.6469999999999</v>
      </c>
      <c r="I63" s="172"/>
      <c r="J63" s="172"/>
      <c r="K63" s="166">
        <f>H63+I63-J63</f>
        <v>1025.6469999999999</v>
      </c>
      <c r="L63" s="151">
        <v>969.2</v>
      </c>
      <c r="M63" s="151">
        <v>1347</v>
      </c>
      <c r="N63" s="151">
        <v>1815</v>
      </c>
      <c r="O63" s="169"/>
      <c r="P63" s="168">
        <f>_xlfn.RRI(3,H63,N63)</f>
        <v>0.20955671943970922</v>
      </c>
    </row>
    <row r="64" spans="1:16">
      <c r="A64" s="83" t="s">
        <v>130</v>
      </c>
      <c r="H64" s="151">
        <v>187.952</v>
      </c>
      <c r="I64" s="151"/>
      <c r="J64" s="151"/>
      <c r="K64" s="169"/>
    </row>
    <row r="65" spans="1:16" s="120" customFormat="1">
      <c r="A65" s="120" t="s">
        <v>131</v>
      </c>
      <c r="H65" s="172">
        <v>837.69500000000005</v>
      </c>
      <c r="I65" s="172"/>
      <c r="J65" s="172"/>
      <c r="K65" s="166">
        <f>H65+I65-J65</f>
        <v>837.69500000000005</v>
      </c>
      <c r="L65" s="151">
        <v>1189</v>
      </c>
      <c r="M65" s="151">
        <v>1554</v>
      </c>
      <c r="N65" s="151">
        <v>2053</v>
      </c>
      <c r="O65" s="169"/>
      <c r="P65" s="168">
        <f>_xlfn.RRI(3,H65,N65)</f>
        <v>0.34824145162561648</v>
      </c>
    </row>
    <row r="66" spans="1:16" ht="6" customHeight="1">
      <c r="H66" s="169"/>
      <c r="I66" s="169"/>
      <c r="J66" s="169"/>
      <c r="K66" s="169"/>
    </row>
    <row r="67" spans="1:16">
      <c r="A67" s="83" t="s">
        <v>132</v>
      </c>
      <c r="H67" s="151">
        <v>-16.956</v>
      </c>
      <c r="I67" s="151"/>
      <c r="J67" s="151"/>
      <c r="K67" s="166">
        <f>H67+I67-J67</f>
        <v>-16.956</v>
      </c>
    </row>
    <row r="68" spans="1:16">
      <c r="A68" s="83" t="s">
        <v>133</v>
      </c>
      <c r="H68" s="151">
        <f>H62</f>
        <v>1146.077</v>
      </c>
      <c r="I68" s="151"/>
      <c r="J68" s="151"/>
    </row>
    <row r="69" spans="1:16">
      <c r="A69" s="83" t="s">
        <v>134</v>
      </c>
      <c r="G69" s="83" t="s">
        <v>155</v>
      </c>
      <c r="H69" s="151"/>
      <c r="I69" s="151"/>
      <c r="J69" s="151"/>
    </row>
    <row r="70" spans="1:16">
      <c r="A70" s="83" t="s">
        <v>135</v>
      </c>
      <c r="H70" s="151"/>
      <c r="I70" s="151"/>
      <c r="J70" s="151"/>
    </row>
    <row r="71" spans="1:16">
      <c r="A71" s="83" t="s">
        <v>136</v>
      </c>
      <c r="H71" s="151"/>
      <c r="I71" s="151"/>
      <c r="J71" s="151"/>
    </row>
    <row r="72" spans="1:16">
      <c r="A72" s="120" t="s">
        <v>137</v>
      </c>
      <c r="H72" s="172"/>
      <c r="I72" s="172"/>
      <c r="J72" s="172"/>
    </row>
    <row r="73" spans="1:16">
      <c r="A73" s="83" t="s">
        <v>138</v>
      </c>
      <c r="H73" s="151"/>
      <c r="I73" s="151"/>
      <c r="J73" s="151"/>
    </row>
    <row r="74" spans="1:16" s="120" customFormat="1">
      <c r="A74" s="120" t="s">
        <v>139</v>
      </c>
      <c r="G74" s="120" t="s">
        <v>156</v>
      </c>
      <c r="H74" s="166">
        <v>987.63699999999994</v>
      </c>
      <c r="I74" s="166">
        <v>0</v>
      </c>
      <c r="J74" s="166">
        <v>0</v>
      </c>
      <c r="K74" s="166">
        <f>H74+I74-J74</f>
        <v>987.63699999999994</v>
      </c>
      <c r="L74" s="151">
        <v>-105</v>
      </c>
      <c r="M74" s="151">
        <v>144</v>
      </c>
      <c r="N74" s="151">
        <v>412.6</v>
      </c>
      <c r="O74" s="169"/>
      <c r="P74" s="168">
        <f>_xlfn.RRI(3,H74,N74)</f>
        <v>-0.25244361134213567</v>
      </c>
    </row>
    <row r="75" spans="1:16">
      <c r="H75" s="169"/>
      <c r="I75" s="169"/>
      <c r="J75" s="169"/>
      <c r="K75" s="169"/>
    </row>
    <row r="76" spans="1:16">
      <c r="A76" s="83" t="s">
        <v>140</v>
      </c>
      <c r="H76" s="151">
        <v>244.75</v>
      </c>
      <c r="I76" s="151">
        <v>0</v>
      </c>
      <c r="J76" s="151"/>
      <c r="K76" s="169"/>
    </row>
    <row r="77" spans="1:16">
      <c r="A77" s="83" t="s">
        <v>141</v>
      </c>
      <c r="H77" s="173">
        <f>H74/H76</f>
        <v>4.0352890704800819</v>
      </c>
      <c r="I77" s="173"/>
      <c r="J77" s="173"/>
      <c r="K77" s="166">
        <f>H77+I77-J77</f>
        <v>4.0352890704800819</v>
      </c>
      <c r="L77" s="174">
        <v>0.36</v>
      </c>
      <c r="M77" s="174">
        <v>0.56000000000000005</v>
      </c>
      <c r="N77" s="174">
        <v>1.67</v>
      </c>
      <c r="P77" s="168">
        <f>_xlfn.RRI(3,H77,N77)</f>
        <v>-0.25478668383426462</v>
      </c>
    </row>
    <row r="78" spans="1:16">
      <c r="H78" s="169"/>
      <c r="I78" s="169"/>
      <c r="J78" s="169"/>
      <c r="K78" s="169"/>
      <c r="L78" s="150" t="s">
        <v>157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A197-36A0-431A-82DD-EE9AA98FC349}">
  <dimension ref="A1:P106"/>
  <sheetViews>
    <sheetView topLeftCell="H46" zoomScale="80" zoomScaleNormal="80" workbookViewId="0">
      <selection activeCell="N78" sqref="N78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202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f>DATE(2025,2,11)</f>
        <v>45699</v>
      </c>
    </row>
    <row r="7" spans="1:9">
      <c r="A7" s="87" t="s">
        <v>84</v>
      </c>
      <c r="F7" s="90" t="s">
        <v>213</v>
      </c>
    </row>
    <row r="8" spans="1:9">
      <c r="A8" s="87" t="s">
        <v>85</v>
      </c>
      <c r="F8" s="91">
        <v>45504</v>
      </c>
    </row>
    <row r="9" spans="1:9">
      <c r="A9" s="87" t="s">
        <v>86</v>
      </c>
      <c r="F9" s="91">
        <v>45688</v>
      </c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71.59</v>
      </c>
      <c r="D15" s="101"/>
      <c r="E15" s="101"/>
      <c r="F15" s="102"/>
      <c r="G15" s="103"/>
    </row>
    <row r="16" spans="1:9">
      <c r="A16" s="87" t="s">
        <v>93</v>
      </c>
      <c r="C16" s="101">
        <v>265.214</v>
      </c>
      <c r="D16" s="101"/>
      <c r="E16" s="101"/>
      <c r="F16" s="104"/>
    </row>
    <row r="17" spans="1:9">
      <c r="A17" s="87" t="s">
        <v>94</v>
      </c>
      <c r="C17" s="105">
        <f>C16+H45+G53</f>
        <v>284.16800000000001</v>
      </c>
      <c r="D17" s="105"/>
      <c r="E17" s="105"/>
      <c r="F17" s="104"/>
      <c r="H17" s="106"/>
    </row>
    <row r="18" spans="1:9">
      <c r="A18" s="87" t="s">
        <v>73</v>
      </c>
      <c r="C18" s="105">
        <f>C15*C17</f>
        <v>20343.58712</v>
      </c>
      <c r="D18" s="105"/>
      <c r="E18" s="105"/>
      <c r="F18" s="107">
        <f>SUM(C18:E18)+28.2</f>
        <v>20371.787120000001</v>
      </c>
      <c r="G18" s="83" t="s">
        <v>148</v>
      </c>
      <c r="I18" s="106"/>
    </row>
    <row r="19" spans="1:9">
      <c r="A19" s="87" t="s">
        <v>4</v>
      </c>
      <c r="D19" s="108"/>
      <c r="E19" s="108"/>
      <c r="F19" s="109">
        <v>0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570.70299999999997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v>570.70299999999997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655.27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20287.220120000002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367.03</v>
      </c>
      <c r="H31" s="106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19920.190120000003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71.689237071028401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>
        <v>18.954000000000001</v>
      </c>
      <c r="C40" s="138">
        <v>0</v>
      </c>
      <c r="D40" s="139" t="str">
        <f>IF(C40&lt;$C$15,"Yes","N0")</f>
        <v>Yes</v>
      </c>
      <c r="E40" s="140">
        <f>IF(D40="Yes",B40,0)</f>
        <v>18.954000000000001</v>
      </c>
      <c r="F40" s="141">
        <f>E40*C40</f>
        <v>0</v>
      </c>
      <c r="G40" s="140">
        <f>F40/$C$15</f>
        <v>0</v>
      </c>
      <c r="H40" s="142">
        <f>E40-G40</f>
        <v>18.954000000000001</v>
      </c>
      <c r="I40" s="125" t="s">
        <v>150</v>
      </c>
      <c r="J40" s="143"/>
      <c r="K40" s="143"/>
      <c r="L40" s="106"/>
      <c r="M40" s="143"/>
      <c r="N40" s="143"/>
    </row>
    <row r="41" spans="1:14">
      <c r="B41" s="137"/>
      <c r="C41" s="138"/>
      <c r="D41" s="139"/>
      <c r="E41" s="140"/>
      <c r="F41" s="141"/>
      <c r="G41" s="140"/>
      <c r="H41" s="142"/>
      <c r="I41" s="125" t="s">
        <v>151</v>
      </c>
      <c r="J41" s="143"/>
      <c r="K41" s="143"/>
      <c r="L41" s="106"/>
      <c r="M41" s="143"/>
      <c r="N41" s="143"/>
    </row>
    <row r="42" spans="1:14">
      <c r="B42" s="137"/>
      <c r="C42" s="138"/>
      <c r="D42" s="139"/>
      <c r="E42" s="140"/>
      <c r="F42" s="141"/>
      <c r="G42" s="140"/>
      <c r="H42" s="142"/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18.954000000000001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v>1067.9480000000001</v>
      </c>
      <c r="I59" s="151">
        <v>656.10599999999999</v>
      </c>
      <c r="J59" s="165">
        <v>546.58199999999999</v>
      </c>
      <c r="K59" s="166">
        <f>H59+I59-J59</f>
        <v>1177.4720000000002</v>
      </c>
      <c r="L59" s="151">
        <v>2510</v>
      </c>
      <c r="M59" s="151">
        <v>2903</v>
      </c>
      <c r="N59" s="151">
        <v>3321</v>
      </c>
      <c r="O59" s="167"/>
      <c r="P59" s="168">
        <f>_xlfn.RRI(3,H59,N59)</f>
        <v>0.45961927435936945</v>
      </c>
    </row>
    <row r="60" spans="1:16" ht="5.25" customHeight="1">
      <c r="H60" s="169"/>
      <c r="I60" s="169"/>
      <c r="J60" s="169"/>
      <c r="K60" s="169"/>
    </row>
    <row r="61" spans="1:16">
      <c r="A61" s="83" t="s">
        <v>127</v>
      </c>
      <c r="H61" s="151">
        <v>7.5629999999999997</v>
      </c>
      <c r="I61" s="151">
        <v>92.688000000000002</v>
      </c>
      <c r="J61" s="151">
        <v>31.338999999999999</v>
      </c>
      <c r="K61" s="166">
        <f>H61+I61-J61</f>
        <v>68.912000000000006</v>
      </c>
    </row>
    <row r="62" spans="1:16" s="120" customFormat="1">
      <c r="A62" s="83" t="s">
        <v>128</v>
      </c>
      <c r="H62" s="151">
        <f>H63-H61</f>
        <v>412.73600000000005</v>
      </c>
      <c r="I62" s="151">
        <f t="shared" ref="I62:J62" si="0">I63-I61</f>
        <v>105.039</v>
      </c>
      <c r="J62" s="151">
        <f t="shared" si="0"/>
        <v>128.95000000000002</v>
      </c>
      <c r="K62" s="170"/>
    </row>
    <row r="63" spans="1:16" s="120" customFormat="1">
      <c r="A63" s="171" t="s">
        <v>129</v>
      </c>
      <c r="H63" s="172">
        <f>H65+H64</f>
        <v>420.29900000000004</v>
      </c>
      <c r="I63" s="172">
        <f t="shared" ref="I63:J63" si="1">I65+I64</f>
        <v>197.727</v>
      </c>
      <c r="J63" s="172">
        <f t="shared" si="1"/>
        <v>160.28900000000002</v>
      </c>
      <c r="K63" s="166">
        <f>H63+I63-J63</f>
        <v>457.73700000000008</v>
      </c>
      <c r="L63" s="151">
        <v>465.6</v>
      </c>
      <c r="M63" s="151">
        <v>568.29999999999995</v>
      </c>
      <c r="N63" s="151">
        <v>734.9</v>
      </c>
      <c r="O63" s="169"/>
      <c r="P63" s="168">
        <f>_xlfn.RRI(3,H63,N63)</f>
        <v>0.20473066117272753</v>
      </c>
    </row>
    <row r="64" spans="1:16">
      <c r="A64" s="83" t="s">
        <v>130</v>
      </c>
      <c r="H64" s="151">
        <v>73.198999999999998</v>
      </c>
      <c r="I64" s="151">
        <v>36.427</v>
      </c>
      <c r="J64" s="151">
        <v>36.389000000000003</v>
      </c>
      <c r="K64" s="169"/>
    </row>
    <row r="65" spans="1:16" s="120" customFormat="1">
      <c r="A65" s="120" t="s">
        <v>131</v>
      </c>
      <c r="H65" s="172">
        <v>347.1</v>
      </c>
      <c r="I65" s="172">
        <v>161.30000000000001</v>
      </c>
      <c r="J65" s="172">
        <v>123.9</v>
      </c>
      <c r="K65" s="166">
        <f>H65+I65-J65</f>
        <v>384.5</v>
      </c>
      <c r="L65" s="151">
        <v>540.70000000000005</v>
      </c>
      <c r="M65" s="151">
        <v>66.599999999999994</v>
      </c>
      <c r="N65" s="151">
        <v>834.5</v>
      </c>
      <c r="O65" s="169"/>
      <c r="P65" s="168">
        <f>_xlfn.RRI(3,H65,N65)</f>
        <v>0.3396476166694522</v>
      </c>
    </row>
    <row r="66" spans="1:16" ht="6" customHeight="1">
      <c r="H66" s="169"/>
      <c r="I66" s="169"/>
      <c r="J66" s="169"/>
      <c r="K66" s="169"/>
    </row>
    <row r="67" spans="1:16">
      <c r="A67" s="83" t="s">
        <v>132</v>
      </c>
      <c r="H67" s="151">
        <v>1254</v>
      </c>
      <c r="I67" s="151"/>
      <c r="J67" s="151"/>
      <c r="K67" s="166">
        <f>H67+I67-J67</f>
        <v>1254</v>
      </c>
    </row>
    <row r="68" spans="1:16">
      <c r="A68" s="83" t="s">
        <v>133</v>
      </c>
      <c r="H68" s="151">
        <f>H62</f>
        <v>412.73600000000005</v>
      </c>
      <c r="I68" s="151"/>
      <c r="J68" s="151"/>
    </row>
    <row r="69" spans="1:16">
      <c r="A69" s="83" t="s">
        <v>134</v>
      </c>
      <c r="G69" s="83" t="s">
        <v>155</v>
      </c>
      <c r="H69" s="151"/>
      <c r="I69" s="151"/>
      <c r="J69" s="151"/>
    </row>
    <row r="70" spans="1:16">
      <c r="A70" s="83" t="s">
        <v>135</v>
      </c>
      <c r="H70" s="151"/>
      <c r="I70" s="151"/>
      <c r="J70" s="151"/>
    </row>
    <row r="71" spans="1:16">
      <c r="A71" s="83" t="s">
        <v>136</v>
      </c>
      <c r="H71" s="151"/>
      <c r="I71" s="151"/>
      <c r="J71" s="151"/>
    </row>
    <row r="72" spans="1:16">
      <c r="A72" s="120" t="s">
        <v>137</v>
      </c>
      <c r="H72" s="172"/>
      <c r="I72" s="172"/>
      <c r="J72" s="172"/>
    </row>
    <row r="73" spans="1:16">
      <c r="A73" s="83" t="s">
        <v>138</v>
      </c>
      <c r="H73" s="151"/>
      <c r="I73" s="151"/>
      <c r="J73" s="151"/>
    </row>
    <row r="74" spans="1:16" s="120" customFormat="1">
      <c r="A74" s="120" t="s">
        <v>139</v>
      </c>
      <c r="G74" s="120" t="s">
        <v>156</v>
      </c>
      <c r="H74" s="166">
        <v>384.2</v>
      </c>
      <c r="I74" s="166">
        <v>165.1</v>
      </c>
      <c r="J74" s="166">
        <v>136.30000000000001</v>
      </c>
      <c r="K74" s="166">
        <f>H74+I74-J74</f>
        <v>412.99999999999994</v>
      </c>
      <c r="L74" s="151">
        <v>73.900000000000006</v>
      </c>
      <c r="M74" s="151">
        <v>186.1</v>
      </c>
      <c r="N74" s="151">
        <v>345.9</v>
      </c>
      <c r="O74" s="169"/>
      <c r="P74" s="168">
        <f>_xlfn.RRI(3,H74,N74)</f>
        <v>-3.439894002646593E-2</v>
      </c>
    </row>
    <row r="75" spans="1:16">
      <c r="H75" s="169"/>
      <c r="I75" s="169"/>
      <c r="J75" s="169"/>
      <c r="K75" s="169"/>
    </row>
    <row r="76" spans="1:16">
      <c r="A76" s="83" t="s">
        <v>140</v>
      </c>
      <c r="H76" s="151">
        <v>244.74299999999999</v>
      </c>
      <c r="I76" s="151">
        <v>294.851</v>
      </c>
      <c r="J76" s="151">
        <v>291.08600000000001</v>
      </c>
      <c r="K76" s="169"/>
    </row>
    <row r="77" spans="1:16">
      <c r="A77" s="83" t="s">
        <v>141</v>
      </c>
      <c r="H77" s="173">
        <f>H74/H76</f>
        <v>1.5698099639213379</v>
      </c>
      <c r="I77" s="173">
        <f t="shared" ref="I77:J77" si="2">I74/I76</f>
        <v>0.55994383603921982</v>
      </c>
      <c r="J77" s="173">
        <f t="shared" si="2"/>
        <v>0.46824649759864784</v>
      </c>
      <c r="K77" s="166">
        <f>H77+I77-J77</f>
        <v>1.66150730236191</v>
      </c>
      <c r="L77" s="174">
        <v>0.24590000000000001</v>
      </c>
      <c r="M77" s="174">
        <v>0.58109999999999995</v>
      </c>
      <c r="N77" s="174">
        <v>1.083</v>
      </c>
      <c r="P77" s="168">
        <f>_xlfn.RRI(3,H77,N77)</f>
        <v>-0.11639033325070891</v>
      </c>
    </row>
    <row r="78" spans="1:16">
      <c r="H78" s="169"/>
      <c r="I78" s="169"/>
      <c r="J78" s="169"/>
      <c r="K78" s="169"/>
      <c r="L78" s="150" t="s">
        <v>157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F2F3-6E7D-42B3-9262-26BB49AEE078}">
  <dimension ref="A1:P106"/>
  <sheetViews>
    <sheetView topLeftCell="A32" zoomScale="70" zoomScaleNormal="70" workbookViewId="0">
      <selection activeCell="J75" sqref="J75"/>
    </sheetView>
  </sheetViews>
  <sheetFormatPr defaultColWidth="11.44140625" defaultRowHeight="16.8"/>
  <cols>
    <col min="1" max="1" width="3.33203125" style="83" customWidth="1"/>
    <col min="2" max="2" width="33.6640625" style="83" customWidth="1"/>
    <col min="3" max="3" width="11.44140625" style="83"/>
    <col min="4" max="4" width="10.6640625" style="83" bestFit="1" customWidth="1"/>
    <col min="5" max="5" width="10.6640625" style="83" customWidth="1"/>
    <col min="6" max="6" width="11.5546875" style="83" bestFit="1" customWidth="1"/>
    <col min="7" max="7" width="13.33203125" style="83" customWidth="1"/>
    <col min="8" max="8" width="14" style="83" customWidth="1"/>
    <col min="9" max="9" width="13" style="83" customWidth="1"/>
    <col min="10" max="10" width="9.6640625" style="83" customWidth="1"/>
    <col min="11" max="11" width="12" style="83" bestFit="1" customWidth="1"/>
    <col min="12" max="12" width="10.44140625" style="83" customWidth="1"/>
    <col min="13" max="13" width="11.6640625" style="83" bestFit="1" customWidth="1"/>
    <col min="14" max="14" width="11.33203125" style="83" bestFit="1" customWidth="1"/>
    <col min="15" max="17" width="11.44140625" style="83"/>
    <col min="18" max="18" width="2.33203125" style="83" customWidth="1"/>
    <col min="19" max="254" width="11.44140625" style="83"/>
    <col min="255" max="255" width="3.33203125" style="83" customWidth="1"/>
    <col min="256" max="256" width="33.6640625" style="83" customWidth="1"/>
    <col min="257" max="257" width="11.44140625" style="83"/>
    <col min="258" max="258" width="10.6640625" style="83" bestFit="1" customWidth="1"/>
    <col min="259" max="259" width="10.6640625" style="83" customWidth="1"/>
    <col min="260" max="260" width="11.33203125" style="83" bestFit="1" customWidth="1"/>
    <col min="261" max="261" width="11.44140625" style="83"/>
    <col min="262" max="262" width="12.5546875" style="83" customWidth="1"/>
    <col min="263" max="263" width="11.44140625" style="83"/>
    <col min="264" max="264" width="9.6640625" style="83" bestFit="1" customWidth="1"/>
    <col min="265" max="265" width="12" style="83" bestFit="1" customWidth="1"/>
    <col min="266" max="266" width="11.44140625" style="83"/>
    <col min="267" max="267" width="12" style="83" bestFit="1" customWidth="1"/>
    <col min="268" max="268" width="10.44140625" style="83" customWidth="1"/>
    <col min="269" max="269" width="11.6640625" style="83" bestFit="1" customWidth="1"/>
    <col min="270" max="270" width="11.33203125" style="83" bestFit="1" customWidth="1"/>
    <col min="271" max="273" width="11.44140625" style="83"/>
    <col min="274" max="274" width="2.33203125" style="83" customWidth="1"/>
    <col min="275" max="510" width="11.44140625" style="83"/>
    <col min="511" max="511" width="3.33203125" style="83" customWidth="1"/>
    <col min="512" max="512" width="33.6640625" style="83" customWidth="1"/>
    <col min="513" max="513" width="11.44140625" style="83"/>
    <col min="514" max="514" width="10.6640625" style="83" bestFit="1" customWidth="1"/>
    <col min="515" max="515" width="10.6640625" style="83" customWidth="1"/>
    <col min="516" max="516" width="11.33203125" style="83" bestFit="1" customWidth="1"/>
    <col min="517" max="517" width="11.44140625" style="83"/>
    <col min="518" max="518" width="12.5546875" style="83" customWidth="1"/>
    <col min="519" max="519" width="11.44140625" style="83"/>
    <col min="520" max="520" width="9.6640625" style="83" bestFit="1" customWidth="1"/>
    <col min="521" max="521" width="12" style="83" bestFit="1" customWidth="1"/>
    <col min="522" max="522" width="11.44140625" style="83"/>
    <col min="523" max="523" width="12" style="83" bestFit="1" customWidth="1"/>
    <col min="524" max="524" width="10.44140625" style="83" customWidth="1"/>
    <col min="525" max="525" width="11.6640625" style="83" bestFit="1" customWidth="1"/>
    <col min="526" max="526" width="11.33203125" style="83" bestFit="1" customWidth="1"/>
    <col min="527" max="529" width="11.44140625" style="83"/>
    <col min="530" max="530" width="2.33203125" style="83" customWidth="1"/>
    <col min="531" max="766" width="11.44140625" style="83"/>
    <col min="767" max="767" width="3.33203125" style="83" customWidth="1"/>
    <col min="768" max="768" width="33.6640625" style="83" customWidth="1"/>
    <col min="769" max="769" width="11.44140625" style="83"/>
    <col min="770" max="770" width="10.6640625" style="83" bestFit="1" customWidth="1"/>
    <col min="771" max="771" width="10.6640625" style="83" customWidth="1"/>
    <col min="772" max="772" width="11.33203125" style="83" bestFit="1" customWidth="1"/>
    <col min="773" max="773" width="11.44140625" style="83"/>
    <col min="774" max="774" width="12.5546875" style="83" customWidth="1"/>
    <col min="775" max="775" width="11.44140625" style="83"/>
    <col min="776" max="776" width="9.6640625" style="83" bestFit="1" customWidth="1"/>
    <col min="777" max="777" width="12" style="83" bestFit="1" customWidth="1"/>
    <col min="778" max="778" width="11.44140625" style="83"/>
    <col min="779" max="779" width="12" style="83" bestFit="1" customWidth="1"/>
    <col min="780" max="780" width="10.44140625" style="83" customWidth="1"/>
    <col min="781" max="781" width="11.6640625" style="83" bestFit="1" customWidth="1"/>
    <col min="782" max="782" width="11.33203125" style="83" bestFit="1" customWidth="1"/>
    <col min="783" max="785" width="11.44140625" style="83"/>
    <col min="786" max="786" width="2.33203125" style="83" customWidth="1"/>
    <col min="787" max="1022" width="11.44140625" style="83"/>
    <col min="1023" max="1023" width="3.33203125" style="83" customWidth="1"/>
    <col min="1024" max="1024" width="33.6640625" style="83" customWidth="1"/>
    <col min="1025" max="1025" width="11.44140625" style="83"/>
    <col min="1026" max="1026" width="10.6640625" style="83" bestFit="1" customWidth="1"/>
    <col min="1027" max="1027" width="10.6640625" style="83" customWidth="1"/>
    <col min="1028" max="1028" width="11.33203125" style="83" bestFit="1" customWidth="1"/>
    <col min="1029" max="1029" width="11.44140625" style="83"/>
    <col min="1030" max="1030" width="12.5546875" style="83" customWidth="1"/>
    <col min="1031" max="1031" width="11.44140625" style="83"/>
    <col min="1032" max="1032" width="9.6640625" style="83" bestFit="1" customWidth="1"/>
    <col min="1033" max="1033" width="12" style="83" bestFit="1" customWidth="1"/>
    <col min="1034" max="1034" width="11.44140625" style="83"/>
    <col min="1035" max="1035" width="12" style="83" bestFit="1" customWidth="1"/>
    <col min="1036" max="1036" width="10.44140625" style="83" customWidth="1"/>
    <col min="1037" max="1037" width="11.6640625" style="83" bestFit="1" customWidth="1"/>
    <col min="1038" max="1038" width="11.33203125" style="83" bestFit="1" customWidth="1"/>
    <col min="1039" max="1041" width="11.44140625" style="83"/>
    <col min="1042" max="1042" width="2.33203125" style="83" customWidth="1"/>
    <col min="1043" max="1278" width="11.44140625" style="83"/>
    <col min="1279" max="1279" width="3.33203125" style="83" customWidth="1"/>
    <col min="1280" max="1280" width="33.6640625" style="83" customWidth="1"/>
    <col min="1281" max="1281" width="11.44140625" style="83"/>
    <col min="1282" max="1282" width="10.6640625" style="83" bestFit="1" customWidth="1"/>
    <col min="1283" max="1283" width="10.6640625" style="83" customWidth="1"/>
    <col min="1284" max="1284" width="11.33203125" style="83" bestFit="1" customWidth="1"/>
    <col min="1285" max="1285" width="11.44140625" style="83"/>
    <col min="1286" max="1286" width="12.5546875" style="83" customWidth="1"/>
    <col min="1287" max="1287" width="11.44140625" style="83"/>
    <col min="1288" max="1288" width="9.6640625" style="83" bestFit="1" customWidth="1"/>
    <col min="1289" max="1289" width="12" style="83" bestFit="1" customWidth="1"/>
    <col min="1290" max="1290" width="11.44140625" style="83"/>
    <col min="1291" max="1291" width="12" style="83" bestFit="1" customWidth="1"/>
    <col min="1292" max="1292" width="10.44140625" style="83" customWidth="1"/>
    <col min="1293" max="1293" width="11.6640625" style="83" bestFit="1" customWidth="1"/>
    <col min="1294" max="1294" width="11.33203125" style="83" bestFit="1" customWidth="1"/>
    <col min="1295" max="1297" width="11.44140625" style="83"/>
    <col min="1298" max="1298" width="2.33203125" style="83" customWidth="1"/>
    <col min="1299" max="1534" width="11.44140625" style="83"/>
    <col min="1535" max="1535" width="3.33203125" style="83" customWidth="1"/>
    <col min="1536" max="1536" width="33.6640625" style="83" customWidth="1"/>
    <col min="1537" max="1537" width="11.44140625" style="83"/>
    <col min="1538" max="1538" width="10.6640625" style="83" bestFit="1" customWidth="1"/>
    <col min="1539" max="1539" width="10.6640625" style="83" customWidth="1"/>
    <col min="1540" max="1540" width="11.33203125" style="83" bestFit="1" customWidth="1"/>
    <col min="1541" max="1541" width="11.44140625" style="83"/>
    <col min="1542" max="1542" width="12.5546875" style="83" customWidth="1"/>
    <col min="1543" max="1543" width="11.44140625" style="83"/>
    <col min="1544" max="1544" width="9.6640625" style="83" bestFit="1" customWidth="1"/>
    <col min="1545" max="1545" width="12" style="83" bestFit="1" customWidth="1"/>
    <col min="1546" max="1546" width="11.44140625" style="83"/>
    <col min="1547" max="1547" width="12" style="83" bestFit="1" customWidth="1"/>
    <col min="1548" max="1548" width="10.44140625" style="83" customWidth="1"/>
    <col min="1549" max="1549" width="11.6640625" style="83" bestFit="1" customWidth="1"/>
    <col min="1550" max="1550" width="11.33203125" style="83" bestFit="1" customWidth="1"/>
    <col min="1551" max="1553" width="11.44140625" style="83"/>
    <col min="1554" max="1554" width="2.33203125" style="83" customWidth="1"/>
    <col min="1555" max="1790" width="11.44140625" style="83"/>
    <col min="1791" max="1791" width="3.33203125" style="83" customWidth="1"/>
    <col min="1792" max="1792" width="33.6640625" style="83" customWidth="1"/>
    <col min="1793" max="1793" width="11.44140625" style="83"/>
    <col min="1794" max="1794" width="10.6640625" style="83" bestFit="1" customWidth="1"/>
    <col min="1795" max="1795" width="10.6640625" style="83" customWidth="1"/>
    <col min="1796" max="1796" width="11.33203125" style="83" bestFit="1" customWidth="1"/>
    <col min="1797" max="1797" width="11.44140625" style="83"/>
    <col min="1798" max="1798" width="12.5546875" style="83" customWidth="1"/>
    <col min="1799" max="1799" width="11.44140625" style="83"/>
    <col min="1800" max="1800" width="9.6640625" style="83" bestFit="1" customWidth="1"/>
    <col min="1801" max="1801" width="12" style="83" bestFit="1" customWidth="1"/>
    <col min="1802" max="1802" width="11.44140625" style="83"/>
    <col min="1803" max="1803" width="12" style="83" bestFit="1" customWidth="1"/>
    <col min="1804" max="1804" width="10.44140625" style="83" customWidth="1"/>
    <col min="1805" max="1805" width="11.6640625" style="83" bestFit="1" customWidth="1"/>
    <col min="1806" max="1806" width="11.33203125" style="83" bestFit="1" customWidth="1"/>
    <col min="1807" max="1809" width="11.44140625" style="83"/>
    <col min="1810" max="1810" width="2.33203125" style="83" customWidth="1"/>
    <col min="1811" max="2046" width="11.44140625" style="83"/>
    <col min="2047" max="2047" width="3.33203125" style="83" customWidth="1"/>
    <col min="2048" max="2048" width="33.6640625" style="83" customWidth="1"/>
    <col min="2049" max="2049" width="11.44140625" style="83"/>
    <col min="2050" max="2050" width="10.6640625" style="83" bestFit="1" customWidth="1"/>
    <col min="2051" max="2051" width="10.6640625" style="83" customWidth="1"/>
    <col min="2052" max="2052" width="11.33203125" style="83" bestFit="1" customWidth="1"/>
    <col min="2053" max="2053" width="11.44140625" style="83"/>
    <col min="2054" max="2054" width="12.5546875" style="83" customWidth="1"/>
    <col min="2055" max="2055" width="11.44140625" style="83"/>
    <col min="2056" max="2056" width="9.6640625" style="83" bestFit="1" customWidth="1"/>
    <col min="2057" max="2057" width="12" style="83" bestFit="1" customWidth="1"/>
    <col min="2058" max="2058" width="11.44140625" style="83"/>
    <col min="2059" max="2059" width="12" style="83" bestFit="1" customWidth="1"/>
    <col min="2060" max="2060" width="10.44140625" style="83" customWidth="1"/>
    <col min="2061" max="2061" width="11.6640625" style="83" bestFit="1" customWidth="1"/>
    <col min="2062" max="2062" width="11.33203125" style="83" bestFit="1" customWidth="1"/>
    <col min="2063" max="2065" width="11.44140625" style="83"/>
    <col min="2066" max="2066" width="2.33203125" style="83" customWidth="1"/>
    <col min="2067" max="2302" width="11.44140625" style="83"/>
    <col min="2303" max="2303" width="3.33203125" style="83" customWidth="1"/>
    <col min="2304" max="2304" width="33.6640625" style="83" customWidth="1"/>
    <col min="2305" max="2305" width="11.44140625" style="83"/>
    <col min="2306" max="2306" width="10.6640625" style="83" bestFit="1" customWidth="1"/>
    <col min="2307" max="2307" width="10.6640625" style="83" customWidth="1"/>
    <col min="2308" max="2308" width="11.33203125" style="83" bestFit="1" customWidth="1"/>
    <col min="2309" max="2309" width="11.44140625" style="83"/>
    <col min="2310" max="2310" width="12.5546875" style="83" customWidth="1"/>
    <col min="2311" max="2311" width="11.44140625" style="83"/>
    <col min="2312" max="2312" width="9.6640625" style="83" bestFit="1" customWidth="1"/>
    <col min="2313" max="2313" width="12" style="83" bestFit="1" customWidth="1"/>
    <col min="2314" max="2314" width="11.44140625" style="83"/>
    <col min="2315" max="2315" width="12" style="83" bestFit="1" customWidth="1"/>
    <col min="2316" max="2316" width="10.44140625" style="83" customWidth="1"/>
    <col min="2317" max="2317" width="11.6640625" style="83" bestFit="1" customWidth="1"/>
    <col min="2318" max="2318" width="11.33203125" style="83" bestFit="1" customWidth="1"/>
    <col min="2319" max="2321" width="11.44140625" style="83"/>
    <col min="2322" max="2322" width="2.33203125" style="83" customWidth="1"/>
    <col min="2323" max="2558" width="11.44140625" style="83"/>
    <col min="2559" max="2559" width="3.33203125" style="83" customWidth="1"/>
    <col min="2560" max="2560" width="33.6640625" style="83" customWidth="1"/>
    <col min="2561" max="2561" width="11.44140625" style="83"/>
    <col min="2562" max="2562" width="10.6640625" style="83" bestFit="1" customWidth="1"/>
    <col min="2563" max="2563" width="10.6640625" style="83" customWidth="1"/>
    <col min="2564" max="2564" width="11.33203125" style="83" bestFit="1" customWidth="1"/>
    <col min="2565" max="2565" width="11.44140625" style="83"/>
    <col min="2566" max="2566" width="12.5546875" style="83" customWidth="1"/>
    <col min="2567" max="2567" width="11.44140625" style="83"/>
    <col min="2568" max="2568" width="9.6640625" style="83" bestFit="1" customWidth="1"/>
    <col min="2569" max="2569" width="12" style="83" bestFit="1" customWidth="1"/>
    <col min="2570" max="2570" width="11.44140625" style="83"/>
    <col min="2571" max="2571" width="12" style="83" bestFit="1" customWidth="1"/>
    <col min="2572" max="2572" width="10.44140625" style="83" customWidth="1"/>
    <col min="2573" max="2573" width="11.6640625" style="83" bestFit="1" customWidth="1"/>
    <col min="2574" max="2574" width="11.33203125" style="83" bestFit="1" customWidth="1"/>
    <col min="2575" max="2577" width="11.44140625" style="83"/>
    <col min="2578" max="2578" width="2.33203125" style="83" customWidth="1"/>
    <col min="2579" max="2814" width="11.44140625" style="83"/>
    <col min="2815" max="2815" width="3.33203125" style="83" customWidth="1"/>
    <col min="2816" max="2816" width="33.6640625" style="83" customWidth="1"/>
    <col min="2817" max="2817" width="11.44140625" style="83"/>
    <col min="2818" max="2818" width="10.6640625" style="83" bestFit="1" customWidth="1"/>
    <col min="2819" max="2819" width="10.6640625" style="83" customWidth="1"/>
    <col min="2820" max="2820" width="11.33203125" style="83" bestFit="1" customWidth="1"/>
    <col min="2821" max="2821" width="11.44140625" style="83"/>
    <col min="2822" max="2822" width="12.5546875" style="83" customWidth="1"/>
    <col min="2823" max="2823" width="11.44140625" style="83"/>
    <col min="2824" max="2824" width="9.6640625" style="83" bestFit="1" customWidth="1"/>
    <col min="2825" max="2825" width="12" style="83" bestFit="1" customWidth="1"/>
    <col min="2826" max="2826" width="11.44140625" style="83"/>
    <col min="2827" max="2827" width="12" style="83" bestFit="1" customWidth="1"/>
    <col min="2828" max="2828" width="10.44140625" style="83" customWidth="1"/>
    <col min="2829" max="2829" width="11.6640625" style="83" bestFit="1" customWidth="1"/>
    <col min="2830" max="2830" width="11.33203125" style="83" bestFit="1" customWidth="1"/>
    <col min="2831" max="2833" width="11.44140625" style="83"/>
    <col min="2834" max="2834" width="2.33203125" style="83" customWidth="1"/>
    <col min="2835" max="3070" width="11.44140625" style="83"/>
    <col min="3071" max="3071" width="3.33203125" style="83" customWidth="1"/>
    <col min="3072" max="3072" width="33.6640625" style="83" customWidth="1"/>
    <col min="3073" max="3073" width="11.44140625" style="83"/>
    <col min="3074" max="3074" width="10.6640625" style="83" bestFit="1" customWidth="1"/>
    <col min="3075" max="3075" width="10.6640625" style="83" customWidth="1"/>
    <col min="3076" max="3076" width="11.33203125" style="83" bestFit="1" customWidth="1"/>
    <col min="3077" max="3077" width="11.44140625" style="83"/>
    <col min="3078" max="3078" width="12.5546875" style="83" customWidth="1"/>
    <col min="3079" max="3079" width="11.44140625" style="83"/>
    <col min="3080" max="3080" width="9.6640625" style="83" bestFit="1" customWidth="1"/>
    <col min="3081" max="3081" width="12" style="83" bestFit="1" customWidth="1"/>
    <col min="3082" max="3082" width="11.44140625" style="83"/>
    <col min="3083" max="3083" width="12" style="83" bestFit="1" customWidth="1"/>
    <col min="3084" max="3084" width="10.44140625" style="83" customWidth="1"/>
    <col min="3085" max="3085" width="11.6640625" style="83" bestFit="1" customWidth="1"/>
    <col min="3086" max="3086" width="11.33203125" style="83" bestFit="1" customWidth="1"/>
    <col min="3087" max="3089" width="11.44140625" style="83"/>
    <col min="3090" max="3090" width="2.33203125" style="83" customWidth="1"/>
    <col min="3091" max="3326" width="11.44140625" style="83"/>
    <col min="3327" max="3327" width="3.33203125" style="83" customWidth="1"/>
    <col min="3328" max="3328" width="33.6640625" style="83" customWidth="1"/>
    <col min="3329" max="3329" width="11.44140625" style="83"/>
    <col min="3330" max="3330" width="10.6640625" style="83" bestFit="1" customWidth="1"/>
    <col min="3331" max="3331" width="10.6640625" style="83" customWidth="1"/>
    <col min="3332" max="3332" width="11.33203125" style="83" bestFit="1" customWidth="1"/>
    <col min="3333" max="3333" width="11.44140625" style="83"/>
    <col min="3334" max="3334" width="12.5546875" style="83" customWidth="1"/>
    <col min="3335" max="3335" width="11.44140625" style="83"/>
    <col min="3336" max="3336" width="9.6640625" style="83" bestFit="1" customWidth="1"/>
    <col min="3337" max="3337" width="12" style="83" bestFit="1" customWidth="1"/>
    <col min="3338" max="3338" width="11.44140625" style="83"/>
    <col min="3339" max="3339" width="12" style="83" bestFit="1" customWidth="1"/>
    <col min="3340" max="3340" width="10.44140625" style="83" customWidth="1"/>
    <col min="3341" max="3341" width="11.6640625" style="83" bestFit="1" customWidth="1"/>
    <col min="3342" max="3342" width="11.33203125" style="83" bestFit="1" customWidth="1"/>
    <col min="3343" max="3345" width="11.44140625" style="83"/>
    <col min="3346" max="3346" width="2.33203125" style="83" customWidth="1"/>
    <col min="3347" max="3582" width="11.44140625" style="83"/>
    <col min="3583" max="3583" width="3.33203125" style="83" customWidth="1"/>
    <col min="3584" max="3584" width="33.6640625" style="83" customWidth="1"/>
    <col min="3585" max="3585" width="11.44140625" style="83"/>
    <col min="3586" max="3586" width="10.6640625" style="83" bestFit="1" customWidth="1"/>
    <col min="3587" max="3587" width="10.6640625" style="83" customWidth="1"/>
    <col min="3588" max="3588" width="11.33203125" style="83" bestFit="1" customWidth="1"/>
    <col min="3589" max="3589" width="11.44140625" style="83"/>
    <col min="3590" max="3590" width="12.5546875" style="83" customWidth="1"/>
    <col min="3591" max="3591" width="11.44140625" style="83"/>
    <col min="3592" max="3592" width="9.6640625" style="83" bestFit="1" customWidth="1"/>
    <col min="3593" max="3593" width="12" style="83" bestFit="1" customWidth="1"/>
    <col min="3594" max="3594" width="11.44140625" style="83"/>
    <col min="3595" max="3595" width="12" style="83" bestFit="1" customWidth="1"/>
    <col min="3596" max="3596" width="10.44140625" style="83" customWidth="1"/>
    <col min="3597" max="3597" width="11.6640625" style="83" bestFit="1" customWidth="1"/>
    <col min="3598" max="3598" width="11.33203125" style="83" bestFit="1" customWidth="1"/>
    <col min="3599" max="3601" width="11.44140625" style="83"/>
    <col min="3602" max="3602" width="2.33203125" style="83" customWidth="1"/>
    <col min="3603" max="3838" width="11.44140625" style="83"/>
    <col min="3839" max="3839" width="3.33203125" style="83" customWidth="1"/>
    <col min="3840" max="3840" width="33.6640625" style="83" customWidth="1"/>
    <col min="3841" max="3841" width="11.44140625" style="83"/>
    <col min="3842" max="3842" width="10.6640625" style="83" bestFit="1" customWidth="1"/>
    <col min="3843" max="3843" width="10.6640625" style="83" customWidth="1"/>
    <col min="3844" max="3844" width="11.33203125" style="83" bestFit="1" customWidth="1"/>
    <col min="3845" max="3845" width="11.44140625" style="83"/>
    <col min="3846" max="3846" width="12.5546875" style="83" customWidth="1"/>
    <col min="3847" max="3847" width="11.44140625" style="83"/>
    <col min="3848" max="3848" width="9.6640625" style="83" bestFit="1" customWidth="1"/>
    <col min="3849" max="3849" width="12" style="83" bestFit="1" customWidth="1"/>
    <col min="3850" max="3850" width="11.44140625" style="83"/>
    <col min="3851" max="3851" width="12" style="83" bestFit="1" customWidth="1"/>
    <col min="3852" max="3852" width="10.44140625" style="83" customWidth="1"/>
    <col min="3853" max="3853" width="11.6640625" style="83" bestFit="1" customWidth="1"/>
    <col min="3854" max="3854" width="11.33203125" style="83" bestFit="1" customWidth="1"/>
    <col min="3855" max="3857" width="11.44140625" style="83"/>
    <col min="3858" max="3858" width="2.33203125" style="83" customWidth="1"/>
    <col min="3859" max="4094" width="11.44140625" style="83"/>
    <col min="4095" max="4095" width="3.33203125" style="83" customWidth="1"/>
    <col min="4096" max="4096" width="33.6640625" style="83" customWidth="1"/>
    <col min="4097" max="4097" width="11.44140625" style="83"/>
    <col min="4098" max="4098" width="10.6640625" style="83" bestFit="1" customWidth="1"/>
    <col min="4099" max="4099" width="10.6640625" style="83" customWidth="1"/>
    <col min="4100" max="4100" width="11.33203125" style="83" bestFit="1" customWidth="1"/>
    <col min="4101" max="4101" width="11.44140625" style="83"/>
    <col min="4102" max="4102" width="12.5546875" style="83" customWidth="1"/>
    <col min="4103" max="4103" width="11.44140625" style="83"/>
    <col min="4104" max="4104" width="9.6640625" style="83" bestFit="1" customWidth="1"/>
    <col min="4105" max="4105" width="12" style="83" bestFit="1" customWidth="1"/>
    <col min="4106" max="4106" width="11.44140625" style="83"/>
    <col min="4107" max="4107" width="12" style="83" bestFit="1" customWidth="1"/>
    <col min="4108" max="4108" width="10.44140625" style="83" customWidth="1"/>
    <col min="4109" max="4109" width="11.6640625" style="83" bestFit="1" customWidth="1"/>
    <col min="4110" max="4110" width="11.33203125" style="83" bestFit="1" customWidth="1"/>
    <col min="4111" max="4113" width="11.44140625" style="83"/>
    <col min="4114" max="4114" width="2.33203125" style="83" customWidth="1"/>
    <col min="4115" max="4350" width="11.44140625" style="83"/>
    <col min="4351" max="4351" width="3.33203125" style="83" customWidth="1"/>
    <col min="4352" max="4352" width="33.6640625" style="83" customWidth="1"/>
    <col min="4353" max="4353" width="11.44140625" style="83"/>
    <col min="4354" max="4354" width="10.6640625" style="83" bestFit="1" customWidth="1"/>
    <col min="4355" max="4355" width="10.6640625" style="83" customWidth="1"/>
    <col min="4356" max="4356" width="11.33203125" style="83" bestFit="1" customWidth="1"/>
    <col min="4357" max="4357" width="11.44140625" style="83"/>
    <col min="4358" max="4358" width="12.5546875" style="83" customWidth="1"/>
    <col min="4359" max="4359" width="11.44140625" style="83"/>
    <col min="4360" max="4360" width="9.6640625" style="83" bestFit="1" customWidth="1"/>
    <col min="4361" max="4361" width="12" style="83" bestFit="1" customWidth="1"/>
    <col min="4362" max="4362" width="11.44140625" style="83"/>
    <col min="4363" max="4363" width="12" style="83" bestFit="1" customWidth="1"/>
    <col min="4364" max="4364" width="10.44140625" style="83" customWidth="1"/>
    <col min="4365" max="4365" width="11.6640625" style="83" bestFit="1" customWidth="1"/>
    <col min="4366" max="4366" width="11.33203125" style="83" bestFit="1" customWidth="1"/>
    <col min="4367" max="4369" width="11.44140625" style="83"/>
    <col min="4370" max="4370" width="2.33203125" style="83" customWidth="1"/>
    <col min="4371" max="4606" width="11.44140625" style="83"/>
    <col min="4607" max="4607" width="3.33203125" style="83" customWidth="1"/>
    <col min="4608" max="4608" width="33.6640625" style="83" customWidth="1"/>
    <col min="4609" max="4609" width="11.44140625" style="83"/>
    <col min="4610" max="4610" width="10.6640625" style="83" bestFit="1" customWidth="1"/>
    <col min="4611" max="4611" width="10.6640625" style="83" customWidth="1"/>
    <col min="4612" max="4612" width="11.33203125" style="83" bestFit="1" customWidth="1"/>
    <col min="4613" max="4613" width="11.44140625" style="83"/>
    <col min="4614" max="4614" width="12.5546875" style="83" customWidth="1"/>
    <col min="4615" max="4615" width="11.44140625" style="83"/>
    <col min="4616" max="4616" width="9.6640625" style="83" bestFit="1" customWidth="1"/>
    <col min="4617" max="4617" width="12" style="83" bestFit="1" customWidth="1"/>
    <col min="4618" max="4618" width="11.44140625" style="83"/>
    <col min="4619" max="4619" width="12" style="83" bestFit="1" customWidth="1"/>
    <col min="4620" max="4620" width="10.44140625" style="83" customWidth="1"/>
    <col min="4621" max="4621" width="11.6640625" style="83" bestFit="1" customWidth="1"/>
    <col min="4622" max="4622" width="11.33203125" style="83" bestFit="1" customWidth="1"/>
    <col min="4623" max="4625" width="11.44140625" style="83"/>
    <col min="4626" max="4626" width="2.33203125" style="83" customWidth="1"/>
    <col min="4627" max="4862" width="11.44140625" style="83"/>
    <col min="4863" max="4863" width="3.33203125" style="83" customWidth="1"/>
    <col min="4864" max="4864" width="33.6640625" style="83" customWidth="1"/>
    <col min="4865" max="4865" width="11.44140625" style="83"/>
    <col min="4866" max="4866" width="10.6640625" style="83" bestFit="1" customWidth="1"/>
    <col min="4867" max="4867" width="10.6640625" style="83" customWidth="1"/>
    <col min="4868" max="4868" width="11.33203125" style="83" bestFit="1" customWidth="1"/>
    <col min="4869" max="4869" width="11.44140625" style="83"/>
    <col min="4870" max="4870" width="12.5546875" style="83" customWidth="1"/>
    <col min="4871" max="4871" width="11.44140625" style="83"/>
    <col min="4872" max="4872" width="9.6640625" style="83" bestFit="1" customWidth="1"/>
    <col min="4873" max="4873" width="12" style="83" bestFit="1" customWidth="1"/>
    <col min="4874" max="4874" width="11.44140625" style="83"/>
    <col min="4875" max="4875" width="12" style="83" bestFit="1" customWidth="1"/>
    <col min="4876" max="4876" width="10.44140625" style="83" customWidth="1"/>
    <col min="4877" max="4877" width="11.6640625" style="83" bestFit="1" customWidth="1"/>
    <col min="4878" max="4878" width="11.33203125" style="83" bestFit="1" customWidth="1"/>
    <col min="4879" max="4881" width="11.44140625" style="83"/>
    <col min="4882" max="4882" width="2.33203125" style="83" customWidth="1"/>
    <col min="4883" max="5118" width="11.44140625" style="83"/>
    <col min="5119" max="5119" width="3.33203125" style="83" customWidth="1"/>
    <col min="5120" max="5120" width="33.6640625" style="83" customWidth="1"/>
    <col min="5121" max="5121" width="11.44140625" style="83"/>
    <col min="5122" max="5122" width="10.6640625" style="83" bestFit="1" customWidth="1"/>
    <col min="5123" max="5123" width="10.6640625" style="83" customWidth="1"/>
    <col min="5124" max="5124" width="11.33203125" style="83" bestFit="1" customWidth="1"/>
    <col min="5125" max="5125" width="11.44140625" style="83"/>
    <col min="5126" max="5126" width="12.5546875" style="83" customWidth="1"/>
    <col min="5127" max="5127" width="11.44140625" style="83"/>
    <col min="5128" max="5128" width="9.6640625" style="83" bestFit="1" customWidth="1"/>
    <col min="5129" max="5129" width="12" style="83" bestFit="1" customWidth="1"/>
    <col min="5130" max="5130" width="11.44140625" style="83"/>
    <col min="5131" max="5131" width="12" style="83" bestFit="1" customWidth="1"/>
    <col min="5132" max="5132" width="10.44140625" style="83" customWidth="1"/>
    <col min="5133" max="5133" width="11.6640625" style="83" bestFit="1" customWidth="1"/>
    <col min="5134" max="5134" width="11.33203125" style="83" bestFit="1" customWidth="1"/>
    <col min="5135" max="5137" width="11.44140625" style="83"/>
    <col min="5138" max="5138" width="2.33203125" style="83" customWidth="1"/>
    <col min="5139" max="5374" width="11.44140625" style="83"/>
    <col min="5375" max="5375" width="3.33203125" style="83" customWidth="1"/>
    <col min="5376" max="5376" width="33.6640625" style="83" customWidth="1"/>
    <col min="5377" max="5377" width="11.44140625" style="83"/>
    <col min="5378" max="5378" width="10.6640625" style="83" bestFit="1" customWidth="1"/>
    <col min="5379" max="5379" width="10.6640625" style="83" customWidth="1"/>
    <col min="5380" max="5380" width="11.33203125" style="83" bestFit="1" customWidth="1"/>
    <col min="5381" max="5381" width="11.44140625" style="83"/>
    <col min="5382" max="5382" width="12.5546875" style="83" customWidth="1"/>
    <col min="5383" max="5383" width="11.44140625" style="83"/>
    <col min="5384" max="5384" width="9.6640625" style="83" bestFit="1" customWidth="1"/>
    <col min="5385" max="5385" width="12" style="83" bestFit="1" customWidth="1"/>
    <col min="5386" max="5386" width="11.44140625" style="83"/>
    <col min="5387" max="5387" width="12" style="83" bestFit="1" customWidth="1"/>
    <col min="5388" max="5388" width="10.44140625" style="83" customWidth="1"/>
    <col min="5389" max="5389" width="11.6640625" style="83" bestFit="1" customWidth="1"/>
    <col min="5390" max="5390" width="11.33203125" style="83" bestFit="1" customWidth="1"/>
    <col min="5391" max="5393" width="11.44140625" style="83"/>
    <col min="5394" max="5394" width="2.33203125" style="83" customWidth="1"/>
    <col min="5395" max="5630" width="11.44140625" style="83"/>
    <col min="5631" max="5631" width="3.33203125" style="83" customWidth="1"/>
    <col min="5632" max="5632" width="33.6640625" style="83" customWidth="1"/>
    <col min="5633" max="5633" width="11.44140625" style="83"/>
    <col min="5634" max="5634" width="10.6640625" style="83" bestFit="1" customWidth="1"/>
    <col min="5635" max="5635" width="10.6640625" style="83" customWidth="1"/>
    <col min="5636" max="5636" width="11.33203125" style="83" bestFit="1" customWidth="1"/>
    <col min="5637" max="5637" width="11.44140625" style="83"/>
    <col min="5638" max="5638" width="12.5546875" style="83" customWidth="1"/>
    <col min="5639" max="5639" width="11.44140625" style="83"/>
    <col min="5640" max="5640" width="9.6640625" style="83" bestFit="1" customWidth="1"/>
    <col min="5641" max="5641" width="12" style="83" bestFit="1" customWidth="1"/>
    <col min="5642" max="5642" width="11.44140625" style="83"/>
    <col min="5643" max="5643" width="12" style="83" bestFit="1" customWidth="1"/>
    <col min="5644" max="5644" width="10.44140625" style="83" customWidth="1"/>
    <col min="5645" max="5645" width="11.6640625" style="83" bestFit="1" customWidth="1"/>
    <col min="5646" max="5646" width="11.33203125" style="83" bestFit="1" customWidth="1"/>
    <col min="5647" max="5649" width="11.44140625" style="83"/>
    <col min="5650" max="5650" width="2.33203125" style="83" customWidth="1"/>
    <col min="5651" max="5886" width="11.44140625" style="83"/>
    <col min="5887" max="5887" width="3.33203125" style="83" customWidth="1"/>
    <col min="5888" max="5888" width="33.6640625" style="83" customWidth="1"/>
    <col min="5889" max="5889" width="11.44140625" style="83"/>
    <col min="5890" max="5890" width="10.6640625" style="83" bestFit="1" customWidth="1"/>
    <col min="5891" max="5891" width="10.6640625" style="83" customWidth="1"/>
    <col min="5892" max="5892" width="11.33203125" style="83" bestFit="1" customWidth="1"/>
    <col min="5893" max="5893" width="11.44140625" style="83"/>
    <col min="5894" max="5894" width="12.5546875" style="83" customWidth="1"/>
    <col min="5895" max="5895" width="11.44140625" style="83"/>
    <col min="5896" max="5896" width="9.6640625" style="83" bestFit="1" customWidth="1"/>
    <col min="5897" max="5897" width="12" style="83" bestFit="1" customWidth="1"/>
    <col min="5898" max="5898" width="11.44140625" style="83"/>
    <col min="5899" max="5899" width="12" style="83" bestFit="1" customWidth="1"/>
    <col min="5900" max="5900" width="10.44140625" style="83" customWidth="1"/>
    <col min="5901" max="5901" width="11.6640625" style="83" bestFit="1" customWidth="1"/>
    <col min="5902" max="5902" width="11.33203125" style="83" bestFit="1" customWidth="1"/>
    <col min="5903" max="5905" width="11.44140625" style="83"/>
    <col min="5906" max="5906" width="2.33203125" style="83" customWidth="1"/>
    <col min="5907" max="6142" width="11.44140625" style="83"/>
    <col min="6143" max="6143" width="3.33203125" style="83" customWidth="1"/>
    <col min="6144" max="6144" width="33.6640625" style="83" customWidth="1"/>
    <col min="6145" max="6145" width="11.44140625" style="83"/>
    <col min="6146" max="6146" width="10.6640625" style="83" bestFit="1" customWidth="1"/>
    <col min="6147" max="6147" width="10.6640625" style="83" customWidth="1"/>
    <col min="6148" max="6148" width="11.33203125" style="83" bestFit="1" customWidth="1"/>
    <col min="6149" max="6149" width="11.44140625" style="83"/>
    <col min="6150" max="6150" width="12.5546875" style="83" customWidth="1"/>
    <col min="6151" max="6151" width="11.44140625" style="83"/>
    <col min="6152" max="6152" width="9.6640625" style="83" bestFit="1" customWidth="1"/>
    <col min="6153" max="6153" width="12" style="83" bestFit="1" customWidth="1"/>
    <col min="6154" max="6154" width="11.44140625" style="83"/>
    <col min="6155" max="6155" width="12" style="83" bestFit="1" customWidth="1"/>
    <col min="6156" max="6156" width="10.44140625" style="83" customWidth="1"/>
    <col min="6157" max="6157" width="11.6640625" style="83" bestFit="1" customWidth="1"/>
    <col min="6158" max="6158" width="11.33203125" style="83" bestFit="1" customWidth="1"/>
    <col min="6159" max="6161" width="11.44140625" style="83"/>
    <col min="6162" max="6162" width="2.33203125" style="83" customWidth="1"/>
    <col min="6163" max="6398" width="11.44140625" style="83"/>
    <col min="6399" max="6399" width="3.33203125" style="83" customWidth="1"/>
    <col min="6400" max="6400" width="33.6640625" style="83" customWidth="1"/>
    <col min="6401" max="6401" width="11.44140625" style="83"/>
    <col min="6402" max="6402" width="10.6640625" style="83" bestFit="1" customWidth="1"/>
    <col min="6403" max="6403" width="10.6640625" style="83" customWidth="1"/>
    <col min="6404" max="6404" width="11.33203125" style="83" bestFit="1" customWidth="1"/>
    <col min="6405" max="6405" width="11.44140625" style="83"/>
    <col min="6406" max="6406" width="12.5546875" style="83" customWidth="1"/>
    <col min="6407" max="6407" width="11.44140625" style="83"/>
    <col min="6408" max="6408" width="9.6640625" style="83" bestFit="1" customWidth="1"/>
    <col min="6409" max="6409" width="12" style="83" bestFit="1" customWidth="1"/>
    <col min="6410" max="6410" width="11.44140625" style="83"/>
    <col min="6411" max="6411" width="12" style="83" bestFit="1" customWidth="1"/>
    <col min="6412" max="6412" width="10.44140625" style="83" customWidth="1"/>
    <col min="6413" max="6413" width="11.6640625" style="83" bestFit="1" customWidth="1"/>
    <col min="6414" max="6414" width="11.33203125" style="83" bestFit="1" customWidth="1"/>
    <col min="6415" max="6417" width="11.44140625" style="83"/>
    <col min="6418" max="6418" width="2.33203125" style="83" customWidth="1"/>
    <col min="6419" max="6654" width="11.44140625" style="83"/>
    <col min="6655" max="6655" width="3.33203125" style="83" customWidth="1"/>
    <col min="6656" max="6656" width="33.6640625" style="83" customWidth="1"/>
    <col min="6657" max="6657" width="11.44140625" style="83"/>
    <col min="6658" max="6658" width="10.6640625" style="83" bestFit="1" customWidth="1"/>
    <col min="6659" max="6659" width="10.6640625" style="83" customWidth="1"/>
    <col min="6660" max="6660" width="11.33203125" style="83" bestFit="1" customWidth="1"/>
    <col min="6661" max="6661" width="11.44140625" style="83"/>
    <col min="6662" max="6662" width="12.5546875" style="83" customWidth="1"/>
    <col min="6663" max="6663" width="11.44140625" style="83"/>
    <col min="6664" max="6664" width="9.6640625" style="83" bestFit="1" customWidth="1"/>
    <col min="6665" max="6665" width="12" style="83" bestFit="1" customWidth="1"/>
    <col min="6666" max="6666" width="11.44140625" style="83"/>
    <col min="6667" max="6667" width="12" style="83" bestFit="1" customWidth="1"/>
    <col min="6668" max="6668" width="10.44140625" style="83" customWidth="1"/>
    <col min="6669" max="6669" width="11.6640625" style="83" bestFit="1" customWidth="1"/>
    <col min="6670" max="6670" width="11.33203125" style="83" bestFit="1" customWidth="1"/>
    <col min="6671" max="6673" width="11.44140625" style="83"/>
    <col min="6674" max="6674" width="2.33203125" style="83" customWidth="1"/>
    <col min="6675" max="6910" width="11.44140625" style="83"/>
    <col min="6911" max="6911" width="3.33203125" style="83" customWidth="1"/>
    <col min="6912" max="6912" width="33.6640625" style="83" customWidth="1"/>
    <col min="6913" max="6913" width="11.44140625" style="83"/>
    <col min="6914" max="6914" width="10.6640625" style="83" bestFit="1" customWidth="1"/>
    <col min="6915" max="6915" width="10.6640625" style="83" customWidth="1"/>
    <col min="6916" max="6916" width="11.33203125" style="83" bestFit="1" customWidth="1"/>
    <col min="6917" max="6917" width="11.44140625" style="83"/>
    <col min="6918" max="6918" width="12.5546875" style="83" customWidth="1"/>
    <col min="6919" max="6919" width="11.44140625" style="83"/>
    <col min="6920" max="6920" width="9.6640625" style="83" bestFit="1" customWidth="1"/>
    <col min="6921" max="6921" width="12" style="83" bestFit="1" customWidth="1"/>
    <col min="6922" max="6922" width="11.44140625" style="83"/>
    <col min="6923" max="6923" width="12" style="83" bestFit="1" customWidth="1"/>
    <col min="6924" max="6924" width="10.44140625" style="83" customWidth="1"/>
    <col min="6925" max="6925" width="11.6640625" style="83" bestFit="1" customWidth="1"/>
    <col min="6926" max="6926" width="11.33203125" style="83" bestFit="1" customWidth="1"/>
    <col min="6927" max="6929" width="11.44140625" style="83"/>
    <col min="6930" max="6930" width="2.33203125" style="83" customWidth="1"/>
    <col min="6931" max="7166" width="11.44140625" style="83"/>
    <col min="7167" max="7167" width="3.33203125" style="83" customWidth="1"/>
    <col min="7168" max="7168" width="33.6640625" style="83" customWidth="1"/>
    <col min="7169" max="7169" width="11.44140625" style="83"/>
    <col min="7170" max="7170" width="10.6640625" style="83" bestFit="1" customWidth="1"/>
    <col min="7171" max="7171" width="10.6640625" style="83" customWidth="1"/>
    <col min="7172" max="7172" width="11.33203125" style="83" bestFit="1" customWidth="1"/>
    <col min="7173" max="7173" width="11.44140625" style="83"/>
    <col min="7174" max="7174" width="12.5546875" style="83" customWidth="1"/>
    <col min="7175" max="7175" width="11.44140625" style="83"/>
    <col min="7176" max="7176" width="9.6640625" style="83" bestFit="1" customWidth="1"/>
    <col min="7177" max="7177" width="12" style="83" bestFit="1" customWidth="1"/>
    <col min="7178" max="7178" width="11.44140625" style="83"/>
    <col min="7179" max="7179" width="12" style="83" bestFit="1" customWidth="1"/>
    <col min="7180" max="7180" width="10.44140625" style="83" customWidth="1"/>
    <col min="7181" max="7181" width="11.6640625" style="83" bestFit="1" customWidth="1"/>
    <col min="7182" max="7182" width="11.33203125" style="83" bestFit="1" customWidth="1"/>
    <col min="7183" max="7185" width="11.44140625" style="83"/>
    <col min="7186" max="7186" width="2.33203125" style="83" customWidth="1"/>
    <col min="7187" max="7422" width="11.44140625" style="83"/>
    <col min="7423" max="7423" width="3.33203125" style="83" customWidth="1"/>
    <col min="7424" max="7424" width="33.6640625" style="83" customWidth="1"/>
    <col min="7425" max="7425" width="11.44140625" style="83"/>
    <col min="7426" max="7426" width="10.6640625" style="83" bestFit="1" customWidth="1"/>
    <col min="7427" max="7427" width="10.6640625" style="83" customWidth="1"/>
    <col min="7428" max="7428" width="11.33203125" style="83" bestFit="1" customWidth="1"/>
    <col min="7429" max="7429" width="11.44140625" style="83"/>
    <col min="7430" max="7430" width="12.5546875" style="83" customWidth="1"/>
    <col min="7431" max="7431" width="11.44140625" style="83"/>
    <col min="7432" max="7432" width="9.6640625" style="83" bestFit="1" customWidth="1"/>
    <col min="7433" max="7433" width="12" style="83" bestFit="1" customWidth="1"/>
    <col min="7434" max="7434" width="11.44140625" style="83"/>
    <col min="7435" max="7435" width="12" style="83" bestFit="1" customWidth="1"/>
    <col min="7436" max="7436" width="10.44140625" style="83" customWidth="1"/>
    <col min="7437" max="7437" width="11.6640625" style="83" bestFit="1" customWidth="1"/>
    <col min="7438" max="7438" width="11.33203125" style="83" bestFit="1" customWidth="1"/>
    <col min="7439" max="7441" width="11.44140625" style="83"/>
    <col min="7442" max="7442" width="2.33203125" style="83" customWidth="1"/>
    <col min="7443" max="7678" width="11.44140625" style="83"/>
    <col min="7679" max="7679" width="3.33203125" style="83" customWidth="1"/>
    <col min="7680" max="7680" width="33.6640625" style="83" customWidth="1"/>
    <col min="7681" max="7681" width="11.44140625" style="83"/>
    <col min="7682" max="7682" width="10.6640625" style="83" bestFit="1" customWidth="1"/>
    <col min="7683" max="7683" width="10.6640625" style="83" customWidth="1"/>
    <col min="7684" max="7684" width="11.33203125" style="83" bestFit="1" customWidth="1"/>
    <col min="7685" max="7685" width="11.44140625" style="83"/>
    <col min="7686" max="7686" width="12.5546875" style="83" customWidth="1"/>
    <col min="7687" max="7687" width="11.44140625" style="83"/>
    <col min="7688" max="7688" width="9.6640625" style="83" bestFit="1" customWidth="1"/>
    <col min="7689" max="7689" width="12" style="83" bestFit="1" customWidth="1"/>
    <col min="7690" max="7690" width="11.44140625" style="83"/>
    <col min="7691" max="7691" width="12" style="83" bestFit="1" customWidth="1"/>
    <col min="7692" max="7692" width="10.44140625" style="83" customWidth="1"/>
    <col min="7693" max="7693" width="11.6640625" style="83" bestFit="1" customWidth="1"/>
    <col min="7694" max="7694" width="11.33203125" style="83" bestFit="1" customWidth="1"/>
    <col min="7695" max="7697" width="11.44140625" style="83"/>
    <col min="7698" max="7698" width="2.33203125" style="83" customWidth="1"/>
    <col min="7699" max="7934" width="11.44140625" style="83"/>
    <col min="7935" max="7935" width="3.33203125" style="83" customWidth="1"/>
    <col min="7936" max="7936" width="33.6640625" style="83" customWidth="1"/>
    <col min="7937" max="7937" width="11.44140625" style="83"/>
    <col min="7938" max="7938" width="10.6640625" style="83" bestFit="1" customWidth="1"/>
    <col min="7939" max="7939" width="10.6640625" style="83" customWidth="1"/>
    <col min="7940" max="7940" width="11.33203125" style="83" bestFit="1" customWidth="1"/>
    <col min="7941" max="7941" width="11.44140625" style="83"/>
    <col min="7942" max="7942" width="12.5546875" style="83" customWidth="1"/>
    <col min="7943" max="7943" width="11.44140625" style="83"/>
    <col min="7944" max="7944" width="9.6640625" style="83" bestFit="1" customWidth="1"/>
    <col min="7945" max="7945" width="12" style="83" bestFit="1" customWidth="1"/>
    <col min="7946" max="7946" width="11.44140625" style="83"/>
    <col min="7947" max="7947" width="12" style="83" bestFit="1" customWidth="1"/>
    <col min="7948" max="7948" width="10.44140625" style="83" customWidth="1"/>
    <col min="7949" max="7949" width="11.6640625" style="83" bestFit="1" customWidth="1"/>
    <col min="7950" max="7950" width="11.33203125" style="83" bestFit="1" customWidth="1"/>
    <col min="7951" max="7953" width="11.44140625" style="83"/>
    <col min="7954" max="7954" width="2.33203125" style="83" customWidth="1"/>
    <col min="7955" max="8190" width="11.44140625" style="83"/>
    <col min="8191" max="8191" width="3.33203125" style="83" customWidth="1"/>
    <col min="8192" max="8192" width="33.6640625" style="83" customWidth="1"/>
    <col min="8193" max="8193" width="11.44140625" style="83"/>
    <col min="8194" max="8194" width="10.6640625" style="83" bestFit="1" customWidth="1"/>
    <col min="8195" max="8195" width="10.6640625" style="83" customWidth="1"/>
    <col min="8196" max="8196" width="11.33203125" style="83" bestFit="1" customWidth="1"/>
    <col min="8197" max="8197" width="11.44140625" style="83"/>
    <col min="8198" max="8198" width="12.5546875" style="83" customWidth="1"/>
    <col min="8199" max="8199" width="11.44140625" style="83"/>
    <col min="8200" max="8200" width="9.6640625" style="83" bestFit="1" customWidth="1"/>
    <col min="8201" max="8201" width="12" style="83" bestFit="1" customWidth="1"/>
    <col min="8202" max="8202" width="11.44140625" style="83"/>
    <col min="8203" max="8203" width="12" style="83" bestFit="1" customWidth="1"/>
    <col min="8204" max="8204" width="10.44140625" style="83" customWidth="1"/>
    <col min="8205" max="8205" width="11.6640625" style="83" bestFit="1" customWidth="1"/>
    <col min="8206" max="8206" width="11.33203125" style="83" bestFit="1" customWidth="1"/>
    <col min="8207" max="8209" width="11.44140625" style="83"/>
    <col min="8210" max="8210" width="2.33203125" style="83" customWidth="1"/>
    <col min="8211" max="8446" width="11.44140625" style="83"/>
    <col min="8447" max="8447" width="3.33203125" style="83" customWidth="1"/>
    <col min="8448" max="8448" width="33.6640625" style="83" customWidth="1"/>
    <col min="8449" max="8449" width="11.44140625" style="83"/>
    <col min="8450" max="8450" width="10.6640625" style="83" bestFit="1" customWidth="1"/>
    <col min="8451" max="8451" width="10.6640625" style="83" customWidth="1"/>
    <col min="8452" max="8452" width="11.33203125" style="83" bestFit="1" customWidth="1"/>
    <col min="8453" max="8453" width="11.44140625" style="83"/>
    <col min="8454" max="8454" width="12.5546875" style="83" customWidth="1"/>
    <col min="8455" max="8455" width="11.44140625" style="83"/>
    <col min="8456" max="8456" width="9.6640625" style="83" bestFit="1" customWidth="1"/>
    <col min="8457" max="8457" width="12" style="83" bestFit="1" customWidth="1"/>
    <col min="8458" max="8458" width="11.44140625" style="83"/>
    <col min="8459" max="8459" width="12" style="83" bestFit="1" customWidth="1"/>
    <col min="8460" max="8460" width="10.44140625" style="83" customWidth="1"/>
    <col min="8461" max="8461" width="11.6640625" style="83" bestFit="1" customWidth="1"/>
    <col min="8462" max="8462" width="11.33203125" style="83" bestFit="1" customWidth="1"/>
    <col min="8463" max="8465" width="11.44140625" style="83"/>
    <col min="8466" max="8466" width="2.33203125" style="83" customWidth="1"/>
    <col min="8467" max="8702" width="11.44140625" style="83"/>
    <col min="8703" max="8703" width="3.33203125" style="83" customWidth="1"/>
    <col min="8704" max="8704" width="33.6640625" style="83" customWidth="1"/>
    <col min="8705" max="8705" width="11.44140625" style="83"/>
    <col min="8706" max="8706" width="10.6640625" style="83" bestFit="1" customWidth="1"/>
    <col min="8707" max="8707" width="10.6640625" style="83" customWidth="1"/>
    <col min="8708" max="8708" width="11.33203125" style="83" bestFit="1" customWidth="1"/>
    <col min="8709" max="8709" width="11.44140625" style="83"/>
    <col min="8710" max="8710" width="12.5546875" style="83" customWidth="1"/>
    <col min="8711" max="8711" width="11.44140625" style="83"/>
    <col min="8712" max="8712" width="9.6640625" style="83" bestFit="1" customWidth="1"/>
    <col min="8713" max="8713" width="12" style="83" bestFit="1" customWidth="1"/>
    <col min="8714" max="8714" width="11.44140625" style="83"/>
    <col min="8715" max="8715" width="12" style="83" bestFit="1" customWidth="1"/>
    <col min="8716" max="8716" width="10.44140625" style="83" customWidth="1"/>
    <col min="8717" max="8717" width="11.6640625" style="83" bestFit="1" customWidth="1"/>
    <col min="8718" max="8718" width="11.33203125" style="83" bestFit="1" customWidth="1"/>
    <col min="8719" max="8721" width="11.44140625" style="83"/>
    <col min="8722" max="8722" width="2.33203125" style="83" customWidth="1"/>
    <col min="8723" max="8958" width="11.44140625" style="83"/>
    <col min="8959" max="8959" width="3.33203125" style="83" customWidth="1"/>
    <col min="8960" max="8960" width="33.6640625" style="83" customWidth="1"/>
    <col min="8961" max="8961" width="11.44140625" style="83"/>
    <col min="8962" max="8962" width="10.6640625" style="83" bestFit="1" customWidth="1"/>
    <col min="8963" max="8963" width="10.6640625" style="83" customWidth="1"/>
    <col min="8964" max="8964" width="11.33203125" style="83" bestFit="1" customWidth="1"/>
    <col min="8965" max="8965" width="11.44140625" style="83"/>
    <col min="8966" max="8966" width="12.5546875" style="83" customWidth="1"/>
    <col min="8967" max="8967" width="11.44140625" style="83"/>
    <col min="8968" max="8968" width="9.6640625" style="83" bestFit="1" customWidth="1"/>
    <col min="8969" max="8969" width="12" style="83" bestFit="1" customWidth="1"/>
    <col min="8970" max="8970" width="11.44140625" style="83"/>
    <col min="8971" max="8971" width="12" style="83" bestFit="1" customWidth="1"/>
    <col min="8972" max="8972" width="10.44140625" style="83" customWidth="1"/>
    <col min="8973" max="8973" width="11.6640625" style="83" bestFit="1" customWidth="1"/>
    <col min="8974" max="8974" width="11.33203125" style="83" bestFit="1" customWidth="1"/>
    <col min="8975" max="8977" width="11.44140625" style="83"/>
    <col min="8978" max="8978" width="2.33203125" style="83" customWidth="1"/>
    <col min="8979" max="9214" width="11.44140625" style="83"/>
    <col min="9215" max="9215" width="3.33203125" style="83" customWidth="1"/>
    <col min="9216" max="9216" width="33.6640625" style="83" customWidth="1"/>
    <col min="9217" max="9217" width="11.44140625" style="83"/>
    <col min="9218" max="9218" width="10.6640625" style="83" bestFit="1" customWidth="1"/>
    <col min="9219" max="9219" width="10.6640625" style="83" customWidth="1"/>
    <col min="9220" max="9220" width="11.33203125" style="83" bestFit="1" customWidth="1"/>
    <col min="9221" max="9221" width="11.44140625" style="83"/>
    <col min="9222" max="9222" width="12.5546875" style="83" customWidth="1"/>
    <col min="9223" max="9223" width="11.44140625" style="83"/>
    <col min="9224" max="9224" width="9.6640625" style="83" bestFit="1" customWidth="1"/>
    <col min="9225" max="9225" width="12" style="83" bestFit="1" customWidth="1"/>
    <col min="9226" max="9226" width="11.44140625" style="83"/>
    <col min="9227" max="9227" width="12" style="83" bestFit="1" customWidth="1"/>
    <col min="9228" max="9228" width="10.44140625" style="83" customWidth="1"/>
    <col min="9229" max="9229" width="11.6640625" style="83" bestFit="1" customWidth="1"/>
    <col min="9230" max="9230" width="11.33203125" style="83" bestFit="1" customWidth="1"/>
    <col min="9231" max="9233" width="11.44140625" style="83"/>
    <col min="9234" max="9234" width="2.33203125" style="83" customWidth="1"/>
    <col min="9235" max="9470" width="11.44140625" style="83"/>
    <col min="9471" max="9471" width="3.33203125" style="83" customWidth="1"/>
    <col min="9472" max="9472" width="33.6640625" style="83" customWidth="1"/>
    <col min="9473" max="9473" width="11.44140625" style="83"/>
    <col min="9474" max="9474" width="10.6640625" style="83" bestFit="1" customWidth="1"/>
    <col min="9475" max="9475" width="10.6640625" style="83" customWidth="1"/>
    <col min="9476" max="9476" width="11.33203125" style="83" bestFit="1" customWidth="1"/>
    <col min="9477" max="9477" width="11.44140625" style="83"/>
    <col min="9478" max="9478" width="12.5546875" style="83" customWidth="1"/>
    <col min="9479" max="9479" width="11.44140625" style="83"/>
    <col min="9480" max="9480" width="9.6640625" style="83" bestFit="1" customWidth="1"/>
    <col min="9481" max="9481" width="12" style="83" bestFit="1" customWidth="1"/>
    <col min="9482" max="9482" width="11.44140625" style="83"/>
    <col min="9483" max="9483" width="12" style="83" bestFit="1" customWidth="1"/>
    <col min="9484" max="9484" width="10.44140625" style="83" customWidth="1"/>
    <col min="9485" max="9485" width="11.6640625" style="83" bestFit="1" customWidth="1"/>
    <col min="9486" max="9486" width="11.33203125" style="83" bestFit="1" customWidth="1"/>
    <col min="9487" max="9489" width="11.44140625" style="83"/>
    <col min="9490" max="9490" width="2.33203125" style="83" customWidth="1"/>
    <col min="9491" max="9726" width="11.44140625" style="83"/>
    <col min="9727" max="9727" width="3.33203125" style="83" customWidth="1"/>
    <col min="9728" max="9728" width="33.6640625" style="83" customWidth="1"/>
    <col min="9729" max="9729" width="11.44140625" style="83"/>
    <col min="9730" max="9730" width="10.6640625" style="83" bestFit="1" customWidth="1"/>
    <col min="9731" max="9731" width="10.6640625" style="83" customWidth="1"/>
    <col min="9732" max="9732" width="11.33203125" style="83" bestFit="1" customWidth="1"/>
    <col min="9733" max="9733" width="11.44140625" style="83"/>
    <col min="9734" max="9734" width="12.5546875" style="83" customWidth="1"/>
    <col min="9735" max="9735" width="11.44140625" style="83"/>
    <col min="9736" max="9736" width="9.6640625" style="83" bestFit="1" customWidth="1"/>
    <col min="9737" max="9737" width="12" style="83" bestFit="1" customWidth="1"/>
    <col min="9738" max="9738" width="11.44140625" style="83"/>
    <col min="9739" max="9739" width="12" style="83" bestFit="1" customWidth="1"/>
    <col min="9740" max="9740" width="10.44140625" style="83" customWidth="1"/>
    <col min="9741" max="9741" width="11.6640625" style="83" bestFit="1" customWidth="1"/>
    <col min="9742" max="9742" width="11.33203125" style="83" bestFit="1" customWidth="1"/>
    <col min="9743" max="9745" width="11.44140625" style="83"/>
    <col min="9746" max="9746" width="2.33203125" style="83" customWidth="1"/>
    <col min="9747" max="9982" width="11.44140625" style="83"/>
    <col min="9983" max="9983" width="3.33203125" style="83" customWidth="1"/>
    <col min="9984" max="9984" width="33.6640625" style="83" customWidth="1"/>
    <col min="9985" max="9985" width="11.44140625" style="83"/>
    <col min="9986" max="9986" width="10.6640625" style="83" bestFit="1" customWidth="1"/>
    <col min="9987" max="9987" width="10.6640625" style="83" customWidth="1"/>
    <col min="9988" max="9988" width="11.33203125" style="83" bestFit="1" customWidth="1"/>
    <col min="9989" max="9989" width="11.44140625" style="83"/>
    <col min="9990" max="9990" width="12.5546875" style="83" customWidth="1"/>
    <col min="9991" max="9991" width="11.44140625" style="83"/>
    <col min="9992" max="9992" width="9.6640625" style="83" bestFit="1" customWidth="1"/>
    <col min="9993" max="9993" width="12" style="83" bestFit="1" customWidth="1"/>
    <col min="9994" max="9994" width="11.44140625" style="83"/>
    <col min="9995" max="9995" width="12" style="83" bestFit="1" customWidth="1"/>
    <col min="9996" max="9996" width="10.44140625" style="83" customWidth="1"/>
    <col min="9997" max="9997" width="11.6640625" style="83" bestFit="1" customWidth="1"/>
    <col min="9998" max="9998" width="11.33203125" style="83" bestFit="1" customWidth="1"/>
    <col min="9999" max="10001" width="11.44140625" style="83"/>
    <col min="10002" max="10002" width="2.33203125" style="83" customWidth="1"/>
    <col min="10003" max="10238" width="11.44140625" style="83"/>
    <col min="10239" max="10239" width="3.33203125" style="83" customWidth="1"/>
    <col min="10240" max="10240" width="33.6640625" style="83" customWidth="1"/>
    <col min="10241" max="10241" width="11.44140625" style="83"/>
    <col min="10242" max="10242" width="10.6640625" style="83" bestFit="1" customWidth="1"/>
    <col min="10243" max="10243" width="10.6640625" style="83" customWidth="1"/>
    <col min="10244" max="10244" width="11.33203125" style="83" bestFit="1" customWidth="1"/>
    <col min="10245" max="10245" width="11.44140625" style="83"/>
    <col min="10246" max="10246" width="12.5546875" style="83" customWidth="1"/>
    <col min="10247" max="10247" width="11.44140625" style="83"/>
    <col min="10248" max="10248" width="9.6640625" style="83" bestFit="1" customWidth="1"/>
    <col min="10249" max="10249" width="12" style="83" bestFit="1" customWidth="1"/>
    <col min="10250" max="10250" width="11.44140625" style="83"/>
    <col min="10251" max="10251" width="12" style="83" bestFit="1" customWidth="1"/>
    <col min="10252" max="10252" width="10.44140625" style="83" customWidth="1"/>
    <col min="10253" max="10253" width="11.6640625" style="83" bestFit="1" customWidth="1"/>
    <col min="10254" max="10254" width="11.33203125" style="83" bestFit="1" customWidth="1"/>
    <col min="10255" max="10257" width="11.44140625" style="83"/>
    <col min="10258" max="10258" width="2.33203125" style="83" customWidth="1"/>
    <col min="10259" max="10494" width="11.44140625" style="83"/>
    <col min="10495" max="10495" width="3.33203125" style="83" customWidth="1"/>
    <col min="10496" max="10496" width="33.6640625" style="83" customWidth="1"/>
    <col min="10497" max="10497" width="11.44140625" style="83"/>
    <col min="10498" max="10498" width="10.6640625" style="83" bestFit="1" customWidth="1"/>
    <col min="10499" max="10499" width="10.6640625" style="83" customWidth="1"/>
    <col min="10500" max="10500" width="11.33203125" style="83" bestFit="1" customWidth="1"/>
    <col min="10501" max="10501" width="11.44140625" style="83"/>
    <col min="10502" max="10502" width="12.5546875" style="83" customWidth="1"/>
    <col min="10503" max="10503" width="11.44140625" style="83"/>
    <col min="10504" max="10504" width="9.6640625" style="83" bestFit="1" customWidth="1"/>
    <col min="10505" max="10505" width="12" style="83" bestFit="1" customWidth="1"/>
    <col min="10506" max="10506" width="11.44140625" style="83"/>
    <col min="10507" max="10507" width="12" style="83" bestFit="1" customWidth="1"/>
    <col min="10508" max="10508" width="10.44140625" style="83" customWidth="1"/>
    <col min="10509" max="10509" width="11.6640625" style="83" bestFit="1" customWidth="1"/>
    <col min="10510" max="10510" width="11.33203125" style="83" bestFit="1" customWidth="1"/>
    <col min="10511" max="10513" width="11.44140625" style="83"/>
    <col min="10514" max="10514" width="2.33203125" style="83" customWidth="1"/>
    <col min="10515" max="10750" width="11.44140625" style="83"/>
    <col min="10751" max="10751" width="3.33203125" style="83" customWidth="1"/>
    <col min="10752" max="10752" width="33.6640625" style="83" customWidth="1"/>
    <col min="10753" max="10753" width="11.44140625" style="83"/>
    <col min="10754" max="10754" width="10.6640625" style="83" bestFit="1" customWidth="1"/>
    <col min="10755" max="10755" width="10.6640625" style="83" customWidth="1"/>
    <col min="10756" max="10756" width="11.33203125" style="83" bestFit="1" customWidth="1"/>
    <col min="10757" max="10757" width="11.44140625" style="83"/>
    <col min="10758" max="10758" width="12.5546875" style="83" customWidth="1"/>
    <col min="10759" max="10759" width="11.44140625" style="83"/>
    <col min="10760" max="10760" width="9.6640625" style="83" bestFit="1" customWidth="1"/>
    <col min="10761" max="10761" width="12" style="83" bestFit="1" customWidth="1"/>
    <col min="10762" max="10762" width="11.44140625" style="83"/>
    <col min="10763" max="10763" width="12" style="83" bestFit="1" customWidth="1"/>
    <col min="10764" max="10764" width="10.44140625" style="83" customWidth="1"/>
    <col min="10765" max="10765" width="11.6640625" style="83" bestFit="1" customWidth="1"/>
    <col min="10766" max="10766" width="11.33203125" style="83" bestFit="1" customWidth="1"/>
    <col min="10767" max="10769" width="11.44140625" style="83"/>
    <col min="10770" max="10770" width="2.33203125" style="83" customWidth="1"/>
    <col min="10771" max="11006" width="11.44140625" style="83"/>
    <col min="11007" max="11007" width="3.33203125" style="83" customWidth="1"/>
    <col min="11008" max="11008" width="33.6640625" style="83" customWidth="1"/>
    <col min="11009" max="11009" width="11.44140625" style="83"/>
    <col min="11010" max="11010" width="10.6640625" style="83" bestFit="1" customWidth="1"/>
    <col min="11011" max="11011" width="10.6640625" style="83" customWidth="1"/>
    <col min="11012" max="11012" width="11.33203125" style="83" bestFit="1" customWidth="1"/>
    <col min="11013" max="11013" width="11.44140625" style="83"/>
    <col min="11014" max="11014" width="12.5546875" style="83" customWidth="1"/>
    <col min="11015" max="11015" width="11.44140625" style="83"/>
    <col min="11016" max="11016" width="9.6640625" style="83" bestFit="1" customWidth="1"/>
    <col min="11017" max="11017" width="12" style="83" bestFit="1" customWidth="1"/>
    <col min="11018" max="11018" width="11.44140625" style="83"/>
    <col min="11019" max="11019" width="12" style="83" bestFit="1" customWidth="1"/>
    <col min="11020" max="11020" width="10.44140625" style="83" customWidth="1"/>
    <col min="11021" max="11021" width="11.6640625" style="83" bestFit="1" customWidth="1"/>
    <col min="11022" max="11022" width="11.33203125" style="83" bestFit="1" customWidth="1"/>
    <col min="11023" max="11025" width="11.44140625" style="83"/>
    <col min="11026" max="11026" width="2.33203125" style="83" customWidth="1"/>
    <col min="11027" max="11262" width="11.44140625" style="83"/>
    <col min="11263" max="11263" width="3.33203125" style="83" customWidth="1"/>
    <col min="11264" max="11264" width="33.6640625" style="83" customWidth="1"/>
    <col min="11265" max="11265" width="11.44140625" style="83"/>
    <col min="11266" max="11266" width="10.6640625" style="83" bestFit="1" customWidth="1"/>
    <col min="11267" max="11267" width="10.6640625" style="83" customWidth="1"/>
    <col min="11268" max="11268" width="11.33203125" style="83" bestFit="1" customWidth="1"/>
    <col min="11269" max="11269" width="11.44140625" style="83"/>
    <col min="11270" max="11270" width="12.5546875" style="83" customWidth="1"/>
    <col min="11271" max="11271" width="11.44140625" style="83"/>
    <col min="11272" max="11272" width="9.6640625" style="83" bestFit="1" customWidth="1"/>
    <col min="11273" max="11273" width="12" style="83" bestFit="1" customWidth="1"/>
    <col min="11274" max="11274" width="11.44140625" style="83"/>
    <col min="11275" max="11275" width="12" style="83" bestFit="1" customWidth="1"/>
    <col min="11276" max="11276" width="10.44140625" style="83" customWidth="1"/>
    <col min="11277" max="11277" width="11.6640625" style="83" bestFit="1" customWidth="1"/>
    <col min="11278" max="11278" width="11.33203125" style="83" bestFit="1" customWidth="1"/>
    <col min="11279" max="11281" width="11.44140625" style="83"/>
    <col min="11282" max="11282" width="2.33203125" style="83" customWidth="1"/>
    <col min="11283" max="11518" width="11.44140625" style="83"/>
    <col min="11519" max="11519" width="3.33203125" style="83" customWidth="1"/>
    <col min="11520" max="11520" width="33.6640625" style="83" customWidth="1"/>
    <col min="11521" max="11521" width="11.44140625" style="83"/>
    <col min="11522" max="11522" width="10.6640625" style="83" bestFit="1" customWidth="1"/>
    <col min="11523" max="11523" width="10.6640625" style="83" customWidth="1"/>
    <col min="11524" max="11524" width="11.33203125" style="83" bestFit="1" customWidth="1"/>
    <col min="11525" max="11525" width="11.44140625" style="83"/>
    <col min="11526" max="11526" width="12.5546875" style="83" customWidth="1"/>
    <col min="11527" max="11527" width="11.44140625" style="83"/>
    <col min="11528" max="11528" width="9.6640625" style="83" bestFit="1" customWidth="1"/>
    <col min="11529" max="11529" width="12" style="83" bestFit="1" customWidth="1"/>
    <col min="11530" max="11530" width="11.44140625" style="83"/>
    <col min="11531" max="11531" width="12" style="83" bestFit="1" customWidth="1"/>
    <col min="11532" max="11532" width="10.44140625" style="83" customWidth="1"/>
    <col min="11533" max="11533" width="11.6640625" style="83" bestFit="1" customWidth="1"/>
    <col min="11534" max="11534" width="11.33203125" style="83" bestFit="1" customWidth="1"/>
    <col min="11535" max="11537" width="11.44140625" style="83"/>
    <col min="11538" max="11538" width="2.33203125" style="83" customWidth="1"/>
    <col min="11539" max="11774" width="11.44140625" style="83"/>
    <col min="11775" max="11775" width="3.33203125" style="83" customWidth="1"/>
    <col min="11776" max="11776" width="33.6640625" style="83" customWidth="1"/>
    <col min="11777" max="11777" width="11.44140625" style="83"/>
    <col min="11778" max="11778" width="10.6640625" style="83" bestFit="1" customWidth="1"/>
    <col min="11779" max="11779" width="10.6640625" style="83" customWidth="1"/>
    <col min="11780" max="11780" width="11.33203125" style="83" bestFit="1" customWidth="1"/>
    <col min="11781" max="11781" width="11.44140625" style="83"/>
    <col min="11782" max="11782" width="12.5546875" style="83" customWidth="1"/>
    <col min="11783" max="11783" width="11.44140625" style="83"/>
    <col min="11784" max="11784" width="9.6640625" style="83" bestFit="1" customWidth="1"/>
    <col min="11785" max="11785" width="12" style="83" bestFit="1" customWidth="1"/>
    <col min="11786" max="11786" width="11.44140625" style="83"/>
    <col min="11787" max="11787" width="12" style="83" bestFit="1" customWidth="1"/>
    <col min="11788" max="11788" width="10.44140625" style="83" customWidth="1"/>
    <col min="11789" max="11789" width="11.6640625" style="83" bestFit="1" customWidth="1"/>
    <col min="11790" max="11790" width="11.33203125" style="83" bestFit="1" customWidth="1"/>
    <col min="11791" max="11793" width="11.44140625" style="83"/>
    <col min="11794" max="11794" width="2.33203125" style="83" customWidth="1"/>
    <col min="11795" max="12030" width="11.44140625" style="83"/>
    <col min="12031" max="12031" width="3.33203125" style="83" customWidth="1"/>
    <col min="12032" max="12032" width="33.6640625" style="83" customWidth="1"/>
    <col min="12033" max="12033" width="11.44140625" style="83"/>
    <col min="12034" max="12034" width="10.6640625" style="83" bestFit="1" customWidth="1"/>
    <col min="12035" max="12035" width="10.6640625" style="83" customWidth="1"/>
    <col min="12036" max="12036" width="11.33203125" style="83" bestFit="1" customWidth="1"/>
    <col min="12037" max="12037" width="11.44140625" style="83"/>
    <col min="12038" max="12038" width="12.5546875" style="83" customWidth="1"/>
    <col min="12039" max="12039" width="11.44140625" style="83"/>
    <col min="12040" max="12040" width="9.6640625" style="83" bestFit="1" customWidth="1"/>
    <col min="12041" max="12041" width="12" style="83" bestFit="1" customWidth="1"/>
    <col min="12042" max="12042" width="11.44140625" style="83"/>
    <col min="12043" max="12043" width="12" style="83" bestFit="1" customWidth="1"/>
    <col min="12044" max="12044" width="10.44140625" style="83" customWidth="1"/>
    <col min="12045" max="12045" width="11.6640625" style="83" bestFit="1" customWidth="1"/>
    <col min="12046" max="12046" width="11.33203125" style="83" bestFit="1" customWidth="1"/>
    <col min="12047" max="12049" width="11.44140625" style="83"/>
    <col min="12050" max="12050" width="2.33203125" style="83" customWidth="1"/>
    <col min="12051" max="12286" width="11.44140625" style="83"/>
    <col min="12287" max="12287" width="3.33203125" style="83" customWidth="1"/>
    <col min="12288" max="12288" width="33.6640625" style="83" customWidth="1"/>
    <col min="12289" max="12289" width="11.44140625" style="83"/>
    <col min="12290" max="12290" width="10.6640625" style="83" bestFit="1" customWidth="1"/>
    <col min="12291" max="12291" width="10.6640625" style="83" customWidth="1"/>
    <col min="12292" max="12292" width="11.33203125" style="83" bestFit="1" customWidth="1"/>
    <col min="12293" max="12293" width="11.44140625" style="83"/>
    <col min="12294" max="12294" width="12.5546875" style="83" customWidth="1"/>
    <col min="12295" max="12295" width="11.44140625" style="83"/>
    <col min="12296" max="12296" width="9.6640625" style="83" bestFit="1" customWidth="1"/>
    <col min="12297" max="12297" width="12" style="83" bestFit="1" customWidth="1"/>
    <col min="12298" max="12298" width="11.44140625" style="83"/>
    <col min="12299" max="12299" width="12" style="83" bestFit="1" customWidth="1"/>
    <col min="12300" max="12300" width="10.44140625" style="83" customWidth="1"/>
    <col min="12301" max="12301" width="11.6640625" style="83" bestFit="1" customWidth="1"/>
    <col min="12302" max="12302" width="11.33203125" style="83" bestFit="1" customWidth="1"/>
    <col min="12303" max="12305" width="11.44140625" style="83"/>
    <col min="12306" max="12306" width="2.33203125" style="83" customWidth="1"/>
    <col min="12307" max="12542" width="11.44140625" style="83"/>
    <col min="12543" max="12543" width="3.33203125" style="83" customWidth="1"/>
    <col min="12544" max="12544" width="33.6640625" style="83" customWidth="1"/>
    <col min="12545" max="12545" width="11.44140625" style="83"/>
    <col min="12546" max="12546" width="10.6640625" style="83" bestFit="1" customWidth="1"/>
    <col min="12547" max="12547" width="10.6640625" style="83" customWidth="1"/>
    <col min="12548" max="12548" width="11.33203125" style="83" bestFit="1" customWidth="1"/>
    <col min="12549" max="12549" width="11.44140625" style="83"/>
    <col min="12550" max="12550" width="12.5546875" style="83" customWidth="1"/>
    <col min="12551" max="12551" width="11.44140625" style="83"/>
    <col min="12552" max="12552" width="9.6640625" style="83" bestFit="1" customWidth="1"/>
    <col min="12553" max="12553" width="12" style="83" bestFit="1" customWidth="1"/>
    <col min="12554" max="12554" width="11.44140625" style="83"/>
    <col min="12555" max="12555" width="12" style="83" bestFit="1" customWidth="1"/>
    <col min="12556" max="12556" width="10.44140625" style="83" customWidth="1"/>
    <col min="12557" max="12557" width="11.6640625" style="83" bestFit="1" customWidth="1"/>
    <col min="12558" max="12558" width="11.33203125" style="83" bestFit="1" customWidth="1"/>
    <col min="12559" max="12561" width="11.44140625" style="83"/>
    <col min="12562" max="12562" width="2.33203125" style="83" customWidth="1"/>
    <col min="12563" max="12798" width="11.44140625" style="83"/>
    <col min="12799" max="12799" width="3.33203125" style="83" customWidth="1"/>
    <col min="12800" max="12800" width="33.6640625" style="83" customWidth="1"/>
    <col min="12801" max="12801" width="11.44140625" style="83"/>
    <col min="12802" max="12802" width="10.6640625" style="83" bestFit="1" customWidth="1"/>
    <col min="12803" max="12803" width="10.6640625" style="83" customWidth="1"/>
    <col min="12804" max="12804" width="11.33203125" style="83" bestFit="1" customWidth="1"/>
    <col min="12805" max="12805" width="11.44140625" style="83"/>
    <col min="12806" max="12806" width="12.5546875" style="83" customWidth="1"/>
    <col min="12807" max="12807" width="11.44140625" style="83"/>
    <col min="12808" max="12808" width="9.6640625" style="83" bestFit="1" customWidth="1"/>
    <col min="12809" max="12809" width="12" style="83" bestFit="1" customWidth="1"/>
    <col min="12810" max="12810" width="11.44140625" style="83"/>
    <col min="12811" max="12811" width="12" style="83" bestFit="1" customWidth="1"/>
    <col min="12812" max="12812" width="10.44140625" style="83" customWidth="1"/>
    <col min="12813" max="12813" width="11.6640625" style="83" bestFit="1" customWidth="1"/>
    <col min="12814" max="12814" width="11.33203125" style="83" bestFit="1" customWidth="1"/>
    <col min="12815" max="12817" width="11.44140625" style="83"/>
    <col min="12818" max="12818" width="2.33203125" style="83" customWidth="1"/>
    <col min="12819" max="13054" width="11.44140625" style="83"/>
    <col min="13055" max="13055" width="3.33203125" style="83" customWidth="1"/>
    <col min="13056" max="13056" width="33.6640625" style="83" customWidth="1"/>
    <col min="13057" max="13057" width="11.44140625" style="83"/>
    <col min="13058" max="13058" width="10.6640625" style="83" bestFit="1" customWidth="1"/>
    <col min="13059" max="13059" width="10.6640625" style="83" customWidth="1"/>
    <col min="13060" max="13060" width="11.33203125" style="83" bestFit="1" customWidth="1"/>
    <col min="13061" max="13061" width="11.44140625" style="83"/>
    <col min="13062" max="13062" width="12.5546875" style="83" customWidth="1"/>
    <col min="13063" max="13063" width="11.44140625" style="83"/>
    <col min="13064" max="13064" width="9.6640625" style="83" bestFit="1" customWidth="1"/>
    <col min="13065" max="13065" width="12" style="83" bestFit="1" customWidth="1"/>
    <col min="13066" max="13066" width="11.44140625" style="83"/>
    <col min="13067" max="13067" width="12" style="83" bestFit="1" customWidth="1"/>
    <col min="13068" max="13068" width="10.44140625" style="83" customWidth="1"/>
    <col min="13069" max="13069" width="11.6640625" style="83" bestFit="1" customWidth="1"/>
    <col min="13070" max="13070" width="11.33203125" style="83" bestFit="1" customWidth="1"/>
    <col min="13071" max="13073" width="11.44140625" style="83"/>
    <col min="13074" max="13074" width="2.33203125" style="83" customWidth="1"/>
    <col min="13075" max="13310" width="11.44140625" style="83"/>
    <col min="13311" max="13311" width="3.33203125" style="83" customWidth="1"/>
    <col min="13312" max="13312" width="33.6640625" style="83" customWidth="1"/>
    <col min="13313" max="13313" width="11.44140625" style="83"/>
    <col min="13314" max="13314" width="10.6640625" style="83" bestFit="1" customWidth="1"/>
    <col min="13315" max="13315" width="10.6640625" style="83" customWidth="1"/>
    <col min="13316" max="13316" width="11.33203125" style="83" bestFit="1" customWidth="1"/>
    <col min="13317" max="13317" width="11.44140625" style="83"/>
    <col min="13318" max="13318" width="12.5546875" style="83" customWidth="1"/>
    <col min="13319" max="13319" width="11.44140625" style="83"/>
    <col min="13320" max="13320" width="9.6640625" style="83" bestFit="1" customWidth="1"/>
    <col min="13321" max="13321" width="12" style="83" bestFit="1" customWidth="1"/>
    <col min="13322" max="13322" width="11.44140625" style="83"/>
    <col min="13323" max="13323" width="12" style="83" bestFit="1" customWidth="1"/>
    <col min="13324" max="13324" width="10.44140625" style="83" customWidth="1"/>
    <col min="13325" max="13325" width="11.6640625" style="83" bestFit="1" customWidth="1"/>
    <col min="13326" max="13326" width="11.33203125" style="83" bestFit="1" customWidth="1"/>
    <col min="13327" max="13329" width="11.44140625" style="83"/>
    <col min="13330" max="13330" width="2.33203125" style="83" customWidth="1"/>
    <col min="13331" max="13566" width="11.44140625" style="83"/>
    <col min="13567" max="13567" width="3.33203125" style="83" customWidth="1"/>
    <col min="13568" max="13568" width="33.6640625" style="83" customWidth="1"/>
    <col min="13569" max="13569" width="11.44140625" style="83"/>
    <col min="13570" max="13570" width="10.6640625" style="83" bestFit="1" customWidth="1"/>
    <col min="13571" max="13571" width="10.6640625" style="83" customWidth="1"/>
    <col min="13572" max="13572" width="11.33203125" style="83" bestFit="1" customWidth="1"/>
    <col min="13573" max="13573" width="11.44140625" style="83"/>
    <col min="13574" max="13574" width="12.5546875" style="83" customWidth="1"/>
    <col min="13575" max="13575" width="11.44140625" style="83"/>
    <col min="13576" max="13576" width="9.6640625" style="83" bestFit="1" customWidth="1"/>
    <col min="13577" max="13577" width="12" style="83" bestFit="1" customWidth="1"/>
    <col min="13578" max="13578" width="11.44140625" style="83"/>
    <col min="13579" max="13579" width="12" style="83" bestFit="1" customWidth="1"/>
    <col min="13580" max="13580" width="10.44140625" style="83" customWidth="1"/>
    <col min="13581" max="13581" width="11.6640625" style="83" bestFit="1" customWidth="1"/>
    <col min="13582" max="13582" width="11.33203125" style="83" bestFit="1" customWidth="1"/>
    <col min="13583" max="13585" width="11.44140625" style="83"/>
    <col min="13586" max="13586" width="2.33203125" style="83" customWidth="1"/>
    <col min="13587" max="13822" width="11.44140625" style="83"/>
    <col min="13823" max="13823" width="3.33203125" style="83" customWidth="1"/>
    <col min="13824" max="13824" width="33.6640625" style="83" customWidth="1"/>
    <col min="13825" max="13825" width="11.44140625" style="83"/>
    <col min="13826" max="13826" width="10.6640625" style="83" bestFit="1" customWidth="1"/>
    <col min="13827" max="13827" width="10.6640625" style="83" customWidth="1"/>
    <col min="13828" max="13828" width="11.33203125" style="83" bestFit="1" customWidth="1"/>
    <col min="13829" max="13829" width="11.44140625" style="83"/>
    <col min="13830" max="13830" width="12.5546875" style="83" customWidth="1"/>
    <col min="13831" max="13831" width="11.44140625" style="83"/>
    <col min="13832" max="13832" width="9.6640625" style="83" bestFit="1" customWidth="1"/>
    <col min="13833" max="13833" width="12" style="83" bestFit="1" customWidth="1"/>
    <col min="13834" max="13834" width="11.44140625" style="83"/>
    <col min="13835" max="13835" width="12" style="83" bestFit="1" customWidth="1"/>
    <col min="13836" max="13836" width="10.44140625" style="83" customWidth="1"/>
    <col min="13837" max="13837" width="11.6640625" style="83" bestFit="1" customWidth="1"/>
    <col min="13838" max="13838" width="11.33203125" style="83" bestFit="1" customWidth="1"/>
    <col min="13839" max="13841" width="11.44140625" style="83"/>
    <col min="13842" max="13842" width="2.33203125" style="83" customWidth="1"/>
    <col min="13843" max="14078" width="11.44140625" style="83"/>
    <col min="14079" max="14079" width="3.33203125" style="83" customWidth="1"/>
    <col min="14080" max="14080" width="33.6640625" style="83" customWidth="1"/>
    <col min="14081" max="14081" width="11.44140625" style="83"/>
    <col min="14082" max="14082" width="10.6640625" style="83" bestFit="1" customWidth="1"/>
    <col min="14083" max="14083" width="10.6640625" style="83" customWidth="1"/>
    <col min="14084" max="14084" width="11.33203125" style="83" bestFit="1" customWidth="1"/>
    <col min="14085" max="14085" width="11.44140625" style="83"/>
    <col min="14086" max="14086" width="12.5546875" style="83" customWidth="1"/>
    <col min="14087" max="14087" width="11.44140625" style="83"/>
    <col min="14088" max="14088" width="9.6640625" style="83" bestFit="1" customWidth="1"/>
    <col min="14089" max="14089" width="12" style="83" bestFit="1" customWidth="1"/>
    <col min="14090" max="14090" width="11.44140625" style="83"/>
    <col min="14091" max="14091" width="12" style="83" bestFit="1" customWidth="1"/>
    <col min="14092" max="14092" width="10.44140625" style="83" customWidth="1"/>
    <col min="14093" max="14093" width="11.6640625" style="83" bestFit="1" customWidth="1"/>
    <col min="14094" max="14094" width="11.33203125" style="83" bestFit="1" customWidth="1"/>
    <col min="14095" max="14097" width="11.44140625" style="83"/>
    <col min="14098" max="14098" width="2.33203125" style="83" customWidth="1"/>
    <col min="14099" max="14334" width="11.44140625" style="83"/>
    <col min="14335" max="14335" width="3.33203125" style="83" customWidth="1"/>
    <col min="14336" max="14336" width="33.6640625" style="83" customWidth="1"/>
    <col min="14337" max="14337" width="11.44140625" style="83"/>
    <col min="14338" max="14338" width="10.6640625" style="83" bestFit="1" customWidth="1"/>
    <col min="14339" max="14339" width="10.6640625" style="83" customWidth="1"/>
    <col min="14340" max="14340" width="11.33203125" style="83" bestFit="1" customWidth="1"/>
    <col min="14341" max="14341" width="11.44140625" style="83"/>
    <col min="14342" max="14342" width="12.5546875" style="83" customWidth="1"/>
    <col min="14343" max="14343" width="11.44140625" style="83"/>
    <col min="14344" max="14344" width="9.6640625" style="83" bestFit="1" customWidth="1"/>
    <col min="14345" max="14345" width="12" style="83" bestFit="1" customWidth="1"/>
    <col min="14346" max="14346" width="11.44140625" style="83"/>
    <col min="14347" max="14347" width="12" style="83" bestFit="1" customWidth="1"/>
    <col min="14348" max="14348" width="10.44140625" style="83" customWidth="1"/>
    <col min="14349" max="14349" width="11.6640625" style="83" bestFit="1" customWidth="1"/>
    <col min="14350" max="14350" width="11.33203125" style="83" bestFit="1" customWidth="1"/>
    <col min="14351" max="14353" width="11.44140625" style="83"/>
    <col min="14354" max="14354" width="2.33203125" style="83" customWidth="1"/>
    <col min="14355" max="14590" width="11.44140625" style="83"/>
    <col min="14591" max="14591" width="3.33203125" style="83" customWidth="1"/>
    <col min="14592" max="14592" width="33.6640625" style="83" customWidth="1"/>
    <col min="14593" max="14593" width="11.44140625" style="83"/>
    <col min="14594" max="14594" width="10.6640625" style="83" bestFit="1" customWidth="1"/>
    <col min="14595" max="14595" width="10.6640625" style="83" customWidth="1"/>
    <col min="14596" max="14596" width="11.33203125" style="83" bestFit="1" customWidth="1"/>
    <col min="14597" max="14597" width="11.44140625" style="83"/>
    <col min="14598" max="14598" width="12.5546875" style="83" customWidth="1"/>
    <col min="14599" max="14599" width="11.44140625" style="83"/>
    <col min="14600" max="14600" width="9.6640625" style="83" bestFit="1" customWidth="1"/>
    <col min="14601" max="14601" width="12" style="83" bestFit="1" customWidth="1"/>
    <col min="14602" max="14602" width="11.44140625" style="83"/>
    <col min="14603" max="14603" width="12" style="83" bestFit="1" customWidth="1"/>
    <col min="14604" max="14604" width="10.44140625" style="83" customWidth="1"/>
    <col min="14605" max="14605" width="11.6640625" style="83" bestFit="1" customWidth="1"/>
    <col min="14606" max="14606" width="11.33203125" style="83" bestFit="1" customWidth="1"/>
    <col min="14607" max="14609" width="11.44140625" style="83"/>
    <col min="14610" max="14610" width="2.33203125" style="83" customWidth="1"/>
    <col min="14611" max="14846" width="11.44140625" style="83"/>
    <col min="14847" max="14847" width="3.33203125" style="83" customWidth="1"/>
    <col min="14848" max="14848" width="33.6640625" style="83" customWidth="1"/>
    <col min="14849" max="14849" width="11.44140625" style="83"/>
    <col min="14850" max="14850" width="10.6640625" style="83" bestFit="1" customWidth="1"/>
    <col min="14851" max="14851" width="10.6640625" style="83" customWidth="1"/>
    <col min="14852" max="14852" width="11.33203125" style="83" bestFit="1" customWidth="1"/>
    <col min="14853" max="14853" width="11.44140625" style="83"/>
    <col min="14854" max="14854" width="12.5546875" style="83" customWidth="1"/>
    <col min="14855" max="14855" width="11.44140625" style="83"/>
    <col min="14856" max="14856" width="9.6640625" style="83" bestFit="1" customWidth="1"/>
    <col min="14857" max="14857" width="12" style="83" bestFit="1" customWidth="1"/>
    <col min="14858" max="14858" width="11.44140625" style="83"/>
    <col min="14859" max="14859" width="12" style="83" bestFit="1" customWidth="1"/>
    <col min="14860" max="14860" width="10.44140625" style="83" customWidth="1"/>
    <col min="14861" max="14861" width="11.6640625" style="83" bestFit="1" customWidth="1"/>
    <col min="14862" max="14862" width="11.33203125" style="83" bestFit="1" customWidth="1"/>
    <col min="14863" max="14865" width="11.44140625" style="83"/>
    <col min="14866" max="14866" width="2.33203125" style="83" customWidth="1"/>
    <col min="14867" max="15102" width="11.44140625" style="83"/>
    <col min="15103" max="15103" width="3.33203125" style="83" customWidth="1"/>
    <col min="15104" max="15104" width="33.6640625" style="83" customWidth="1"/>
    <col min="15105" max="15105" width="11.44140625" style="83"/>
    <col min="15106" max="15106" width="10.6640625" style="83" bestFit="1" customWidth="1"/>
    <col min="15107" max="15107" width="10.6640625" style="83" customWidth="1"/>
    <col min="15108" max="15108" width="11.33203125" style="83" bestFit="1" customWidth="1"/>
    <col min="15109" max="15109" width="11.44140625" style="83"/>
    <col min="15110" max="15110" width="12.5546875" style="83" customWidth="1"/>
    <col min="15111" max="15111" width="11.44140625" style="83"/>
    <col min="15112" max="15112" width="9.6640625" style="83" bestFit="1" customWidth="1"/>
    <col min="15113" max="15113" width="12" style="83" bestFit="1" customWidth="1"/>
    <col min="15114" max="15114" width="11.44140625" style="83"/>
    <col min="15115" max="15115" width="12" style="83" bestFit="1" customWidth="1"/>
    <col min="15116" max="15116" width="10.44140625" style="83" customWidth="1"/>
    <col min="15117" max="15117" width="11.6640625" style="83" bestFit="1" customWidth="1"/>
    <col min="15118" max="15118" width="11.33203125" style="83" bestFit="1" customWidth="1"/>
    <col min="15119" max="15121" width="11.44140625" style="83"/>
    <col min="15122" max="15122" width="2.33203125" style="83" customWidth="1"/>
    <col min="15123" max="15358" width="11.44140625" style="83"/>
    <col min="15359" max="15359" width="3.33203125" style="83" customWidth="1"/>
    <col min="15360" max="15360" width="33.6640625" style="83" customWidth="1"/>
    <col min="15361" max="15361" width="11.44140625" style="83"/>
    <col min="15362" max="15362" width="10.6640625" style="83" bestFit="1" customWidth="1"/>
    <col min="15363" max="15363" width="10.6640625" style="83" customWidth="1"/>
    <col min="15364" max="15364" width="11.33203125" style="83" bestFit="1" customWidth="1"/>
    <col min="15365" max="15365" width="11.44140625" style="83"/>
    <col min="15366" max="15366" width="12.5546875" style="83" customWidth="1"/>
    <col min="15367" max="15367" width="11.44140625" style="83"/>
    <col min="15368" max="15368" width="9.6640625" style="83" bestFit="1" customWidth="1"/>
    <col min="15369" max="15369" width="12" style="83" bestFit="1" customWidth="1"/>
    <col min="15370" max="15370" width="11.44140625" style="83"/>
    <col min="15371" max="15371" width="12" style="83" bestFit="1" customWidth="1"/>
    <col min="15372" max="15372" width="10.44140625" style="83" customWidth="1"/>
    <col min="15373" max="15373" width="11.6640625" style="83" bestFit="1" customWidth="1"/>
    <col min="15374" max="15374" width="11.33203125" style="83" bestFit="1" customWidth="1"/>
    <col min="15375" max="15377" width="11.44140625" style="83"/>
    <col min="15378" max="15378" width="2.33203125" style="83" customWidth="1"/>
    <col min="15379" max="15614" width="11.44140625" style="83"/>
    <col min="15615" max="15615" width="3.33203125" style="83" customWidth="1"/>
    <col min="15616" max="15616" width="33.6640625" style="83" customWidth="1"/>
    <col min="15617" max="15617" width="11.44140625" style="83"/>
    <col min="15618" max="15618" width="10.6640625" style="83" bestFit="1" customWidth="1"/>
    <col min="15619" max="15619" width="10.6640625" style="83" customWidth="1"/>
    <col min="15620" max="15620" width="11.33203125" style="83" bestFit="1" customWidth="1"/>
    <col min="15621" max="15621" width="11.44140625" style="83"/>
    <col min="15622" max="15622" width="12.5546875" style="83" customWidth="1"/>
    <col min="15623" max="15623" width="11.44140625" style="83"/>
    <col min="15624" max="15624" width="9.6640625" style="83" bestFit="1" customWidth="1"/>
    <col min="15625" max="15625" width="12" style="83" bestFit="1" customWidth="1"/>
    <col min="15626" max="15626" width="11.44140625" style="83"/>
    <col min="15627" max="15627" width="12" style="83" bestFit="1" customWidth="1"/>
    <col min="15628" max="15628" width="10.44140625" style="83" customWidth="1"/>
    <col min="15629" max="15629" width="11.6640625" style="83" bestFit="1" customWidth="1"/>
    <col min="15630" max="15630" width="11.33203125" style="83" bestFit="1" customWidth="1"/>
    <col min="15631" max="15633" width="11.44140625" style="83"/>
    <col min="15634" max="15634" width="2.33203125" style="83" customWidth="1"/>
    <col min="15635" max="15870" width="11.44140625" style="83"/>
    <col min="15871" max="15871" width="3.33203125" style="83" customWidth="1"/>
    <col min="15872" max="15872" width="33.6640625" style="83" customWidth="1"/>
    <col min="15873" max="15873" width="11.44140625" style="83"/>
    <col min="15874" max="15874" width="10.6640625" style="83" bestFit="1" customWidth="1"/>
    <col min="15875" max="15875" width="10.6640625" style="83" customWidth="1"/>
    <col min="15876" max="15876" width="11.33203125" style="83" bestFit="1" customWidth="1"/>
    <col min="15877" max="15877" width="11.44140625" style="83"/>
    <col min="15878" max="15878" width="12.5546875" style="83" customWidth="1"/>
    <col min="15879" max="15879" width="11.44140625" style="83"/>
    <col min="15880" max="15880" width="9.6640625" style="83" bestFit="1" customWidth="1"/>
    <col min="15881" max="15881" width="12" style="83" bestFit="1" customWidth="1"/>
    <col min="15882" max="15882" width="11.44140625" style="83"/>
    <col min="15883" max="15883" width="12" style="83" bestFit="1" customWidth="1"/>
    <col min="15884" max="15884" width="10.44140625" style="83" customWidth="1"/>
    <col min="15885" max="15885" width="11.6640625" style="83" bestFit="1" customWidth="1"/>
    <col min="15886" max="15886" width="11.33203125" style="83" bestFit="1" customWidth="1"/>
    <col min="15887" max="15889" width="11.44140625" style="83"/>
    <col min="15890" max="15890" width="2.33203125" style="83" customWidth="1"/>
    <col min="15891" max="16126" width="11.44140625" style="83"/>
    <col min="16127" max="16127" width="3.33203125" style="83" customWidth="1"/>
    <col min="16128" max="16128" width="33.6640625" style="83" customWidth="1"/>
    <col min="16129" max="16129" width="11.44140625" style="83"/>
    <col min="16130" max="16130" width="10.6640625" style="83" bestFit="1" customWidth="1"/>
    <col min="16131" max="16131" width="10.6640625" style="83" customWidth="1"/>
    <col min="16132" max="16132" width="11.33203125" style="83" bestFit="1" customWidth="1"/>
    <col min="16133" max="16133" width="11.44140625" style="83"/>
    <col min="16134" max="16134" width="12.5546875" style="83" customWidth="1"/>
    <col min="16135" max="16135" width="11.44140625" style="83"/>
    <col min="16136" max="16136" width="9.6640625" style="83" bestFit="1" customWidth="1"/>
    <col min="16137" max="16137" width="12" style="83" bestFit="1" customWidth="1"/>
    <col min="16138" max="16138" width="11.44140625" style="83"/>
    <col min="16139" max="16139" width="12" style="83" bestFit="1" customWidth="1"/>
    <col min="16140" max="16140" width="10.44140625" style="83" customWidth="1"/>
    <col min="16141" max="16141" width="11.6640625" style="83" bestFit="1" customWidth="1"/>
    <col min="16142" max="16142" width="11.33203125" style="83" bestFit="1" customWidth="1"/>
    <col min="16143" max="16145" width="11.44140625" style="83"/>
    <col min="16146" max="16146" width="2.33203125" style="83" customWidth="1"/>
    <col min="16147" max="16384" width="11.44140625" style="83"/>
  </cols>
  <sheetData>
    <row r="1" spans="1:9" s="81" customFormat="1" ht="27">
      <c r="A1" s="80" t="s">
        <v>203</v>
      </c>
    </row>
    <row r="2" spans="1:9" s="81" customFormat="1">
      <c r="A2" s="82" t="str">
        <f>"(In "&amp;F10&amp;" Millions Except Per Share Data)"</f>
        <v>(In USD Millions Except Per Share Data)</v>
      </c>
    </row>
    <row r="3" spans="1:9" ht="17.399999999999999" thickBot="1"/>
    <row r="4" spans="1:9">
      <c r="A4" s="84" t="s">
        <v>81</v>
      </c>
      <c r="B4" s="85"/>
      <c r="C4" s="85"/>
      <c r="D4" s="85"/>
      <c r="E4" s="85"/>
      <c r="F4" s="86"/>
    </row>
    <row r="5" spans="1:9">
      <c r="A5" s="87" t="s">
        <v>82</v>
      </c>
      <c r="F5" s="88" t="s">
        <v>147</v>
      </c>
    </row>
    <row r="6" spans="1:9">
      <c r="A6" s="87" t="s">
        <v>83</v>
      </c>
      <c r="F6" s="89">
        <f>DATE(2025,2,11)</f>
        <v>45699</v>
      </c>
    </row>
    <row r="7" spans="1:9">
      <c r="A7" s="87" t="s">
        <v>84</v>
      </c>
      <c r="F7" s="90" t="s">
        <v>214</v>
      </c>
    </row>
    <row r="8" spans="1:9">
      <c r="A8" s="87" t="s">
        <v>85</v>
      </c>
      <c r="F8" s="91">
        <v>45382</v>
      </c>
    </row>
    <row r="9" spans="1:9">
      <c r="A9" s="87" t="s">
        <v>86</v>
      </c>
      <c r="F9" s="91"/>
    </row>
    <row r="10" spans="1:9">
      <c r="A10" s="87" t="s">
        <v>66</v>
      </c>
      <c r="F10" s="88" t="s">
        <v>48</v>
      </c>
    </row>
    <row r="11" spans="1:9" ht="17.399999999999999" thickBot="1">
      <c r="A11" s="92" t="s">
        <v>87</v>
      </c>
      <c r="B11" s="93"/>
      <c r="C11" s="93"/>
      <c r="D11" s="93"/>
      <c r="E11" s="93"/>
      <c r="F11" s="94">
        <f>[1]WACC!D23</f>
        <v>0.21</v>
      </c>
    </row>
    <row r="13" spans="1:9" ht="17.399999999999999" thickBot="1">
      <c r="G13" s="210"/>
      <c r="H13" s="210"/>
      <c r="I13" s="210"/>
    </row>
    <row r="14" spans="1:9" ht="17.399999999999999" thickBot="1">
      <c r="A14" s="96" t="s">
        <v>88</v>
      </c>
      <c r="B14" s="97"/>
      <c r="C14" s="98" t="s">
        <v>89</v>
      </c>
      <c r="D14" s="98" t="s">
        <v>90</v>
      </c>
      <c r="E14" s="98" t="s">
        <v>91</v>
      </c>
      <c r="F14" s="99"/>
      <c r="H14" s="95"/>
      <c r="I14" s="95"/>
    </row>
    <row r="15" spans="1:9">
      <c r="A15" s="87" t="s">
        <v>92</v>
      </c>
      <c r="C15" s="100">
        <v>61.38</v>
      </c>
      <c r="D15" s="101"/>
      <c r="E15" s="101"/>
      <c r="F15" s="102"/>
      <c r="G15" s="103"/>
    </row>
    <row r="16" spans="1:9">
      <c r="A16" s="87" t="s">
        <v>93</v>
      </c>
      <c r="C16" s="101">
        <v>297.33800000000002</v>
      </c>
      <c r="D16" s="101"/>
      <c r="E16" s="101"/>
      <c r="F16" s="104"/>
    </row>
    <row r="17" spans="1:9">
      <c r="A17" s="87" t="s">
        <v>94</v>
      </c>
      <c r="C17" s="105">
        <f>C16+H45+G53</f>
        <v>309.22428022157055</v>
      </c>
      <c r="D17" s="105"/>
      <c r="E17" s="105"/>
      <c r="F17" s="104"/>
      <c r="H17" s="106"/>
    </row>
    <row r="18" spans="1:9">
      <c r="A18" s="87" t="s">
        <v>73</v>
      </c>
      <c r="C18" s="105">
        <f>C15*C17</f>
        <v>18980.186320000001</v>
      </c>
      <c r="D18" s="105"/>
      <c r="E18" s="105"/>
      <c r="F18" s="107">
        <f>SUM(C18:E18)+28.2</f>
        <v>19008.386320000001</v>
      </c>
      <c r="G18" s="83" t="s">
        <v>148</v>
      </c>
      <c r="I18" s="106"/>
    </row>
    <row r="19" spans="1:9">
      <c r="A19" s="87" t="s">
        <v>4</v>
      </c>
      <c r="D19" s="108"/>
      <c r="E19" s="108"/>
      <c r="F19" s="109">
        <v>0</v>
      </c>
      <c r="H19" s="106"/>
      <c r="I19" s="106"/>
    </row>
    <row r="20" spans="1:9">
      <c r="A20" s="110" t="s">
        <v>95</v>
      </c>
      <c r="D20" s="108"/>
      <c r="E20" s="108"/>
      <c r="F20" s="107">
        <f>E21</f>
        <v>0</v>
      </c>
      <c r="H20" s="106"/>
      <c r="I20" s="106"/>
    </row>
    <row r="21" spans="1:9">
      <c r="A21" s="110"/>
      <c r="B21" s="83" t="s">
        <v>96</v>
      </c>
      <c r="E21" s="111">
        <v>0</v>
      </c>
      <c r="F21" s="104"/>
    </row>
    <row r="22" spans="1:9">
      <c r="A22" s="87"/>
      <c r="B22" s="112" t="s">
        <v>97</v>
      </c>
      <c r="E22" s="113">
        <v>0</v>
      </c>
      <c r="F22" s="104"/>
    </row>
    <row r="23" spans="1:9">
      <c r="A23" s="110" t="s">
        <v>98</v>
      </c>
      <c r="E23" s="108"/>
      <c r="F23" s="107">
        <f>SUM(E24:E25)</f>
        <v>29.212</v>
      </c>
      <c r="H23" s="106"/>
      <c r="I23" s="106"/>
    </row>
    <row r="24" spans="1:9" ht="15" customHeight="1">
      <c r="A24" s="87"/>
      <c r="B24" s="112" t="s">
        <v>99</v>
      </c>
      <c r="C24" s="112"/>
      <c r="E24" s="111">
        <v>29.212</v>
      </c>
      <c r="F24" s="104"/>
    </row>
    <row r="25" spans="1:9" ht="15" customHeight="1">
      <c r="A25" s="87"/>
      <c r="B25" s="112" t="s">
        <v>100</v>
      </c>
      <c r="C25" s="112"/>
      <c r="E25" s="113">
        <v>0</v>
      </c>
      <c r="F25" s="104"/>
    </row>
    <row r="26" spans="1:9">
      <c r="A26" s="110" t="s">
        <v>101</v>
      </c>
      <c r="E26" s="108"/>
      <c r="F26" s="104"/>
    </row>
    <row r="27" spans="1:9" ht="15" customHeight="1">
      <c r="A27" s="110"/>
      <c r="B27" s="83" t="s">
        <v>102</v>
      </c>
      <c r="E27" s="108"/>
      <c r="F27" s="109">
        <v>0</v>
      </c>
    </row>
    <row r="28" spans="1:9">
      <c r="A28" s="87"/>
      <c r="B28" s="83" t="s">
        <v>103</v>
      </c>
      <c r="F28" s="109">
        <v>0</v>
      </c>
      <c r="H28" s="106"/>
      <c r="I28" s="106"/>
    </row>
    <row r="29" spans="1:9">
      <c r="A29" s="110" t="s">
        <v>104</v>
      </c>
      <c r="E29" s="108"/>
      <c r="F29" s="109">
        <v>778.98299999999995</v>
      </c>
      <c r="H29" s="106"/>
      <c r="I29" s="106"/>
    </row>
    <row r="30" spans="1:9" ht="17.399999999999999" thickBot="1">
      <c r="A30" s="114" t="s">
        <v>105</v>
      </c>
      <c r="B30" s="115"/>
      <c r="C30" s="115"/>
      <c r="D30" s="116"/>
      <c r="E30" s="116"/>
      <c r="F30" s="117">
        <f>F18+F19+F20+F23+F27+F28-F29</f>
        <v>18258.615320000001</v>
      </c>
      <c r="I30" s="118"/>
    </row>
    <row r="31" spans="1:9">
      <c r="A31" s="119" t="s">
        <v>106</v>
      </c>
      <c r="B31" s="120"/>
      <c r="C31" s="120"/>
      <c r="D31" s="121"/>
      <c r="E31" s="121"/>
      <c r="F31" s="109">
        <v>104.241</v>
      </c>
      <c r="H31" s="106"/>
      <c r="I31" s="106"/>
    </row>
    <row r="32" spans="1:9" ht="14.25" customHeight="1">
      <c r="A32" s="119" t="s">
        <v>107</v>
      </c>
      <c r="B32" s="120"/>
      <c r="C32" s="120"/>
      <c r="D32" s="121"/>
      <c r="E32" s="121"/>
      <c r="F32" s="107">
        <f>F30-F31</f>
        <v>18154.374319999999</v>
      </c>
      <c r="I32" s="122"/>
    </row>
    <row r="33" spans="1:14" ht="15" customHeight="1" thickBot="1">
      <c r="A33" s="92" t="s">
        <v>108</v>
      </c>
      <c r="B33" s="93"/>
      <c r="C33" s="93"/>
      <c r="D33" s="93"/>
      <c r="E33" s="93"/>
      <c r="F33" s="123">
        <f>F18/SUM(C17:E17)</f>
        <v>61.471195943539087</v>
      </c>
      <c r="J33" s="124"/>
    </row>
    <row r="34" spans="1:14" ht="17.399999999999999" thickBot="1">
      <c r="H34" s="125"/>
      <c r="I34" s="125"/>
      <c r="J34" s="125"/>
    </row>
    <row r="35" spans="1:14" ht="17.399999999999999" thickBot="1">
      <c r="A35" s="96" t="s">
        <v>109</v>
      </c>
      <c r="B35" s="97"/>
      <c r="C35" s="126"/>
      <c r="D35" s="126"/>
      <c r="E35" s="126"/>
      <c r="F35" s="126"/>
      <c r="G35" s="126"/>
      <c r="H35" s="126"/>
    </row>
    <row r="36" spans="1:14" ht="17.399999999999999" thickBot="1">
      <c r="H36" s="125"/>
      <c r="I36" s="125"/>
      <c r="J36" s="125"/>
      <c r="K36" s="125"/>
    </row>
    <row r="37" spans="1:14" ht="17.399999999999999" thickBot="1">
      <c r="B37" s="96" t="s">
        <v>149</v>
      </c>
      <c r="C37" s="126"/>
      <c r="D37" s="126"/>
      <c r="E37" s="126"/>
      <c r="F37" s="126"/>
      <c r="G37" s="126"/>
      <c r="H37" s="127"/>
      <c r="I37" s="125"/>
      <c r="J37" s="128"/>
    </row>
    <row r="38" spans="1:14">
      <c r="B38" s="129"/>
      <c r="C38" s="130" t="s">
        <v>28</v>
      </c>
      <c r="E38" s="131" t="s">
        <v>29</v>
      </c>
      <c r="F38" s="131"/>
      <c r="G38" s="131"/>
      <c r="H38" s="132" t="s">
        <v>30</v>
      </c>
      <c r="I38" s="125"/>
      <c r="J38" s="130"/>
      <c r="K38" s="130"/>
      <c r="L38" s="95"/>
      <c r="M38" s="95"/>
      <c r="N38" s="130"/>
    </row>
    <row r="39" spans="1:14" ht="17.399999999999999" thickBot="1">
      <c r="B39" s="133" t="s">
        <v>110</v>
      </c>
      <c r="C39" s="134" t="s">
        <v>32</v>
      </c>
      <c r="D39" s="134" t="s">
        <v>33</v>
      </c>
      <c r="E39" s="134" t="s">
        <v>34</v>
      </c>
      <c r="F39" s="134" t="s">
        <v>35</v>
      </c>
      <c r="G39" s="93" t="s">
        <v>36</v>
      </c>
      <c r="H39" s="135" t="s">
        <v>37</v>
      </c>
      <c r="I39" s="125"/>
      <c r="J39" s="136"/>
      <c r="K39" s="130"/>
      <c r="L39" s="130"/>
      <c r="N39" s="130"/>
    </row>
    <row r="40" spans="1:14">
      <c r="B40" s="137">
        <v>2.9359999999999999</v>
      </c>
      <c r="C40" s="138">
        <v>21.82</v>
      </c>
      <c r="D40" s="139" t="str">
        <f>IF(C40&lt;$C$15,"Yes","N0")</f>
        <v>Yes</v>
      </c>
      <c r="E40" s="140">
        <f>IF(D40="Yes",B40,0)</f>
        <v>2.9359999999999999</v>
      </c>
      <c r="F40" s="141">
        <f>E40*C40</f>
        <v>64.063519999999997</v>
      </c>
      <c r="G40" s="140">
        <f>F40/$C$15</f>
        <v>1.0437197784294558</v>
      </c>
      <c r="H40" s="142">
        <f>E40-G40</f>
        <v>1.8922802215705441</v>
      </c>
      <c r="I40" s="125" t="s">
        <v>150</v>
      </c>
      <c r="J40" s="143"/>
      <c r="K40" s="143"/>
      <c r="L40" s="106"/>
      <c r="M40" s="143"/>
      <c r="N40" s="143"/>
    </row>
    <row r="41" spans="1:14">
      <c r="B41" s="137">
        <v>0.14199999999999999</v>
      </c>
      <c r="C41" s="138">
        <v>0</v>
      </c>
      <c r="D41" s="139" t="str">
        <f>IF(C41&lt;$C$15,"Yes","N0")</f>
        <v>Yes</v>
      </c>
      <c r="E41" s="140">
        <f>IF(D41="Yes",B41,0)</f>
        <v>0.14199999999999999</v>
      </c>
      <c r="F41" s="141">
        <f>E41*C41</f>
        <v>0</v>
      </c>
      <c r="G41" s="140">
        <f>F41/$C$15</f>
        <v>0</v>
      </c>
      <c r="H41" s="142">
        <f>E41-G41</f>
        <v>0.14199999999999999</v>
      </c>
      <c r="I41" s="125" t="s">
        <v>151</v>
      </c>
      <c r="J41" s="143"/>
      <c r="K41" s="143"/>
      <c r="L41" s="106"/>
      <c r="M41" s="143"/>
      <c r="N41" s="143"/>
    </row>
    <row r="42" spans="1:14">
      <c r="B42" s="137">
        <v>9.8520000000000003</v>
      </c>
      <c r="C42" s="138">
        <v>0</v>
      </c>
      <c r="D42" s="139" t="str">
        <f>IF(C42&lt;$C$15,"Yes","N0")</f>
        <v>Yes</v>
      </c>
      <c r="E42" s="140">
        <f>IF(D42="Yes",B42,0)</f>
        <v>9.8520000000000003</v>
      </c>
      <c r="F42" s="141">
        <f>E42*C42</f>
        <v>0</v>
      </c>
      <c r="G42" s="140"/>
      <c r="H42" s="142">
        <f>E42-G42</f>
        <v>9.8520000000000003</v>
      </c>
      <c r="I42" s="125"/>
      <c r="J42" s="143"/>
      <c r="K42" s="143"/>
      <c r="L42" s="106"/>
      <c r="M42" s="143"/>
      <c r="N42" s="143"/>
    </row>
    <row r="43" spans="1:14">
      <c r="B43" s="137"/>
      <c r="C43" s="138"/>
      <c r="D43" s="139"/>
      <c r="E43" s="140"/>
      <c r="F43" s="141"/>
      <c r="G43" s="140"/>
      <c r="H43" s="142"/>
      <c r="I43" s="125"/>
      <c r="J43" s="143"/>
      <c r="K43" s="143"/>
      <c r="L43" s="106"/>
      <c r="M43" s="143"/>
      <c r="N43" s="143"/>
    </row>
    <row r="44" spans="1:14">
      <c r="B44" s="137"/>
      <c r="C44" s="138"/>
      <c r="D44" s="139"/>
      <c r="E44" s="140"/>
      <c r="F44" s="141"/>
      <c r="G44" s="140"/>
      <c r="H44" s="142"/>
      <c r="I44" s="125"/>
      <c r="J44" s="143"/>
      <c r="K44" s="143"/>
      <c r="L44" s="106"/>
      <c r="M44" s="143"/>
      <c r="N44" s="143"/>
    </row>
    <row r="45" spans="1:14" ht="17.399999999999999" thickBot="1">
      <c r="B45" s="92"/>
      <c r="C45" s="93"/>
      <c r="D45" s="93"/>
      <c r="E45" s="93"/>
      <c r="F45" s="93"/>
      <c r="G45" s="93"/>
      <c r="H45" s="144">
        <f>SUM(H40:H44)</f>
        <v>11.886280221570544</v>
      </c>
      <c r="I45" s="125"/>
      <c r="N45" s="143"/>
    </row>
    <row r="46" spans="1:14" ht="17.399999999999999" thickBot="1">
      <c r="H46" s="125"/>
      <c r="I46" s="125"/>
      <c r="J46" s="125"/>
      <c r="K46" s="125"/>
    </row>
    <row r="47" spans="1:14" ht="17.399999999999999" thickBot="1">
      <c r="B47" s="96" t="s">
        <v>111</v>
      </c>
      <c r="C47" s="126"/>
      <c r="D47" s="126"/>
      <c r="E47" s="126"/>
      <c r="F47" s="126"/>
      <c r="G47" s="127"/>
      <c r="H47" s="125"/>
      <c r="I47" s="125"/>
    </row>
    <row r="48" spans="1:14">
      <c r="B48" s="145"/>
      <c r="C48" s="146"/>
      <c r="D48" s="146"/>
      <c r="E48" s="211" t="s">
        <v>112</v>
      </c>
      <c r="F48" s="147"/>
      <c r="G48" s="213" t="s">
        <v>113</v>
      </c>
      <c r="H48" s="125"/>
      <c r="I48" s="125"/>
      <c r="J48" s="112"/>
      <c r="K48" s="112"/>
      <c r="M48" s="212"/>
    </row>
    <row r="49" spans="1:16">
      <c r="B49" s="148" t="s">
        <v>114</v>
      </c>
      <c r="C49" s="149" t="s">
        <v>115</v>
      </c>
      <c r="D49" s="149" t="s">
        <v>116</v>
      </c>
      <c r="E49" s="212"/>
      <c r="F49" s="150" t="s">
        <v>117</v>
      </c>
      <c r="G49" s="214"/>
      <c r="H49" s="125"/>
      <c r="I49" s="125"/>
      <c r="J49" s="112"/>
      <c r="K49" s="149"/>
      <c r="L49" s="150"/>
      <c r="M49" s="212"/>
    </row>
    <row r="50" spans="1:16">
      <c r="B50" s="87"/>
      <c r="C50" s="151"/>
      <c r="D50" s="151"/>
      <c r="E50" s="152"/>
      <c r="F50" s="153"/>
      <c r="G50" s="154"/>
      <c r="H50" s="125"/>
      <c r="I50" s="125"/>
      <c r="K50" s="106"/>
      <c r="L50" s="155"/>
      <c r="M50" s="155"/>
    </row>
    <row r="51" spans="1:16">
      <c r="B51" s="87"/>
      <c r="C51" s="151"/>
      <c r="D51" s="151"/>
      <c r="E51" s="152"/>
      <c r="F51" s="153"/>
      <c r="G51" s="154"/>
      <c r="H51" s="125"/>
      <c r="I51" s="125"/>
      <c r="K51" s="106"/>
      <c r="L51" s="155"/>
      <c r="M51" s="155"/>
    </row>
    <row r="52" spans="1:16">
      <c r="B52" s="87"/>
      <c r="C52" s="151"/>
      <c r="D52" s="151"/>
      <c r="E52" s="152"/>
      <c r="F52" s="156"/>
      <c r="G52" s="154"/>
      <c r="H52" s="125"/>
      <c r="I52" s="125"/>
      <c r="K52" s="106"/>
      <c r="L52" s="155"/>
      <c r="M52" s="155"/>
    </row>
    <row r="53" spans="1:16" ht="17.399999999999999" thickBot="1">
      <c r="B53" s="92"/>
      <c r="C53" s="157"/>
      <c r="D53" s="157"/>
      <c r="E53" s="157"/>
      <c r="F53" s="158"/>
      <c r="G53" s="159"/>
      <c r="H53" s="125"/>
      <c r="I53" s="125"/>
      <c r="K53" s="106"/>
      <c r="L53" s="155"/>
      <c r="M53" s="155"/>
    </row>
    <row r="54" spans="1:16">
      <c r="H54" s="125"/>
      <c r="I54" s="125"/>
    </row>
    <row r="55" spans="1:16">
      <c r="H55" s="125"/>
      <c r="I55" s="125"/>
      <c r="J55" s="125"/>
      <c r="K55" s="125"/>
      <c r="L55" s="83" t="s">
        <v>152</v>
      </c>
    </row>
    <row r="56" spans="1:16">
      <c r="H56" s="125"/>
      <c r="I56" s="125"/>
      <c r="J56" s="125"/>
      <c r="K56" s="125"/>
      <c r="L56" s="215" t="s">
        <v>153</v>
      </c>
      <c r="M56" s="215"/>
      <c r="N56" s="215"/>
    </row>
    <row r="57" spans="1:16">
      <c r="A57" s="160" t="s">
        <v>118</v>
      </c>
      <c r="B57" s="160"/>
      <c r="C57" s="160"/>
      <c r="D57" s="160"/>
      <c r="E57" s="160"/>
      <c r="F57" s="160"/>
      <c r="G57" s="160"/>
      <c r="H57" s="161" t="s">
        <v>119</v>
      </c>
      <c r="I57" s="161" t="s">
        <v>120</v>
      </c>
      <c r="J57" s="161" t="s">
        <v>121</v>
      </c>
      <c r="K57" s="161" t="s">
        <v>38</v>
      </c>
      <c r="L57" s="161" t="s">
        <v>122</v>
      </c>
      <c r="M57" s="161" t="s">
        <v>123</v>
      </c>
      <c r="N57" s="161" t="s">
        <v>124</v>
      </c>
      <c r="O57" s="162"/>
      <c r="P57" s="161" t="s">
        <v>145</v>
      </c>
    </row>
    <row r="58" spans="1:16">
      <c r="H58" s="83" t="s">
        <v>125</v>
      </c>
      <c r="I58" s="83" t="s">
        <v>154</v>
      </c>
      <c r="J58" s="83" t="s">
        <v>154</v>
      </c>
      <c r="L58" s="163">
        <v>46022</v>
      </c>
      <c r="M58" s="163">
        <f>EDATE(L58,12)</f>
        <v>46387</v>
      </c>
      <c r="N58" s="163">
        <f>EDATE(M58,12)</f>
        <v>46752</v>
      </c>
      <c r="O58" s="164"/>
    </row>
    <row r="59" spans="1:16">
      <c r="A59" s="83" t="s">
        <v>126</v>
      </c>
      <c r="H59" s="151">
        <v>1359.354</v>
      </c>
      <c r="I59" s="151">
        <v>123.518</v>
      </c>
      <c r="J59" s="165">
        <v>1049.682</v>
      </c>
      <c r="K59" s="166">
        <f>H59+I59-J59</f>
        <v>433.19000000000005</v>
      </c>
      <c r="L59" s="151">
        <v>1689</v>
      </c>
      <c r="M59" s="151">
        <v>1944</v>
      </c>
      <c r="N59" s="151">
        <v>2251</v>
      </c>
      <c r="O59" s="167"/>
      <c r="P59" s="168">
        <f>_xlfn.RRI(3,H59,N59)</f>
        <v>0.18308053350863895</v>
      </c>
    </row>
    <row r="60" spans="1:16" ht="5.25" customHeight="1">
      <c r="H60" s="169"/>
      <c r="I60" s="169"/>
      <c r="J60" s="169"/>
      <c r="K60" s="169"/>
    </row>
    <row r="61" spans="1:16">
      <c r="A61" s="83" t="s">
        <v>127</v>
      </c>
      <c r="H61" s="151">
        <v>128.4</v>
      </c>
      <c r="I61" s="151">
        <v>136.51900000000001</v>
      </c>
      <c r="J61" s="151">
        <v>105.277</v>
      </c>
      <c r="K61" s="166">
        <f>H61+I61-J61</f>
        <v>159.642</v>
      </c>
    </row>
    <row r="62" spans="1:16" s="120" customFormat="1">
      <c r="A62" s="83" t="s">
        <v>128</v>
      </c>
      <c r="H62" s="151">
        <f>H63-H61</f>
        <v>324.779</v>
      </c>
      <c r="I62" s="151">
        <f t="shared" ref="I62:J62" si="0">I63-I61</f>
        <v>252.98500000000001</v>
      </c>
      <c r="J62" s="151">
        <f t="shared" si="0"/>
        <v>209.65000000000003</v>
      </c>
      <c r="K62" s="170"/>
    </row>
    <row r="63" spans="1:16" s="120" customFormat="1">
      <c r="A63" s="171" t="s">
        <v>129</v>
      </c>
      <c r="H63" s="172">
        <f>H65+H64</f>
        <v>453.17899999999997</v>
      </c>
      <c r="I63" s="172">
        <f t="shared" ref="I63:J63" si="1">I65+I64</f>
        <v>389.50400000000002</v>
      </c>
      <c r="J63" s="172">
        <f t="shared" si="1"/>
        <v>314.92700000000002</v>
      </c>
      <c r="K63" s="166">
        <f>H63+I63-J63</f>
        <v>527.75599999999997</v>
      </c>
      <c r="L63" s="151">
        <v>507.4</v>
      </c>
      <c r="M63" s="151">
        <v>593.1</v>
      </c>
      <c r="N63" s="151">
        <v>693.5</v>
      </c>
      <c r="O63" s="169"/>
      <c r="P63" s="168">
        <f>_xlfn.RRI(3,H63,N63)</f>
        <v>0.15237075866194716</v>
      </c>
    </row>
    <row r="64" spans="1:16">
      <c r="A64" s="83" t="s">
        <v>130</v>
      </c>
      <c r="H64" s="151">
        <v>54.94</v>
      </c>
      <c r="I64" s="151">
        <v>13.851000000000001</v>
      </c>
      <c r="J64" s="151">
        <v>11.781000000000001</v>
      </c>
      <c r="K64" s="169"/>
    </row>
    <row r="65" spans="1:16" s="120" customFormat="1">
      <c r="A65" s="120" t="s">
        <v>131</v>
      </c>
      <c r="H65" s="172">
        <v>398.23899999999998</v>
      </c>
      <c r="I65" s="172">
        <v>375.65300000000002</v>
      </c>
      <c r="J65" s="172">
        <v>303.14600000000002</v>
      </c>
      <c r="K65" s="166">
        <f>H65+I65-J65</f>
        <v>470.74600000000004</v>
      </c>
      <c r="L65" s="151">
        <v>484</v>
      </c>
      <c r="M65" s="151">
        <v>562.20000000000005</v>
      </c>
      <c r="N65" s="151">
        <v>664.6</v>
      </c>
      <c r="O65" s="169"/>
      <c r="P65" s="168">
        <f>_xlfn.RRI(3,H65,N65)</f>
        <v>0.18614791394919394</v>
      </c>
    </row>
    <row r="66" spans="1:16" ht="6" customHeight="1">
      <c r="H66" s="169"/>
      <c r="I66" s="169"/>
      <c r="J66" s="169"/>
      <c r="K66" s="169"/>
    </row>
    <row r="67" spans="1:16">
      <c r="A67" s="83" t="s">
        <v>132</v>
      </c>
      <c r="H67" s="151">
        <v>1254</v>
      </c>
      <c r="I67" s="151"/>
      <c r="J67" s="151"/>
      <c r="K67" s="166">
        <f>H67+I67-J67</f>
        <v>1254</v>
      </c>
    </row>
    <row r="68" spans="1:16">
      <c r="A68" s="83" t="s">
        <v>133</v>
      </c>
      <c r="H68" s="151">
        <f>H62</f>
        <v>324.779</v>
      </c>
      <c r="I68" s="151"/>
      <c r="J68" s="151"/>
    </row>
    <row r="69" spans="1:16">
      <c r="A69" s="83" t="s">
        <v>134</v>
      </c>
      <c r="G69" s="83" t="s">
        <v>155</v>
      </c>
      <c r="H69" s="151"/>
      <c r="I69" s="151"/>
      <c r="J69" s="151"/>
    </row>
    <row r="70" spans="1:16">
      <c r="A70" s="83" t="s">
        <v>135</v>
      </c>
      <c r="H70" s="151"/>
      <c r="I70" s="151"/>
      <c r="J70" s="151"/>
    </row>
    <row r="71" spans="1:16">
      <c r="A71" s="83" t="s">
        <v>136</v>
      </c>
      <c r="H71" s="151"/>
      <c r="I71" s="151"/>
      <c r="J71" s="151"/>
    </row>
    <row r="72" spans="1:16">
      <c r="A72" s="120" t="s">
        <v>137</v>
      </c>
      <c r="H72" s="172"/>
      <c r="I72" s="172"/>
      <c r="J72" s="172"/>
    </row>
    <row r="73" spans="1:16">
      <c r="A73" s="83" t="s">
        <v>138</v>
      </c>
      <c r="H73" s="151"/>
      <c r="I73" s="151"/>
      <c r="J73" s="151"/>
    </row>
    <row r="74" spans="1:16" s="120" customFormat="1">
      <c r="A74" s="120" t="s">
        <v>139</v>
      </c>
      <c r="G74" s="120" t="s">
        <v>156</v>
      </c>
      <c r="H74" s="166">
        <v>358.11700000000002</v>
      </c>
      <c r="I74" s="166">
        <v>323.26600000000002</v>
      </c>
      <c r="J74" s="166">
        <v>268.71600000000001</v>
      </c>
      <c r="K74" s="166">
        <f>H74+I74-J74</f>
        <v>412.66700000000003</v>
      </c>
      <c r="L74" s="151">
        <v>472.9</v>
      </c>
      <c r="M74" s="151">
        <v>237</v>
      </c>
      <c r="N74" s="151">
        <v>340.4</v>
      </c>
      <c r="O74" s="169"/>
      <c r="P74" s="168">
        <f>_xlfn.RRI(3,H74,N74)</f>
        <v>-1.6770565750229172E-2</v>
      </c>
    </row>
    <row r="75" spans="1:16">
      <c r="H75" s="169"/>
      <c r="I75" s="169"/>
      <c r="J75" s="169"/>
      <c r="K75" s="169"/>
    </row>
    <row r="76" spans="1:16">
      <c r="A76" s="83" t="s">
        <v>140</v>
      </c>
      <c r="H76" s="151">
        <v>299.27999999999997</v>
      </c>
      <c r="I76" s="151">
        <v>302.815</v>
      </c>
      <c r="J76" s="151">
        <v>298.33499999999998</v>
      </c>
      <c r="K76" s="169"/>
    </row>
    <row r="77" spans="1:16">
      <c r="A77" s="83" t="s">
        <v>141</v>
      </c>
      <c r="H77" s="173">
        <f>H74/H76</f>
        <v>1.196595161721465</v>
      </c>
      <c r="I77" s="173">
        <f t="shared" ref="I77:J77" si="2">I74/I76</f>
        <v>1.0675362845301588</v>
      </c>
      <c r="J77" s="173">
        <f t="shared" si="2"/>
        <v>0.90071899039670178</v>
      </c>
      <c r="K77" s="166">
        <f>H77+I77-J77</f>
        <v>1.3634124558549221</v>
      </c>
      <c r="L77" s="174">
        <v>1.484</v>
      </c>
      <c r="M77" s="174">
        <v>0.77300000000000002</v>
      </c>
      <c r="N77" s="174">
        <v>0.89900000000000002</v>
      </c>
      <c r="P77" s="168">
        <f>_xlfn.RRI(3,H77,N77)</f>
        <v>-9.0915716251072864E-2</v>
      </c>
    </row>
    <row r="78" spans="1:16">
      <c r="H78" s="169"/>
      <c r="I78" s="169"/>
      <c r="J78" s="169"/>
      <c r="K78" s="169"/>
      <c r="L78" s="150" t="s">
        <v>157</v>
      </c>
    </row>
    <row r="81" spans="2:15">
      <c r="L81" s="112"/>
    </row>
    <row r="82" spans="2:15">
      <c r="B82" s="175" t="s">
        <v>158</v>
      </c>
      <c r="C82" s="176"/>
      <c r="D82" s="176"/>
      <c r="E82" s="209" t="s">
        <v>85</v>
      </c>
      <c r="F82" s="209"/>
      <c r="G82" s="209"/>
      <c r="H82" s="176"/>
      <c r="I82" s="209" t="s">
        <v>159</v>
      </c>
      <c r="J82" s="209"/>
      <c r="K82" s="209"/>
      <c r="L82" s="176"/>
      <c r="M82" s="209" t="s">
        <v>160</v>
      </c>
      <c r="N82" s="209"/>
      <c r="O82" s="209"/>
    </row>
    <row r="83" spans="2:15" ht="17.399999999999999" thickBot="1">
      <c r="B83" s="177"/>
      <c r="C83" s="176"/>
      <c r="D83" s="176"/>
      <c r="E83" s="178" t="s">
        <v>161</v>
      </c>
      <c r="F83" s="179" t="s">
        <v>162</v>
      </c>
      <c r="G83" s="180" t="s">
        <v>163</v>
      </c>
      <c r="H83" s="176"/>
      <c r="I83" s="178" t="s">
        <v>161</v>
      </c>
      <c r="J83" s="179" t="s">
        <v>162</v>
      </c>
      <c r="K83" s="180" t="s">
        <v>163</v>
      </c>
      <c r="L83" s="176"/>
      <c r="M83" s="178" t="s">
        <v>161</v>
      </c>
      <c r="N83" s="179" t="s">
        <v>162</v>
      </c>
      <c r="O83" s="180" t="s">
        <v>163</v>
      </c>
    </row>
    <row r="84" spans="2:15">
      <c r="B84" s="181" t="s">
        <v>164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</row>
    <row r="85" spans="2:15">
      <c r="B85" s="176" t="s">
        <v>165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</row>
    <row r="86" spans="2:15">
      <c r="B86" s="176" t="s">
        <v>166</v>
      </c>
      <c r="C86" s="176"/>
      <c r="D86" s="176"/>
      <c r="E86" s="176"/>
      <c r="F86" s="176"/>
      <c r="G86" s="176"/>
      <c r="H86" s="182"/>
      <c r="I86" s="176"/>
      <c r="J86" s="176"/>
      <c r="K86" s="176"/>
      <c r="L86" s="176"/>
      <c r="M86" s="176"/>
      <c r="N86" s="176"/>
      <c r="O86" s="176"/>
    </row>
    <row r="87" spans="2:15">
      <c r="B87" s="176" t="s">
        <v>167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</row>
    <row r="88" spans="2:15">
      <c r="B88" s="176" t="s">
        <v>168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</row>
    <row r="89" spans="2:15">
      <c r="B89" s="176" t="s">
        <v>169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</row>
    <row r="90" spans="2:15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</row>
    <row r="91" spans="2:15">
      <c r="B91" s="181" t="s">
        <v>170</v>
      </c>
      <c r="C91" s="176"/>
      <c r="D91" s="176"/>
      <c r="E91" s="183"/>
      <c r="F91" s="176"/>
      <c r="G91" s="183"/>
      <c r="H91" s="176"/>
      <c r="I91" s="183"/>
      <c r="J91" s="176"/>
      <c r="K91" s="183"/>
      <c r="L91" s="176"/>
      <c r="M91" s="183"/>
      <c r="N91" s="176"/>
      <c r="O91" s="183"/>
    </row>
    <row r="92" spans="2:15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</row>
    <row r="93" spans="2:15">
      <c r="B93" s="181" t="s">
        <v>171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</row>
    <row r="94" spans="2:15">
      <c r="B94" s="176" t="s">
        <v>172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</row>
    <row r="95" spans="2:15">
      <c r="B95" s="176" t="s">
        <v>173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</row>
    <row r="96" spans="2:15">
      <c r="B96" s="176" t="s">
        <v>174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</row>
    <row r="97" spans="2:15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</row>
    <row r="98" spans="2:15">
      <c r="B98" s="181" t="s">
        <v>170</v>
      </c>
      <c r="C98" s="176"/>
      <c r="D98" s="176"/>
      <c r="E98" s="183"/>
      <c r="F98" s="176"/>
      <c r="G98" s="183"/>
      <c r="H98" s="176"/>
      <c r="I98" s="183"/>
      <c r="J98" s="176"/>
      <c r="K98" s="176"/>
      <c r="L98" s="176"/>
      <c r="M98" s="183"/>
      <c r="N98" s="176"/>
      <c r="O98" s="183"/>
    </row>
    <row r="99" spans="2:15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</row>
    <row r="100" spans="2:15">
      <c r="B100" s="181" t="s">
        <v>175</v>
      </c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</row>
    <row r="101" spans="2:15">
      <c r="B101" s="176" t="s">
        <v>176</v>
      </c>
      <c r="C101" s="176"/>
      <c r="D101" s="176"/>
      <c r="E101" s="176"/>
      <c r="F101" s="176"/>
      <c r="H101" s="176"/>
      <c r="I101" s="176"/>
      <c r="J101" s="176"/>
      <c r="K101" s="176"/>
      <c r="L101" s="176"/>
      <c r="M101" s="176"/>
      <c r="N101" s="176"/>
      <c r="O101" s="176"/>
    </row>
    <row r="102" spans="2:15">
      <c r="B102" s="176" t="s">
        <v>177</v>
      </c>
      <c r="C102" s="176"/>
      <c r="D102" s="176"/>
      <c r="E102" s="176"/>
      <c r="F102" s="176"/>
      <c r="H102" s="176"/>
      <c r="I102" s="176"/>
      <c r="J102" s="176"/>
      <c r="K102" s="176"/>
      <c r="L102" s="176"/>
      <c r="M102" s="176"/>
      <c r="N102" s="176"/>
      <c r="O102" s="176"/>
    </row>
    <row r="103" spans="2:15">
      <c r="B103" s="176"/>
      <c r="C103" s="176"/>
      <c r="D103" s="176"/>
      <c r="E103" s="176"/>
      <c r="F103" s="176"/>
      <c r="H103" s="176"/>
      <c r="I103" s="176"/>
      <c r="J103" s="176"/>
      <c r="K103" s="176"/>
      <c r="L103" s="176"/>
      <c r="M103" s="176"/>
      <c r="N103" s="176"/>
      <c r="O103" s="176"/>
    </row>
    <row r="104" spans="2:15">
      <c r="B104" s="181" t="s">
        <v>170</v>
      </c>
      <c r="C104" s="176"/>
      <c r="D104" s="176"/>
      <c r="E104" s="183"/>
      <c r="F104" s="176"/>
      <c r="H104" s="176"/>
      <c r="I104" s="176"/>
      <c r="J104" s="176"/>
      <c r="K104" s="176"/>
      <c r="L104" s="176"/>
      <c r="M104" s="176"/>
      <c r="N104" s="176"/>
      <c r="O104" s="176"/>
    </row>
    <row r="105" spans="2:15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</row>
    <row r="106" spans="2:15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</row>
  </sheetData>
  <mergeCells count="8">
    <mergeCell ref="E82:G82"/>
    <mergeCell ref="I82:K82"/>
    <mergeCell ref="M82:O82"/>
    <mergeCell ref="G13:I13"/>
    <mergeCell ref="E48:E49"/>
    <mergeCell ref="G48:G49"/>
    <mergeCell ref="M48:M49"/>
    <mergeCell ref="L56:N5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Valuation </vt:lpstr>
      <vt:lpstr>Output</vt:lpstr>
      <vt:lpstr>Gartner</vt:lpstr>
      <vt:lpstr>Go_daddy</vt:lpstr>
      <vt:lpstr>Trade_desk</vt:lpstr>
      <vt:lpstr>Verisign</vt:lpstr>
      <vt:lpstr>Snowflake</vt:lpstr>
      <vt:lpstr>Okta</vt:lpstr>
      <vt:lpstr>Manhattan_Associates</vt:lpstr>
      <vt:lpstr>Crowdstrike_holdings</vt:lpstr>
      <vt:lpstr>Nutanix</vt:lpstr>
      <vt:lpstr>Dynatrace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Pankajj Goel</dc:creator>
  <cp:lastModifiedBy>DELL</cp:lastModifiedBy>
  <dcterms:created xsi:type="dcterms:W3CDTF">2023-09-18T16:13:25Z</dcterms:created>
  <dcterms:modified xsi:type="dcterms:W3CDTF">2025-04-09T09:12:41Z</dcterms:modified>
</cp:coreProperties>
</file>