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8.xml" ContentType="application/vnd.openxmlformats-officedocument.drawing+xml"/>
  <Override PartName="/xl/comments5.xml" ContentType="application/vnd.openxmlformats-officedocument.spreadsheetml.comments+xml"/>
  <Override PartName="/xl/drawings/drawing9.xml" ContentType="application/vnd.openxmlformats-officedocument.drawing+xml"/>
  <Override PartName="/xl/comments6.xml" ContentType="application/vnd.openxmlformats-officedocument.spreadsheetml.comments+xml"/>
  <Override PartName="/xl/drawings/drawing10.xml" ContentType="application/vnd.openxmlformats-officedocument.drawing+xml"/>
  <Override PartName="/xl/drawings/drawing11.xml" ContentType="application/vnd.openxmlformats-officedocument.drawing+xml"/>
  <Override PartName="/xl/comments7.xml" ContentType="application/vnd.openxmlformats-officedocument.spreadsheetml.comments+xml"/>
  <Override PartName="/xl/drawings/drawing12.xml" ContentType="application/vnd.openxmlformats-officedocument.drawing+xml"/>
  <Override PartName="/xl/drawings/drawing1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FC430E68-D8A5-4621-AAC1-EE31ABB0B9B9}" xr6:coauthVersionLast="47" xr6:coauthVersionMax="47" xr10:uidLastSave="{00000000-0000-0000-0000-000000000000}"/>
  <bookViews>
    <workbookView xWindow="-108" yWindow="-108" windowWidth="23256" windowHeight="12576" firstSheet="8" activeTab="13" xr2:uid="{7BD8D63C-9EDD-4A73-9C54-02A8FBFA6135}"/>
  </bookViews>
  <sheets>
    <sheet name="Cognizant&gt;&gt;" sheetId="3" r:id="rId1"/>
    <sheet name="Revenue Segments" sheetId="1" r:id="rId2"/>
    <sheet name="Income statement" sheetId="2" r:id="rId3"/>
    <sheet name="Balance Sheet" sheetId="5" r:id="rId4"/>
    <sheet name="Cash Flow Statement" sheetId="10" r:id="rId5"/>
    <sheet name="Extra Calculations" sheetId="6" r:id="rId6"/>
    <sheet name="Fixed Assets Schedule" sheetId="7" r:id="rId7"/>
    <sheet name="Debt schedule" sheetId="9" r:id="rId8"/>
    <sheet name="WACC Calculation" sheetId="11" r:id="rId9"/>
    <sheet name="Regression Beta" sheetId="13" r:id="rId10"/>
    <sheet name="Bottom up Beta" sheetId="14" r:id="rId11"/>
    <sheet name="DCF Valuation" sheetId="15" r:id="rId12"/>
    <sheet name="Gdp Forecast" sheetId="16" r:id="rId13"/>
    <sheet name="Ratio Analysis" sheetId="23" r:id="rId14"/>
    <sheet name="Football Field Analysis&gt;&gt;" sheetId="21" r:id="rId15"/>
    <sheet name="Input Sheet" sheetId="19" r:id="rId16"/>
    <sheet name="Output Sheet" sheetId="20" r:id="rId17"/>
  </sheets>
  <externalReferences>
    <externalReference r:id="rId18"/>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2" i="15" l="1"/>
  <c r="E12" i="15"/>
  <c r="D64" i="23"/>
  <c r="E64" i="23"/>
  <c r="F64" i="23"/>
  <c r="G64" i="23"/>
  <c r="G65" i="23" s="1"/>
  <c r="C64" i="23"/>
  <c r="D63" i="23"/>
  <c r="D65" i="23" s="1"/>
  <c r="E63" i="23"/>
  <c r="E65" i="23" s="1"/>
  <c r="F63" i="23"/>
  <c r="G63" i="23"/>
  <c r="C63" i="23"/>
  <c r="D58" i="23"/>
  <c r="E58" i="23"/>
  <c r="F58" i="23"/>
  <c r="G58" i="23"/>
  <c r="C58" i="23"/>
  <c r="D44" i="23"/>
  <c r="E44" i="23"/>
  <c r="F44" i="23"/>
  <c r="G44" i="23"/>
  <c r="C44" i="23"/>
  <c r="D38" i="23"/>
  <c r="E38" i="23"/>
  <c r="F38" i="23"/>
  <c r="G38" i="23"/>
  <c r="C38" i="23"/>
  <c r="D32" i="23"/>
  <c r="E32" i="23"/>
  <c r="F32" i="23"/>
  <c r="G32" i="23"/>
  <c r="D31" i="23"/>
  <c r="E31" i="23"/>
  <c r="F31" i="23"/>
  <c r="G31" i="23"/>
  <c r="G33" i="23" s="1"/>
  <c r="C32" i="23"/>
  <c r="C31" i="23"/>
  <c r="D26" i="23"/>
  <c r="E26" i="23"/>
  <c r="F26" i="23"/>
  <c r="G26" i="23"/>
  <c r="C26" i="23"/>
  <c r="D20" i="23"/>
  <c r="E20" i="23"/>
  <c r="F20" i="23"/>
  <c r="G20" i="23"/>
  <c r="D19" i="23"/>
  <c r="D21" i="23" s="1"/>
  <c r="E19" i="23"/>
  <c r="E21" i="23" s="1"/>
  <c r="F19" i="23"/>
  <c r="F21" i="23" s="1"/>
  <c r="G19" i="23"/>
  <c r="G21" i="23" s="1"/>
  <c r="C20" i="23"/>
  <c r="C19" i="23"/>
  <c r="C21" i="23" s="1"/>
  <c r="D14" i="23"/>
  <c r="E14" i="23"/>
  <c r="F14" i="23"/>
  <c r="G14" i="23"/>
  <c r="C14" i="23"/>
  <c r="D9" i="23"/>
  <c r="G9" i="23"/>
  <c r="D8" i="23"/>
  <c r="E8" i="23"/>
  <c r="F8" i="23"/>
  <c r="G8" i="23"/>
  <c r="D7" i="23"/>
  <c r="E7" i="23"/>
  <c r="E9" i="23" s="1"/>
  <c r="F7" i="23"/>
  <c r="F9" i="23" s="1"/>
  <c r="G7" i="23"/>
  <c r="C8" i="23"/>
  <c r="C7" i="23"/>
  <c r="C9" i="23" s="1"/>
  <c r="F65" i="23" l="1"/>
  <c r="C65" i="23"/>
  <c r="F33" i="23"/>
  <c r="C33" i="23"/>
  <c r="E33" i="23"/>
  <c r="D33" i="23"/>
  <c r="C27" i="15"/>
  <c r="J6" i="14"/>
  <c r="J7" i="14"/>
  <c r="J8" i="14"/>
  <c r="J9" i="14"/>
  <c r="J10" i="14"/>
  <c r="J11" i="14"/>
  <c r="C15" i="14"/>
  <c r="C14" i="14"/>
  <c r="S26" i="5"/>
  <c r="F10" i="20" l="1"/>
  <c r="D10" i="20"/>
  <c r="F6" i="20"/>
  <c r="D6" i="20"/>
  <c r="F5" i="20"/>
  <c r="D5" i="20"/>
  <c r="F7" i="20"/>
  <c r="D7" i="20"/>
  <c r="F8" i="20"/>
  <c r="D8" i="20"/>
  <c r="I7" i="19"/>
  <c r="F4" i="20" s="1"/>
  <c r="H7" i="19"/>
  <c r="D4" i="20" s="1"/>
  <c r="I6" i="19"/>
  <c r="F3" i="20" s="1"/>
  <c r="H6" i="19"/>
  <c r="D3" i="20" s="1"/>
  <c r="J38" i="15"/>
  <c r="J39" i="15" s="1"/>
  <c r="J40" i="15" s="1"/>
  <c r="J41" i="15" s="1"/>
  <c r="J42" i="15" s="1"/>
  <c r="J43" i="15" s="1"/>
  <c r="J44" i="15" s="1"/>
  <c r="N37" i="15"/>
  <c r="O37" i="15" s="1"/>
  <c r="P37" i="15" s="1"/>
  <c r="Q37" i="15" s="1"/>
  <c r="M37" i="15"/>
  <c r="L37" i="15"/>
  <c r="K37" i="15"/>
  <c r="B59" i="15"/>
  <c r="B60" i="15" s="1"/>
  <c r="B61" i="15" s="1"/>
  <c r="B62" i="15" s="1"/>
  <c r="B63" i="15" s="1"/>
  <c r="B58" i="15"/>
  <c r="B57" i="15"/>
  <c r="E56" i="15"/>
  <c r="F56" i="15" s="1"/>
  <c r="G56" i="15" s="1"/>
  <c r="H56" i="15" s="1"/>
  <c r="I56" i="15" s="1"/>
  <c r="D56" i="15"/>
  <c r="C56" i="15"/>
  <c r="C47" i="15"/>
  <c r="F47" i="15" s="1"/>
  <c r="C45" i="15"/>
  <c r="F45" i="15" s="1"/>
  <c r="E8" i="20" l="1"/>
  <c r="C8" i="20"/>
  <c r="E7" i="20"/>
  <c r="C7" i="20"/>
  <c r="E5" i="20"/>
  <c r="E4" i="20"/>
  <c r="E3" i="20"/>
  <c r="C3" i="20"/>
  <c r="D19" i="15"/>
  <c r="E19" i="15"/>
  <c r="F19" i="15"/>
  <c r="G19" i="15"/>
  <c r="C19" i="15"/>
  <c r="E6" i="20" l="1"/>
  <c r="C10" i="16" l="1"/>
  <c r="F15" i="11" l="1"/>
  <c r="F18" i="11" s="1"/>
  <c r="C7" i="15"/>
  <c r="C14" i="15" s="1"/>
  <c r="D14" i="15" s="1"/>
  <c r="C6" i="15"/>
  <c r="E14" i="15" l="1"/>
  <c r="F14" i="15" l="1"/>
  <c r="G14" i="15" l="1"/>
  <c r="J27" i="5" l="1"/>
  <c r="K27" i="5" s="1"/>
  <c r="L27" i="5" s="1"/>
  <c r="I27" i="5"/>
  <c r="H27" i="5"/>
  <c r="M16" i="5"/>
  <c r="J16" i="5"/>
  <c r="K16" i="5" s="1"/>
  <c r="L16" i="5" s="1"/>
  <c r="I16" i="5"/>
  <c r="H16" i="5"/>
  <c r="H15" i="6"/>
  <c r="F49" i="5"/>
  <c r="E49" i="5"/>
  <c r="D49" i="5"/>
  <c r="C49" i="5"/>
  <c r="G49" i="5"/>
  <c r="C10" i="10"/>
  <c r="M34" i="5"/>
  <c r="H6" i="9"/>
  <c r="H7" i="9"/>
  <c r="C11" i="9" s="1"/>
  <c r="H16" i="2" s="1"/>
  <c r="G6" i="9"/>
  <c r="G7" i="9"/>
  <c r="C7" i="9"/>
  <c r="C6" i="9"/>
  <c r="D23" i="10"/>
  <c r="E23" i="10"/>
  <c r="F23" i="10"/>
  <c r="G23" i="10"/>
  <c r="C23" i="10"/>
  <c r="H6" i="6"/>
  <c r="M9" i="5"/>
  <c r="M28" i="5"/>
  <c r="G10" i="10"/>
  <c r="F10" i="10"/>
  <c r="E10" i="10"/>
  <c r="D10" i="10"/>
  <c r="I19" i="1"/>
  <c r="J19" i="1"/>
  <c r="K19" i="1"/>
  <c r="L19" i="1"/>
  <c r="M19" i="1"/>
  <c r="G9" i="6"/>
  <c r="H9" i="1"/>
  <c r="I7" i="1" s="1"/>
  <c r="J7" i="1" s="1"/>
  <c r="K7" i="1" s="1"/>
  <c r="L7" i="1" s="1"/>
  <c r="M7" i="1" s="1"/>
  <c r="H12" i="1"/>
  <c r="I10" i="1" s="1"/>
  <c r="J10" i="1" s="1"/>
  <c r="K10" i="1" s="1"/>
  <c r="L10" i="1" s="1"/>
  <c r="M10" i="1" s="1"/>
  <c r="H15" i="1"/>
  <c r="I13" i="1" s="1"/>
  <c r="J13" i="1" s="1"/>
  <c r="K13" i="1" s="1"/>
  <c r="L13" i="1" s="1"/>
  <c r="M13" i="1" s="1"/>
  <c r="H18" i="1"/>
  <c r="I16" i="1" s="1"/>
  <c r="J16" i="1" s="1"/>
  <c r="K16" i="1" s="1"/>
  <c r="L16" i="1" s="1"/>
  <c r="M16" i="1" s="1"/>
  <c r="I44" i="5"/>
  <c r="J44" i="5"/>
  <c r="K44" i="5" s="1"/>
  <c r="L44" i="5" s="1"/>
  <c r="H44" i="5"/>
  <c r="D24" i="10"/>
  <c r="F24" i="10"/>
  <c r="G24" i="10"/>
  <c r="C24" i="10"/>
  <c r="L26" i="5"/>
  <c r="H26" i="5"/>
  <c r="H34" i="5"/>
  <c r="C14" i="9"/>
  <c r="I8" i="1"/>
  <c r="J8" i="1" l="1"/>
  <c r="C12" i="14"/>
  <c r="F6" i="14"/>
  <c r="F7" i="14"/>
  <c r="F8" i="14"/>
  <c r="F9" i="14"/>
  <c r="F10" i="14"/>
  <c r="F16" i="11"/>
  <c r="B22" i="11" s="1"/>
  <c r="F14" i="11"/>
  <c r="C8" i="13"/>
  <c r="C7" i="13"/>
  <c r="V228" i="13"/>
  <c r="S228" i="13"/>
  <c r="P228" i="13"/>
  <c r="M228" i="13"/>
  <c r="J228" i="13"/>
  <c r="G228" i="13"/>
  <c r="D228" i="13"/>
  <c r="V227" i="13"/>
  <c r="S227" i="13"/>
  <c r="P227" i="13"/>
  <c r="M227" i="13"/>
  <c r="J227" i="13"/>
  <c r="G227" i="13"/>
  <c r="D227" i="13"/>
  <c r="V226" i="13"/>
  <c r="S226" i="13"/>
  <c r="P226" i="13"/>
  <c r="M226" i="13"/>
  <c r="J226" i="13"/>
  <c r="G226" i="13"/>
  <c r="D226" i="13"/>
  <c r="V225" i="13"/>
  <c r="S225" i="13"/>
  <c r="P225" i="13"/>
  <c r="M225" i="13"/>
  <c r="J225" i="13"/>
  <c r="G225" i="13"/>
  <c r="D225" i="13"/>
  <c r="V224" i="13"/>
  <c r="S224" i="13"/>
  <c r="P224" i="13"/>
  <c r="M224" i="13"/>
  <c r="J224" i="13"/>
  <c r="G224" i="13"/>
  <c r="D224" i="13"/>
  <c r="V223" i="13"/>
  <c r="S223" i="13"/>
  <c r="P223" i="13"/>
  <c r="M223" i="13"/>
  <c r="J223" i="13"/>
  <c r="G223" i="13"/>
  <c r="D223" i="13"/>
  <c r="V222" i="13"/>
  <c r="S222" i="13"/>
  <c r="P222" i="13"/>
  <c r="M222" i="13"/>
  <c r="J222" i="13"/>
  <c r="G222" i="13"/>
  <c r="D222" i="13"/>
  <c r="V221" i="13"/>
  <c r="S221" i="13"/>
  <c r="P221" i="13"/>
  <c r="M221" i="13"/>
  <c r="J221" i="13"/>
  <c r="G221" i="13"/>
  <c r="D221" i="13"/>
  <c r="V220" i="13"/>
  <c r="S220" i="13"/>
  <c r="P220" i="13"/>
  <c r="M220" i="13"/>
  <c r="J220" i="13"/>
  <c r="G220" i="13"/>
  <c r="D220" i="13"/>
  <c r="V219" i="13"/>
  <c r="S219" i="13"/>
  <c r="P219" i="13"/>
  <c r="M219" i="13"/>
  <c r="J219" i="13"/>
  <c r="G219" i="13"/>
  <c r="D219" i="13"/>
  <c r="V218" i="13"/>
  <c r="S218" i="13"/>
  <c r="P218" i="13"/>
  <c r="M218" i="13"/>
  <c r="J218" i="13"/>
  <c r="G218" i="13"/>
  <c r="D218" i="13"/>
  <c r="V217" i="13"/>
  <c r="S217" i="13"/>
  <c r="P217" i="13"/>
  <c r="M217" i="13"/>
  <c r="J217" i="13"/>
  <c r="G217" i="13"/>
  <c r="D217" i="13"/>
  <c r="V216" i="13"/>
  <c r="S216" i="13"/>
  <c r="P216" i="13"/>
  <c r="M216" i="13"/>
  <c r="J216" i="13"/>
  <c r="G216" i="13"/>
  <c r="D216" i="13"/>
  <c r="V215" i="13"/>
  <c r="S215" i="13"/>
  <c r="P215" i="13"/>
  <c r="M215" i="13"/>
  <c r="J215" i="13"/>
  <c r="G215" i="13"/>
  <c r="D215" i="13"/>
  <c r="V214" i="13"/>
  <c r="S214" i="13"/>
  <c r="P214" i="13"/>
  <c r="M214" i="13"/>
  <c r="J214" i="13"/>
  <c r="G214" i="13"/>
  <c r="D214" i="13"/>
  <c r="V213" i="13"/>
  <c r="S213" i="13"/>
  <c r="P213" i="13"/>
  <c r="M213" i="13"/>
  <c r="J213" i="13"/>
  <c r="G213" i="13"/>
  <c r="D213" i="13"/>
  <c r="V212" i="13"/>
  <c r="S212" i="13"/>
  <c r="P212" i="13"/>
  <c r="M212" i="13"/>
  <c r="J212" i="13"/>
  <c r="G212" i="13"/>
  <c r="D212" i="13"/>
  <c r="V211" i="13"/>
  <c r="S211" i="13"/>
  <c r="P211" i="13"/>
  <c r="M211" i="13"/>
  <c r="J211" i="13"/>
  <c r="G211" i="13"/>
  <c r="D211" i="13"/>
  <c r="V210" i="13"/>
  <c r="S210" i="13"/>
  <c r="P210" i="13"/>
  <c r="M210" i="13"/>
  <c r="J210" i="13"/>
  <c r="G210" i="13"/>
  <c r="D210" i="13"/>
  <c r="V209" i="13"/>
  <c r="S209" i="13"/>
  <c r="P209" i="13"/>
  <c r="M209" i="13"/>
  <c r="J209" i="13"/>
  <c r="G209" i="13"/>
  <c r="D209" i="13"/>
  <c r="V208" i="13"/>
  <c r="S208" i="13"/>
  <c r="P208" i="13"/>
  <c r="M208" i="13"/>
  <c r="J208" i="13"/>
  <c r="G208" i="13"/>
  <c r="D208" i="13"/>
  <c r="V207" i="13"/>
  <c r="S207" i="13"/>
  <c r="P207" i="13"/>
  <c r="M207" i="13"/>
  <c r="J207" i="13"/>
  <c r="G207" i="13"/>
  <c r="D207" i="13"/>
  <c r="V206" i="13"/>
  <c r="S206" i="13"/>
  <c r="P206" i="13"/>
  <c r="M206" i="13"/>
  <c r="J206" i="13"/>
  <c r="G206" i="13"/>
  <c r="D206" i="13"/>
  <c r="V205" i="13"/>
  <c r="S205" i="13"/>
  <c r="P205" i="13"/>
  <c r="M205" i="13"/>
  <c r="J205" i="13"/>
  <c r="G205" i="13"/>
  <c r="D205" i="13"/>
  <c r="V204" i="13"/>
  <c r="S204" i="13"/>
  <c r="P204" i="13"/>
  <c r="M204" i="13"/>
  <c r="J204" i="13"/>
  <c r="G204" i="13"/>
  <c r="D204" i="13"/>
  <c r="V203" i="13"/>
  <c r="S203" i="13"/>
  <c r="P203" i="13"/>
  <c r="M203" i="13"/>
  <c r="J203" i="13"/>
  <c r="G203" i="13"/>
  <c r="D203" i="13"/>
  <c r="V202" i="13"/>
  <c r="S202" i="13"/>
  <c r="P202" i="13"/>
  <c r="M202" i="13"/>
  <c r="J202" i="13"/>
  <c r="G202" i="13"/>
  <c r="D202" i="13"/>
  <c r="V201" i="13"/>
  <c r="S201" i="13"/>
  <c r="P201" i="13"/>
  <c r="M201" i="13"/>
  <c r="J201" i="13"/>
  <c r="G201" i="13"/>
  <c r="D201" i="13"/>
  <c r="V200" i="13"/>
  <c r="S200" i="13"/>
  <c r="P200" i="13"/>
  <c r="M200" i="13"/>
  <c r="J200" i="13"/>
  <c r="G200" i="13"/>
  <c r="D200" i="13"/>
  <c r="V199" i="13"/>
  <c r="S199" i="13"/>
  <c r="P199" i="13"/>
  <c r="M199" i="13"/>
  <c r="J199" i="13"/>
  <c r="G199" i="13"/>
  <c r="D199" i="13"/>
  <c r="V198" i="13"/>
  <c r="S198" i="13"/>
  <c r="P198" i="13"/>
  <c r="M198" i="13"/>
  <c r="J198" i="13"/>
  <c r="G198" i="13"/>
  <c r="D198" i="13"/>
  <c r="V197" i="13"/>
  <c r="S197" i="13"/>
  <c r="P197" i="13"/>
  <c r="M197" i="13"/>
  <c r="J197" i="13"/>
  <c r="G197" i="13"/>
  <c r="D197" i="13"/>
  <c r="V196" i="13"/>
  <c r="S196" i="13"/>
  <c r="P196" i="13"/>
  <c r="M196" i="13"/>
  <c r="J196" i="13"/>
  <c r="G196" i="13"/>
  <c r="D196" i="13"/>
  <c r="V195" i="13"/>
  <c r="S195" i="13"/>
  <c r="P195" i="13"/>
  <c r="M195" i="13"/>
  <c r="J195" i="13"/>
  <c r="G195" i="13"/>
  <c r="D195" i="13"/>
  <c r="V194" i="13"/>
  <c r="S194" i="13"/>
  <c r="P194" i="13"/>
  <c r="M194" i="13"/>
  <c r="J194" i="13"/>
  <c r="G194" i="13"/>
  <c r="D194" i="13"/>
  <c r="V193" i="13"/>
  <c r="S193" i="13"/>
  <c r="P193" i="13"/>
  <c r="M193" i="13"/>
  <c r="J193" i="13"/>
  <c r="G193" i="13"/>
  <c r="D193" i="13"/>
  <c r="V192" i="13"/>
  <c r="S192" i="13"/>
  <c r="P192" i="13"/>
  <c r="M192" i="13"/>
  <c r="J192" i="13"/>
  <c r="G192" i="13"/>
  <c r="D192" i="13"/>
  <c r="V191" i="13"/>
  <c r="S191" i="13"/>
  <c r="P191" i="13"/>
  <c r="M191" i="13"/>
  <c r="J191" i="13"/>
  <c r="G191" i="13"/>
  <c r="D191" i="13"/>
  <c r="V190" i="13"/>
  <c r="S190" i="13"/>
  <c r="P190" i="13"/>
  <c r="M190" i="13"/>
  <c r="J190" i="13"/>
  <c r="G190" i="13"/>
  <c r="D190" i="13"/>
  <c r="V189" i="13"/>
  <c r="S189" i="13"/>
  <c r="P189" i="13"/>
  <c r="M189" i="13"/>
  <c r="J189" i="13"/>
  <c r="G189" i="13"/>
  <c r="D189" i="13"/>
  <c r="V188" i="13"/>
  <c r="S188" i="13"/>
  <c r="P188" i="13"/>
  <c r="M188" i="13"/>
  <c r="J188" i="13"/>
  <c r="G188" i="13"/>
  <c r="D188" i="13"/>
  <c r="V187" i="13"/>
  <c r="S187" i="13"/>
  <c r="P187" i="13"/>
  <c r="M187" i="13"/>
  <c r="J187" i="13"/>
  <c r="G187" i="13"/>
  <c r="D187" i="13"/>
  <c r="V186" i="13"/>
  <c r="S186" i="13"/>
  <c r="P186" i="13"/>
  <c r="M186" i="13"/>
  <c r="J186" i="13"/>
  <c r="G186" i="13"/>
  <c r="D186" i="13"/>
  <c r="V185" i="13"/>
  <c r="S185" i="13"/>
  <c r="P185" i="13"/>
  <c r="M185" i="13"/>
  <c r="J185" i="13"/>
  <c r="G185" i="13"/>
  <c r="D185" i="13"/>
  <c r="V184" i="13"/>
  <c r="S184" i="13"/>
  <c r="P184" i="13"/>
  <c r="M184" i="13"/>
  <c r="J184" i="13"/>
  <c r="G184" i="13"/>
  <c r="D184" i="13"/>
  <c r="V183" i="13"/>
  <c r="S183" i="13"/>
  <c r="P183" i="13"/>
  <c r="M183" i="13"/>
  <c r="J183" i="13"/>
  <c r="G183" i="13"/>
  <c r="D183" i="13"/>
  <c r="V182" i="13"/>
  <c r="S182" i="13"/>
  <c r="P182" i="13"/>
  <c r="M182" i="13"/>
  <c r="J182" i="13"/>
  <c r="G182" i="13"/>
  <c r="D182" i="13"/>
  <c r="V181" i="13"/>
  <c r="S181" i="13"/>
  <c r="P181" i="13"/>
  <c r="M181" i="13"/>
  <c r="J181" i="13"/>
  <c r="G181" i="13"/>
  <c r="D181" i="13"/>
  <c r="V180" i="13"/>
  <c r="S180" i="13"/>
  <c r="P180" i="13"/>
  <c r="M180" i="13"/>
  <c r="J180" i="13"/>
  <c r="G180" i="13"/>
  <c r="D180" i="13"/>
  <c r="V179" i="13"/>
  <c r="S179" i="13"/>
  <c r="P179" i="13"/>
  <c r="M179" i="13"/>
  <c r="J179" i="13"/>
  <c r="G179" i="13"/>
  <c r="D179" i="13"/>
  <c r="V178" i="13"/>
  <c r="S178" i="13"/>
  <c r="P178" i="13"/>
  <c r="M178" i="13"/>
  <c r="J178" i="13"/>
  <c r="G178" i="13"/>
  <c r="D178" i="13"/>
  <c r="V177" i="13"/>
  <c r="S177" i="13"/>
  <c r="P177" i="13"/>
  <c r="M177" i="13"/>
  <c r="J177" i="13"/>
  <c r="G177" i="13"/>
  <c r="D177" i="13"/>
  <c r="V176" i="13"/>
  <c r="S176" i="13"/>
  <c r="P176" i="13"/>
  <c r="M176" i="13"/>
  <c r="J176" i="13"/>
  <c r="G176" i="13"/>
  <c r="D176" i="13"/>
  <c r="V175" i="13"/>
  <c r="S175" i="13"/>
  <c r="P175" i="13"/>
  <c r="M175" i="13"/>
  <c r="J175" i="13"/>
  <c r="G175" i="13"/>
  <c r="D175" i="13"/>
  <c r="V174" i="13"/>
  <c r="S174" i="13"/>
  <c r="P174" i="13"/>
  <c r="M174" i="13"/>
  <c r="J174" i="13"/>
  <c r="G174" i="13"/>
  <c r="D174" i="13"/>
  <c r="V173" i="13"/>
  <c r="S173" i="13"/>
  <c r="P173" i="13"/>
  <c r="M173" i="13"/>
  <c r="J173" i="13"/>
  <c r="G173" i="13"/>
  <c r="D173" i="13"/>
  <c r="V172" i="13"/>
  <c r="S172" i="13"/>
  <c r="P172" i="13"/>
  <c r="M172" i="13"/>
  <c r="J172" i="13"/>
  <c r="G172" i="13"/>
  <c r="D172" i="13"/>
  <c r="V171" i="13"/>
  <c r="S171" i="13"/>
  <c r="P171" i="13"/>
  <c r="M171" i="13"/>
  <c r="J171" i="13"/>
  <c r="G171" i="13"/>
  <c r="D171" i="13"/>
  <c r="V170" i="13"/>
  <c r="S170" i="13"/>
  <c r="P170" i="13"/>
  <c r="M170" i="13"/>
  <c r="J170" i="13"/>
  <c r="G170" i="13"/>
  <c r="D170" i="13"/>
  <c r="V169" i="13"/>
  <c r="S169" i="13"/>
  <c r="P169" i="13"/>
  <c r="M169" i="13"/>
  <c r="J169" i="13"/>
  <c r="G169" i="13"/>
  <c r="D169" i="13"/>
  <c r="V168" i="13"/>
  <c r="S168" i="13"/>
  <c r="P168" i="13"/>
  <c r="M168" i="13"/>
  <c r="J168" i="13"/>
  <c r="G168" i="13"/>
  <c r="D168" i="13"/>
  <c r="V167" i="13"/>
  <c r="S167" i="13"/>
  <c r="P167" i="13"/>
  <c r="M167" i="13"/>
  <c r="J167" i="13"/>
  <c r="G167" i="13"/>
  <c r="D167" i="13"/>
  <c r="V166" i="13"/>
  <c r="S166" i="13"/>
  <c r="P166" i="13"/>
  <c r="M166" i="13"/>
  <c r="J166" i="13"/>
  <c r="G166" i="13"/>
  <c r="D166" i="13"/>
  <c r="V165" i="13"/>
  <c r="S165" i="13"/>
  <c r="P165" i="13"/>
  <c r="M165" i="13"/>
  <c r="J165" i="13"/>
  <c r="G165" i="13"/>
  <c r="D165" i="13"/>
  <c r="V164" i="13"/>
  <c r="S164" i="13"/>
  <c r="P164" i="13"/>
  <c r="M164" i="13"/>
  <c r="J164" i="13"/>
  <c r="G164" i="13"/>
  <c r="D164" i="13"/>
  <c r="V163" i="13"/>
  <c r="S163" i="13"/>
  <c r="P163" i="13"/>
  <c r="M163" i="13"/>
  <c r="J163" i="13"/>
  <c r="G163" i="13"/>
  <c r="D163" i="13"/>
  <c r="V162" i="13"/>
  <c r="S162" i="13"/>
  <c r="P162" i="13"/>
  <c r="M162" i="13"/>
  <c r="J162" i="13"/>
  <c r="G162" i="13"/>
  <c r="D162" i="13"/>
  <c r="V161" i="13"/>
  <c r="S161" i="13"/>
  <c r="P161" i="13"/>
  <c r="M161" i="13"/>
  <c r="J161" i="13"/>
  <c r="G161" i="13"/>
  <c r="D161" i="13"/>
  <c r="V160" i="13"/>
  <c r="S160" i="13"/>
  <c r="P160" i="13"/>
  <c r="M160" i="13"/>
  <c r="J160" i="13"/>
  <c r="G160" i="13"/>
  <c r="D160" i="13"/>
  <c r="V159" i="13"/>
  <c r="S159" i="13"/>
  <c r="P159" i="13"/>
  <c r="M159" i="13"/>
  <c r="J159" i="13"/>
  <c r="G159" i="13"/>
  <c r="D159" i="13"/>
  <c r="V158" i="13"/>
  <c r="S158" i="13"/>
  <c r="P158" i="13"/>
  <c r="M158" i="13"/>
  <c r="J158" i="13"/>
  <c r="G158" i="13"/>
  <c r="D158" i="13"/>
  <c r="V157" i="13"/>
  <c r="S157" i="13"/>
  <c r="P157" i="13"/>
  <c r="M157" i="13"/>
  <c r="J157" i="13"/>
  <c r="G157" i="13"/>
  <c r="D157" i="13"/>
  <c r="V156" i="13"/>
  <c r="S156" i="13"/>
  <c r="P156" i="13"/>
  <c r="M156" i="13"/>
  <c r="J156" i="13"/>
  <c r="G156" i="13"/>
  <c r="D156" i="13"/>
  <c r="V155" i="13"/>
  <c r="S155" i="13"/>
  <c r="P155" i="13"/>
  <c r="M155" i="13"/>
  <c r="J155" i="13"/>
  <c r="G155" i="13"/>
  <c r="D155" i="13"/>
  <c r="V154" i="13"/>
  <c r="S154" i="13"/>
  <c r="P154" i="13"/>
  <c r="M154" i="13"/>
  <c r="J154" i="13"/>
  <c r="G154" i="13"/>
  <c r="D154" i="13"/>
  <c r="V153" i="13"/>
  <c r="S153" i="13"/>
  <c r="P153" i="13"/>
  <c r="M153" i="13"/>
  <c r="J153" i="13"/>
  <c r="G153" i="13"/>
  <c r="D153" i="13"/>
  <c r="V152" i="13"/>
  <c r="S152" i="13"/>
  <c r="P152" i="13"/>
  <c r="M152" i="13"/>
  <c r="J152" i="13"/>
  <c r="G152" i="13"/>
  <c r="D152" i="13"/>
  <c r="V151" i="13"/>
  <c r="S151" i="13"/>
  <c r="P151" i="13"/>
  <c r="M151" i="13"/>
  <c r="J151" i="13"/>
  <c r="G151" i="13"/>
  <c r="D151" i="13"/>
  <c r="V150" i="13"/>
  <c r="S150" i="13"/>
  <c r="P150" i="13"/>
  <c r="M150" i="13"/>
  <c r="J150" i="13"/>
  <c r="G150" i="13"/>
  <c r="D150" i="13"/>
  <c r="V149" i="13"/>
  <c r="S149" i="13"/>
  <c r="P149" i="13"/>
  <c r="M149" i="13"/>
  <c r="J149" i="13"/>
  <c r="G149" i="13"/>
  <c r="D149" i="13"/>
  <c r="V148" i="13"/>
  <c r="S148" i="13"/>
  <c r="P148" i="13"/>
  <c r="M148" i="13"/>
  <c r="J148" i="13"/>
  <c r="G148" i="13"/>
  <c r="D148" i="13"/>
  <c r="V147" i="13"/>
  <c r="S147" i="13"/>
  <c r="P147" i="13"/>
  <c r="M147" i="13"/>
  <c r="J147" i="13"/>
  <c r="G147" i="13"/>
  <c r="D147" i="13"/>
  <c r="V146" i="13"/>
  <c r="S146" i="13"/>
  <c r="P146" i="13"/>
  <c r="M146" i="13"/>
  <c r="J146" i="13"/>
  <c r="G146" i="13"/>
  <c r="D146" i="13"/>
  <c r="V145" i="13"/>
  <c r="S145" i="13"/>
  <c r="P145" i="13"/>
  <c r="M145" i="13"/>
  <c r="J145" i="13"/>
  <c r="G145" i="13"/>
  <c r="D145" i="13"/>
  <c r="V144" i="13"/>
  <c r="S144" i="13"/>
  <c r="P144" i="13"/>
  <c r="M144" i="13"/>
  <c r="J144" i="13"/>
  <c r="G144" i="13"/>
  <c r="D144" i="13"/>
  <c r="V143" i="13"/>
  <c r="S143" i="13"/>
  <c r="P143" i="13"/>
  <c r="M143" i="13"/>
  <c r="J143" i="13"/>
  <c r="G143" i="13"/>
  <c r="D143" i="13"/>
  <c r="V142" i="13"/>
  <c r="S142" i="13"/>
  <c r="P142" i="13"/>
  <c r="M142" i="13"/>
  <c r="J142" i="13"/>
  <c r="G142" i="13"/>
  <c r="D142" i="13"/>
  <c r="V141" i="13"/>
  <c r="S141" i="13"/>
  <c r="P141" i="13"/>
  <c r="M141" i="13"/>
  <c r="J141" i="13"/>
  <c r="G141" i="13"/>
  <c r="D141" i="13"/>
  <c r="V140" i="13"/>
  <c r="S140" i="13"/>
  <c r="P140" i="13"/>
  <c r="M140" i="13"/>
  <c r="J140" i="13"/>
  <c r="G140" i="13"/>
  <c r="D140" i="13"/>
  <c r="V139" i="13"/>
  <c r="S139" i="13"/>
  <c r="P139" i="13"/>
  <c r="M139" i="13"/>
  <c r="J139" i="13"/>
  <c r="G139" i="13"/>
  <c r="D139" i="13"/>
  <c r="V138" i="13"/>
  <c r="S138" i="13"/>
  <c r="P138" i="13"/>
  <c r="M138" i="13"/>
  <c r="J138" i="13"/>
  <c r="G138" i="13"/>
  <c r="D138" i="13"/>
  <c r="V137" i="13"/>
  <c r="S137" i="13"/>
  <c r="P137" i="13"/>
  <c r="M137" i="13"/>
  <c r="J137" i="13"/>
  <c r="G137" i="13"/>
  <c r="D137" i="13"/>
  <c r="V136" i="13"/>
  <c r="S136" i="13"/>
  <c r="P136" i="13"/>
  <c r="M136" i="13"/>
  <c r="J136" i="13"/>
  <c r="G136" i="13"/>
  <c r="D136" i="13"/>
  <c r="V135" i="13"/>
  <c r="S135" i="13"/>
  <c r="P135" i="13"/>
  <c r="M135" i="13"/>
  <c r="J135" i="13"/>
  <c r="G135" i="13"/>
  <c r="D135" i="13"/>
  <c r="V134" i="13"/>
  <c r="S134" i="13"/>
  <c r="P134" i="13"/>
  <c r="M134" i="13"/>
  <c r="J134" i="13"/>
  <c r="G134" i="13"/>
  <c r="D134" i="13"/>
  <c r="V133" i="13"/>
  <c r="S133" i="13"/>
  <c r="P133" i="13"/>
  <c r="M133" i="13"/>
  <c r="J133" i="13"/>
  <c r="G133" i="13"/>
  <c r="D133" i="13"/>
  <c r="V132" i="13"/>
  <c r="S132" i="13"/>
  <c r="P132" i="13"/>
  <c r="M132" i="13"/>
  <c r="J132" i="13"/>
  <c r="G132" i="13"/>
  <c r="D132" i="13"/>
  <c r="V131" i="13"/>
  <c r="S131" i="13"/>
  <c r="P131" i="13"/>
  <c r="M131" i="13"/>
  <c r="J131" i="13"/>
  <c r="G131" i="13"/>
  <c r="D131" i="13"/>
  <c r="V130" i="13"/>
  <c r="S130" i="13"/>
  <c r="P130" i="13"/>
  <c r="M130" i="13"/>
  <c r="J130" i="13"/>
  <c r="G130" i="13"/>
  <c r="D130" i="13"/>
  <c r="V129" i="13"/>
  <c r="S129" i="13"/>
  <c r="P129" i="13"/>
  <c r="M129" i="13"/>
  <c r="J129" i="13"/>
  <c r="G129" i="13"/>
  <c r="D129" i="13"/>
  <c r="V128" i="13"/>
  <c r="S128" i="13"/>
  <c r="P128" i="13"/>
  <c r="M128" i="13"/>
  <c r="J128" i="13"/>
  <c r="G128" i="13"/>
  <c r="D128" i="13"/>
  <c r="V127" i="13"/>
  <c r="S127" i="13"/>
  <c r="P127" i="13"/>
  <c r="M127" i="13"/>
  <c r="J127" i="13"/>
  <c r="G127" i="13"/>
  <c r="D127" i="13"/>
  <c r="V126" i="13"/>
  <c r="S126" i="13"/>
  <c r="P126" i="13"/>
  <c r="M126" i="13"/>
  <c r="J126" i="13"/>
  <c r="G126" i="13"/>
  <c r="D126" i="13"/>
  <c r="V125" i="13"/>
  <c r="S125" i="13"/>
  <c r="P125" i="13"/>
  <c r="M125" i="13"/>
  <c r="J125" i="13"/>
  <c r="G125" i="13"/>
  <c r="D125" i="13"/>
  <c r="V124" i="13"/>
  <c r="S124" i="13"/>
  <c r="P124" i="13"/>
  <c r="M124" i="13"/>
  <c r="J124" i="13"/>
  <c r="G124" i="13"/>
  <c r="D124" i="13"/>
  <c r="V123" i="13"/>
  <c r="S123" i="13"/>
  <c r="P123" i="13"/>
  <c r="M123" i="13"/>
  <c r="J123" i="13"/>
  <c r="G123" i="13"/>
  <c r="D123" i="13"/>
  <c r="V122" i="13"/>
  <c r="S122" i="13"/>
  <c r="P122" i="13"/>
  <c r="M122" i="13"/>
  <c r="J122" i="13"/>
  <c r="G122" i="13"/>
  <c r="D122" i="13"/>
  <c r="V121" i="13"/>
  <c r="S121" i="13"/>
  <c r="P121" i="13"/>
  <c r="M121" i="13"/>
  <c r="J121" i="13"/>
  <c r="G121" i="13"/>
  <c r="D121" i="13"/>
  <c r="V120" i="13"/>
  <c r="S120" i="13"/>
  <c r="P120" i="13"/>
  <c r="M120" i="13"/>
  <c r="J120" i="13"/>
  <c r="G120" i="13"/>
  <c r="D120" i="13"/>
  <c r="V119" i="13"/>
  <c r="S119" i="13"/>
  <c r="P119" i="13"/>
  <c r="M119" i="13"/>
  <c r="J119" i="13"/>
  <c r="G119" i="13"/>
  <c r="D119" i="13"/>
  <c r="V118" i="13"/>
  <c r="S118" i="13"/>
  <c r="P118" i="13"/>
  <c r="M118" i="13"/>
  <c r="J118" i="13"/>
  <c r="G118" i="13"/>
  <c r="D118" i="13"/>
  <c r="V117" i="13"/>
  <c r="S117" i="13"/>
  <c r="P117" i="13"/>
  <c r="M117" i="13"/>
  <c r="J117" i="13"/>
  <c r="G117" i="13"/>
  <c r="D117" i="13"/>
  <c r="V116" i="13"/>
  <c r="S116" i="13"/>
  <c r="P116" i="13"/>
  <c r="M116" i="13"/>
  <c r="J116" i="13"/>
  <c r="G116" i="13"/>
  <c r="D116" i="13"/>
  <c r="V115" i="13"/>
  <c r="S115" i="13"/>
  <c r="P115" i="13"/>
  <c r="M115" i="13"/>
  <c r="J115" i="13"/>
  <c r="G115" i="13"/>
  <c r="D115" i="13"/>
  <c r="V114" i="13"/>
  <c r="S114" i="13"/>
  <c r="P114" i="13"/>
  <c r="M114" i="13"/>
  <c r="J114" i="13"/>
  <c r="G114" i="13"/>
  <c r="D114" i="13"/>
  <c r="V113" i="13"/>
  <c r="S113" i="13"/>
  <c r="P113" i="13"/>
  <c r="M113" i="13"/>
  <c r="J113" i="13"/>
  <c r="G113" i="13"/>
  <c r="D113" i="13"/>
  <c r="V112" i="13"/>
  <c r="S112" i="13"/>
  <c r="P112" i="13"/>
  <c r="M112" i="13"/>
  <c r="J112" i="13"/>
  <c r="G112" i="13"/>
  <c r="D112" i="13"/>
  <c r="V111" i="13"/>
  <c r="S111" i="13"/>
  <c r="P111" i="13"/>
  <c r="M111" i="13"/>
  <c r="J111" i="13"/>
  <c r="G111" i="13"/>
  <c r="D111" i="13"/>
  <c r="V110" i="13"/>
  <c r="S110" i="13"/>
  <c r="P110" i="13"/>
  <c r="M110" i="13"/>
  <c r="J110" i="13"/>
  <c r="G110" i="13"/>
  <c r="D110" i="13"/>
  <c r="V109" i="13"/>
  <c r="S109" i="13"/>
  <c r="P109" i="13"/>
  <c r="M109" i="13"/>
  <c r="J109" i="13"/>
  <c r="G109" i="13"/>
  <c r="D109" i="13"/>
  <c r="V108" i="13"/>
  <c r="S108" i="13"/>
  <c r="P108" i="13"/>
  <c r="M108" i="13"/>
  <c r="J108" i="13"/>
  <c r="G108" i="13"/>
  <c r="D108" i="13"/>
  <c r="V107" i="13"/>
  <c r="S107" i="13"/>
  <c r="P107" i="13"/>
  <c r="M107" i="13"/>
  <c r="J107" i="13"/>
  <c r="G107" i="13"/>
  <c r="D107" i="13"/>
  <c r="V106" i="13"/>
  <c r="S106" i="13"/>
  <c r="P106" i="13"/>
  <c r="M106" i="13"/>
  <c r="J106" i="13"/>
  <c r="G106" i="13"/>
  <c r="D106" i="13"/>
  <c r="V105" i="13"/>
  <c r="S105" i="13"/>
  <c r="P105" i="13"/>
  <c r="M105" i="13"/>
  <c r="J105" i="13"/>
  <c r="G105" i="13"/>
  <c r="D105" i="13"/>
  <c r="V104" i="13"/>
  <c r="S104" i="13"/>
  <c r="P104" i="13"/>
  <c r="M104" i="13"/>
  <c r="J104" i="13"/>
  <c r="G104" i="13"/>
  <c r="D104" i="13"/>
  <c r="V103" i="13"/>
  <c r="S103" i="13"/>
  <c r="P103" i="13"/>
  <c r="M103" i="13"/>
  <c r="J103" i="13"/>
  <c r="G103" i="13"/>
  <c r="D103" i="13"/>
  <c r="V102" i="13"/>
  <c r="S102" i="13"/>
  <c r="P102" i="13"/>
  <c r="M102" i="13"/>
  <c r="J102" i="13"/>
  <c r="G102" i="13"/>
  <c r="D102" i="13"/>
  <c r="V101" i="13"/>
  <c r="S101" i="13"/>
  <c r="P101" i="13"/>
  <c r="M101" i="13"/>
  <c r="J101" i="13"/>
  <c r="G101" i="13"/>
  <c r="D101" i="13"/>
  <c r="V100" i="13"/>
  <c r="S100" i="13"/>
  <c r="P100" i="13"/>
  <c r="M100" i="13"/>
  <c r="J100" i="13"/>
  <c r="G100" i="13"/>
  <c r="D100" i="13"/>
  <c r="V99" i="13"/>
  <c r="S99" i="13"/>
  <c r="P99" i="13"/>
  <c r="M99" i="13"/>
  <c r="J99" i="13"/>
  <c r="G99" i="13"/>
  <c r="D99" i="13"/>
  <c r="V98" i="13"/>
  <c r="S98" i="13"/>
  <c r="P98" i="13"/>
  <c r="M98" i="13"/>
  <c r="J98" i="13"/>
  <c r="G98" i="13"/>
  <c r="D98" i="13"/>
  <c r="V97" i="13"/>
  <c r="S97" i="13"/>
  <c r="P97" i="13"/>
  <c r="M97" i="13"/>
  <c r="J97" i="13"/>
  <c r="G97" i="13"/>
  <c r="D97" i="13"/>
  <c r="V96" i="13"/>
  <c r="S96" i="13"/>
  <c r="P96" i="13"/>
  <c r="M96" i="13"/>
  <c r="J96" i="13"/>
  <c r="G96" i="13"/>
  <c r="D96" i="13"/>
  <c r="V95" i="13"/>
  <c r="S95" i="13"/>
  <c r="P95" i="13"/>
  <c r="M95" i="13"/>
  <c r="J95" i="13"/>
  <c r="G95" i="13"/>
  <c r="D95" i="13"/>
  <c r="V94" i="13"/>
  <c r="S94" i="13"/>
  <c r="P94" i="13"/>
  <c r="M94" i="13"/>
  <c r="J94" i="13"/>
  <c r="G94" i="13"/>
  <c r="D94" i="13"/>
  <c r="V93" i="13"/>
  <c r="S93" i="13"/>
  <c r="P93" i="13"/>
  <c r="M93" i="13"/>
  <c r="J93" i="13"/>
  <c r="G93" i="13"/>
  <c r="D93" i="13"/>
  <c r="V92" i="13"/>
  <c r="S92" i="13"/>
  <c r="P92" i="13"/>
  <c r="M92" i="13"/>
  <c r="J92" i="13"/>
  <c r="G92" i="13"/>
  <c r="D92" i="13"/>
  <c r="V91" i="13"/>
  <c r="S91" i="13"/>
  <c r="P91" i="13"/>
  <c r="M91" i="13"/>
  <c r="J91" i="13"/>
  <c r="G91" i="13"/>
  <c r="D91" i="13"/>
  <c r="V90" i="13"/>
  <c r="S90" i="13"/>
  <c r="P90" i="13"/>
  <c r="M90" i="13"/>
  <c r="J90" i="13"/>
  <c r="G90" i="13"/>
  <c r="D90" i="13"/>
  <c r="V89" i="13"/>
  <c r="S89" i="13"/>
  <c r="P89" i="13"/>
  <c r="M89" i="13"/>
  <c r="J89" i="13"/>
  <c r="G89" i="13"/>
  <c r="D89" i="13"/>
  <c r="V88" i="13"/>
  <c r="S88" i="13"/>
  <c r="P88" i="13"/>
  <c r="M88" i="13"/>
  <c r="J88" i="13"/>
  <c r="G88" i="13"/>
  <c r="D88" i="13"/>
  <c r="V87" i="13"/>
  <c r="S87" i="13"/>
  <c r="P87" i="13"/>
  <c r="M87" i="13"/>
  <c r="J87" i="13"/>
  <c r="G87" i="13"/>
  <c r="D87" i="13"/>
  <c r="V86" i="13"/>
  <c r="S86" i="13"/>
  <c r="P86" i="13"/>
  <c r="M86" i="13"/>
  <c r="J86" i="13"/>
  <c r="G86" i="13"/>
  <c r="D86" i="13"/>
  <c r="V85" i="13"/>
  <c r="S85" i="13"/>
  <c r="P85" i="13"/>
  <c r="M85" i="13"/>
  <c r="J85" i="13"/>
  <c r="G85" i="13"/>
  <c r="D85" i="13"/>
  <c r="V84" i="13"/>
  <c r="S84" i="13"/>
  <c r="P84" i="13"/>
  <c r="M84" i="13"/>
  <c r="J84" i="13"/>
  <c r="G84" i="13"/>
  <c r="D84" i="13"/>
  <c r="V83" i="13"/>
  <c r="S83" i="13"/>
  <c r="P83" i="13"/>
  <c r="M83" i="13"/>
  <c r="J83" i="13"/>
  <c r="G83" i="13"/>
  <c r="D83" i="13"/>
  <c r="V82" i="13"/>
  <c r="S82" i="13"/>
  <c r="P82" i="13"/>
  <c r="M82" i="13"/>
  <c r="J82" i="13"/>
  <c r="G82" i="13"/>
  <c r="D82" i="13"/>
  <c r="V81" i="13"/>
  <c r="S81" i="13"/>
  <c r="P81" i="13"/>
  <c r="M81" i="13"/>
  <c r="J81" i="13"/>
  <c r="G81" i="13"/>
  <c r="D81" i="13"/>
  <c r="V80" i="13"/>
  <c r="S80" i="13"/>
  <c r="P80" i="13"/>
  <c r="M80" i="13"/>
  <c r="J80" i="13"/>
  <c r="G80" i="13"/>
  <c r="D80" i="13"/>
  <c r="V79" i="13"/>
  <c r="S79" i="13"/>
  <c r="P79" i="13"/>
  <c r="M79" i="13"/>
  <c r="J79" i="13"/>
  <c r="G79" i="13"/>
  <c r="D79" i="13"/>
  <c r="V78" i="13"/>
  <c r="S78" i="13"/>
  <c r="P78" i="13"/>
  <c r="M78" i="13"/>
  <c r="J78" i="13"/>
  <c r="G78" i="13"/>
  <c r="D78" i="13"/>
  <c r="V77" i="13"/>
  <c r="S77" i="13"/>
  <c r="P77" i="13"/>
  <c r="M77" i="13"/>
  <c r="J77" i="13"/>
  <c r="G77" i="13"/>
  <c r="D77" i="13"/>
  <c r="V76" i="13"/>
  <c r="S76" i="13"/>
  <c r="P76" i="13"/>
  <c r="M76" i="13"/>
  <c r="J76" i="13"/>
  <c r="G76" i="13"/>
  <c r="D76" i="13"/>
  <c r="V75" i="13"/>
  <c r="S75" i="13"/>
  <c r="P75" i="13"/>
  <c r="M75" i="13"/>
  <c r="J75" i="13"/>
  <c r="G75" i="13"/>
  <c r="D75" i="13"/>
  <c r="V74" i="13"/>
  <c r="S74" i="13"/>
  <c r="P74" i="13"/>
  <c r="M74" i="13"/>
  <c r="J74" i="13"/>
  <c r="G74" i="13"/>
  <c r="D74" i="13"/>
  <c r="V73" i="13"/>
  <c r="S73" i="13"/>
  <c r="P73" i="13"/>
  <c r="M73" i="13"/>
  <c r="J73" i="13"/>
  <c r="G73" i="13"/>
  <c r="D73" i="13"/>
  <c r="V72" i="13"/>
  <c r="S72" i="13"/>
  <c r="P72" i="13"/>
  <c r="M72" i="13"/>
  <c r="J72" i="13"/>
  <c r="G72" i="13"/>
  <c r="D72" i="13"/>
  <c r="V71" i="13"/>
  <c r="S71" i="13"/>
  <c r="P71" i="13"/>
  <c r="M71" i="13"/>
  <c r="J71" i="13"/>
  <c r="G71" i="13"/>
  <c r="D71" i="13"/>
  <c r="V70" i="13"/>
  <c r="S70" i="13"/>
  <c r="P70" i="13"/>
  <c r="M70" i="13"/>
  <c r="J70" i="13"/>
  <c r="G70" i="13"/>
  <c r="D70" i="13"/>
  <c r="V69" i="13"/>
  <c r="S69" i="13"/>
  <c r="P69" i="13"/>
  <c r="M69" i="13"/>
  <c r="J69" i="13"/>
  <c r="G69" i="13"/>
  <c r="D69" i="13"/>
  <c r="V68" i="13"/>
  <c r="S68" i="13"/>
  <c r="P68" i="13"/>
  <c r="M68" i="13"/>
  <c r="J68" i="13"/>
  <c r="G68" i="13"/>
  <c r="D68" i="13"/>
  <c r="V67" i="13"/>
  <c r="S67" i="13"/>
  <c r="P67" i="13"/>
  <c r="M67" i="13"/>
  <c r="J67" i="13"/>
  <c r="G67" i="13"/>
  <c r="D67" i="13"/>
  <c r="V66" i="13"/>
  <c r="S66" i="13"/>
  <c r="P66" i="13"/>
  <c r="M66" i="13"/>
  <c r="J66" i="13"/>
  <c r="G66" i="13"/>
  <c r="D66" i="13"/>
  <c r="V65" i="13"/>
  <c r="S65" i="13"/>
  <c r="P65" i="13"/>
  <c r="M65" i="13"/>
  <c r="J65" i="13"/>
  <c r="G65" i="13"/>
  <c r="D65" i="13"/>
  <c r="V64" i="13"/>
  <c r="S64" i="13"/>
  <c r="P64" i="13"/>
  <c r="M64" i="13"/>
  <c r="J64" i="13"/>
  <c r="G64" i="13"/>
  <c r="D64" i="13"/>
  <c r="V63" i="13"/>
  <c r="S63" i="13"/>
  <c r="P63" i="13"/>
  <c r="M63" i="13"/>
  <c r="J63" i="13"/>
  <c r="G63" i="13"/>
  <c r="D63" i="13"/>
  <c r="V62" i="13"/>
  <c r="S62" i="13"/>
  <c r="P62" i="13"/>
  <c r="M62" i="13"/>
  <c r="J62" i="13"/>
  <c r="G62" i="13"/>
  <c r="D62" i="13"/>
  <c r="V61" i="13"/>
  <c r="S61" i="13"/>
  <c r="P61" i="13"/>
  <c r="M61" i="13"/>
  <c r="J61" i="13"/>
  <c r="G61" i="13"/>
  <c r="D61" i="13"/>
  <c r="V60" i="13"/>
  <c r="S60" i="13"/>
  <c r="P60" i="13"/>
  <c r="M60" i="13"/>
  <c r="J60" i="13"/>
  <c r="G60" i="13"/>
  <c r="D60" i="13"/>
  <c r="V59" i="13"/>
  <c r="S59" i="13"/>
  <c r="P59" i="13"/>
  <c r="M59" i="13"/>
  <c r="J59" i="13"/>
  <c r="G59" i="13"/>
  <c r="D59" i="13"/>
  <c r="V58" i="13"/>
  <c r="S58" i="13"/>
  <c r="P58" i="13"/>
  <c r="M58" i="13"/>
  <c r="J58" i="13"/>
  <c r="G58" i="13"/>
  <c r="D58" i="13"/>
  <c r="V57" i="13"/>
  <c r="S57" i="13"/>
  <c r="P57" i="13"/>
  <c r="M57" i="13"/>
  <c r="J57" i="13"/>
  <c r="G57" i="13"/>
  <c r="D57" i="13"/>
  <c r="V56" i="13"/>
  <c r="S56" i="13"/>
  <c r="P56" i="13"/>
  <c r="M56" i="13"/>
  <c r="J56" i="13"/>
  <c r="G56" i="13"/>
  <c r="D56" i="13"/>
  <c r="V55" i="13"/>
  <c r="S55" i="13"/>
  <c r="P55" i="13"/>
  <c r="M55" i="13"/>
  <c r="J55" i="13"/>
  <c r="G55" i="13"/>
  <c r="D55" i="13"/>
  <c r="V54" i="13"/>
  <c r="S54" i="13"/>
  <c r="P54" i="13"/>
  <c r="M54" i="13"/>
  <c r="J54" i="13"/>
  <c r="G54" i="13"/>
  <c r="D54" i="13"/>
  <c r="V53" i="13"/>
  <c r="S53" i="13"/>
  <c r="P53" i="13"/>
  <c r="M53" i="13"/>
  <c r="J53" i="13"/>
  <c r="G53" i="13"/>
  <c r="D53" i="13"/>
  <c r="V52" i="13"/>
  <c r="S52" i="13"/>
  <c r="P52" i="13"/>
  <c r="M52" i="13"/>
  <c r="J52" i="13"/>
  <c r="G52" i="13"/>
  <c r="D52" i="13"/>
  <c r="V51" i="13"/>
  <c r="S51" i="13"/>
  <c r="P51" i="13"/>
  <c r="M51" i="13"/>
  <c r="J51" i="13"/>
  <c r="G51" i="13"/>
  <c r="D51" i="13"/>
  <c r="V50" i="13"/>
  <c r="S50" i="13"/>
  <c r="P50" i="13"/>
  <c r="M50" i="13"/>
  <c r="J50" i="13"/>
  <c r="G50" i="13"/>
  <c r="D50" i="13"/>
  <c r="V49" i="13"/>
  <c r="S49" i="13"/>
  <c r="P49" i="13"/>
  <c r="M49" i="13"/>
  <c r="J49" i="13"/>
  <c r="G49" i="13"/>
  <c r="D49" i="13"/>
  <c r="V48" i="13"/>
  <c r="S48" i="13"/>
  <c r="P48" i="13"/>
  <c r="M48" i="13"/>
  <c r="J48" i="13"/>
  <c r="G48" i="13"/>
  <c r="D48" i="13"/>
  <c r="V47" i="13"/>
  <c r="S47" i="13"/>
  <c r="P47" i="13"/>
  <c r="M47" i="13"/>
  <c r="J47" i="13"/>
  <c r="G47" i="13"/>
  <c r="D47" i="13"/>
  <c r="V46" i="13"/>
  <c r="S46" i="13"/>
  <c r="P46" i="13"/>
  <c r="M46" i="13"/>
  <c r="J46" i="13"/>
  <c r="G46" i="13"/>
  <c r="D46" i="13"/>
  <c r="V45" i="13"/>
  <c r="S45" i="13"/>
  <c r="P45" i="13"/>
  <c r="M45" i="13"/>
  <c r="J45" i="13"/>
  <c r="G45" i="13"/>
  <c r="D45" i="13"/>
  <c r="V44" i="13"/>
  <c r="S44" i="13"/>
  <c r="P44" i="13"/>
  <c r="M44" i="13"/>
  <c r="J44" i="13"/>
  <c r="G44" i="13"/>
  <c r="D44" i="13"/>
  <c r="V43" i="13"/>
  <c r="S43" i="13"/>
  <c r="P43" i="13"/>
  <c r="M43" i="13"/>
  <c r="J43" i="13"/>
  <c r="G43" i="13"/>
  <c r="D43" i="13"/>
  <c r="V42" i="13"/>
  <c r="S42" i="13"/>
  <c r="P42" i="13"/>
  <c r="M42" i="13"/>
  <c r="J42" i="13"/>
  <c r="G42" i="13"/>
  <c r="D42" i="13"/>
  <c r="V41" i="13"/>
  <c r="S41" i="13"/>
  <c r="P41" i="13"/>
  <c r="M41" i="13"/>
  <c r="J41" i="13"/>
  <c r="G41" i="13"/>
  <c r="D41" i="13"/>
  <c r="V40" i="13"/>
  <c r="S40" i="13"/>
  <c r="P40" i="13"/>
  <c r="M40" i="13"/>
  <c r="J40" i="13"/>
  <c r="G40" i="13"/>
  <c r="D40" i="13"/>
  <c r="V39" i="13"/>
  <c r="S39" i="13"/>
  <c r="P39" i="13"/>
  <c r="M39" i="13"/>
  <c r="J39" i="13"/>
  <c r="G39" i="13"/>
  <c r="D39" i="13"/>
  <c r="V38" i="13"/>
  <c r="S38" i="13"/>
  <c r="P38" i="13"/>
  <c r="M38" i="13"/>
  <c r="J38" i="13"/>
  <c r="G38" i="13"/>
  <c r="D38" i="13"/>
  <c r="V37" i="13"/>
  <c r="S37" i="13"/>
  <c r="P37" i="13"/>
  <c r="M37" i="13"/>
  <c r="J37" i="13"/>
  <c r="G37" i="13"/>
  <c r="D37" i="13"/>
  <c r="V36" i="13"/>
  <c r="S36" i="13"/>
  <c r="P36" i="13"/>
  <c r="M36" i="13"/>
  <c r="J36" i="13"/>
  <c r="G36" i="13"/>
  <c r="D36" i="13"/>
  <c r="V35" i="13"/>
  <c r="S35" i="13"/>
  <c r="P35" i="13"/>
  <c r="M35" i="13"/>
  <c r="J35" i="13"/>
  <c r="G35" i="13"/>
  <c r="D35" i="13"/>
  <c r="V34" i="13"/>
  <c r="S34" i="13"/>
  <c r="P34" i="13"/>
  <c r="M34" i="13"/>
  <c r="J34" i="13"/>
  <c r="G34" i="13"/>
  <c r="D34" i="13"/>
  <c r="V33" i="13"/>
  <c r="S33" i="13"/>
  <c r="P33" i="13"/>
  <c r="M33" i="13"/>
  <c r="J33" i="13"/>
  <c r="G33" i="13"/>
  <c r="D33" i="13"/>
  <c r="V32" i="13"/>
  <c r="S32" i="13"/>
  <c r="P32" i="13"/>
  <c r="M32" i="13"/>
  <c r="J32" i="13"/>
  <c r="G32" i="13"/>
  <c r="D32" i="13"/>
  <c r="V31" i="13"/>
  <c r="S31" i="13"/>
  <c r="P31" i="13"/>
  <c r="M31" i="13"/>
  <c r="J31" i="13"/>
  <c r="G31" i="13"/>
  <c r="D31" i="13"/>
  <c r="V30" i="13"/>
  <c r="S30" i="13"/>
  <c r="P30" i="13"/>
  <c r="M30" i="13"/>
  <c r="J30" i="13"/>
  <c r="G30" i="13"/>
  <c r="D30" i="13"/>
  <c r="V29" i="13"/>
  <c r="S29" i="13"/>
  <c r="P29" i="13"/>
  <c r="M29" i="13"/>
  <c r="J29" i="13"/>
  <c r="G29" i="13"/>
  <c r="D29" i="13"/>
  <c r="V28" i="13"/>
  <c r="S28" i="13"/>
  <c r="P28" i="13"/>
  <c r="M28" i="13"/>
  <c r="J28" i="13"/>
  <c r="G28" i="13"/>
  <c r="D28" i="13"/>
  <c r="V27" i="13"/>
  <c r="S27" i="13"/>
  <c r="P27" i="13"/>
  <c r="M27" i="13"/>
  <c r="J27" i="13"/>
  <c r="G27" i="13"/>
  <c r="D27" i="13"/>
  <c r="V26" i="13"/>
  <c r="S26" i="13"/>
  <c r="P26" i="13"/>
  <c r="M26" i="13"/>
  <c r="J26" i="13"/>
  <c r="G26" i="13"/>
  <c r="D26" i="13"/>
  <c r="V25" i="13"/>
  <c r="S25" i="13"/>
  <c r="P25" i="13"/>
  <c r="M25" i="13"/>
  <c r="J25" i="13"/>
  <c r="G25" i="13"/>
  <c r="D25" i="13"/>
  <c r="V24" i="13"/>
  <c r="S24" i="13"/>
  <c r="P24" i="13"/>
  <c r="M24" i="13"/>
  <c r="J24" i="13"/>
  <c r="G24" i="13"/>
  <c r="D24" i="13"/>
  <c r="V23" i="13"/>
  <c r="S23" i="13"/>
  <c r="P23" i="13"/>
  <c r="M23" i="13"/>
  <c r="J23" i="13"/>
  <c r="G23" i="13"/>
  <c r="D23" i="13"/>
  <c r="V22" i="13"/>
  <c r="S22" i="13"/>
  <c r="P22" i="13"/>
  <c r="M22" i="13"/>
  <c r="J22" i="13"/>
  <c r="G22" i="13"/>
  <c r="D22" i="13"/>
  <c r="V21" i="13"/>
  <c r="S21" i="13"/>
  <c r="P21" i="13"/>
  <c r="M21" i="13"/>
  <c r="J21" i="13"/>
  <c r="G21" i="13"/>
  <c r="D21" i="13"/>
  <c r="C9" i="13" l="1"/>
  <c r="K8" i="1"/>
  <c r="F12" i="13"/>
  <c r="F17" i="13"/>
  <c r="F13" i="13"/>
  <c r="F14" i="13"/>
  <c r="F15" i="13"/>
  <c r="F16" i="13"/>
  <c r="M8" i="1" l="1"/>
  <c r="L8" i="1"/>
  <c r="C18" i="11"/>
  <c r="G11" i="11"/>
  <c r="I11" i="11" s="1"/>
  <c r="H10" i="14" s="1"/>
  <c r="G10" i="11"/>
  <c r="I10" i="11" s="1"/>
  <c r="H9" i="14" s="1"/>
  <c r="G9" i="11"/>
  <c r="I9" i="11" s="1"/>
  <c r="H8" i="14" s="1"/>
  <c r="G8" i="11"/>
  <c r="I8" i="11" s="1"/>
  <c r="H7" i="14" s="1"/>
  <c r="G7" i="11"/>
  <c r="I7" i="11" s="1"/>
  <c r="H6" i="14" s="1"/>
  <c r="C4" i="11"/>
  <c r="I17" i="1"/>
  <c r="I14" i="1"/>
  <c r="I11" i="1"/>
  <c r="C29" i="10"/>
  <c r="C5" i="10"/>
  <c r="D5" i="10" s="1"/>
  <c r="E5" i="10" s="1"/>
  <c r="F5" i="10" s="1"/>
  <c r="G5" i="10" s="1"/>
  <c r="B4" i="10"/>
  <c r="B4" i="5"/>
  <c r="F18" i="9"/>
  <c r="K26" i="5" s="1"/>
  <c r="G18" i="9"/>
  <c r="G13" i="9"/>
  <c r="F13" i="9"/>
  <c r="G11" i="9"/>
  <c r="L16" i="2" s="1"/>
  <c r="G9" i="10" s="1"/>
  <c r="G25" i="10" s="1"/>
  <c r="F11" i="9"/>
  <c r="K16" i="2" s="1"/>
  <c r="F9" i="10" s="1"/>
  <c r="F25" i="10" s="1"/>
  <c r="E11" i="9"/>
  <c r="J16" i="2" s="1"/>
  <c r="E9" i="10" s="1"/>
  <c r="E25" i="10" s="1"/>
  <c r="D11" i="9"/>
  <c r="I16" i="2" s="1"/>
  <c r="G10" i="9"/>
  <c r="F10" i="9"/>
  <c r="E10" i="9"/>
  <c r="D10" i="9"/>
  <c r="C10" i="9"/>
  <c r="C4" i="9"/>
  <c r="C5" i="9"/>
  <c r="E18" i="9"/>
  <c r="J26" i="5" s="1"/>
  <c r="E13" i="9"/>
  <c r="E16" i="9" s="1"/>
  <c r="D13" i="9"/>
  <c r="D16" i="9" s="1"/>
  <c r="C18" i="9" s="1"/>
  <c r="C13" i="9"/>
  <c r="C16" i="9" s="1"/>
  <c r="G5" i="9"/>
  <c r="H5" i="9" s="1"/>
  <c r="G4" i="9"/>
  <c r="H4" i="9" s="1"/>
  <c r="G3" i="9"/>
  <c r="H3" i="9" s="1"/>
  <c r="C3" i="9"/>
  <c r="I12" i="11" l="1"/>
  <c r="H11" i="11"/>
  <c r="G10" i="14" s="1"/>
  <c r="I10" i="14" s="1"/>
  <c r="H8" i="11"/>
  <c r="G7" i="14" s="1"/>
  <c r="I7" i="14" s="1"/>
  <c r="H7" i="11"/>
  <c r="D18" i="9"/>
  <c r="I26" i="5" s="1"/>
  <c r="E24" i="10"/>
  <c r="C9" i="10"/>
  <c r="C25" i="10" s="1"/>
  <c r="D9" i="10"/>
  <c r="D25" i="10" s="1"/>
  <c r="H9" i="11"/>
  <c r="G8" i="14" s="1"/>
  <c r="I8" i="14" s="1"/>
  <c r="H10" i="11"/>
  <c r="G9" i="14" s="1"/>
  <c r="I9" i="14" s="1"/>
  <c r="C17" i="9"/>
  <c r="C19" i="9" s="1"/>
  <c r="G6" i="14" l="1"/>
  <c r="I6" i="14" s="1"/>
  <c r="H12" i="11"/>
  <c r="D14" i="9"/>
  <c r="D17" i="9" s="1"/>
  <c r="E14" i="9" s="1"/>
  <c r="E17" i="9" s="1"/>
  <c r="C16" i="14" l="1"/>
  <c r="C17" i="14" s="1"/>
  <c r="C19" i="11" s="1"/>
  <c r="E19" i="9"/>
  <c r="J34" i="5" s="1"/>
  <c r="F14" i="9"/>
  <c r="F17" i="9" s="1"/>
  <c r="D19" i="9"/>
  <c r="I34" i="5" s="1"/>
  <c r="F27" i="15" l="1"/>
  <c r="D27" i="15"/>
  <c r="G27" i="15"/>
  <c r="E27" i="15"/>
  <c r="G14" i="9"/>
  <c r="G17" i="9" s="1"/>
  <c r="G19" i="9" s="1"/>
  <c r="L34" i="5" s="1"/>
  <c r="F19" i="9"/>
  <c r="K34" i="5" s="1"/>
  <c r="G6" i="7"/>
  <c r="D10" i="7"/>
  <c r="E6" i="7" s="1"/>
  <c r="E10" i="7"/>
  <c r="F6" i="7" s="1"/>
  <c r="F10" i="7"/>
  <c r="G10" i="7"/>
  <c r="H6" i="7" s="1"/>
  <c r="C10" i="7"/>
  <c r="D6" i="7" s="1"/>
  <c r="D17" i="7"/>
  <c r="D18" i="7" s="1"/>
  <c r="D9" i="7" s="1"/>
  <c r="E17" i="7"/>
  <c r="E18" i="7" s="1"/>
  <c r="E9" i="7" s="1"/>
  <c r="F17" i="7"/>
  <c r="F18" i="7" s="1"/>
  <c r="F9" i="7" s="1"/>
  <c r="G17" i="7"/>
  <c r="G18" i="7" s="1"/>
  <c r="G9" i="7" s="1"/>
  <c r="C17" i="7"/>
  <c r="C18" i="7" s="1"/>
  <c r="C9" i="7" s="1"/>
  <c r="C6" i="7"/>
  <c r="D4" i="7"/>
  <c r="E4" i="7"/>
  <c r="F4" i="7"/>
  <c r="G4" i="7"/>
  <c r="H4" i="7"/>
  <c r="I4" i="7"/>
  <c r="J4" i="7"/>
  <c r="K4" i="7"/>
  <c r="L4" i="7"/>
  <c r="D5" i="7"/>
  <c r="E5" i="7"/>
  <c r="F5" i="7"/>
  <c r="G5" i="7"/>
  <c r="H5" i="7"/>
  <c r="I5" i="7"/>
  <c r="J5" i="7"/>
  <c r="K5" i="7"/>
  <c r="L5" i="7"/>
  <c r="C5" i="7"/>
  <c r="C4" i="7"/>
  <c r="D15" i="6"/>
  <c r="E15" i="6"/>
  <c r="F15" i="6"/>
  <c r="G15" i="6"/>
  <c r="C15" i="6"/>
  <c r="D11" i="6"/>
  <c r="E11" i="6"/>
  <c r="F11" i="6"/>
  <c r="G11" i="6"/>
  <c r="C11" i="6"/>
  <c r="D10" i="6"/>
  <c r="D12" i="6" s="1"/>
  <c r="D13" i="6" s="1"/>
  <c r="E10" i="6"/>
  <c r="E12" i="6" s="1"/>
  <c r="E13" i="6" s="1"/>
  <c r="F10" i="6"/>
  <c r="F12" i="6" s="1"/>
  <c r="F13" i="6" s="1"/>
  <c r="G10" i="6"/>
  <c r="G12" i="6" s="1"/>
  <c r="G13" i="6" s="1"/>
  <c r="C10" i="6"/>
  <c r="C12" i="6" s="1"/>
  <c r="C13" i="6" s="1"/>
  <c r="D6" i="6"/>
  <c r="E6" i="6"/>
  <c r="F6" i="6"/>
  <c r="G6" i="6"/>
  <c r="C6" i="6"/>
  <c r="J10" i="5"/>
  <c r="K10" i="5" s="1"/>
  <c r="L10" i="5" s="1"/>
  <c r="I10" i="5"/>
  <c r="H10" i="5"/>
  <c r="I8" i="5"/>
  <c r="J8" i="5"/>
  <c r="K8" i="5" s="1"/>
  <c r="H8" i="5"/>
  <c r="H19" i="5"/>
  <c r="I19" i="5" s="1"/>
  <c r="J19" i="5" s="1"/>
  <c r="K19" i="5" s="1"/>
  <c r="L19" i="5" s="1"/>
  <c r="H18" i="5"/>
  <c r="I18" i="5" s="1"/>
  <c r="J18" i="5" s="1"/>
  <c r="K18" i="5" s="1"/>
  <c r="L18" i="5" s="1"/>
  <c r="I17" i="5"/>
  <c r="J17" i="5" s="1"/>
  <c r="K17" i="5" s="1"/>
  <c r="L17" i="5" s="1"/>
  <c r="H17" i="5"/>
  <c r="I15" i="5"/>
  <c r="J15" i="5"/>
  <c r="K15" i="5" s="1"/>
  <c r="L15" i="5" s="1"/>
  <c r="H15" i="5"/>
  <c r="I14" i="5"/>
  <c r="J14" i="5" s="1"/>
  <c r="K14" i="5" s="1"/>
  <c r="H14" i="5"/>
  <c r="I25" i="5"/>
  <c r="J25" i="5" s="1"/>
  <c r="H25" i="5"/>
  <c r="H36" i="5"/>
  <c r="I36" i="5"/>
  <c r="J36" i="5" s="1"/>
  <c r="K36" i="5" s="1"/>
  <c r="L36" i="5" s="1"/>
  <c r="I35" i="5"/>
  <c r="J35" i="5"/>
  <c r="K35" i="5" s="1"/>
  <c r="L35" i="5" s="1"/>
  <c r="H35" i="5"/>
  <c r="I33" i="5"/>
  <c r="J33" i="5"/>
  <c r="K33" i="5"/>
  <c r="L33" i="5" s="1"/>
  <c r="H33" i="5"/>
  <c r="I32" i="5"/>
  <c r="J32" i="5"/>
  <c r="K32" i="5" s="1"/>
  <c r="L32" i="5" s="1"/>
  <c r="H32" i="5"/>
  <c r="I31" i="5"/>
  <c r="J31" i="5" s="1"/>
  <c r="K31" i="5" s="1"/>
  <c r="H31" i="5"/>
  <c r="I42" i="5"/>
  <c r="J42" i="5"/>
  <c r="K42" i="5" s="1"/>
  <c r="L42" i="5" s="1"/>
  <c r="H42" i="5"/>
  <c r="I41" i="5"/>
  <c r="J41" i="5" s="1"/>
  <c r="H41" i="5"/>
  <c r="G45" i="5"/>
  <c r="G29" i="5"/>
  <c r="G37" i="5" s="1"/>
  <c r="G47" i="5" s="1"/>
  <c r="G11" i="5"/>
  <c r="G20" i="5" s="1"/>
  <c r="F45" i="5"/>
  <c r="F47" i="5" s="1"/>
  <c r="E45" i="5"/>
  <c r="E47" i="5" s="1"/>
  <c r="D45" i="5"/>
  <c r="D47" i="5" s="1"/>
  <c r="C45" i="5"/>
  <c r="C47" i="5" s="1"/>
  <c r="F29" i="5"/>
  <c r="F37" i="5" s="1"/>
  <c r="E29" i="5"/>
  <c r="E37" i="5" s="1"/>
  <c r="D29" i="5"/>
  <c r="D37" i="5" s="1"/>
  <c r="C29" i="5"/>
  <c r="C37" i="5" s="1"/>
  <c r="F11" i="5"/>
  <c r="F20" i="5" s="1"/>
  <c r="E11" i="5"/>
  <c r="E20" i="5" s="1"/>
  <c r="D11" i="5"/>
  <c r="D20" i="5" s="1"/>
  <c r="C11" i="5"/>
  <c r="C20" i="5" s="1"/>
  <c r="C5" i="5"/>
  <c r="D5" i="5" s="1"/>
  <c r="E5" i="5" s="1"/>
  <c r="F5" i="5" s="1"/>
  <c r="G5" i="5" s="1"/>
  <c r="H5" i="5" s="1"/>
  <c r="I5" i="5" s="1"/>
  <c r="J5" i="5" s="1"/>
  <c r="K5" i="5" s="1"/>
  <c r="L5" i="5" s="1"/>
  <c r="L22" i="2"/>
  <c r="H15" i="2"/>
  <c r="H19" i="2" s="1"/>
  <c r="G27" i="2"/>
  <c r="G19" i="2"/>
  <c r="F27" i="2"/>
  <c r="E27" i="2"/>
  <c r="D27" i="2"/>
  <c r="C27" i="2"/>
  <c r="F19" i="2"/>
  <c r="E19" i="2"/>
  <c r="D19" i="2"/>
  <c r="C19" i="2"/>
  <c r="C5" i="2"/>
  <c r="D5" i="2" s="1"/>
  <c r="E5" i="2" s="1"/>
  <c r="F5" i="2" s="1"/>
  <c r="G5" i="2" s="1"/>
  <c r="H5" i="2" s="1"/>
  <c r="I5" i="2" s="1"/>
  <c r="J5" i="2" s="1"/>
  <c r="K5" i="2" s="1"/>
  <c r="L5" i="2" s="1"/>
  <c r="B4" i="2"/>
  <c r="B5" i="1"/>
  <c r="J17" i="1"/>
  <c r="K17" i="1" s="1"/>
  <c r="L17" i="1" s="1"/>
  <c r="M17" i="1" s="1"/>
  <c r="J14" i="1"/>
  <c r="K14" i="1" s="1"/>
  <c r="L14" i="1" s="1"/>
  <c r="M14" i="1" s="1"/>
  <c r="J11" i="1"/>
  <c r="F17" i="1"/>
  <c r="G17" i="1"/>
  <c r="H17" i="1"/>
  <c r="E17" i="1"/>
  <c r="F14" i="1"/>
  <c r="G14" i="1"/>
  <c r="H14" i="1"/>
  <c r="E14" i="1"/>
  <c r="F11" i="1"/>
  <c r="G11" i="1"/>
  <c r="H11" i="1"/>
  <c r="E11" i="1"/>
  <c r="F8" i="1"/>
  <c r="G8" i="1"/>
  <c r="H8" i="1"/>
  <c r="E8" i="1"/>
  <c r="D6" i="1"/>
  <c r="E6" i="1" s="1"/>
  <c r="F6" i="1" s="1"/>
  <c r="D4" i="1"/>
  <c r="G19" i="1"/>
  <c r="F6" i="2" s="1"/>
  <c r="F13" i="23" s="1"/>
  <c r="F19" i="1"/>
  <c r="E12" i="7" s="1"/>
  <c r="E19" i="1"/>
  <c r="D5" i="6" s="1"/>
  <c r="D19" i="1"/>
  <c r="C5" i="6" s="1"/>
  <c r="F15" i="23" l="1"/>
  <c r="F52" i="23"/>
  <c r="F57" i="23" s="1"/>
  <c r="F59" i="23" s="1"/>
  <c r="F25" i="23"/>
  <c r="F27" i="23" s="1"/>
  <c r="I15" i="2"/>
  <c r="J15" i="2" s="1"/>
  <c r="K15" i="2" s="1"/>
  <c r="K19" i="2" s="1"/>
  <c r="C6" i="2"/>
  <c r="E6" i="2"/>
  <c r="D7" i="6"/>
  <c r="D8" i="6" s="1"/>
  <c r="D16" i="6"/>
  <c r="C16" i="6"/>
  <c r="C7" i="6"/>
  <c r="C8" i="6" s="1"/>
  <c r="F8" i="2"/>
  <c r="F34" i="2"/>
  <c r="D6" i="2"/>
  <c r="D13" i="23" s="1"/>
  <c r="F5" i="6"/>
  <c r="D12" i="7"/>
  <c r="E5" i="6"/>
  <c r="C12" i="7"/>
  <c r="F12" i="7"/>
  <c r="K11" i="1"/>
  <c r="L11" i="1" s="1"/>
  <c r="M11" i="1" s="1"/>
  <c r="E8" i="7"/>
  <c r="D8" i="7"/>
  <c r="C8" i="7"/>
  <c r="F8" i="7"/>
  <c r="G8" i="7"/>
  <c r="G14" i="6"/>
  <c r="L8" i="5"/>
  <c r="L14" i="5"/>
  <c r="K25" i="5"/>
  <c r="L31" i="5"/>
  <c r="K41" i="5"/>
  <c r="G6" i="1"/>
  <c r="H6" i="1" s="1"/>
  <c r="I6" i="1" s="1"/>
  <c r="J6" i="1" s="1"/>
  <c r="K6" i="1" s="1"/>
  <c r="L6" i="1" s="1"/>
  <c r="M6" i="1" s="1"/>
  <c r="C7" i="7" l="1"/>
  <c r="C13" i="7"/>
  <c r="G7" i="7"/>
  <c r="G13" i="7"/>
  <c r="F15" i="7"/>
  <c r="F13" i="7"/>
  <c r="D7" i="7"/>
  <c r="D13" i="7"/>
  <c r="D25" i="23"/>
  <c r="D27" i="23" s="1"/>
  <c r="D52" i="23"/>
  <c r="D15" i="23"/>
  <c r="C8" i="2"/>
  <c r="C11" i="2" s="1"/>
  <c r="C13" i="2" s="1"/>
  <c r="C13" i="23"/>
  <c r="E8" i="2"/>
  <c r="E11" i="2" s="1"/>
  <c r="E13" i="2" s="1"/>
  <c r="E13" i="23"/>
  <c r="E7" i="7"/>
  <c r="E13" i="7"/>
  <c r="E34" i="2"/>
  <c r="J19" i="2"/>
  <c r="L15" i="2"/>
  <c r="L19" i="2" s="1"/>
  <c r="E37" i="2"/>
  <c r="I19" i="2"/>
  <c r="C37" i="2"/>
  <c r="C34" i="2"/>
  <c r="D8" i="2"/>
  <c r="D34" i="2"/>
  <c r="E7" i="6"/>
  <c r="E8" i="6" s="1"/>
  <c r="E16" i="6"/>
  <c r="F11" i="2"/>
  <c r="F13" i="2" s="1"/>
  <c r="F37" i="2"/>
  <c r="F16" i="6"/>
  <c r="F7" i="6"/>
  <c r="F8" i="6" s="1"/>
  <c r="F7" i="7"/>
  <c r="G15" i="7"/>
  <c r="C15" i="7"/>
  <c r="D15" i="7"/>
  <c r="E15" i="7"/>
  <c r="L25" i="5"/>
  <c r="L41" i="5"/>
  <c r="H19" i="1"/>
  <c r="E25" i="23" l="1"/>
  <c r="E27" i="23" s="1"/>
  <c r="E52" i="23"/>
  <c r="E57" i="23" s="1"/>
  <c r="E59" i="23" s="1"/>
  <c r="E15" i="23"/>
  <c r="E20" i="2"/>
  <c r="E37" i="23"/>
  <c r="C15" i="23"/>
  <c r="C52" i="23"/>
  <c r="C57" i="23" s="1"/>
  <c r="C59" i="23" s="1"/>
  <c r="C25" i="23"/>
  <c r="C27" i="23" s="1"/>
  <c r="C20" i="2"/>
  <c r="C37" i="23"/>
  <c r="F20" i="2"/>
  <c r="F40" i="2" s="1"/>
  <c r="F37" i="23"/>
  <c r="D57" i="23"/>
  <c r="D59" i="23" s="1"/>
  <c r="F23" i="2"/>
  <c r="F51" i="23" s="1"/>
  <c r="F53" i="23" s="1"/>
  <c r="F67" i="23" s="1"/>
  <c r="G6" i="2"/>
  <c r="G13" i="23" s="1"/>
  <c r="G12" i="7"/>
  <c r="G14" i="7" s="1"/>
  <c r="H8" i="7" s="1"/>
  <c r="G5" i="6"/>
  <c r="D11" i="2"/>
  <c r="D13" i="2" s="1"/>
  <c r="D37" i="2"/>
  <c r="G16" i="7"/>
  <c r="D20" i="2" l="1"/>
  <c r="D37" i="23"/>
  <c r="E39" i="23"/>
  <c r="E43" i="23"/>
  <c r="E45" i="23" s="1"/>
  <c r="H7" i="7"/>
  <c r="C23" i="15" s="1"/>
  <c r="F39" i="23"/>
  <c r="F43" i="23"/>
  <c r="F45" i="23" s="1"/>
  <c r="E23" i="2"/>
  <c r="E40" i="2"/>
  <c r="C23" i="2"/>
  <c r="C40" i="2"/>
  <c r="G15" i="23"/>
  <c r="G25" i="23"/>
  <c r="G27" i="23" s="1"/>
  <c r="G52" i="23"/>
  <c r="G57" i="23" s="1"/>
  <c r="G59" i="23" s="1"/>
  <c r="C43" i="23"/>
  <c r="C45" i="23" s="1"/>
  <c r="C39" i="23"/>
  <c r="F43" i="2"/>
  <c r="F46" i="2"/>
  <c r="D23" i="2"/>
  <c r="D51" i="23" s="1"/>
  <c r="D53" i="23" s="1"/>
  <c r="D67" i="23" s="1"/>
  <c r="D40" i="2"/>
  <c r="G34" i="2"/>
  <c r="G35" i="2" s="1"/>
  <c r="G8" i="2"/>
  <c r="G16" i="6"/>
  <c r="G17" i="6" s="1"/>
  <c r="G7" i="6"/>
  <c r="G8" i="6" s="1"/>
  <c r="H6" i="2"/>
  <c r="H5" i="6"/>
  <c r="H12" i="7"/>
  <c r="C17" i="10" s="1"/>
  <c r="H8" i="2" l="1"/>
  <c r="C46" i="2"/>
  <c r="C51" i="23"/>
  <c r="C53" i="23" s="1"/>
  <c r="C67" i="23" s="1"/>
  <c r="C43" i="2"/>
  <c r="D39" i="23"/>
  <c r="D43" i="23"/>
  <c r="D45" i="23" s="1"/>
  <c r="E43" i="2"/>
  <c r="E51" i="23"/>
  <c r="E53" i="23" s="1"/>
  <c r="E67" i="23" s="1"/>
  <c r="E46" i="2"/>
  <c r="G11" i="2"/>
  <c r="G13" i="2" s="1"/>
  <c r="G37" i="2"/>
  <c r="G38" i="2" s="1"/>
  <c r="H9" i="5"/>
  <c r="D46" i="2"/>
  <c r="D43" i="2"/>
  <c r="H28" i="5"/>
  <c r="C12" i="10" s="1"/>
  <c r="I6" i="2"/>
  <c r="I5" i="6"/>
  <c r="I6" i="6" s="1"/>
  <c r="I12" i="7"/>
  <c r="I8" i="7" s="1"/>
  <c r="I9" i="7" s="1"/>
  <c r="I18" i="7" s="1"/>
  <c r="I17" i="7" s="1"/>
  <c r="I12" i="2" s="1"/>
  <c r="D21" i="15" s="1"/>
  <c r="H9" i="7"/>
  <c r="H7" i="2"/>
  <c r="H10" i="6" s="1"/>
  <c r="H11" i="6" s="1"/>
  <c r="G20" i="2" l="1"/>
  <c r="G23" i="2" s="1"/>
  <c r="G51" i="23" s="1"/>
  <c r="G53" i="23" s="1"/>
  <c r="G67" i="23" s="1"/>
  <c r="G37" i="23"/>
  <c r="F38" i="15"/>
  <c r="F40" i="15" s="1"/>
  <c r="F41" i="15" s="1"/>
  <c r="C18" i="10"/>
  <c r="H10" i="7"/>
  <c r="H13" i="5" s="1"/>
  <c r="M13" i="5" s="1"/>
  <c r="G40" i="2"/>
  <c r="H24" i="5"/>
  <c r="H18" i="7"/>
  <c r="H17" i="7" s="1"/>
  <c r="H12" i="2" s="1"/>
  <c r="I15" i="6"/>
  <c r="I28" i="5" s="1"/>
  <c r="D12" i="10" s="1"/>
  <c r="I9" i="5"/>
  <c r="D8" i="10"/>
  <c r="J6" i="2"/>
  <c r="J7" i="2" s="1"/>
  <c r="J5" i="6"/>
  <c r="J6" i="6" s="1"/>
  <c r="J12" i="7"/>
  <c r="J8" i="7" s="1"/>
  <c r="I10" i="7"/>
  <c r="I7" i="2"/>
  <c r="I10" i="6" s="1"/>
  <c r="C8" i="10" l="1"/>
  <c r="C21" i="15"/>
  <c r="M24" i="5"/>
  <c r="H29" i="5"/>
  <c r="H37" i="5" s="1"/>
  <c r="I6" i="7"/>
  <c r="I7" i="7" s="1"/>
  <c r="G43" i="23"/>
  <c r="G45" i="23" s="1"/>
  <c r="G39" i="23"/>
  <c r="G43" i="2"/>
  <c r="G44" i="2" s="1"/>
  <c r="G46" i="2"/>
  <c r="G47" i="2" s="1"/>
  <c r="I11" i="6"/>
  <c r="I24" i="5" s="1"/>
  <c r="I29" i="5" s="1"/>
  <c r="I37" i="5" s="1"/>
  <c r="C11" i="10"/>
  <c r="C13" i="10" s="1"/>
  <c r="C22" i="15" s="1"/>
  <c r="I13" i="5"/>
  <c r="J15" i="6"/>
  <c r="J28" i="5" s="1"/>
  <c r="E12" i="10" s="1"/>
  <c r="J9" i="5"/>
  <c r="I8" i="2"/>
  <c r="J6" i="7"/>
  <c r="J7" i="7" s="1"/>
  <c r="J9" i="7"/>
  <c r="J18" i="7" s="1"/>
  <c r="J17" i="7" s="1"/>
  <c r="J12" i="2" s="1"/>
  <c r="E21" i="15" s="1"/>
  <c r="H9" i="2"/>
  <c r="H11" i="2" s="1"/>
  <c r="H13" i="2" s="1"/>
  <c r="L12" i="7"/>
  <c r="L8" i="7" s="1"/>
  <c r="L6" i="2"/>
  <c r="L5" i="6"/>
  <c r="L6" i="6" s="1"/>
  <c r="K5" i="6"/>
  <c r="K6" i="6" s="1"/>
  <c r="K6" i="2"/>
  <c r="K12" i="7"/>
  <c r="K8" i="7" s="1"/>
  <c r="J8" i="2"/>
  <c r="J10" i="6"/>
  <c r="D17" i="10" l="1"/>
  <c r="D18" i="10" s="1"/>
  <c r="D23" i="15"/>
  <c r="H20" i="2"/>
  <c r="H21" i="2" s="1"/>
  <c r="H23" i="2" s="1"/>
  <c r="C18" i="15"/>
  <c r="C20" i="15" s="1"/>
  <c r="C24" i="15" s="1"/>
  <c r="C31" i="15" s="1"/>
  <c r="E17" i="10"/>
  <c r="E23" i="15"/>
  <c r="D11" i="10"/>
  <c r="D13" i="10" s="1"/>
  <c r="D22" i="15" s="1"/>
  <c r="J11" i="6"/>
  <c r="J24" i="5" s="1"/>
  <c r="K15" i="6"/>
  <c r="K28" i="5" s="1"/>
  <c r="F12" i="10" s="1"/>
  <c r="K9" i="5"/>
  <c r="L9" i="5"/>
  <c r="L15" i="6"/>
  <c r="L28" i="5" s="1"/>
  <c r="J10" i="7"/>
  <c r="E8" i="10"/>
  <c r="J9" i="2"/>
  <c r="J11" i="2" s="1"/>
  <c r="J13" i="2" s="1"/>
  <c r="L7" i="2"/>
  <c r="L10" i="6" s="1"/>
  <c r="I9" i="2"/>
  <c r="I11" i="2" s="1"/>
  <c r="I13" i="2" s="1"/>
  <c r="L9" i="7"/>
  <c r="L18" i="7" s="1"/>
  <c r="L17" i="7" s="1"/>
  <c r="L12" i="2" s="1"/>
  <c r="G21" i="15" s="1"/>
  <c r="K9" i="7"/>
  <c r="K18" i="7" s="1"/>
  <c r="K17" i="7" s="1"/>
  <c r="K12" i="2" s="1"/>
  <c r="F21" i="15" s="1"/>
  <c r="K7" i="2"/>
  <c r="K10" i="6" s="1"/>
  <c r="H26" i="2" l="1"/>
  <c r="C22" i="10" s="1"/>
  <c r="H43" i="5"/>
  <c r="I20" i="2"/>
  <c r="I21" i="2" s="1"/>
  <c r="I23" i="2" s="1"/>
  <c r="D18" i="15"/>
  <c r="D20" i="15" s="1"/>
  <c r="D24" i="15" s="1"/>
  <c r="D31" i="15" s="1"/>
  <c r="J20" i="2"/>
  <c r="J21" i="2" s="1"/>
  <c r="J23" i="2" s="1"/>
  <c r="E7" i="10" s="1"/>
  <c r="E18" i="15"/>
  <c r="E20" i="15" s="1"/>
  <c r="C7" i="10"/>
  <c r="C14" i="10" s="1"/>
  <c r="H25" i="2"/>
  <c r="L10" i="7"/>
  <c r="L13" i="5" s="1"/>
  <c r="J29" i="5"/>
  <c r="J37" i="5" s="1"/>
  <c r="E11" i="10"/>
  <c r="E13" i="10" s="1"/>
  <c r="E22" i="15" s="1"/>
  <c r="K11" i="6"/>
  <c r="K24" i="5" s="1"/>
  <c r="L11" i="6"/>
  <c r="L24" i="5" s="1"/>
  <c r="K8" i="2"/>
  <c r="K9" i="2" s="1"/>
  <c r="K11" i="2" s="1"/>
  <c r="K13" i="2" s="1"/>
  <c r="L8" i="2"/>
  <c r="L9" i="2" s="1"/>
  <c r="L11" i="2" s="1"/>
  <c r="L13" i="2" s="1"/>
  <c r="D7" i="10"/>
  <c r="D14" i="10" s="1"/>
  <c r="I26" i="2"/>
  <c r="D22" i="10" s="1"/>
  <c r="I25" i="2"/>
  <c r="K10" i="7"/>
  <c r="F8" i="10"/>
  <c r="G12" i="10"/>
  <c r="E18" i="10"/>
  <c r="K6" i="7"/>
  <c r="K7" i="7" s="1"/>
  <c r="J13" i="5"/>
  <c r="G8" i="10"/>
  <c r="K20" i="2" l="1"/>
  <c r="K21" i="2" s="1"/>
  <c r="K23" i="2" s="1"/>
  <c r="F18" i="15"/>
  <c r="F20" i="15" s="1"/>
  <c r="L20" i="2"/>
  <c r="L21" i="2" s="1"/>
  <c r="L23" i="2" s="1"/>
  <c r="G18" i="15"/>
  <c r="G20" i="15" s="1"/>
  <c r="E24" i="15"/>
  <c r="E31" i="15" s="1"/>
  <c r="J26" i="2"/>
  <c r="E22" i="10" s="1"/>
  <c r="J25" i="2"/>
  <c r="J27" i="2" s="1"/>
  <c r="H45" i="5"/>
  <c r="H47" i="5" s="1"/>
  <c r="M43" i="5"/>
  <c r="M47" i="5" s="1"/>
  <c r="F17" i="10"/>
  <c r="F23" i="15"/>
  <c r="C21" i="10"/>
  <c r="C26" i="10" s="1"/>
  <c r="C28" i="10" s="1"/>
  <c r="H27" i="2"/>
  <c r="I43" i="5"/>
  <c r="E14" i="10"/>
  <c r="K29" i="5"/>
  <c r="K37" i="5" s="1"/>
  <c r="F11" i="10"/>
  <c r="F13" i="10" s="1"/>
  <c r="F22" i="15" s="1"/>
  <c r="L29" i="5"/>
  <c r="L37" i="5" s="1"/>
  <c r="G11" i="10"/>
  <c r="G13" i="10" s="1"/>
  <c r="G22" i="15" s="1"/>
  <c r="G7" i="10"/>
  <c r="L26" i="2"/>
  <c r="G22" i="10" s="1"/>
  <c r="L25" i="2"/>
  <c r="F7" i="10"/>
  <c r="K25" i="2"/>
  <c r="K26" i="2"/>
  <c r="F22" i="10" s="1"/>
  <c r="F18" i="10"/>
  <c r="L6" i="7"/>
  <c r="L7" i="7" s="1"/>
  <c r="K13" i="5"/>
  <c r="D21" i="10"/>
  <c r="D26" i="10" s="1"/>
  <c r="I27" i="2"/>
  <c r="E21" i="10"/>
  <c r="E26" i="10" s="1"/>
  <c r="G24" i="15" l="1"/>
  <c r="G31" i="15" s="1"/>
  <c r="H31" i="15" s="1"/>
  <c r="C33" i="15" s="1"/>
  <c r="G17" i="10"/>
  <c r="G18" i="10" s="1"/>
  <c r="G23" i="15"/>
  <c r="F24" i="15"/>
  <c r="F31" i="15" s="1"/>
  <c r="J43" i="5"/>
  <c r="K43" i="5"/>
  <c r="L43" i="5" s="1"/>
  <c r="F14" i="10"/>
  <c r="G14" i="10"/>
  <c r="F21" i="10"/>
  <c r="K27" i="2"/>
  <c r="I45" i="5"/>
  <c r="I47" i="5" s="1"/>
  <c r="G21" i="10"/>
  <c r="G26" i="10" s="1"/>
  <c r="L27" i="2"/>
  <c r="E28" i="10"/>
  <c r="C32" i="15" l="1"/>
  <c r="F26" i="10"/>
  <c r="F28" i="10" s="1"/>
  <c r="J45" i="5"/>
  <c r="J47" i="5" s="1"/>
  <c r="D28" i="10"/>
  <c r="C30" i="10"/>
  <c r="C34" i="15" l="1"/>
  <c r="C38" i="15" s="1"/>
  <c r="C43" i="15" s="1"/>
  <c r="C49" i="15" s="1"/>
  <c r="C51" i="15" s="1"/>
  <c r="B56" i="15" s="1"/>
  <c r="F43" i="15"/>
  <c r="F49" i="15" s="1"/>
  <c r="F51" i="15" s="1"/>
  <c r="J37" i="15" s="1"/>
  <c r="K45" i="5"/>
  <c r="K47" i="5" s="1"/>
  <c r="L45" i="5"/>
  <c r="L47" i="5" s="1"/>
  <c r="D29" i="10"/>
  <c r="D30" i="10" s="1"/>
  <c r="I7" i="5" s="1"/>
  <c r="H7" i="5"/>
  <c r="H11" i="5" s="1"/>
  <c r="H20" i="5" s="1"/>
  <c r="H49" i="5" s="1"/>
  <c r="M7" i="5" l="1"/>
  <c r="E29" i="10"/>
  <c r="E30" i="10" s="1"/>
  <c r="J7" i="5" s="1"/>
  <c r="I11" i="5"/>
  <c r="I20" i="5" s="1"/>
  <c r="I49" i="5" s="1"/>
  <c r="M20" i="5" l="1"/>
  <c r="M49" i="5" s="1"/>
  <c r="F29" i="10"/>
  <c r="F30" i="10" s="1"/>
  <c r="K7" i="5" s="1"/>
  <c r="J11" i="5"/>
  <c r="J20" i="5" s="1"/>
  <c r="J49" i="5" s="1"/>
  <c r="G29" i="10" l="1"/>
  <c r="K11" i="5"/>
  <c r="K20" i="5" s="1"/>
  <c r="K49" i="5" s="1"/>
  <c r="G28" i="10" l="1"/>
  <c r="G30" i="10" s="1"/>
  <c r="L7" i="5" l="1"/>
  <c r="L11" i="5" s="1"/>
  <c r="L20" i="5" s="1"/>
  <c r="L4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DELL</author>
  </authors>
  <commentList>
    <comment ref="G41" authorId="0" shapeId="0" xr:uid="{BB6CC8F0-29BA-4FE7-8129-A12BC3FE4931}">
      <text>
        <r>
          <rPr>
            <b/>
            <sz val="9"/>
            <color indexed="81"/>
            <rFont val="Tahoma"/>
            <family val="2"/>
          </rPr>
          <t>DELL:</t>
        </r>
        <r>
          <rPr>
            <sz val="9"/>
            <color indexed="81"/>
            <rFont val="Tahoma"/>
            <family val="2"/>
          </rPr>
          <t xml:space="preserve">
as per us corporate tax rate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DELL</author>
  </authors>
  <commentList>
    <comment ref="M27" authorId="0" shapeId="0" xr:uid="{FD21043C-5A86-444C-9609-3718094AB35E}">
      <text>
        <r>
          <rPr>
            <b/>
            <sz val="9"/>
            <color indexed="81"/>
            <rFont val="Tahoma"/>
            <family val="2"/>
          </rPr>
          <t>DELL:</t>
        </r>
        <r>
          <rPr>
            <sz val="9"/>
            <color indexed="81"/>
            <rFont val="Tahoma"/>
            <family val="2"/>
          </rPr>
          <t xml:space="preserve">
given in pg 72 of 2024 sec annual filings
</t>
        </r>
      </text>
    </comment>
    <comment ref="B43" authorId="0" shapeId="0" xr:uid="{55A7AC49-FA2B-4A65-B472-F32C6F45D51A}">
      <text>
        <r>
          <rPr>
            <b/>
            <sz val="9"/>
            <color indexed="81"/>
            <rFont val="Tahoma"/>
            <family val="2"/>
          </rPr>
          <t>DELL:</t>
        </r>
        <r>
          <rPr>
            <sz val="9"/>
            <color indexed="81"/>
            <rFont val="Tahoma"/>
            <family val="2"/>
          </rPr>
          <t xml:space="preserve">
It appears you’re not reducing retained earnings by the full amount of stock repurchases in your equity calculation, or you’re treating repurchases inconsistently. In your “Total” row under the income statement (likely representing cash outflows), you include both dividends and repurchases (e.g., 1,870.77 in 2025), but this isn’t fully reflected in retained earnings or equity.
Retained Earnings (Ending) = Retained Earnings (Beginning) + Net Income - Dividends Paid - Stock Repurchases (if treated as a reduction in equity)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DELL</author>
  </authors>
  <commentList>
    <comment ref="M19" authorId="0" shapeId="0" xr:uid="{4A0ED6C3-FE5F-4DA4-A612-4458D186400F}">
      <text>
        <r>
          <rPr>
            <b/>
            <sz val="9"/>
            <color indexed="81"/>
            <rFont val="Tahoma"/>
            <family val="2"/>
          </rPr>
          <t>DELL:</t>
        </r>
        <r>
          <rPr>
            <sz val="9"/>
            <color indexed="81"/>
            <rFont val="Tahoma"/>
            <family val="2"/>
          </rPr>
          <t xml:space="preserve">
given in 2024 sec filing page no. 73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DELL</author>
  </authors>
  <commentList>
    <comment ref="I2" authorId="0" shapeId="0" xr:uid="{4762FAE7-285F-4056-B4C4-B07A36628F12}">
      <text>
        <r>
          <rPr>
            <b/>
            <sz val="9"/>
            <color indexed="81"/>
            <rFont val="Tahoma"/>
            <family val="2"/>
          </rPr>
          <t>DELL:</t>
        </r>
        <r>
          <rPr>
            <sz val="9"/>
            <color indexed="81"/>
            <rFont val="Tahoma"/>
            <family val="2"/>
          </rPr>
          <t xml:space="preserve">
given on page 74 2024 sec annual filings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DELL</author>
  </authors>
  <commentList>
    <comment ref="C14" authorId="0" shapeId="0" xr:uid="{EF7E800B-3D36-4F37-8035-BA50BE4F706B}">
      <text>
        <r>
          <rPr>
            <b/>
            <sz val="9"/>
            <color indexed="81"/>
            <rFont val="Tahoma"/>
            <family val="2"/>
          </rPr>
          <t>DELL:</t>
        </r>
        <r>
          <rPr>
            <sz val="9"/>
            <color indexed="81"/>
            <rFont val="Tahoma"/>
            <family val="2"/>
          </rPr>
          <t xml:space="preserve">
10 years us treasury bond rate on 11 feb 2024
</t>
        </r>
      </text>
    </comment>
    <comment ref="C16" authorId="0" shapeId="0" xr:uid="{30E5A5AD-35E6-4846-BD4E-78EF56074093}">
      <text>
        <r>
          <rPr>
            <b/>
            <sz val="9"/>
            <color indexed="81"/>
            <rFont val="Tahoma"/>
            <family val="2"/>
          </rPr>
          <t>DELL:</t>
        </r>
        <r>
          <rPr>
            <sz val="9"/>
            <color indexed="81"/>
            <rFont val="Tahoma"/>
            <family val="2"/>
          </rPr>
          <t xml:space="preserve">
https://pages.stern.nyu.edu/~adamodar/New_Home_Page/datafile/ratings.html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DELL</author>
  </authors>
  <commentList>
    <comment ref="E9" authorId="0" shapeId="0" xr:uid="{447612AF-FCAC-473B-9CD6-AF11FA267AC0}">
      <text>
        <r>
          <rPr>
            <b/>
            <sz val="9"/>
            <color indexed="81"/>
            <rFont val="Tahoma"/>
            <family val="2"/>
          </rPr>
          <t>DELL:</t>
        </r>
        <r>
          <rPr>
            <sz val="9"/>
            <color indexed="81"/>
            <rFont val="Tahoma"/>
            <family val="2"/>
          </rPr>
          <t xml:space="preserve">
Erp =us market+0 by damodaran excel
if another country with rating than bechmark is USA
Erp= us market+ country risk premium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DELL</author>
  </authors>
  <commentList>
    <comment ref="B44" authorId="0" shapeId="0" xr:uid="{E6533D5D-437B-4C7D-BAED-B0D3FCD2C688}">
      <text>
        <r>
          <rPr>
            <b/>
            <sz val="9"/>
            <color indexed="81"/>
            <rFont val="Tahoma"/>
            <family val="2"/>
          </rPr>
          <t>DELL:</t>
        </r>
        <r>
          <rPr>
            <sz val="9"/>
            <color indexed="81"/>
            <rFont val="Tahoma"/>
            <family val="2"/>
          </rPr>
          <t xml:space="preserve">
Note 5 of 2024 annual sec filing</t>
        </r>
      </text>
    </comment>
    <comment ref="E44" authorId="0" shapeId="0" xr:uid="{A23C9CA1-5380-49AC-BA4A-88CB873AA244}">
      <text>
        <r>
          <rPr>
            <b/>
            <sz val="9"/>
            <color indexed="81"/>
            <rFont val="Tahoma"/>
            <family val="2"/>
          </rPr>
          <t>DELL:</t>
        </r>
        <r>
          <rPr>
            <sz val="9"/>
            <color indexed="81"/>
            <rFont val="Tahoma"/>
            <family val="2"/>
          </rPr>
          <t xml:space="preserve">
Note 5 of 2024 annual sec filing</t>
        </r>
      </text>
    </comment>
  </commentList>
</comments>
</file>

<file path=xl/sharedStrings.xml><?xml version="1.0" encoding="utf-8"?>
<sst xmlns="http://schemas.openxmlformats.org/spreadsheetml/2006/main" count="1342" uniqueCount="440">
  <si>
    <t>12 months</t>
  </si>
  <si>
    <t>Financial Services</t>
  </si>
  <si>
    <t>Growth%</t>
  </si>
  <si>
    <t>Helathcare</t>
  </si>
  <si>
    <t>Products and Resources</t>
  </si>
  <si>
    <t>Communication, Media and Technology</t>
  </si>
  <si>
    <t>Total Division</t>
  </si>
  <si>
    <t>Company Name:</t>
  </si>
  <si>
    <t>Cognizant</t>
  </si>
  <si>
    <t>in USD million Dollors</t>
  </si>
  <si>
    <t>Revenues</t>
  </si>
  <si>
    <t>EBIT</t>
  </si>
  <si>
    <t>Net Income</t>
  </si>
  <si>
    <t xml:space="preserve">   Cost of revenues(exclusive of depreciation and amortization expense shown separately below)</t>
  </si>
  <si>
    <t>Gross profit</t>
  </si>
  <si>
    <t xml:space="preserve">   SGA</t>
  </si>
  <si>
    <t xml:space="preserve">   Restructuring charges(don't forecast)</t>
  </si>
  <si>
    <t>Income from operations(EBITDA)</t>
  </si>
  <si>
    <t xml:space="preserve"> Depreciation and amortization expense</t>
  </si>
  <si>
    <t>Other income (expense),net:</t>
  </si>
  <si>
    <t xml:space="preserve">   Interest income</t>
  </si>
  <si>
    <t xml:space="preserve">   Interest expense</t>
  </si>
  <si>
    <t xml:space="preserve">   Foreign currency exchange gains(loses),net</t>
  </si>
  <si>
    <t xml:space="preserve">   Other,net</t>
  </si>
  <si>
    <t>Total other income(expense), net</t>
  </si>
  <si>
    <t>Income before provision for income taxes(EBT)</t>
  </si>
  <si>
    <t>Provision for income taxes</t>
  </si>
  <si>
    <t>Income (loss) from equity method investments</t>
  </si>
  <si>
    <t>Dividend Paid</t>
  </si>
  <si>
    <t>Repurchase of common stock</t>
  </si>
  <si>
    <t>Total</t>
  </si>
  <si>
    <t>COGS as % of Revenue</t>
  </si>
  <si>
    <t>SGA as % of Gross Profit</t>
  </si>
  <si>
    <t>Tax as % of EBT</t>
  </si>
  <si>
    <t>Dividend as % of PAT</t>
  </si>
  <si>
    <t>Repurchase of common stock as % of PAT</t>
  </si>
  <si>
    <t>Current assets:</t>
  </si>
  <si>
    <t xml:space="preserve">  Cash and cash equivalents</t>
  </si>
  <si>
    <t xml:space="preserve">  short -term investments</t>
  </si>
  <si>
    <t xml:space="preserve">  trade account receivable,net</t>
  </si>
  <si>
    <t xml:space="preserve">  other current assets</t>
  </si>
  <si>
    <t>Total current assets</t>
  </si>
  <si>
    <t>property and equipment,net</t>
  </si>
  <si>
    <t>operating lease assets</t>
  </si>
  <si>
    <t>goodwill</t>
  </si>
  <si>
    <t>intangible assets,net</t>
  </si>
  <si>
    <t>deferred income tax</t>
  </si>
  <si>
    <t>long-term investment</t>
  </si>
  <si>
    <t>other non current assets</t>
  </si>
  <si>
    <t xml:space="preserve">  Total assets</t>
  </si>
  <si>
    <t>Liabilities abd Stockholder equity</t>
  </si>
  <si>
    <t>Current liabilities:</t>
  </si>
  <si>
    <t xml:space="preserve">  Account payable</t>
  </si>
  <si>
    <t xml:space="preserve">  Deferred revenue</t>
  </si>
  <si>
    <t xml:space="preserve">  short term debt</t>
  </si>
  <si>
    <t xml:space="preserve">  operating lease liabilities</t>
  </si>
  <si>
    <t xml:space="preserve">  accrued expenses and other current liabilities</t>
  </si>
  <si>
    <t>Total  current liabilties</t>
  </si>
  <si>
    <t>Deferred revenue,noncurrent</t>
  </si>
  <si>
    <t>operating lease liabilities</t>
  </si>
  <si>
    <t>deferred income tax payable</t>
  </si>
  <si>
    <t>long term debt</t>
  </si>
  <si>
    <t>long term income taxes payable</t>
  </si>
  <si>
    <t>other ncl</t>
  </si>
  <si>
    <t>Total liabilities</t>
  </si>
  <si>
    <t>Stockholder' equity:</t>
  </si>
  <si>
    <t>preffered stock</t>
  </si>
  <si>
    <t>class a common stock</t>
  </si>
  <si>
    <t>additional paid in capital</t>
  </si>
  <si>
    <t>retained earnings</t>
  </si>
  <si>
    <t>accumulated other comprehensive income(loss)</t>
  </si>
  <si>
    <t>Total equity</t>
  </si>
  <si>
    <t>others</t>
  </si>
  <si>
    <t>Total liabilities and equity</t>
  </si>
  <si>
    <t>Checksum</t>
  </si>
  <si>
    <t>Revenue</t>
  </si>
  <si>
    <t>Year</t>
  </si>
  <si>
    <t>Receivables</t>
  </si>
  <si>
    <t>ARTR</t>
  </si>
  <si>
    <t>DSO</t>
  </si>
  <si>
    <t>COGS</t>
  </si>
  <si>
    <t>Payable</t>
  </si>
  <si>
    <t>APTR</t>
  </si>
  <si>
    <t>DPO</t>
  </si>
  <si>
    <t>expenses</t>
  </si>
  <si>
    <t>note</t>
  </si>
  <si>
    <t>Property, Plant &amp; Equipment</t>
  </si>
  <si>
    <t>Opening Balance-WDV</t>
  </si>
  <si>
    <t>Add: Net Addition during the Period</t>
  </si>
  <si>
    <t>Total Depreciable Assets During the Year</t>
  </si>
  <si>
    <t>Less: Depreciation during the year</t>
  </si>
  <si>
    <t>Closing Balance-WDV</t>
  </si>
  <si>
    <t>Depreciation</t>
  </si>
  <si>
    <t>Depreciation and amortization</t>
  </si>
  <si>
    <t>Amortization</t>
  </si>
  <si>
    <t>PPE Turnover ratio</t>
  </si>
  <si>
    <t>Depreciation rate</t>
  </si>
  <si>
    <t>date</t>
  </si>
  <si>
    <t>amount</t>
  </si>
  <si>
    <t>average</t>
  </si>
  <si>
    <t>weighted average interest rate</t>
  </si>
  <si>
    <t>Interest expense</t>
  </si>
  <si>
    <t>debt repaid</t>
  </si>
  <si>
    <t>opening debt</t>
  </si>
  <si>
    <t>debt taken</t>
  </si>
  <si>
    <t>closing balance</t>
  </si>
  <si>
    <t>short term loan</t>
  </si>
  <si>
    <t>long term loan</t>
  </si>
  <si>
    <t>Cash Flow from Operations</t>
  </si>
  <si>
    <t>Net income</t>
  </si>
  <si>
    <t>Interest Expense</t>
  </si>
  <si>
    <t>changes in NCWC</t>
  </si>
  <si>
    <t>Total CFO</t>
  </si>
  <si>
    <t>Cash Flow from Investing</t>
  </si>
  <si>
    <t>CAPEX</t>
  </si>
  <si>
    <t>Total CFI</t>
  </si>
  <si>
    <t>Cash flow from Financing activities</t>
  </si>
  <si>
    <t>dividend paid</t>
  </si>
  <si>
    <t>interest expense</t>
  </si>
  <si>
    <t>debt drawdown</t>
  </si>
  <si>
    <t>Total CFF</t>
  </si>
  <si>
    <t>CFO+CFI+CFF</t>
  </si>
  <si>
    <t>opening balance</t>
  </si>
  <si>
    <t>chnages in account receivables</t>
  </si>
  <si>
    <t>account payables</t>
  </si>
  <si>
    <t>other current liabilities</t>
  </si>
  <si>
    <t>CTSH</t>
  </si>
  <si>
    <t>Ticker:</t>
  </si>
  <si>
    <t>Founded:</t>
  </si>
  <si>
    <t>CEO:</t>
  </si>
  <si>
    <t>CFO:</t>
  </si>
  <si>
    <t>COO:</t>
  </si>
  <si>
    <t>Raman Roy</t>
  </si>
  <si>
    <t>Jen Siegmund</t>
  </si>
  <si>
    <t>Rajeev Mehta</t>
  </si>
  <si>
    <t>valuation date</t>
  </si>
  <si>
    <t>WACC Calculation in USD million dollors</t>
  </si>
  <si>
    <t>Competitors</t>
  </si>
  <si>
    <t xml:space="preserve"> Debt</t>
  </si>
  <si>
    <t>Current Market Price</t>
  </si>
  <si>
    <t>Outstanding shares</t>
  </si>
  <si>
    <t>Equity</t>
  </si>
  <si>
    <t>Debt %</t>
  </si>
  <si>
    <t>Equity %</t>
  </si>
  <si>
    <t>SNOW</t>
  </si>
  <si>
    <t>Snow Flake</t>
  </si>
  <si>
    <t>TTD</t>
  </si>
  <si>
    <t>The Trade Desk</t>
  </si>
  <si>
    <t>IT</t>
  </si>
  <si>
    <t>Gartner</t>
  </si>
  <si>
    <t>GDDY</t>
  </si>
  <si>
    <t>Go Daddy</t>
  </si>
  <si>
    <t>VRSN</t>
  </si>
  <si>
    <t>Verisign</t>
  </si>
  <si>
    <t>Ticker</t>
  </si>
  <si>
    <t>Weight</t>
  </si>
  <si>
    <t>Risk free rate</t>
  </si>
  <si>
    <t>credit rating</t>
  </si>
  <si>
    <t>BBB</t>
  </si>
  <si>
    <t>default spread</t>
  </si>
  <si>
    <t>tax rate</t>
  </si>
  <si>
    <t>Cost of debt</t>
  </si>
  <si>
    <t>SnowFlake</t>
  </si>
  <si>
    <t>GoDaddy</t>
  </si>
  <si>
    <t>TradeDesk</t>
  </si>
  <si>
    <t>S&amp;P</t>
  </si>
  <si>
    <t>Date</t>
  </si>
  <si>
    <t>Price</t>
  </si>
  <si>
    <t>Change</t>
  </si>
  <si>
    <t>01/26/2025</t>
  </si>
  <si>
    <t>01/19/2025</t>
  </si>
  <si>
    <t>12/29/2024</t>
  </si>
  <si>
    <t>12/22/2024</t>
  </si>
  <si>
    <t>12/15/2024</t>
  </si>
  <si>
    <t>11/24/2024</t>
  </si>
  <si>
    <t>11/17/2024</t>
  </si>
  <si>
    <t>10/27/2024</t>
  </si>
  <si>
    <t>10/20/2024</t>
  </si>
  <si>
    <t>10/13/2024</t>
  </si>
  <si>
    <t>09/29/2024</t>
  </si>
  <si>
    <t>09/22/2024</t>
  </si>
  <si>
    <t>09/15/2024</t>
  </si>
  <si>
    <t>08/25/2024</t>
  </si>
  <si>
    <t>08/18/2024</t>
  </si>
  <si>
    <t>07/28/2024</t>
  </si>
  <si>
    <t>07/21/2024</t>
  </si>
  <si>
    <t>07/14/2024</t>
  </si>
  <si>
    <t>06/30/2024</t>
  </si>
  <si>
    <t>06/23/2024</t>
  </si>
  <si>
    <t>06/16/2024</t>
  </si>
  <si>
    <t>05/26/2024</t>
  </si>
  <si>
    <t>05/19/2024</t>
  </si>
  <si>
    <t>04/28/2024</t>
  </si>
  <si>
    <t>04/21/2024</t>
  </si>
  <si>
    <t>04/14/2024</t>
  </si>
  <si>
    <t>03/31/2024</t>
  </si>
  <si>
    <t>03/24/2024</t>
  </si>
  <si>
    <t>03/17/2024</t>
  </si>
  <si>
    <t>02/25/2024</t>
  </si>
  <si>
    <t>02/18/2024</t>
  </si>
  <si>
    <t>01/28/2024</t>
  </si>
  <si>
    <t>01/21/2024</t>
  </si>
  <si>
    <t>01/14/2024</t>
  </si>
  <si>
    <t>12/31/2023</t>
  </si>
  <si>
    <t>12/24/2023</t>
  </si>
  <si>
    <t>12/17/2023</t>
  </si>
  <si>
    <t>11/26/2023</t>
  </si>
  <si>
    <t>11/19/2023</t>
  </si>
  <si>
    <t>10/29/2023</t>
  </si>
  <si>
    <t>10/22/2023</t>
  </si>
  <si>
    <t>10/15/2023</t>
  </si>
  <si>
    <t>09/24/2023</t>
  </si>
  <si>
    <t>09/17/2023</t>
  </si>
  <si>
    <t>08/27/2023</t>
  </si>
  <si>
    <t>08/20/2023</t>
  </si>
  <si>
    <t>08/13/2023</t>
  </si>
  <si>
    <t>07/30/2023</t>
  </si>
  <si>
    <t>07/23/2023</t>
  </si>
  <si>
    <t>07/16/2023</t>
  </si>
  <si>
    <t>06/25/2023</t>
  </si>
  <si>
    <t>06/18/2023</t>
  </si>
  <si>
    <t>05/28/2023</t>
  </si>
  <si>
    <t>05/21/2023</t>
  </si>
  <si>
    <t>05/14/2023</t>
  </si>
  <si>
    <t>04/30/2023</t>
  </si>
  <si>
    <t>04/23/2023</t>
  </si>
  <si>
    <t>04/16/2023</t>
  </si>
  <si>
    <t>03/26/2023</t>
  </si>
  <si>
    <t>03/19/2023</t>
  </si>
  <si>
    <t>02/26/2023</t>
  </si>
  <si>
    <t>02/19/2023</t>
  </si>
  <si>
    <t>01/29/2023</t>
  </si>
  <si>
    <t>01/22/2023</t>
  </si>
  <si>
    <t>01/15/2023</t>
  </si>
  <si>
    <t>12/25/2022</t>
  </si>
  <si>
    <t>12/18/2022</t>
  </si>
  <si>
    <t>11/27/2022</t>
  </si>
  <si>
    <t>11/20/2022</t>
  </si>
  <si>
    <t>11/13/2022</t>
  </si>
  <si>
    <t>10/30/2022</t>
  </si>
  <si>
    <t>10/23/2022</t>
  </si>
  <si>
    <t>10/16/2022</t>
  </si>
  <si>
    <t>09/25/2022</t>
  </si>
  <si>
    <t>09/18/2022</t>
  </si>
  <si>
    <t>08/28/2022</t>
  </si>
  <si>
    <t>08/21/2022</t>
  </si>
  <si>
    <t>08/14/2022</t>
  </si>
  <si>
    <t>07/31/2022</t>
  </si>
  <si>
    <t>07/24/2022</t>
  </si>
  <si>
    <t>07/17/2022</t>
  </si>
  <si>
    <t>06/26/2022</t>
  </si>
  <si>
    <t>06/19/2022</t>
  </si>
  <si>
    <t>05/29/2022</t>
  </si>
  <si>
    <t>05/22/2022</t>
  </si>
  <si>
    <t>05/15/2022</t>
  </si>
  <si>
    <t>04/24/2022</t>
  </si>
  <si>
    <t>04/17/2022</t>
  </si>
  <si>
    <t>03/27/2022</t>
  </si>
  <si>
    <t>03/20/2022</t>
  </si>
  <si>
    <t>03/13/2022</t>
  </si>
  <si>
    <t>02/27/2022</t>
  </si>
  <si>
    <t>02/20/2022</t>
  </si>
  <si>
    <t>02/13/2022</t>
  </si>
  <si>
    <t>01/30/2022</t>
  </si>
  <si>
    <t>01/23/2022</t>
  </si>
  <si>
    <t>01/16/2022</t>
  </si>
  <si>
    <t>12/26/2021</t>
  </si>
  <si>
    <t>12/19/2021</t>
  </si>
  <si>
    <t>11/28/2021</t>
  </si>
  <si>
    <t>11/21/2021</t>
  </si>
  <si>
    <t>11/14/2021</t>
  </si>
  <si>
    <t>10/31/2021</t>
  </si>
  <si>
    <t>10/24/2021</t>
  </si>
  <si>
    <t>10/17/2021</t>
  </si>
  <si>
    <t>09/26/2021</t>
  </si>
  <si>
    <t>09/19/2021</t>
  </si>
  <si>
    <t>08/29/2021</t>
  </si>
  <si>
    <t>08/22/2021</t>
  </si>
  <si>
    <t>08/15/2021</t>
  </si>
  <si>
    <t>07/25/2021</t>
  </si>
  <si>
    <t>07/18/2021</t>
  </si>
  <si>
    <t>06/27/2021</t>
  </si>
  <si>
    <t>06/20/2021</t>
  </si>
  <si>
    <t>06/13/2021</t>
  </si>
  <si>
    <t>05/30/2021</t>
  </si>
  <si>
    <t>05/23/2021</t>
  </si>
  <si>
    <t>05/16/2021</t>
  </si>
  <si>
    <t>04/25/2021</t>
  </si>
  <si>
    <t>04/18/2021</t>
  </si>
  <si>
    <t>03/28/2021</t>
  </si>
  <si>
    <t>03/21/2021</t>
  </si>
  <si>
    <t>03/14/2021</t>
  </si>
  <si>
    <t>02/28/2021</t>
  </si>
  <si>
    <t>02/21/2021</t>
  </si>
  <si>
    <t>02/14/2021</t>
  </si>
  <si>
    <t>Regression Beta</t>
  </si>
  <si>
    <t>Historical Data</t>
  </si>
  <si>
    <t>CAGR</t>
  </si>
  <si>
    <t>ERP(Historical)</t>
  </si>
  <si>
    <t>Rating method</t>
  </si>
  <si>
    <t>Benchmark country</t>
  </si>
  <si>
    <t>USA</t>
  </si>
  <si>
    <t>Credit rating</t>
  </si>
  <si>
    <t>AAA</t>
  </si>
  <si>
    <t>ERP</t>
  </si>
  <si>
    <t>Regression</t>
  </si>
  <si>
    <t>gartner</t>
  </si>
  <si>
    <t>Trade desk</t>
  </si>
  <si>
    <t>#</t>
  </si>
  <si>
    <t>ERP rating based</t>
  </si>
  <si>
    <t>Beta</t>
  </si>
  <si>
    <t>Risk Free rate</t>
  </si>
  <si>
    <t>cost of Equity</t>
  </si>
  <si>
    <t>WACC</t>
  </si>
  <si>
    <t>=Weight of debt*Cost of debt+Weight of equity*Cost of equity</t>
  </si>
  <si>
    <t>Debt</t>
  </si>
  <si>
    <t>DFL</t>
  </si>
  <si>
    <t>Tax rate</t>
  </si>
  <si>
    <t>debt</t>
  </si>
  <si>
    <t>Bottom Up Beta</t>
  </si>
  <si>
    <t>Go daddy</t>
  </si>
  <si>
    <t>Average</t>
  </si>
  <si>
    <t>regression/DFL</t>
  </si>
  <si>
    <t>Company</t>
  </si>
  <si>
    <t>repurchases of common stock</t>
  </si>
  <si>
    <t>EPS</t>
  </si>
  <si>
    <t>Diluted Earning Per Share</t>
  </si>
  <si>
    <t>COST</t>
  </si>
  <si>
    <t>Valuation Date</t>
  </si>
  <si>
    <t>First Projection</t>
  </si>
  <si>
    <t>Beta Selected</t>
  </si>
  <si>
    <t>Convention</t>
  </si>
  <si>
    <t>Bottom-Up Beta</t>
  </si>
  <si>
    <t>Year End Convention</t>
  </si>
  <si>
    <t>Mid Year Convention</t>
  </si>
  <si>
    <t>Year Weight</t>
  </si>
  <si>
    <t>Tax Rate</t>
  </si>
  <si>
    <t>NOPAT</t>
  </si>
  <si>
    <t>+D&amp;A</t>
  </si>
  <si>
    <t>+NCWC</t>
  </si>
  <si>
    <t>-CAPEX</t>
  </si>
  <si>
    <t>FCFF</t>
  </si>
  <si>
    <t>Discount Rate</t>
  </si>
  <si>
    <t>LTGR</t>
  </si>
  <si>
    <t>Bottomup Beta</t>
  </si>
  <si>
    <t>Explicit Value</t>
  </si>
  <si>
    <t>FCFF1</t>
  </si>
  <si>
    <t>FCFF2</t>
  </si>
  <si>
    <t>FCFF3</t>
  </si>
  <si>
    <t>FCFF4</t>
  </si>
  <si>
    <t>FCFF5</t>
  </si>
  <si>
    <t>Terminal Value</t>
  </si>
  <si>
    <t>Total FCFF</t>
  </si>
  <si>
    <t>Terminal Explicit Value</t>
  </si>
  <si>
    <t>Sum of Explicit</t>
  </si>
  <si>
    <t>Statista</t>
  </si>
  <si>
    <t>Deloitte</t>
  </si>
  <si>
    <t>https://www2.deloitte.com/us/en/insights/economy/us-economic-forecast/united-states-outlook-analysis.html</t>
  </si>
  <si>
    <t>https://www.pwc.com/gx/en/research-insights/economy/global-economy-watch/projections.html</t>
  </si>
  <si>
    <t>PWC</t>
  </si>
  <si>
    <t>https://ers.usda.gov/sites/default/files/_laserfiche/publications/109010/EIB-272.pdf?v=90461</t>
  </si>
  <si>
    <t>USDA</t>
  </si>
  <si>
    <t>https://www.statista.com/statistics/263614/gross-domestic-product-gdp-growth-rate-in-the-united-states/</t>
  </si>
  <si>
    <t>Provider</t>
  </si>
  <si>
    <t>Forecast</t>
  </si>
  <si>
    <t>Source</t>
  </si>
  <si>
    <t>Gordon Growth</t>
  </si>
  <si>
    <t>Exit Multiple</t>
  </si>
  <si>
    <t>EV/EBIT</t>
  </si>
  <si>
    <t>Terminal value</t>
  </si>
  <si>
    <t>PV of terminal Value</t>
  </si>
  <si>
    <t>Operating EV</t>
  </si>
  <si>
    <t>Non Operating Assets</t>
  </si>
  <si>
    <t>Minority Interest</t>
  </si>
  <si>
    <t>Cash</t>
  </si>
  <si>
    <t>Diluted Shares</t>
  </si>
  <si>
    <t>DCF Share Value</t>
  </si>
  <si>
    <t>Exit Multiple Share Value</t>
  </si>
  <si>
    <t>Average**</t>
  </si>
  <si>
    <t>**High dividend-paying companies grow based on their reinvested earnings (Retention Ratio × ROE), while low dividend-paying companies often track GDP growth in the long run. The choice depends on how the company distributes and reinvests its earnings</t>
  </si>
  <si>
    <t>(Note: The numbers are taken from DCF, Trading comps and Transaction Comps final outputs)</t>
  </si>
  <si>
    <t>Range</t>
  </si>
  <si>
    <t>Price range</t>
  </si>
  <si>
    <t>Method</t>
  </si>
  <si>
    <t>Applicability</t>
  </si>
  <si>
    <t>Metrics</t>
  </si>
  <si>
    <t>Lower</t>
  </si>
  <si>
    <t>Higher</t>
  </si>
  <si>
    <t xml:space="preserve">Public </t>
  </si>
  <si>
    <t>Private</t>
  </si>
  <si>
    <t>DCF</t>
  </si>
  <si>
    <t>Yes</t>
  </si>
  <si>
    <t>Perpetual Growth</t>
  </si>
  <si>
    <t>CCA</t>
  </si>
  <si>
    <t>(Comparable Company Analysis)</t>
  </si>
  <si>
    <t>FY1</t>
  </si>
  <si>
    <t>EV/EBITDA</t>
  </si>
  <si>
    <t>FY2</t>
  </si>
  <si>
    <t>CTA</t>
  </si>
  <si>
    <t>Multiple Based Valuation</t>
  </si>
  <si>
    <t>Premium Based Valuation</t>
  </si>
  <si>
    <t>No</t>
  </si>
  <si>
    <t>Market Consensus</t>
  </si>
  <si>
    <t>52 week range</t>
  </si>
  <si>
    <t>Difference</t>
  </si>
  <si>
    <t>Unaffected Price</t>
  </si>
  <si>
    <t>Final range</t>
  </si>
  <si>
    <t>The Cognizant Company</t>
  </si>
  <si>
    <t>GGM</t>
  </si>
  <si>
    <t>EXM</t>
  </si>
  <si>
    <t>CCA(EV/EBITDA)</t>
  </si>
  <si>
    <t>CCA(EV/EBIT)</t>
  </si>
  <si>
    <t>Market Value</t>
  </si>
  <si>
    <t>Current Assets</t>
  </si>
  <si>
    <t>Current Liabilities</t>
  </si>
  <si>
    <t>Current Ratio</t>
  </si>
  <si>
    <t>CR</t>
  </si>
  <si>
    <t>Account Receivables Turnover Ratio</t>
  </si>
  <si>
    <t>Sales</t>
  </si>
  <si>
    <t>Trend</t>
  </si>
  <si>
    <t>Account Payables Turnover Ratio</t>
  </si>
  <si>
    <t>Payables</t>
  </si>
  <si>
    <t>Asset Turnover ratio</t>
  </si>
  <si>
    <t>Total Assets</t>
  </si>
  <si>
    <t>ATR</t>
  </si>
  <si>
    <t>Debt to Equity</t>
  </si>
  <si>
    <t>D/E</t>
  </si>
  <si>
    <t>Return on Capital Employed</t>
  </si>
  <si>
    <t>Capital Employed</t>
  </si>
  <si>
    <t>ROCE</t>
  </si>
  <si>
    <t xml:space="preserve"> Interest Coverage Ratio</t>
  </si>
  <si>
    <t>ICR</t>
  </si>
  <si>
    <t>DU Pont Analysis</t>
  </si>
  <si>
    <t>Net Profit Margin</t>
  </si>
  <si>
    <t>PAT</t>
  </si>
  <si>
    <t>NPM</t>
  </si>
  <si>
    <t>Equity Multiplier</t>
  </si>
  <si>
    <t>Asset</t>
  </si>
  <si>
    <t>EM</t>
  </si>
  <si>
    <t>R.O.E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</si>
</sst>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 #,##0.00_ ;_ * \-#,##0.00_ ;_ * &quot;-&quot;??_ ;_ @_ "/>
    <numFmt numFmtId="164" formatCode="0&quot; Months&quot;"/>
    <numFmt numFmtId="165" formatCode="_(* #,##0_);_(* \(#,##0\);_(* &quot;-&quot;??_);_(@_)"/>
    <numFmt numFmtId="166" formatCode="_ * #,##0_ ;_ * \-#,##0_ ;_ * &quot;-&quot;??_ ;_ @_ "/>
    <numFmt numFmtId="167" formatCode="0.0%"/>
    <numFmt numFmtId="168" formatCode="###\ ###\ ###;[Red]###\ ###\ ###;\-"/>
    <numFmt numFmtId="169" formatCode="###\ ###;[Red]###\ ###;\-"/>
    <numFmt numFmtId="170" formatCode="0.000;[Red]0.000"/>
    <numFmt numFmtId="171" formatCode="0.0"/>
    <numFmt numFmtId="172" formatCode="_ * #,##0.0_ ;_ * \-#,##0.0_ ;_ * &quot;-&quot;??_ ;_ @_ "/>
    <numFmt numFmtId="176" formatCode="_ * #,##0.000_ ;_ * \-#,##0.000_ ;_ * &quot;-&quot;??_ ;_ @_ "/>
  </numFmts>
  <fonts count="46">
    <font>
      <sz val="11"/>
      <color theme="1"/>
      <name val="Aptos Narrow"/>
      <family val="2"/>
      <scheme val="minor"/>
    </font>
    <font>
      <sz val="11"/>
      <color theme="1"/>
      <name val="Aptos Narrow"/>
      <family val="2"/>
      <scheme val="minor"/>
    </font>
    <font>
      <b/>
      <sz val="11"/>
      <color theme="1"/>
      <name val="Aptos Narrow"/>
      <family val="2"/>
      <scheme val="minor"/>
    </font>
    <font>
      <sz val="11"/>
      <color theme="0"/>
      <name val="Aptos Narrow"/>
      <family val="2"/>
      <scheme val="minor"/>
    </font>
    <font>
      <b/>
      <i/>
      <sz val="11"/>
      <color theme="0"/>
      <name val="Calibri"/>
      <family val="2"/>
    </font>
    <font>
      <b/>
      <sz val="11"/>
      <color theme="0"/>
      <name val="Calibri"/>
      <family val="2"/>
    </font>
    <font>
      <sz val="11"/>
      <color rgb="FF000000"/>
      <name val="Calibri"/>
      <family val="2"/>
    </font>
    <font>
      <i/>
      <sz val="11"/>
      <color rgb="FF000000"/>
      <name val="Calibri"/>
      <family val="2"/>
    </font>
    <font>
      <i/>
      <sz val="11"/>
      <color theme="1"/>
      <name val="Aptos Narrow"/>
      <family val="2"/>
      <scheme val="minor"/>
    </font>
    <font>
      <b/>
      <sz val="11"/>
      <color rgb="FF000000"/>
      <name val="Calibri"/>
      <family val="2"/>
    </font>
    <font>
      <i/>
      <sz val="11"/>
      <color rgb="FF002060"/>
      <name val="Aptos Narrow"/>
      <family val="2"/>
      <scheme val="minor"/>
    </font>
    <font>
      <b/>
      <i/>
      <sz val="11"/>
      <color rgb="FF002060"/>
      <name val="Aptos Narrow"/>
      <family val="2"/>
      <scheme val="minor"/>
    </font>
    <font>
      <b/>
      <sz val="14"/>
      <name val="Aptos Narrow"/>
      <family val="2"/>
      <scheme val="minor"/>
    </font>
    <font>
      <b/>
      <sz val="14"/>
      <name val="Calibri"/>
      <family val="2"/>
    </font>
    <font>
      <i/>
      <sz val="14"/>
      <name val="Calibri"/>
      <family val="2"/>
    </font>
    <font>
      <b/>
      <i/>
      <sz val="14"/>
      <name val="Calibri"/>
      <family val="2"/>
    </font>
    <font>
      <sz val="14"/>
      <name val="Calibri"/>
      <family val="2"/>
    </font>
    <font>
      <i/>
      <sz val="11"/>
      <color theme="0"/>
      <name val="Aptos Narrow"/>
      <family val="2"/>
      <scheme val="minor"/>
    </font>
    <font>
      <sz val="9"/>
      <color indexed="81"/>
      <name val="Tahoma"/>
      <family val="2"/>
    </font>
    <font>
      <b/>
      <sz val="9"/>
      <color indexed="81"/>
      <name val="Tahoma"/>
      <family val="2"/>
    </font>
    <font>
      <sz val="11"/>
      <color theme="1"/>
      <name val="Calibri"/>
      <family val="2"/>
    </font>
    <font>
      <b/>
      <i/>
      <sz val="11"/>
      <color rgb="FF002060"/>
      <name val="Calibri"/>
      <family val="2"/>
    </font>
    <font>
      <sz val="11"/>
      <color rgb="FF0070C0"/>
      <name val="Aptos Narrow"/>
      <family val="2"/>
      <scheme val="minor"/>
    </font>
    <font>
      <i/>
      <sz val="11"/>
      <color rgb="FF0070C0"/>
      <name val="Aptos Narrow"/>
      <family val="2"/>
      <scheme val="minor"/>
    </font>
    <font>
      <b/>
      <sz val="11"/>
      <color theme="1"/>
      <name val="Calibri"/>
      <family val="2"/>
    </font>
    <font>
      <b/>
      <sz val="16"/>
      <color theme="1"/>
      <name val="Aptos Narrow"/>
      <family val="2"/>
      <scheme val="minor"/>
    </font>
    <font>
      <b/>
      <i/>
      <sz val="16"/>
      <color rgb="FF002060"/>
      <name val="Aptos Narrow"/>
      <family val="2"/>
      <scheme val="minor"/>
    </font>
    <font>
      <b/>
      <i/>
      <sz val="11"/>
      <color theme="1"/>
      <name val="Aptos Narrow"/>
      <family val="2"/>
      <scheme val="minor"/>
    </font>
    <font>
      <b/>
      <i/>
      <sz val="11"/>
      <color theme="0" tint="-4.9989318521683403E-2"/>
      <name val="Aptos Narrow"/>
      <family val="2"/>
      <scheme val="minor"/>
    </font>
    <font>
      <b/>
      <i/>
      <sz val="11"/>
      <color theme="0"/>
      <name val="Aptos Narrow"/>
      <family val="2"/>
      <scheme val="minor"/>
    </font>
    <font>
      <b/>
      <i/>
      <sz val="16"/>
      <color theme="0"/>
      <name val="Aptos Narrow"/>
      <family val="2"/>
      <scheme val="minor"/>
    </font>
    <font>
      <i/>
      <sz val="14"/>
      <color theme="1"/>
      <name val="Aptos Narrow"/>
      <family val="2"/>
      <scheme val="minor"/>
    </font>
    <font>
      <b/>
      <sz val="16"/>
      <color rgb="FF002060"/>
      <name val="Aptos Narrow"/>
      <family val="2"/>
      <scheme val="minor"/>
    </font>
    <font>
      <b/>
      <i/>
      <sz val="18"/>
      <color theme="0" tint="-4.9989318521683403E-2"/>
      <name val="Aptos Narrow"/>
      <family val="2"/>
      <scheme val="minor"/>
    </font>
    <font>
      <sz val="18"/>
      <color theme="1"/>
      <name val="Aptos Narrow"/>
      <family val="2"/>
      <scheme val="minor"/>
    </font>
    <font>
      <b/>
      <i/>
      <sz val="14"/>
      <color theme="0"/>
      <name val="Aptos Narrow"/>
      <family val="2"/>
      <scheme val="minor"/>
    </font>
    <font>
      <sz val="7"/>
      <color rgb="FF262626"/>
      <name val="Arial"/>
      <family val="2"/>
    </font>
    <font>
      <sz val="11"/>
      <color theme="9" tint="-0.499984740745262"/>
      <name val="Aptos Narrow"/>
      <family val="2"/>
      <scheme val="minor"/>
    </font>
    <font>
      <sz val="12"/>
      <color theme="0"/>
      <name val="Aptos Narrow"/>
      <family val="2"/>
      <scheme val="minor"/>
    </font>
    <font>
      <sz val="14"/>
      <color theme="0"/>
      <name val="Aptos Narrow"/>
      <family val="2"/>
      <scheme val="minor"/>
    </font>
    <font>
      <sz val="16"/>
      <color theme="0"/>
      <name val="Aptos Narrow"/>
      <family val="2"/>
      <scheme val="minor"/>
    </font>
    <font>
      <b/>
      <sz val="11"/>
      <color theme="1"/>
      <name val="Aptos Narrow"/>
      <scheme val="minor"/>
    </font>
    <font>
      <i/>
      <sz val="16"/>
      <color theme="1"/>
      <name val="Aptos Narrow"/>
      <scheme val="minor"/>
    </font>
    <font>
      <b/>
      <sz val="11"/>
      <color theme="0"/>
      <name val="Aptos Narrow"/>
      <family val="2"/>
      <scheme val="minor"/>
    </font>
    <font>
      <sz val="11"/>
      <color theme="9" tint="-0.249977111117893"/>
      <name val="Aptos Narrow"/>
      <family val="2"/>
      <scheme val="minor"/>
    </font>
    <font>
      <b/>
      <sz val="16"/>
      <color theme="0"/>
      <name val="Aptos Narrow"/>
      <scheme val="minor"/>
    </font>
  </fonts>
  <fills count="24">
    <fill>
      <patternFill patternType="none"/>
    </fill>
    <fill>
      <patternFill patternType="gray125"/>
    </fill>
    <fill>
      <patternFill patternType="solid">
        <fgColor theme="1" tint="4.9989318521683403E-2"/>
        <bgColor indexed="64"/>
      </patternFill>
    </fill>
    <fill>
      <patternFill patternType="solid">
        <fgColor theme="1"/>
        <bgColor theme="1"/>
      </patternFill>
    </fill>
    <fill>
      <patternFill patternType="solid">
        <fgColor rgb="FF002060"/>
        <bgColor theme="1"/>
      </patternFill>
    </fill>
    <fill>
      <patternFill patternType="solid">
        <fgColor rgb="FF002060"/>
        <bgColor rgb="FF1F3864"/>
      </patternFill>
    </fill>
    <fill>
      <patternFill patternType="solid">
        <fgColor rgb="FF002060"/>
        <bgColor indexed="64"/>
      </patternFill>
    </fill>
    <fill>
      <patternFill patternType="solid">
        <fgColor theme="0" tint="-0.14999847407452621"/>
        <bgColor indexed="64"/>
      </patternFill>
    </fill>
    <fill>
      <patternFill patternType="solid">
        <fgColor theme="3" tint="0.89999084444715716"/>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7" tint="0.39997558519241921"/>
        <bgColor theme="1"/>
      </patternFill>
    </fill>
    <fill>
      <patternFill patternType="solid">
        <fgColor rgb="FF0070C0"/>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E3F1FA"/>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FFC0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0"/>
        <bgColor indexed="64"/>
      </patternFill>
    </fill>
    <fill>
      <patternFill patternType="solid">
        <fgColor rgb="FF00B0F0"/>
        <bgColor indexed="64"/>
      </patternFill>
    </fill>
  </fills>
  <borders count="28">
    <border>
      <left/>
      <right/>
      <top/>
      <bottom/>
      <diagonal/>
    </border>
    <border>
      <left/>
      <right/>
      <top style="thin">
        <color indexed="64"/>
      </top>
      <bottom style="double">
        <color indexed="64"/>
      </bottom>
      <diagonal/>
    </border>
    <border>
      <left/>
      <right/>
      <top style="thin">
        <color indexed="64"/>
      </top>
      <bottom style="medium">
        <color indexed="64"/>
      </bottom>
      <diagonal/>
    </border>
    <border>
      <left/>
      <right style="medium">
        <color auto="1"/>
      </right>
      <top/>
      <bottom/>
      <diagonal/>
    </border>
    <border>
      <left/>
      <right/>
      <top style="medium">
        <color auto="1"/>
      </top>
      <bottom/>
      <diagonal/>
    </border>
    <border>
      <left style="medium">
        <color auto="1"/>
      </left>
      <right/>
      <top/>
      <bottom/>
      <diagonal/>
    </border>
    <border>
      <left style="medium">
        <color indexed="64"/>
      </left>
      <right/>
      <top style="medium">
        <color indexed="64"/>
      </top>
      <bottom/>
      <diagonal/>
    </border>
    <border>
      <left/>
      <right/>
      <top style="thin">
        <color indexed="64"/>
      </top>
      <bottom/>
      <diagonal/>
    </border>
    <border>
      <left/>
      <right/>
      <top/>
      <bottom style="medium">
        <color indexed="64"/>
      </bottom>
      <diagonal/>
    </border>
    <border>
      <left style="medium">
        <color rgb="FFEFEFEF"/>
      </left>
      <right style="medium">
        <color rgb="FFEFEFEF"/>
      </right>
      <top style="medium">
        <color rgb="FFEFEFEF"/>
      </top>
      <bottom style="medium">
        <color rgb="FFEFEFEF"/>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style="thick">
        <color auto="1"/>
      </right>
      <top/>
      <bottom style="thick">
        <color auto="1"/>
      </bottom>
      <diagonal/>
    </border>
    <border>
      <left/>
      <right/>
      <top/>
      <bottom style="thin">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auto="1"/>
      </top>
      <bottom style="thick">
        <color auto="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16">
    <xf numFmtId="0" fontId="0" fillId="0" borderId="0" xfId="0"/>
    <xf numFmtId="15" fontId="0" fillId="0" borderId="0" xfId="0" applyNumberFormat="1"/>
    <xf numFmtId="164" fontId="5" fillId="3" borderId="0" xfId="0" applyNumberFormat="1" applyFont="1" applyFill="1" applyAlignment="1">
      <alignment horizontal="center" vertical="top"/>
    </xf>
    <xf numFmtId="0" fontId="5" fillId="3" borderId="0" xfId="0" applyFont="1" applyFill="1" applyAlignment="1">
      <alignment vertical="top"/>
    </xf>
    <xf numFmtId="14" fontId="5" fillId="2" borderId="0" xfId="0" applyNumberFormat="1" applyFont="1" applyFill="1" applyAlignment="1">
      <alignment horizontal="center" vertical="center"/>
    </xf>
    <xf numFmtId="166" fontId="0" fillId="0" borderId="0" xfId="1" applyNumberFormat="1" applyFont="1"/>
    <xf numFmtId="9" fontId="8" fillId="0" borderId="0" xfId="2" applyFont="1"/>
    <xf numFmtId="167" fontId="8" fillId="0" borderId="0" xfId="2" applyNumberFormat="1" applyFont="1"/>
    <xf numFmtId="166" fontId="2" fillId="0" borderId="1" xfId="0" applyNumberFormat="1" applyFont="1" applyBorder="1"/>
    <xf numFmtId="0" fontId="4" fillId="3" borderId="0" xfId="0" applyFont="1" applyFill="1" applyAlignment="1">
      <alignment vertical="top"/>
    </xf>
    <xf numFmtId="9" fontId="10" fillId="7" borderId="0" xfId="2" applyFont="1" applyFill="1"/>
    <xf numFmtId="164" fontId="4" fillId="4" borderId="0" xfId="0" applyNumberFormat="1" applyFont="1" applyFill="1" applyAlignment="1">
      <alignment horizontal="center" vertical="top"/>
    </xf>
    <xf numFmtId="164" fontId="4" fillId="5" borderId="0" xfId="0" applyNumberFormat="1" applyFont="1" applyFill="1" applyAlignment="1">
      <alignment horizontal="center" vertical="top"/>
    </xf>
    <xf numFmtId="14" fontId="4" fillId="6" borderId="0" xfId="0" applyNumberFormat="1" applyFont="1" applyFill="1" applyAlignment="1">
      <alignment horizontal="center" vertical="center"/>
    </xf>
    <xf numFmtId="166" fontId="10" fillId="7" borderId="0" xfId="1" applyNumberFormat="1" applyFont="1" applyFill="1"/>
    <xf numFmtId="166" fontId="11" fillId="7" borderId="1" xfId="0" applyNumberFormat="1" applyFont="1" applyFill="1" applyBorder="1"/>
    <xf numFmtId="168" fontId="12" fillId="0" borderId="0" xfId="0" applyNumberFormat="1" applyFont="1"/>
    <xf numFmtId="168" fontId="13" fillId="0" borderId="0" xfId="0" applyNumberFormat="1" applyFont="1" applyAlignment="1">
      <alignment vertical="top" wrapText="1"/>
    </xf>
    <xf numFmtId="168" fontId="14" fillId="0" borderId="0" xfId="0" applyNumberFormat="1" applyFont="1" applyAlignment="1">
      <alignment vertical="top" wrapText="1"/>
    </xf>
    <xf numFmtId="168" fontId="15" fillId="0" borderId="2" xfId="0" applyNumberFormat="1" applyFont="1" applyBorder="1" applyAlignment="1">
      <alignment vertical="top" wrapText="1"/>
    </xf>
    <xf numFmtId="168" fontId="15" fillId="0" borderId="0" xfId="0" applyNumberFormat="1" applyFont="1" applyAlignment="1">
      <alignment vertical="top" wrapText="1"/>
    </xf>
    <xf numFmtId="168" fontId="16" fillId="0" borderId="0" xfId="0" applyNumberFormat="1" applyFont="1" applyAlignment="1">
      <alignment vertical="top" wrapText="1"/>
    </xf>
    <xf numFmtId="168" fontId="14" fillId="0" borderId="0" xfId="0" applyNumberFormat="1" applyFont="1" applyAlignment="1">
      <alignment horizontal="left" vertical="top"/>
    </xf>
    <xf numFmtId="168" fontId="15" fillId="0" borderId="0" xfId="0" applyNumberFormat="1" applyFont="1" applyAlignment="1">
      <alignment horizontal="left" vertical="top"/>
    </xf>
    <xf numFmtId="1" fontId="0" fillId="0" borderId="0" xfId="0" applyNumberFormat="1"/>
    <xf numFmtId="1" fontId="0" fillId="0" borderId="2" xfId="0" applyNumberFormat="1" applyBorder="1"/>
    <xf numFmtId="9" fontId="0" fillId="0" borderId="0" xfId="2" applyFont="1"/>
    <xf numFmtId="1" fontId="10" fillId="8" borderId="0" xfId="0" applyNumberFormat="1" applyFont="1" applyFill="1"/>
    <xf numFmtId="1" fontId="10" fillId="8" borderId="2" xfId="0" applyNumberFormat="1" applyFont="1" applyFill="1" applyBorder="1"/>
    <xf numFmtId="0" fontId="10" fillId="8" borderId="0" xfId="0" applyFont="1" applyFill="1"/>
    <xf numFmtId="169" fontId="2" fillId="0" borderId="0" xfId="0" applyNumberFormat="1" applyFont="1"/>
    <xf numFmtId="169" fontId="0" fillId="0" borderId="0" xfId="0" applyNumberFormat="1"/>
    <xf numFmtId="169" fontId="2" fillId="0" borderId="2" xfId="0" applyNumberFormat="1" applyFont="1" applyBorder="1"/>
    <xf numFmtId="169" fontId="0" fillId="0" borderId="0" xfId="0" applyNumberFormat="1" applyAlignment="1">
      <alignment wrapText="1"/>
    </xf>
    <xf numFmtId="169" fontId="2" fillId="8" borderId="2" xfId="0" applyNumberFormat="1" applyFont="1" applyFill="1" applyBorder="1"/>
    <xf numFmtId="169" fontId="10" fillId="8" borderId="0" xfId="0" applyNumberFormat="1" applyFont="1" applyFill="1"/>
    <xf numFmtId="2" fontId="0" fillId="0" borderId="0" xfId="2" applyNumberFormat="1" applyFont="1"/>
    <xf numFmtId="0" fontId="3" fillId="6" borderId="0" xfId="0" applyFont="1" applyFill="1"/>
    <xf numFmtId="1" fontId="0" fillId="9" borderId="0" xfId="0" applyNumberFormat="1" applyFill="1"/>
    <xf numFmtId="1" fontId="10" fillId="9" borderId="0" xfId="0" applyNumberFormat="1" applyFont="1" applyFill="1"/>
    <xf numFmtId="0" fontId="0" fillId="9" borderId="0" xfId="0" applyFill="1"/>
    <xf numFmtId="9" fontId="0" fillId="9" borderId="0" xfId="0" applyNumberFormat="1" applyFill="1"/>
    <xf numFmtId="0" fontId="17" fillId="6" borderId="0" xfId="0" applyFont="1" applyFill="1"/>
    <xf numFmtId="0" fontId="5" fillId="3" borderId="0" xfId="0" applyFont="1" applyFill="1" applyAlignment="1">
      <alignment vertical="top" wrapText="1"/>
    </xf>
    <xf numFmtId="0" fontId="20" fillId="0" borderId="0" xfId="0" applyFont="1"/>
    <xf numFmtId="14" fontId="5" fillId="3" borderId="0" xfId="0" applyNumberFormat="1" applyFont="1" applyFill="1" applyAlignment="1">
      <alignment horizontal="center" vertical="top"/>
    </xf>
    <xf numFmtId="164" fontId="21" fillId="11" borderId="0" xfId="0" applyNumberFormat="1" applyFont="1" applyFill="1" applyAlignment="1">
      <alignment horizontal="center" vertical="top"/>
    </xf>
    <xf numFmtId="14" fontId="21" fillId="11" borderId="0" xfId="0" applyNumberFormat="1" applyFont="1" applyFill="1" applyAlignment="1">
      <alignment horizontal="center" vertical="top"/>
    </xf>
    <xf numFmtId="0" fontId="23" fillId="0" borderId="0" xfId="0" applyFont="1"/>
    <xf numFmtId="1" fontId="10" fillId="10" borderId="0" xfId="0" applyNumberFormat="1" applyFont="1" applyFill="1"/>
    <xf numFmtId="1" fontId="0" fillId="10" borderId="0" xfId="0" applyNumberFormat="1" applyFill="1"/>
    <xf numFmtId="9" fontId="0" fillId="10" borderId="0" xfId="0" applyNumberFormat="1" applyFill="1"/>
    <xf numFmtId="1" fontId="22" fillId="0" borderId="0" xfId="0" applyNumberFormat="1" applyFont="1"/>
    <xf numFmtId="0" fontId="20" fillId="0" borderId="2" xfId="0" applyFont="1" applyBorder="1"/>
    <xf numFmtId="0" fontId="0" fillId="0" borderId="2" xfId="0" applyBorder="1"/>
    <xf numFmtId="1" fontId="10" fillId="10" borderId="2" xfId="0" applyNumberFormat="1" applyFont="1" applyFill="1" applyBorder="1"/>
    <xf numFmtId="1" fontId="23" fillId="0" borderId="0" xfId="0" applyNumberFormat="1" applyFont="1"/>
    <xf numFmtId="14" fontId="0" fillId="0" borderId="0" xfId="0" applyNumberFormat="1"/>
    <xf numFmtId="10" fontId="0" fillId="0" borderId="0" xfId="0" applyNumberFormat="1"/>
    <xf numFmtId="2" fontId="0" fillId="0" borderId="0" xfId="0" applyNumberFormat="1"/>
    <xf numFmtId="0" fontId="2" fillId="0" borderId="0" xfId="0" applyFont="1"/>
    <xf numFmtId="2" fontId="10" fillId="8" borderId="0" xfId="0" applyNumberFormat="1" applyFont="1" applyFill="1"/>
    <xf numFmtId="9" fontId="2" fillId="0" borderId="0" xfId="2" applyFont="1"/>
    <xf numFmtId="9" fontId="3" fillId="12" borderId="0" xfId="0" applyNumberFormat="1" applyFont="1" applyFill="1"/>
    <xf numFmtId="0" fontId="2" fillId="0" borderId="3" xfId="0" applyFont="1" applyBorder="1"/>
    <xf numFmtId="0" fontId="0" fillId="0" borderId="3" xfId="0" applyBorder="1"/>
    <xf numFmtId="9" fontId="2" fillId="0" borderId="4" xfId="2" applyFont="1" applyBorder="1"/>
    <xf numFmtId="0" fontId="0" fillId="0" borderId="5" xfId="0" applyBorder="1"/>
    <xf numFmtId="9" fontId="2" fillId="0" borderId="6" xfId="2" applyFont="1" applyBorder="1"/>
    <xf numFmtId="0" fontId="24" fillId="0" borderId="0" xfId="0" applyFont="1"/>
    <xf numFmtId="0" fontId="24" fillId="0" borderId="2" xfId="0" applyFont="1" applyBorder="1"/>
    <xf numFmtId="0" fontId="2" fillId="0" borderId="2" xfId="0" applyFont="1" applyBorder="1"/>
    <xf numFmtId="0" fontId="2" fillId="0" borderId="7" xfId="0" applyFont="1" applyBorder="1"/>
    <xf numFmtId="1" fontId="0" fillId="0" borderId="7" xfId="0" applyNumberFormat="1" applyBorder="1"/>
    <xf numFmtId="0" fontId="2" fillId="0" borderId="8" xfId="0" applyFont="1" applyBorder="1"/>
    <xf numFmtId="1" fontId="2" fillId="0" borderId="8" xfId="0" applyNumberFormat="1" applyFont="1" applyBorder="1"/>
    <xf numFmtId="0" fontId="0" fillId="7" borderId="0" xfId="0" applyFill="1"/>
    <xf numFmtId="0" fontId="25" fillId="7" borderId="0" xfId="0" applyFont="1" applyFill="1"/>
    <xf numFmtId="0" fontId="26" fillId="7" borderId="0" xfId="0" applyFont="1" applyFill="1"/>
    <xf numFmtId="0" fontId="26" fillId="7" borderId="0" xfId="0" applyFont="1" applyFill="1" applyAlignment="1">
      <alignment horizontal="left"/>
    </xf>
    <xf numFmtId="0" fontId="27" fillId="0" borderId="0" xfId="0" applyFont="1"/>
    <xf numFmtId="0" fontId="28" fillId="6" borderId="0" xfId="0" applyFont="1" applyFill="1"/>
    <xf numFmtId="10" fontId="11" fillId="0" borderId="0" xfId="0" applyNumberFormat="1" applyFont="1"/>
    <xf numFmtId="0" fontId="11" fillId="13" borderId="0" xfId="0" applyFont="1" applyFill="1"/>
    <xf numFmtId="0" fontId="11" fillId="0" borderId="0" xfId="0" applyFont="1" applyAlignment="1">
      <alignment horizontal="right"/>
    </xf>
    <xf numFmtId="9" fontId="11" fillId="0" borderId="0" xfId="0" applyNumberFormat="1" applyFont="1"/>
    <xf numFmtId="0" fontId="11" fillId="0" borderId="0" xfId="0" applyFont="1"/>
    <xf numFmtId="10" fontId="11" fillId="0" borderId="0" xfId="2" applyNumberFormat="1" applyFont="1"/>
    <xf numFmtId="165" fontId="7" fillId="0" borderId="0" xfId="0" applyNumberFormat="1" applyFont="1" applyAlignment="1">
      <alignment horizontal="center" vertical="top" wrapText="1"/>
    </xf>
    <xf numFmtId="0" fontId="29" fillId="6" borderId="0" xfId="0" applyFont="1" applyFill="1"/>
    <xf numFmtId="14" fontId="8" fillId="0" borderId="0" xfId="0" applyNumberFormat="1" applyFont="1" applyAlignment="1">
      <alignment horizontal="right"/>
    </xf>
    <xf numFmtId="0" fontId="8" fillId="0" borderId="0" xfId="0" applyFont="1" applyAlignment="1">
      <alignment horizontal="right"/>
    </xf>
    <xf numFmtId="9" fontId="8" fillId="0" borderId="0" xfId="2" applyFont="1" applyAlignment="1">
      <alignment horizontal="right"/>
    </xf>
    <xf numFmtId="4" fontId="8" fillId="0" borderId="0" xfId="0" applyNumberFormat="1" applyFont="1" applyAlignment="1">
      <alignment horizontal="right"/>
    </xf>
    <xf numFmtId="10" fontId="11" fillId="9" borderId="0" xfId="0" applyNumberFormat="1" applyFont="1" applyFill="1"/>
    <xf numFmtId="0" fontId="11" fillId="9" borderId="0" xfId="0" applyFont="1" applyFill="1"/>
    <xf numFmtId="0" fontId="0" fillId="9" borderId="0" xfId="0" applyFill="1" applyAlignment="1">
      <alignment wrapText="1"/>
    </xf>
    <xf numFmtId="0" fontId="8" fillId="9" borderId="0" xfId="0" applyFont="1" applyFill="1" applyAlignment="1">
      <alignment vertical="center"/>
    </xf>
    <xf numFmtId="10" fontId="11" fillId="9" borderId="0" xfId="2" applyNumberFormat="1" applyFont="1" applyFill="1" applyAlignment="1">
      <alignment vertical="center"/>
    </xf>
    <xf numFmtId="10" fontId="32" fillId="9" borderId="0" xfId="0" applyNumberFormat="1" applyFont="1" applyFill="1"/>
    <xf numFmtId="0" fontId="33" fillId="6" borderId="0" xfId="0" applyFont="1" applyFill="1"/>
    <xf numFmtId="0" fontId="34" fillId="0" borderId="0" xfId="0" quotePrefix="1" applyFont="1"/>
    <xf numFmtId="0" fontId="34" fillId="0" borderId="0" xfId="0" applyFont="1"/>
    <xf numFmtId="9" fontId="0" fillId="0" borderId="0" xfId="0" applyNumberFormat="1"/>
    <xf numFmtId="43" fontId="11" fillId="0" borderId="0" xfId="1" applyFont="1"/>
    <xf numFmtId="43" fontId="11" fillId="0" borderId="0" xfId="0" applyNumberFormat="1" applyFont="1"/>
    <xf numFmtId="43" fontId="27" fillId="0" borderId="0" xfId="0" applyNumberFormat="1" applyFont="1"/>
    <xf numFmtId="10" fontId="11" fillId="13" borderId="0" xfId="0" applyNumberFormat="1" applyFont="1" applyFill="1"/>
    <xf numFmtId="43" fontId="11" fillId="13" borderId="0" xfId="1" applyFont="1" applyFill="1"/>
    <xf numFmtId="0" fontId="11" fillId="13" borderId="0" xfId="0" applyFont="1" applyFill="1" applyAlignment="1">
      <alignment wrapText="1"/>
    </xf>
    <xf numFmtId="0" fontId="35" fillId="6" borderId="0" xfId="0" applyFont="1" applyFill="1"/>
    <xf numFmtId="167" fontId="8" fillId="14" borderId="0" xfId="2" applyNumberFormat="1" applyFont="1" applyFill="1"/>
    <xf numFmtId="0" fontId="36" fillId="15" borderId="9" xfId="0" applyFont="1" applyFill="1" applyBorder="1" applyAlignment="1">
      <alignment horizontal="right" vertical="center"/>
    </xf>
    <xf numFmtId="1" fontId="10" fillId="14" borderId="0" xfId="0" applyNumberFormat="1" applyFont="1" applyFill="1"/>
    <xf numFmtId="169" fontId="10" fillId="14" borderId="0" xfId="0" applyNumberFormat="1" applyFont="1" applyFill="1"/>
    <xf numFmtId="0" fontId="10" fillId="14" borderId="0" xfId="0" applyFont="1" applyFill="1"/>
    <xf numFmtId="170" fontId="0" fillId="0" borderId="0" xfId="0" applyNumberFormat="1"/>
    <xf numFmtId="0" fontId="0" fillId="0" borderId="0" xfId="0" quotePrefix="1"/>
    <xf numFmtId="0" fontId="3" fillId="0" borderId="0" xfId="0" applyFont="1"/>
    <xf numFmtId="0" fontId="28" fillId="6" borderId="0" xfId="0" applyFont="1" applyFill="1" applyAlignment="1">
      <alignment horizontal="right"/>
    </xf>
    <xf numFmtId="10" fontId="37" fillId="0" borderId="0" xfId="0" applyNumberFormat="1" applyFont="1"/>
    <xf numFmtId="1" fontId="37" fillId="0" borderId="0" xfId="0" applyNumberFormat="1" applyFont="1"/>
    <xf numFmtId="9" fontId="37" fillId="0" borderId="0" xfId="0" applyNumberFormat="1" applyFont="1"/>
    <xf numFmtId="171" fontId="0" fillId="0" borderId="0" xfId="0" applyNumberFormat="1"/>
    <xf numFmtId="0" fontId="0" fillId="14" borderId="0" xfId="0" applyFill="1"/>
    <xf numFmtId="10" fontId="0" fillId="14" borderId="0" xfId="0" applyNumberFormat="1" applyFill="1"/>
    <xf numFmtId="0" fontId="0" fillId="0" borderId="10" xfId="0" applyBorder="1"/>
    <xf numFmtId="0" fontId="37" fillId="0" borderId="11" xfId="0" applyFont="1" applyBorder="1"/>
    <xf numFmtId="0" fontId="0" fillId="0" borderId="12" xfId="0" applyBorder="1"/>
    <xf numFmtId="0" fontId="0" fillId="0" borderId="13" xfId="0" applyBorder="1"/>
    <xf numFmtId="0" fontId="37" fillId="0" borderId="13" xfId="0" applyFont="1" applyBorder="1"/>
    <xf numFmtId="0" fontId="0" fillId="0" borderId="14" xfId="0" applyBorder="1"/>
    <xf numFmtId="2" fontId="0" fillId="0" borderId="16" xfId="0" applyNumberFormat="1" applyBorder="1"/>
    <xf numFmtId="1" fontId="37" fillId="0" borderId="11" xfId="0" applyNumberFormat="1" applyFont="1" applyBorder="1"/>
    <xf numFmtId="2" fontId="0" fillId="14" borderId="15" xfId="0" applyNumberFormat="1" applyFill="1" applyBorder="1"/>
    <xf numFmtId="14" fontId="0" fillId="14" borderId="0" xfId="0" applyNumberFormat="1" applyFill="1"/>
    <xf numFmtId="2" fontId="0" fillId="16" borderId="0" xfId="0" applyNumberFormat="1" applyFill="1"/>
    <xf numFmtId="0" fontId="38" fillId="6" borderId="0" xfId="0" applyFont="1" applyFill="1"/>
    <xf numFmtId="2" fontId="11" fillId="13" borderId="0" xfId="0" applyNumberFormat="1" applyFont="1" applyFill="1" applyAlignment="1">
      <alignment vertical="center"/>
    </xf>
    <xf numFmtId="0" fontId="0" fillId="17" borderId="0" xfId="0" applyFill="1"/>
    <xf numFmtId="0" fontId="3" fillId="12" borderId="6" xfId="0" applyFont="1" applyFill="1" applyBorder="1"/>
    <xf numFmtId="0" fontId="0" fillId="13" borderId="0" xfId="0" applyFill="1"/>
    <xf numFmtId="0" fontId="0" fillId="13" borderId="3" xfId="0" applyFill="1" applyBorder="1"/>
    <xf numFmtId="43" fontId="0" fillId="0" borderId="0" xfId="1" applyFont="1"/>
    <xf numFmtId="172" fontId="0" fillId="0" borderId="0" xfId="1" applyNumberFormat="1" applyFont="1"/>
    <xf numFmtId="0" fontId="0" fillId="0" borderId="18" xfId="0" applyBorder="1"/>
    <xf numFmtId="0" fontId="0" fillId="0" borderId="8" xfId="0" applyBorder="1"/>
    <xf numFmtId="0" fontId="0" fillId="0" borderId="19" xfId="0" applyBorder="1"/>
    <xf numFmtId="0" fontId="0" fillId="13" borderId="20" xfId="0" applyFill="1" applyBorder="1"/>
    <xf numFmtId="171" fontId="0" fillId="0" borderId="0" xfId="1" applyNumberFormat="1" applyFont="1"/>
    <xf numFmtId="171" fontId="0" fillId="17" borderId="0" xfId="0" applyNumberFormat="1" applyFill="1"/>
    <xf numFmtId="171" fontId="0" fillId="17" borderId="0" xfId="1" applyNumberFormat="1" applyFont="1" applyFill="1"/>
    <xf numFmtId="10" fontId="0" fillId="0" borderId="0" xfId="2" applyNumberFormat="1" applyFont="1"/>
    <xf numFmtId="2" fontId="0" fillId="0" borderId="21" xfId="0" applyNumberFormat="1" applyBorder="1"/>
    <xf numFmtId="2" fontId="0" fillId="0" borderId="7" xfId="0" applyNumberFormat="1" applyBorder="1"/>
    <xf numFmtId="2" fontId="0" fillId="0" borderId="23" xfId="0" applyNumberFormat="1" applyBorder="1"/>
    <xf numFmtId="2" fontId="0" fillId="0" borderId="24" xfId="0" applyNumberFormat="1" applyBorder="1"/>
    <xf numFmtId="2" fontId="0" fillId="0" borderId="26" xfId="0" applyNumberFormat="1" applyBorder="1"/>
    <xf numFmtId="2" fontId="0" fillId="0" borderId="4" xfId="0" applyNumberFormat="1" applyBorder="1"/>
    <xf numFmtId="10" fontId="0" fillId="0" borderId="4" xfId="2" applyNumberFormat="1" applyFont="1" applyBorder="1"/>
    <xf numFmtId="10" fontId="0" fillId="0" borderId="17" xfId="2" applyNumberFormat="1" applyFont="1" applyBorder="1"/>
    <xf numFmtId="10" fontId="0" fillId="0" borderId="0" xfId="2" applyNumberFormat="1" applyFont="1" applyBorder="1"/>
    <xf numFmtId="2" fontId="0" fillId="0" borderId="3" xfId="0" applyNumberFormat="1" applyBorder="1"/>
    <xf numFmtId="2" fontId="0" fillId="18" borderId="22" xfId="0" applyNumberFormat="1" applyFill="1" applyBorder="1"/>
    <xf numFmtId="2" fontId="0" fillId="19" borderId="25" xfId="0" applyNumberFormat="1" applyFill="1" applyBorder="1"/>
    <xf numFmtId="2" fontId="41" fillId="20" borderId="0" xfId="0" applyNumberFormat="1" applyFont="1" applyFill="1"/>
    <xf numFmtId="2" fontId="0" fillId="20" borderId="0" xfId="0" applyNumberFormat="1" applyFill="1"/>
    <xf numFmtId="2" fontId="0" fillId="21" borderId="25" xfId="0" applyNumberFormat="1" applyFill="1" applyBorder="1"/>
    <xf numFmtId="2" fontId="0" fillId="9" borderId="22" xfId="0" applyNumberFormat="1" applyFill="1" applyBorder="1"/>
    <xf numFmtId="1" fontId="0" fillId="14" borderId="0" xfId="0" applyNumberFormat="1" applyFill="1"/>
    <xf numFmtId="169" fontId="3" fillId="0" borderId="0" xfId="0" applyNumberFormat="1" applyFont="1"/>
    <xf numFmtId="169" fontId="43" fillId="8" borderId="0" xfId="0" applyNumberFormat="1" applyFont="1" applyFill="1"/>
    <xf numFmtId="169" fontId="43" fillId="0" borderId="2" xfId="0" applyNumberFormat="1" applyFont="1" applyBorder="1"/>
    <xf numFmtId="0" fontId="39" fillId="6" borderId="0" xfId="0" applyFont="1" applyFill="1" applyAlignment="1">
      <alignment horizontal="center"/>
    </xf>
    <xf numFmtId="165" fontId="7" fillId="0" borderId="0" xfId="0" applyNumberFormat="1" applyFont="1" applyAlignment="1">
      <alignment horizontal="center" vertical="top" wrapText="1"/>
    </xf>
    <xf numFmtId="165" fontId="6" fillId="0" borderId="0" xfId="0" applyNumberFormat="1" applyFont="1" applyAlignment="1">
      <alignment horizontal="center" vertical="top" wrapText="1"/>
    </xf>
    <xf numFmtId="165" fontId="9" fillId="0" borderId="0" xfId="0" applyNumberFormat="1" applyFont="1" applyAlignment="1">
      <alignment horizontal="center" vertical="top" wrapText="1"/>
    </xf>
    <xf numFmtId="0" fontId="0" fillId="0" borderId="0" xfId="0" applyAlignment="1">
      <alignment horizontal="center"/>
    </xf>
    <xf numFmtId="0" fontId="26" fillId="13" borderId="0" xfId="0" applyFont="1" applyFill="1" applyAlignment="1">
      <alignment horizontal="center"/>
    </xf>
    <xf numFmtId="0" fontId="31" fillId="9" borderId="0" xfId="0" applyFont="1" applyFill="1" applyAlignment="1">
      <alignment horizontal="center"/>
    </xf>
    <xf numFmtId="0" fontId="29" fillId="6" borderId="0" xfId="0" applyFont="1" applyFill="1" applyAlignment="1">
      <alignment horizontal="center"/>
    </xf>
    <xf numFmtId="0" fontId="30" fillId="6" borderId="0" xfId="0" applyFont="1" applyFill="1" applyAlignment="1">
      <alignment horizontal="center"/>
    </xf>
    <xf numFmtId="0" fontId="27" fillId="13" borderId="0" xfId="0" applyFont="1" applyFill="1" applyAlignment="1">
      <alignment horizontal="center"/>
    </xf>
    <xf numFmtId="0" fontId="10" fillId="9" borderId="0" xfId="0" applyFont="1" applyFill="1" applyAlignment="1">
      <alignment horizontal="center" wrapText="1"/>
    </xf>
    <xf numFmtId="0" fontId="35" fillId="6" borderId="0" xfId="0" applyFont="1" applyFill="1" applyAlignment="1">
      <alignment horizontal="center"/>
    </xf>
    <xf numFmtId="0" fontId="39" fillId="6" borderId="0" xfId="0" applyFont="1" applyFill="1" applyAlignment="1">
      <alignment horizontal="center"/>
    </xf>
    <xf numFmtId="0" fontId="40" fillId="6" borderId="0" xfId="0" applyFont="1" applyFill="1" applyAlignment="1">
      <alignment horizontal="center"/>
    </xf>
    <xf numFmtId="0" fontId="40" fillId="6" borderId="8" xfId="0" applyFont="1" applyFill="1" applyBorder="1" applyAlignment="1">
      <alignment horizontal="center"/>
    </xf>
    <xf numFmtId="0" fontId="40" fillId="6" borderId="5" xfId="0" applyFont="1" applyFill="1" applyBorder="1" applyAlignment="1">
      <alignment horizontal="center" vertical="center" textRotation="255"/>
    </xf>
    <xf numFmtId="0" fontId="40" fillId="6" borderId="0" xfId="0" applyFont="1" applyFill="1" applyAlignment="1">
      <alignment horizontal="center" vertical="center" textRotation="255"/>
    </xf>
    <xf numFmtId="0" fontId="42" fillId="14" borderId="0" xfId="0" applyFont="1" applyFill="1" applyAlignment="1">
      <alignment horizontal="center" wrapText="1"/>
    </xf>
    <xf numFmtId="0" fontId="3" fillId="12" borderId="0" xfId="0" applyFont="1" applyFill="1" applyAlignment="1">
      <alignment horizontal="center"/>
    </xf>
    <xf numFmtId="0" fontId="3" fillId="12" borderId="4" xfId="0" applyFont="1" applyFill="1" applyBorder="1" applyAlignment="1">
      <alignment horizontal="center"/>
    </xf>
    <xf numFmtId="0" fontId="3" fillId="12" borderId="17" xfId="0" applyFont="1" applyFill="1" applyBorder="1" applyAlignment="1">
      <alignment horizontal="center"/>
    </xf>
    <xf numFmtId="0" fontId="44" fillId="0" borderId="0" xfId="0" applyFont="1"/>
    <xf numFmtId="1" fontId="44" fillId="0" borderId="0" xfId="0" applyNumberFormat="1" applyFont="1"/>
    <xf numFmtId="0" fontId="0" fillId="0" borderId="0" xfId="0" applyAlignment="1">
      <alignment vertical="center"/>
    </xf>
    <xf numFmtId="2" fontId="0" fillId="0" borderId="0" xfId="0" applyNumberFormat="1" applyAlignment="1">
      <alignment vertical="center"/>
    </xf>
    <xf numFmtId="0" fontId="0" fillId="0" borderId="0" xfId="0" applyAlignment="1">
      <alignment horizontal="center" vertical="center"/>
    </xf>
    <xf numFmtId="10" fontId="0" fillId="0" borderId="0" xfId="2" applyNumberFormat="1" applyFont="1" applyAlignment="1">
      <alignment horizontal="center" vertical="center"/>
    </xf>
    <xf numFmtId="1" fontId="0" fillId="0" borderId="0" xfId="0" applyNumberFormat="1" applyAlignment="1">
      <alignment vertical="center"/>
    </xf>
    <xf numFmtId="0" fontId="39" fillId="6" borderId="0" xfId="0" applyFont="1" applyFill="1"/>
    <xf numFmtId="0" fontId="0" fillId="22" borderId="0" xfId="0" applyFill="1"/>
    <xf numFmtId="0" fontId="39" fillId="22" borderId="0" xfId="0" applyFont="1" applyFill="1"/>
    <xf numFmtId="0" fontId="39" fillId="22" borderId="0" xfId="0" applyFont="1" applyFill="1" applyAlignment="1">
      <alignment horizontal="center"/>
    </xf>
    <xf numFmtId="0" fontId="3" fillId="23" borderId="0" xfId="0" applyFont="1" applyFill="1"/>
    <xf numFmtId="10" fontId="0" fillId="0" borderId="0" xfId="2" applyNumberFormat="1" applyFont="1" applyAlignment="1">
      <alignment vertical="center"/>
    </xf>
    <xf numFmtId="168" fontId="15" fillId="22" borderId="0" xfId="0" applyNumberFormat="1" applyFont="1" applyFill="1" applyBorder="1" applyAlignment="1">
      <alignment vertical="top" wrapText="1"/>
    </xf>
    <xf numFmtId="1" fontId="0" fillId="22" borderId="0" xfId="0" applyNumberFormat="1" applyFill="1" applyBorder="1"/>
    <xf numFmtId="1" fontId="10" fillId="22" borderId="0" xfId="0" applyNumberFormat="1" applyFont="1" applyFill="1" applyBorder="1"/>
    <xf numFmtId="1" fontId="0" fillId="22" borderId="0" xfId="0" applyNumberFormat="1" applyFill="1"/>
    <xf numFmtId="0" fontId="10" fillId="22" borderId="0" xfId="0" applyFont="1" applyFill="1"/>
    <xf numFmtId="0" fontId="45" fillId="23" borderId="0" xfId="0" applyFont="1" applyFill="1"/>
    <xf numFmtId="0" fontId="0" fillId="14" borderId="27" xfId="0" applyFill="1" applyBorder="1" applyAlignment="1">
      <alignment vertical="center"/>
    </xf>
    <xf numFmtId="176" fontId="0" fillId="0" borderId="27" xfId="1" applyNumberFormat="1" applyFont="1" applyBorder="1" applyAlignment="1">
      <alignment vertical="center"/>
    </xf>
    <xf numFmtId="0" fontId="0" fillId="0" borderId="27" xfId="0" applyBorder="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Revenue</a:t>
            </a:r>
            <a:r>
              <a:rPr lang="en-IN" b="1" baseline="0"/>
              <a:t> (in billions)</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rgbClr val="002060"/>
            </a:solidFill>
            <a:ln w="63500" cmpd="thinThick">
              <a:solidFill>
                <a:schemeClr val="accent1"/>
              </a:solidFill>
            </a:ln>
            <a:effectLst/>
          </c:spPr>
          <c:invertIfNegative val="0"/>
          <c:dPt>
            <c:idx val="1"/>
            <c:invertIfNegative val="0"/>
            <c:bubble3D val="0"/>
            <c:spPr>
              <a:solidFill>
                <a:srgbClr val="0070C0"/>
              </a:solidFill>
              <a:ln w="63500" cmpd="thinThick">
                <a:solidFill>
                  <a:schemeClr val="accent1"/>
                </a:solidFill>
              </a:ln>
              <a:effectLst/>
            </c:spPr>
            <c:extLst>
              <c:ext xmlns:c16="http://schemas.microsoft.com/office/drawing/2014/chart" uri="{C3380CC4-5D6E-409C-BE32-E72D297353CC}">
                <c16:uniqueId val="{00000002-900E-488A-A8BC-1EE7FB2C2D78}"/>
              </c:ext>
            </c:extLst>
          </c:dPt>
          <c:dPt>
            <c:idx val="2"/>
            <c:invertIfNegative val="0"/>
            <c:bubble3D val="0"/>
            <c:spPr>
              <a:solidFill>
                <a:schemeClr val="accent5">
                  <a:lumMod val="50000"/>
                </a:schemeClr>
              </a:solidFill>
              <a:ln w="63500" cmpd="thinThick">
                <a:solidFill>
                  <a:schemeClr val="accent1"/>
                </a:solidFill>
              </a:ln>
              <a:effectLst/>
            </c:spPr>
            <c:extLst>
              <c:ext xmlns:c16="http://schemas.microsoft.com/office/drawing/2014/chart" uri="{C3380CC4-5D6E-409C-BE32-E72D297353CC}">
                <c16:uniqueId val="{00000003-900E-488A-A8BC-1EE7FB2C2D78}"/>
              </c:ext>
            </c:extLst>
          </c:dPt>
          <c:dLbls>
            <c:spPr>
              <a:noFill/>
              <a:ln>
                <a:noFill/>
              </a:ln>
              <a:effectLst/>
            </c:spPr>
            <c:txPr>
              <a:bodyPr rot="0" spcFirstLastPara="1" vertOverflow="ellipsis" vert="horz" wrap="square" lIns="38100" tIns="19050" rIns="38100" bIns="19050" anchor="ctr" anchorCtr="1">
                <a:spAutoFit/>
              </a:bodyPr>
              <a:lstStyle/>
              <a:p>
                <a:pPr>
                  <a:defRPr sz="115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'Income statement'!$E$5:$G$5</c:f>
              <c:numCache>
                <c:formatCode>m/d/yyyy</c:formatCode>
                <c:ptCount val="3"/>
                <c:pt idx="0">
                  <c:v>44926</c:v>
                </c:pt>
                <c:pt idx="1">
                  <c:v>45291</c:v>
                </c:pt>
                <c:pt idx="2">
                  <c:v>45657</c:v>
                </c:pt>
              </c:numCache>
            </c:numRef>
          </c:cat>
          <c:val>
            <c:numRef>
              <c:f>'Income statement'!$E$6:$G$6</c:f>
              <c:numCache>
                <c:formatCode>0</c:formatCode>
                <c:ptCount val="3"/>
                <c:pt idx="0">
                  <c:v>19428</c:v>
                </c:pt>
                <c:pt idx="1">
                  <c:v>19353</c:v>
                </c:pt>
                <c:pt idx="2">
                  <c:v>19736</c:v>
                </c:pt>
              </c:numCache>
            </c:numRef>
          </c:val>
          <c:extLst>
            <c:ext xmlns:c16="http://schemas.microsoft.com/office/drawing/2014/chart" uri="{C3380CC4-5D6E-409C-BE32-E72D297353CC}">
              <c16:uniqueId val="{00000000-900E-488A-A8BC-1EE7FB2C2D78}"/>
            </c:ext>
          </c:extLst>
        </c:ser>
        <c:dLbls>
          <c:dLblPos val="outEnd"/>
          <c:showLegendKey val="0"/>
          <c:showVal val="1"/>
          <c:showCatName val="0"/>
          <c:showSerName val="0"/>
          <c:showPercent val="0"/>
          <c:showBubbleSize val="0"/>
        </c:dLbls>
        <c:gapWidth val="219"/>
        <c:overlap val="-27"/>
        <c:axId val="2077817664"/>
        <c:axId val="2077808512"/>
      </c:barChart>
      <c:dateAx>
        <c:axId val="2077817664"/>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808512"/>
        <c:crosses val="autoZero"/>
        <c:auto val="1"/>
        <c:lblOffset val="100"/>
        <c:baseTimeUnit val="years"/>
      </c:dateAx>
      <c:valAx>
        <c:axId val="207780851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7817664"/>
        <c:crosses val="autoZero"/>
        <c:crossBetween val="between"/>
        <c:majorUnit val="400"/>
      </c:valAx>
      <c:spPr>
        <a:noFill/>
        <a:ln w="12700">
          <a:solidFill>
            <a:schemeClr val="accent1"/>
          </a:solid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'Output Sheet'!$C$3:$C$9</c:f>
              <c:strCache>
                <c:ptCount val="7"/>
                <c:pt idx="0">
                  <c:v>Perpetual Growth</c:v>
                </c:pt>
                <c:pt idx="1">
                  <c:v>Exit Multiple</c:v>
                </c:pt>
                <c:pt idx="2">
                  <c:v>CCA(EV/EBITDA)</c:v>
                </c:pt>
                <c:pt idx="3">
                  <c:v>CCA(EV/EBIT)</c:v>
                </c:pt>
                <c:pt idx="4">
                  <c:v>Market Consensus</c:v>
                </c:pt>
                <c:pt idx="5">
                  <c:v>52 week range</c:v>
                </c:pt>
                <c:pt idx="6">
                  <c:v>Unaffected Price</c:v>
                </c:pt>
              </c:strCache>
            </c:strRef>
          </c:cat>
          <c:val>
            <c:numRef>
              <c:f>'Output Sheet'!$D$3:$D$9</c:f>
              <c:numCache>
                <c:formatCode>0.00</c:formatCode>
                <c:ptCount val="7"/>
                <c:pt idx="0">
                  <c:v>69.778809132875125</c:v>
                </c:pt>
                <c:pt idx="1">
                  <c:v>112.51355095159219</c:v>
                </c:pt>
                <c:pt idx="2" formatCode="General">
                  <c:v>182</c:v>
                </c:pt>
                <c:pt idx="3" formatCode="0.0">
                  <c:v>183.6</c:v>
                </c:pt>
                <c:pt idx="4" formatCode="General">
                  <c:v>80</c:v>
                </c:pt>
                <c:pt idx="5" formatCode="0.0">
                  <c:v>63.79</c:v>
                </c:pt>
                <c:pt idx="6" formatCode="0.0">
                  <c:v>87.87</c:v>
                </c:pt>
              </c:numCache>
            </c:numRef>
          </c:val>
          <c:extLst>
            <c:ext xmlns:c16="http://schemas.microsoft.com/office/drawing/2014/chart" uri="{C3380CC4-5D6E-409C-BE32-E72D297353CC}">
              <c16:uniqueId val="{00000000-EB3E-4126-A0D1-03150B7D8C10}"/>
            </c:ext>
          </c:extLst>
        </c:ser>
        <c:ser>
          <c:idx val="1"/>
          <c:order val="1"/>
          <c:spPr>
            <a:solidFill>
              <a:schemeClr val="accent2"/>
            </a:solidFill>
            <a:ln>
              <a:noFill/>
            </a:ln>
            <a:effectLst/>
          </c:spPr>
          <c:invertIfNegative val="0"/>
          <c:cat>
            <c:strRef>
              <c:f>'Output Sheet'!$C$3:$C$9</c:f>
              <c:strCache>
                <c:ptCount val="7"/>
                <c:pt idx="0">
                  <c:v>Perpetual Growth</c:v>
                </c:pt>
                <c:pt idx="1">
                  <c:v>Exit Multiple</c:v>
                </c:pt>
                <c:pt idx="2">
                  <c:v>CCA(EV/EBITDA)</c:v>
                </c:pt>
                <c:pt idx="3">
                  <c:v>CCA(EV/EBIT)</c:v>
                </c:pt>
                <c:pt idx="4">
                  <c:v>Market Consensus</c:v>
                </c:pt>
                <c:pt idx="5">
                  <c:v>52 week range</c:v>
                </c:pt>
                <c:pt idx="6">
                  <c:v>Unaffected Price</c:v>
                </c:pt>
              </c:strCache>
            </c:strRef>
          </c:cat>
          <c:val>
            <c:numRef>
              <c:f>'Output Sheet'!$E$3:$E$9</c:f>
              <c:numCache>
                <c:formatCode>_ * #,##0.0_ ;_ * \-#,##0.0_ ;_ * "-"??_ ;_ @_ </c:formatCode>
                <c:ptCount val="7"/>
                <c:pt idx="0">
                  <c:v>13.487995030263235</c:v>
                </c:pt>
                <c:pt idx="1">
                  <c:v>27.063627764217173</c:v>
                </c:pt>
                <c:pt idx="2">
                  <c:v>40</c:v>
                </c:pt>
                <c:pt idx="3" formatCode="0.0">
                  <c:v>40.300000000000011</c:v>
                </c:pt>
                <c:pt idx="4">
                  <c:v>23</c:v>
                </c:pt>
                <c:pt idx="5">
                  <c:v>27.029999999999994</c:v>
                </c:pt>
              </c:numCache>
            </c:numRef>
          </c:val>
          <c:extLst>
            <c:ext xmlns:c16="http://schemas.microsoft.com/office/drawing/2014/chart" uri="{C3380CC4-5D6E-409C-BE32-E72D297353CC}">
              <c16:uniqueId val="{00000001-EB3E-4126-A0D1-03150B7D8C10}"/>
            </c:ext>
          </c:extLst>
        </c:ser>
        <c:ser>
          <c:idx val="2"/>
          <c:order val="2"/>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'Output Sheet'!$C$3:$C$9</c:f>
              <c:strCache>
                <c:ptCount val="7"/>
                <c:pt idx="0">
                  <c:v>Perpetual Growth</c:v>
                </c:pt>
                <c:pt idx="1">
                  <c:v>Exit Multiple</c:v>
                </c:pt>
                <c:pt idx="2">
                  <c:v>CCA(EV/EBITDA)</c:v>
                </c:pt>
                <c:pt idx="3">
                  <c:v>CCA(EV/EBIT)</c:v>
                </c:pt>
                <c:pt idx="4">
                  <c:v>Market Consensus</c:v>
                </c:pt>
                <c:pt idx="5">
                  <c:v>52 week range</c:v>
                </c:pt>
                <c:pt idx="6">
                  <c:v>Unaffected Price</c:v>
                </c:pt>
              </c:strCache>
            </c:strRef>
          </c:cat>
          <c:val>
            <c:numRef>
              <c:f>'Output Sheet'!$F$3:$F$9</c:f>
              <c:numCache>
                <c:formatCode>0.00</c:formatCode>
                <c:ptCount val="7"/>
                <c:pt idx="0">
                  <c:v>83.26680416313836</c:v>
                </c:pt>
                <c:pt idx="1">
                  <c:v>139.57717871580937</c:v>
                </c:pt>
                <c:pt idx="2" formatCode="General">
                  <c:v>222</c:v>
                </c:pt>
                <c:pt idx="3" formatCode="0.0">
                  <c:v>223.9</c:v>
                </c:pt>
                <c:pt idx="4" formatCode="General">
                  <c:v>103</c:v>
                </c:pt>
                <c:pt idx="5" formatCode="0.0">
                  <c:v>90.82</c:v>
                </c:pt>
                <c:pt idx="6" formatCode="0.0">
                  <c:v>87.87</c:v>
                </c:pt>
              </c:numCache>
            </c:numRef>
          </c:val>
          <c:extLst>
            <c:ext xmlns:c16="http://schemas.microsoft.com/office/drawing/2014/chart" uri="{C3380CC4-5D6E-409C-BE32-E72D297353CC}">
              <c16:uniqueId val="{00000002-EB3E-4126-A0D1-03150B7D8C10}"/>
            </c:ext>
          </c:extLst>
        </c:ser>
        <c:dLbls>
          <c:showLegendKey val="0"/>
          <c:showVal val="0"/>
          <c:showCatName val="0"/>
          <c:showSerName val="0"/>
          <c:showPercent val="0"/>
          <c:showBubbleSize val="0"/>
        </c:dLbls>
        <c:gapWidth val="150"/>
        <c:overlap val="100"/>
        <c:axId val="50406015"/>
        <c:axId val="181728527"/>
      </c:barChart>
      <c:catAx>
        <c:axId val="504060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728527"/>
        <c:crosses val="autoZero"/>
        <c:auto val="1"/>
        <c:lblAlgn val="ctr"/>
        <c:lblOffset val="100"/>
        <c:noMultiLvlLbl val="0"/>
      </c:catAx>
      <c:valAx>
        <c:axId val="181728527"/>
        <c:scaling>
          <c:orientation val="minMax"/>
          <c:max val="290"/>
          <c:min val="40"/>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06015"/>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iagrams/_rels/data1.xml.rels><?xml version="1.0" encoding="UTF-8" standalone="yes"?>
<Relationships xmlns="http://schemas.openxmlformats.org/package/2006/relationships"><Relationship Id="rId3" Type="http://schemas.openxmlformats.org/officeDocument/2006/relationships/hyperlink" Target="#'Cash Flow Statement'!A1"/><Relationship Id="rId7" Type="http://schemas.openxmlformats.org/officeDocument/2006/relationships/hyperlink" Target="#'Balance Sheet'!A1"/><Relationship Id="rId2" Type="http://schemas.openxmlformats.org/officeDocument/2006/relationships/hyperlink" Target="#'Income statement'!A1"/><Relationship Id="rId1" Type="http://schemas.openxmlformats.org/officeDocument/2006/relationships/hyperlink" Target="#'Revenue Segments'!A1"/><Relationship Id="rId6" Type="http://schemas.openxmlformats.org/officeDocument/2006/relationships/hyperlink" Target="#'Debt Schedule'!A1"/><Relationship Id="rId5" Type="http://schemas.openxmlformats.org/officeDocument/2006/relationships/hyperlink" Target="#'Fixed Assets Schedule'!A1"/><Relationship Id="rId4" Type="http://schemas.openxmlformats.org/officeDocument/2006/relationships/hyperlink" Target="#'Extra Calculations'!A1"/></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053E7E75-28F4-491C-B4C2-B1C1F7AEE013}" type="doc">
      <dgm:prSet loTypeId="urn:microsoft.com/office/officeart/2005/8/layout/process1" loCatId="process" qsTypeId="urn:microsoft.com/office/officeart/2005/8/quickstyle/simple1" qsCatId="simple" csTypeId="urn:microsoft.com/office/officeart/2005/8/colors/accent1_2" csCatId="accent1" phldr="1"/>
      <dgm:spPr/>
    </dgm:pt>
    <dgm:pt modelId="{EBF8288D-983C-448C-BFA8-9321EEBE2383}">
      <dgm:prSet phldrT="[Text]" custT="1"/>
      <dgm:spPr>
        <a:solidFill>
          <a:schemeClr val="accent2">
            <a:lumMod val="20000"/>
            <a:lumOff val="80000"/>
          </a:schemeClr>
        </a:solidFill>
      </dgm:spPr>
      <dgm:t>
        <a:bodyPr/>
        <a:lstStyle/>
        <a:p>
          <a:r>
            <a:rPr lang="en-IN" sz="1400" b="1" i="1">
              <a:solidFill>
                <a:schemeClr val="tx1">
                  <a:lumMod val="95000"/>
                  <a:lumOff val="5000"/>
                </a:schemeClr>
              </a:solidFill>
            </a:rPr>
            <a:t>Revenue Segments</a:t>
          </a:r>
        </a:p>
      </dgm:t>
      <dgm:extLst>
        <a:ext uri="{E40237B7-FDA0-4F09-8148-C483321AD2D9}">
          <dgm14:cNvPr xmlns:dgm14="http://schemas.microsoft.com/office/drawing/2010/diagram" id="0" name="">
            <a:hlinkClick xmlns:r="http://schemas.openxmlformats.org/officeDocument/2006/relationships" r:id="rId1"/>
          </dgm14:cNvPr>
        </a:ext>
      </dgm:extLst>
    </dgm:pt>
    <dgm:pt modelId="{7CA01415-D8A4-4EDC-8F58-45DC90313E46}" type="parTrans" cxnId="{99CE5213-1647-4735-AC68-6AF6A0BF12A4}">
      <dgm:prSet/>
      <dgm:spPr/>
      <dgm:t>
        <a:bodyPr/>
        <a:lstStyle/>
        <a:p>
          <a:endParaRPr lang="en-IN">
            <a:solidFill>
              <a:schemeClr val="bg1"/>
            </a:solidFill>
          </a:endParaRPr>
        </a:p>
      </dgm:t>
    </dgm:pt>
    <dgm:pt modelId="{561659CC-8783-4BAA-B3B0-8C9B206E34D1}" type="sibTrans" cxnId="{99CE5213-1647-4735-AC68-6AF6A0BF12A4}">
      <dgm:prSet/>
      <dgm:spPr/>
      <dgm:t>
        <a:bodyPr/>
        <a:lstStyle/>
        <a:p>
          <a:endParaRPr lang="en-IN">
            <a:solidFill>
              <a:schemeClr val="bg1"/>
            </a:solidFill>
          </a:endParaRPr>
        </a:p>
      </dgm:t>
    </dgm:pt>
    <dgm:pt modelId="{6C972EFD-5032-4418-AF73-E009610E3160}">
      <dgm:prSet phldrT="[Text]" custT="1"/>
      <dgm:spPr>
        <a:solidFill>
          <a:schemeClr val="accent2">
            <a:lumMod val="20000"/>
            <a:lumOff val="80000"/>
          </a:schemeClr>
        </a:solidFill>
      </dgm:spPr>
      <dgm:t>
        <a:bodyPr/>
        <a:lstStyle/>
        <a:p>
          <a:r>
            <a:rPr lang="en-IN" sz="1400" b="1" i="1">
              <a:solidFill>
                <a:schemeClr val="tx1">
                  <a:lumMod val="95000"/>
                  <a:lumOff val="5000"/>
                </a:schemeClr>
              </a:solidFill>
            </a:rPr>
            <a:t>Income Statement</a:t>
          </a:r>
        </a:p>
      </dgm:t>
      <dgm:extLst>
        <a:ext uri="{E40237B7-FDA0-4F09-8148-C483321AD2D9}">
          <dgm14:cNvPr xmlns:dgm14="http://schemas.microsoft.com/office/drawing/2010/diagram" id="0" name="">
            <a:hlinkClick xmlns:r="http://schemas.openxmlformats.org/officeDocument/2006/relationships" r:id="rId2"/>
          </dgm14:cNvPr>
        </a:ext>
      </dgm:extLst>
    </dgm:pt>
    <dgm:pt modelId="{D35C68C7-8E4B-4648-8EE5-A38FD1A25A37}" type="parTrans" cxnId="{3B3CBFDD-7C5A-42FA-ADC8-ECC529A95DEB}">
      <dgm:prSet/>
      <dgm:spPr/>
      <dgm:t>
        <a:bodyPr/>
        <a:lstStyle/>
        <a:p>
          <a:endParaRPr lang="en-IN">
            <a:solidFill>
              <a:schemeClr val="bg1"/>
            </a:solidFill>
          </a:endParaRPr>
        </a:p>
      </dgm:t>
    </dgm:pt>
    <dgm:pt modelId="{C0399703-7521-4BC6-8EC9-D1EB6376E681}" type="sibTrans" cxnId="{3B3CBFDD-7C5A-42FA-ADC8-ECC529A95DEB}">
      <dgm:prSet/>
      <dgm:spPr/>
      <dgm:t>
        <a:bodyPr/>
        <a:lstStyle/>
        <a:p>
          <a:endParaRPr lang="en-IN">
            <a:solidFill>
              <a:schemeClr val="bg1"/>
            </a:solidFill>
          </a:endParaRPr>
        </a:p>
      </dgm:t>
    </dgm:pt>
    <dgm:pt modelId="{A09B6804-EA41-4838-A745-794D2914788F}">
      <dgm:prSet phldrT="[Text]" custT="1"/>
      <dgm:spPr>
        <a:solidFill>
          <a:schemeClr val="accent2">
            <a:lumMod val="20000"/>
            <a:lumOff val="80000"/>
          </a:schemeClr>
        </a:solidFill>
      </dgm:spPr>
      <dgm:t>
        <a:bodyPr/>
        <a:lstStyle/>
        <a:p>
          <a:r>
            <a:rPr lang="en-IN" sz="1400" b="1" i="1">
              <a:solidFill>
                <a:schemeClr val="tx1">
                  <a:lumMod val="95000"/>
                  <a:lumOff val="5000"/>
                </a:schemeClr>
              </a:solidFill>
            </a:rPr>
            <a:t>Cash Flow Statement</a:t>
          </a:r>
        </a:p>
      </dgm:t>
      <dgm:extLst>
        <a:ext uri="{E40237B7-FDA0-4F09-8148-C483321AD2D9}">
          <dgm14:cNvPr xmlns:dgm14="http://schemas.microsoft.com/office/drawing/2010/diagram" id="0" name="">
            <a:hlinkClick xmlns:r="http://schemas.openxmlformats.org/officeDocument/2006/relationships" r:id="rId3"/>
          </dgm14:cNvPr>
        </a:ext>
      </dgm:extLst>
    </dgm:pt>
    <dgm:pt modelId="{47679775-1662-46DD-BF6B-46727553F116}" type="parTrans" cxnId="{DA14E273-AC61-4ABC-A4CE-64A1002E978B}">
      <dgm:prSet/>
      <dgm:spPr/>
      <dgm:t>
        <a:bodyPr/>
        <a:lstStyle/>
        <a:p>
          <a:endParaRPr lang="en-IN">
            <a:solidFill>
              <a:schemeClr val="bg1"/>
            </a:solidFill>
          </a:endParaRPr>
        </a:p>
      </dgm:t>
    </dgm:pt>
    <dgm:pt modelId="{5A90C82D-E375-4D1D-A1A3-BE284EBF79A7}" type="sibTrans" cxnId="{DA14E273-AC61-4ABC-A4CE-64A1002E978B}">
      <dgm:prSet/>
      <dgm:spPr/>
      <dgm:t>
        <a:bodyPr/>
        <a:lstStyle/>
        <a:p>
          <a:endParaRPr lang="en-IN">
            <a:solidFill>
              <a:schemeClr val="bg1"/>
            </a:solidFill>
          </a:endParaRPr>
        </a:p>
      </dgm:t>
    </dgm:pt>
    <dgm:pt modelId="{A6E3B4B6-EEF0-46C4-AEC8-51E63B66C479}">
      <dgm:prSet phldrT="[Text]" custT="1"/>
      <dgm:spPr>
        <a:solidFill>
          <a:schemeClr val="accent2">
            <a:lumMod val="20000"/>
            <a:lumOff val="80000"/>
          </a:schemeClr>
        </a:solidFill>
      </dgm:spPr>
      <dgm:t>
        <a:bodyPr/>
        <a:lstStyle/>
        <a:p>
          <a:r>
            <a:rPr lang="en-IN" sz="1400" b="1" i="1">
              <a:solidFill>
                <a:schemeClr val="tx1">
                  <a:lumMod val="95000"/>
                  <a:lumOff val="5000"/>
                </a:schemeClr>
              </a:solidFill>
            </a:rPr>
            <a:t>Extra Calculations</a:t>
          </a:r>
        </a:p>
      </dgm:t>
      <dgm:extLst>
        <a:ext uri="{E40237B7-FDA0-4F09-8148-C483321AD2D9}">
          <dgm14:cNvPr xmlns:dgm14="http://schemas.microsoft.com/office/drawing/2010/diagram" id="0" name="">
            <a:hlinkClick xmlns:r="http://schemas.openxmlformats.org/officeDocument/2006/relationships" r:id="rId4"/>
          </dgm14:cNvPr>
        </a:ext>
      </dgm:extLst>
    </dgm:pt>
    <dgm:pt modelId="{31B805CD-E802-4E9A-B34E-F5CEF8489999}" type="parTrans" cxnId="{01E932C0-1ACE-4C4D-9ED2-08B4C4F7DAD5}">
      <dgm:prSet/>
      <dgm:spPr/>
      <dgm:t>
        <a:bodyPr/>
        <a:lstStyle/>
        <a:p>
          <a:endParaRPr lang="en-IN">
            <a:solidFill>
              <a:schemeClr val="bg1"/>
            </a:solidFill>
          </a:endParaRPr>
        </a:p>
      </dgm:t>
    </dgm:pt>
    <dgm:pt modelId="{DAC6AE1F-76B8-4DFC-932C-A5F5DBE30C00}" type="sibTrans" cxnId="{01E932C0-1ACE-4C4D-9ED2-08B4C4F7DAD5}">
      <dgm:prSet/>
      <dgm:spPr/>
      <dgm:t>
        <a:bodyPr/>
        <a:lstStyle/>
        <a:p>
          <a:endParaRPr lang="en-IN">
            <a:solidFill>
              <a:schemeClr val="bg1"/>
            </a:solidFill>
          </a:endParaRPr>
        </a:p>
      </dgm:t>
    </dgm:pt>
    <dgm:pt modelId="{34D44A6D-1783-4436-B1B7-5EAA7D365614}">
      <dgm:prSet phldrT="[Text]" custT="1"/>
      <dgm:spPr>
        <a:solidFill>
          <a:schemeClr val="accent2">
            <a:lumMod val="20000"/>
            <a:lumOff val="80000"/>
          </a:schemeClr>
        </a:solidFill>
      </dgm:spPr>
      <dgm:t>
        <a:bodyPr/>
        <a:lstStyle/>
        <a:p>
          <a:r>
            <a:rPr lang="en-IN" sz="1400" b="1" i="1">
              <a:solidFill>
                <a:schemeClr val="tx1">
                  <a:lumMod val="95000"/>
                  <a:lumOff val="5000"/>
                </a:schemeClr>
              </a:solidFill>
            </a:rPr>
            <a:t>Fixed Asset Schedule</a:t>
          </a:r>
        </a:p>
      </dgm:t>
      <dgm:extLst>
        <a:ext uri="{E40237B7-FDA0-4F09-8148-C483321AD2D9}">
          <dgm14:cNvPr xmlns:dgm14="http://schemas.microsoft.com/office/drawing/2010/diagram" id="0" name="">
            <a:hlinkClick xmlns:r="http://schemas.openxmlformats.org/officeDocument/2006/relationships" r:id="rId5"/>
          </dgm14:cNvPr>
        </a:ext>
      </dgm:extLst>
    </dgm:pt>
    <dgm:pt modelId="{B8D6C781-E877-442F-8BB2-2A2B3E7F5D75}" type="parTrans" cxnId="{7EBF3B9B-FC00-4E23-812B-A8AFE5B2CABA}">
      <dgm:prSet/>
      <dgm:spPr/>
      <dgm:t>
        <a:bodyPr/>
        <a:lstStyle/>
        <a:p>
          <a:endParaRPr lang="en-IN">
            <a:solidFill>
              <a:schemeClr val="bg1"/>
            </a:solidFill>
          </a:endParaRPr>
        </a:p>
      </dgm:t>
    </dgm:pt>
    <dgm:pt modelId="{F74047C9-C46A-4DC3-ABD7-D760195FFD14}" type="sibTrans" cxnId="{7EBF3B9B-FC00-4E23-812B-A8AFE5B2CABA}">
      <dgm:prSet/>
      <dgm:spPr/>
      <dgm:t>
        <a:bodyPr/>
        <a:lstStyle/>
        <a:p>
          <a:endParaRPr lang="en-IN">
            <a:solidFill>
              <a:schemeClr val="bg1"/>
            </a:solidFill>
          </a:endParaRPr>
        </a:p>
      </dgm:t>
    </dgm:pt>
    <dgm:pt modelId="{116BBF15-2B56-4633-9EF5-B3049B5144A8}">
      <dgm:prSet phldrT="[Text]" custT="1"/>
      <dgm:spPr>
        <a:solidFill>
          <a:schemeClr val="accent2">
            <a:lumMod val="20000"/>
            <a:lumOff val="80000"/>
          </a:schemeClr>
        </a:solidFill>
      </dgm:spPr>
      <dgm:t>
        <a:bodyPr/>
        <a:lstStyle/>
        <a:p>
          <a:r>
            <a:rPr lang="en-IN" sz="1400" b="1" i="1">
              <a:solidFill>
                <a:schemeClr val="tx1">
                  <a:lumMod val="95000"/>
                  <a:lumOff val="5000"/>
                </a:schemeClr>
              </a:solidFill>
            </a:rPr>
            <a:t>Debt Schedule</a:t>
          </a:r>
        </a:p>
      </dgm:t>
      <dgm:extLst>
        <a:ext uri="{E40237B7-FDA0-4F09-8148-C483321AD2D9}">
          <dgm14:cNvPr xmlns:dgm14="http://schemas.microsoft.com/office/drawing/2010/diagram" id="0" name="">
            <a:hlinkClick xmlns:r="http://schemas.openxmlformats.org/officeDocument/2006/relationships" r:id="rId6"/>
          </dgm14:cNvPr>
        </a:ext>
      </dgm:extLst>
    </dgm:pt>
    <dgm:pt modelId="{EBECA6FC-5D69-4FE1-8D65-9A24EA8A977D}" type="parTrans" cxnId="{11487F3C-7EC6-40DE-8DDC-009D5F1D2D49}">
      <dgm:prSet/>
      <dgm:spPr/>
      <dgm:t>
        <a:bodyPr/>
        <a:lstStyle/>
        <a:p>
          <a:endParaRPr lang="en-IN">
            <a:solidFill>
              <a:schemeClr val="bg1"/>
            </a:solidFill>
          </a:endParaRPr>
        </a:p>
      </dgm:t>
    </dgm:pt>
    <dgm:pt modelId="{2BB34E4D-B3F9-409D-A1AE-A32E7846611B}" type="sibTrans" cxnId="{11487F3C-7EC6-40DE-8DDC-009D5F1D2D49}">
      <dgm:prSet/>
      <dgm:spPr/>
      <dgm:t>
        <a:bodyPr/>
        <a:lstStyle/>
        <a:p>
          <a:endParaRPr lang="en-IN">
            <a:solidFill>
              <a:schemeClr val="bg1"/>
            </a:solidFill>
          </a:endParaRPr>
        </a:p>
      </dgm:t>
    </dgm:pt>
    <dgm:pt modelId="{99036B97-78CA-4F82-8851-31D0CACBDDF1}">
      <dgm:prSet phldrT="[Text]" custT="1"/>
      <dgm:spPr>
        <a:solidFill>
          <a:schemeClr val="accent2">
            <a:lumMod val="20000"/>
            <a:lumOff val="80000"/>
          </a:schemeClr>
        </a:solidFill>
      </dgm:spPr>
      <dgm:t>
        <a:bodyPr/>
        <a:lstStyle/>
        <a:p>
          <a:r>
            <a:rPr lang="en-IN" sz="1400" b="1" i="1">
              <a:solidFill>
                <a:schemeClr val="tx1">
                  <a:lumMod val="95000"/>
                  <a:lumOff val="5000"/>
                </a:schemeClr>
              </a:solidFill>
            </a:rPr>
            <a:t>Balance Sheet</a:t>
          </a:r>
        </a:p>
      </dgm:t>
      <dgm:extLst>
        <a:ext uri="{E40237B7-FDA0-4F09-8148-C483321AD2D9}">
          <dgm14:cNvPr xmlns:dgm14="http://schemas.microsoft.com/office/drawing/2010/diagram" id="0" name="">
            <a:hlinkClick xmlns:r="http://schemas.openxmlformats.org/officeDocument/2006/relationships" r:id="rId7"/>
          </dgm14:cNvPr>
        </a:ext>
      </dgm:extLst>
    </dgm:pt>
    <dgm:pt modelId="{05F815C2-5DE4-4846-A207-E90172493C18}" type="parTrans" cxnId="{5444D553-2EF5-49D4-9A2C-989323AB4B03}">
      <dgm:prSet/>
      <dgm:spPr/>
      <dgm:t>
        <a:bodyPr/>
        <a:lstStyle/>
        <a:p>
          <a:endParaRPr lang="en-IN">
            <a:solidFill>
              <a:schemeClr val="bg1"/>
            </a:solidFill>
          </a:endParaRPr>
        </a:p>
      </dgm:t>
    </dgm:pt>
    <dgm:pt modelId="{CA8D09BE-9800-43B5-A10F-36E22CC8065B}" type="sibTrans" cxnId="{5444D553-2EF5-49D4-9A2C-989323AB4B03}">
      <dgm:prSet/>
      <dgm:spPr/>
      <dgm:t>
        <a:bodyPr/>
        <a:lstStyle/>
        <a:p>
          <a:endParaRPr lang="en-IN">
            <a:solidFill>
              <a:schemeClr val="bg1"/>
            </a:solidFill>
          </a:endParaRPr>
        </a:p>
      </dgm:t>
    </dgm:pt>
    <dgm:pt modelId="{26CDE9E4-ED57-4738-8B41-AF650FDBF585}" type="pres">
      <dgm:prSet presAssocID="{053E7E75-28F4-491C-B4C2-B1C1F7AEE013}" presName="Name0" presStyleCnt="0">
        <dgm:presLayoutVars>
          <dgm:dir/>
          <dgm:resizeHandles val="exact"/>
        </dgm:presLayoutVars>
      </dgm:prSet>
      <dgm:spPr/>
    </dgm:pt>
    <dgm:pt modelId="{D5892D57-AA12-4255-B0AB-658C300CA720}" type="pres">
      <dgm:prSet presAssocID="{EBF8288D-983C-448C-BFA8-9321EEBE2383}" presName="node" presStyleLbl="node1" presStyleIdx="0" presStyleCnt="7">
        <dgm:presLayoutVars>
          <dgm:bulletEnabled val="1"/>
        </dgm:presLayoutVars>
      </dgm:prSet>
      <dgm:spPr/>
    </dgm:pt>
    <dgm:pt modelId="{B9AA7DA7-D516-4D88-BB79-468C36D5A6AC}" type="pres">
      <dgm:prSet presAssocID="{561659CC-8783-4BAA-B3B0-8C9B206E34D1}" presName="sibTrans" presStyleLbl="sibTrans2D1" presStyleIdx="0" presStyleCnt="6"/>
      <dgm:spPr/>
    </dgm:pt>
    <dgm:pt modelId="{27CC0B55-BD80-409D-A11D-933D05EF5477}" type="pres">
      <dgm:prSet presAssocID="{561659CC-8783-4BAA-B3B0-8C9B206E34D1}" presName="connectorText" presStyleLbl="sibTrans2D1" presStyleIdx="0" presStyleCnt="6"/>
      <dgm:spPr/>
    </dgm:pt>
    <dgm:pt modelId="{CA1EE4C8-B554-4D6E-A17D-D5FFCDA26C5A}" type="pres">
      <dgm:prSet presAssocID="{6C972EFD-5032-4418-AF73-E009610E3160}" presName="node" presStyleLbl="node1" presStyleIdx="1" presStyleCnt="7">
        <dgm:presLayoutVars>
          <dgm:bulletEnabled val="1"/>
        </dgm:presLayoutVars>
      </dgm:prSet>
      <dgm:spPr/>
    </dgm:pt>
    <dgm:pt modelId="{C3D0C358-9F75-48D1-85CC-FEA24237235F}" type="pres">
      <dgm:prSet presAssocID="{C0399703-7521-4BC6-8EC9-D1EB6376E681}" presName="sibTrans" presStyleLbl="sibTrans2D1" presStyleIdx="1" presStyleCnt="6"/>
      <dgm:spPr/>
    </dgm:pt>
    <dgm:pt modelId="{26FE463C-0C2E-485B-AAFE-CFD9781BD67B}" type="pres">
      <dgm:prSet presAssocID="{C0399703-7521-4BC6-8EC9-D1EB6376E681}" presName="connectorText" presStyleLbl="sibTrans2D1" presStyleIdx="1" presStyleCnt="6"/>
      <dgm:spPr/>
    </dgm:pt>
    <dgm:pt modelId="{376F0091-3CB4-40C7-B760-9A3EA51E11B0}" type="pres">
      <dgm:prSet presAssocID="{99036B97-78CA-4F82-8851-31D0CACBDDF1}" presName="node" presStyleLbl="node1" presStyleIdx="2" presStyleCnt="7">
        <dgm:presLayoutVars>
          <dgm:bulletEnabled val="1"/>
        </dgm:presLayoutVars>
      </dgm:prSet>
      <dgm:spPr/>
    </dgm:pt>
    <dgm:pt modelId="{7C2B330A-618A-4B58-9694-E1F6BAE8544F}" type="pres">
      <dgm:prSet presAssocID="{CA8D09BE-9800-43B5-A10F-36E22CC8065B}" presName="sibTrans" presStyleLbl="sibTrans2D1" presStyleIdx="2" presStyleCnt="6"/>
      <dgm:spPr/>
    </dgm:pt>
    <dgm:pt modelId="{218EC111-D1FF-4291-BD56-A41AD78D6113}" type="pres">
      <dgm:prSet presAssocID="{CA8D09BE-9800-43B5-A10F-36E22CC8065B}" presName="connectorText" presStyleLbl="sibTrans2D1" presStyleIdx="2" presStyleCnt="6"/>
      <dgm:spPr/>
    </dgm:pt>
    <dgm:pt modelId="{1A929FD6-3D30-493F-AD76-92D34620BC7C}" type="pres">
      <dgm:prSet presAssocID="{A09B6804-EA41-4838-A745-794D2914788F}" presName="node" presStyleLbl="node1" presStyleIdx="3" presStyleCnt="7">
        <dgm:presLayoutVars>
          <dgm:bulletEnabled val="1"/>
        </dgm:presLayoutVars>
      </dgm:prSet>
      <dgm:spPr/>
    </dgm:pt>
    <dgm:pt modelId="{B7ABAD18-64CE-4FBD-83D7-73CFE7C2E330}" type="pres">
      <dgm:prSet presAssocID="{5A90C82D-E375-4D1D-A1A3-BE284EBF79A7}" presName="sibTrans" presStyleLbl="sibTrans2D1" presStyleIdx="3" presStyleCnt="6"/>
      <dgm:spPr/>
    </dgm:pt>
    <dgm:pt modelId="{66743836-E677-4FDD-952D-2FB466FF8EB9}" type="pres">
      <dgm:prSet presAssocID="{5A90C82D-E375-4D1D-A1A3-BE284EBF79A7}" presName="connectorText" presStyleLbl="sibTrans2D1" presStyleIdx="3" presStyleCnt="6"/>
      <dgm:spPr/>
    </dgm:pt>
    <dgm:pt modelId="{2B8D0C9A-CC57-4C24-82C1-4E1EF5EE3F1C}" type="pres">
      <dgm:prSet presAssocID="{A6E3B4B6-EEF0-46C4-AEC8-51E63B66C479}" presName="node" presStyleLbl="node1" presStyleIdx="4" presStyleCnt="7">
        <dgm:presLayoutVars>
          <dgm:bulletEnabled val="1"/>
        </dgm:presLayoutVars>
      </dgm:prSet>
      <dgm:spPr/>
    </dgm:pt>
    <dgm:pt modelId="{F69BD65C-1211-40D1-BCE8-F875B93E8D84}" type="pres">
      <dgm:prSet presAssocID="{DAC6AE1F-76B8-4DFC-932C-A5F5DBE30C00}" presName="sibTrans" presStyleLbl="sibTrans2D1" presStyleIdx="4" presStyleCnt="6"/>
      <dgm:spPr/>
    </dgm:pt>
    <dgm:pt modelId="{46ED43FB-8DE1-45BC-BE37-1A560AD195F2}" type="pres">
      <dgm:prSet presAssocID="{DAC6AE1F-76B8-4DFC-932C-A5F5DBE30C00}" presName="connectorText" presStyleLbl="sibTrans2D1" presStyleIdx="4" presStyleCnt="6"/>
      <dgm:spPr/>
    </dgm:pt>
    <dgm:pt modelId="{86190DFA-8B64-4E2B-92B1-7BB70DEBF96A}" type="pres">
      <dgm:prSet presAssocID="{34D44A6D-1783-4436-B1B7-5EAA7D365614}" presName="node" presStyleLbl="node1" presStyleIdx="5" presStyleCnt="7">
        <dgm:presLayoutVars>
          <dgm:bulletEnabled val="1"/>
        </dgm:presLayoutVars>
      </dgm:prSet>
      <dgm:spPr/>
    </dgm:pt>
    <dgm:pt modelId="{EA9F2248-4A7A-42BE-94CC-CB409B609368}" type="pres">
      <dgm:prSet presAssocID="{F74047C9-C46A-4DC3-ABD7-D760195FFD14}" presName="sibTrans" presStyleLbl="sibTrans2D1" presStyleIdx="5" presStyleCnt="6"/>
      <dgm:spPr/>
    </dgm:pt>
    <dgm:pt modelId="{B9FA450A-BFC1-40DA-9A3C-036C39DF10B8}" type="pres">
      <dgm:prSet presAssocID="{F74047C9-C46A-4DC3-ABD7-D760195FFD14}" presName="connectorText" presStyleLbl="sibTrans2D1" presStyleIdx="5" presStyleCnt="6"/>
      <dgm:spPr/>
    </dgm:pt>
    <dgm:pt modelId="{E57A5373-DB0D-4704-87D9-18FCAAB8E9BB}" type="pres">
      <dgm:prSet presAssocID="{116BBF15-2B56-4633-9EF5-B3049B5144A8}" presName="node" presStyleLbl="node1" presStyleIdx="6" presStyleCnt="7">
        <dgm:presLayoutVars>
          <dgm:bulletEnabled val="1"/>
        </dgm:presLayoutVars>
      </dgm:prSet>
      <dgm:spPr/>
    </dgm:pt>
  </dgm:ptLst>
  <dgm:cxnLst>
    <dgm:cxn modelId="{99CE5213-1647-4735-AC68-6AF6A0BF12A4}" srcId="{053E7E75-28F4-491C-B4C2-B1C1F7AEE013}" destId="{EBF8288D-983C-448C-BFA8-9321EEBE2383}" srcOrd="0" destOrd="0" parTransId="{7CA01415-D8A4-4EDC-8F58-45DC90313E46}" sibTransId="{561659CC-8783-4BAA-B3B0-8C9B206E34D1}"/>
    <dgm:cxn modelId="{1D4D5E1D-2714-46E8-9AF1-FAC0C7C43956}" type="presOf" srcId="{EBF8288D-983C-448C-BFA8-9321EEBE2383}" destId="{D5892D57-AA12-4255-B0AB-658C300CA720}" srcOrd="0" destOrd="0" presId="urn:microsoft.com/office/officeart/2005/8/layout/process1"/>
    <dgm:cxn modelId="{36733A3A-D984-4652-B50B-DB2DE5C5F6E3}" type="presOf" srcId="{053E7E75-28F4-491C-B4C2-B1C1F7AEE013}" destId="{26CDE9E4-ED57-4738-8B41-AF650FDBF585}" srcOrd="0" destOrd="0" presId="urn:microsoft.com/office/officeart/2005/8/layout/process1"/>
    <dgm:cxn modelId="{3DC3333C-FBB5-4D43-8C63-A32D3ECE850E}" type="presOf" srcId="{DAC6AE1F-76B8-4DFC-932C-A5F5DBE30C00}" destId="{46ED43FB-8DE1-45BC-BE37-1A560AD195F2}" srcOrd="1" destOrd="0" presId="urn:microsoft.com/office/officeart/2005/8/layout/process1"/>
    <dgm:cxn modelId="{11487F3C-7EC6-40DE-8DDC-009D5F1D2D49}" srcId="{053E7E75-28F4-491C-B4C2-B1C1F7AEE013}" destId="{116BBF15-2B56-4633-9EF5-B3049B5144A8}" srcOrd="6" destOrd="0" parTransId="{EBECA6FC-5D69-4FE1-8D65-9A24EA8A977D}" sibTransId="{2BB34E4D-B3F9-409D-A1AE-A32E7846611B}"/>
    <dgm:cxn modelId="{9FBD6762-003A-454F-BB19-0BE31F706129}" type="presOf" srcId="{DAC6AE1F-76B8-4DFC-932C-A5F5DBE30C00}" destId="{F69BD65C-1211-40D1-BCE8-F875B93E8D84}" srcOrd="0" destOrd="0" presId="urn:microsoft.com/office/officeart/2005/8/layout/process1"/>
    <dgm:cxn modelId="{B862C866-34F1-4A21-923D-60C040022185}" type="presOf" srcId="{5A90C82D-E375-4D1D-A1A3-BE284EBF79A7}" destId="{66743836-E677-4FDD-952D-2FB466FF8EB9}" srcOrd="1" destOrd="0" presId="urn:microsoft.com/office/officeart/2005/8/layout/process1"/>
    <dgm:cxn modelId="{47D04B4A-B073-4F62-8B24-A08AF5797BCB}" type="presOf" srcId="{F74047C9-C46A-4DC3-ABD7-D760195FFD14}" destId="{B9FA450A-BFC1-40DA-9A3C-036C39DF10B8}" srcOrd="1" destOrd="0" presId="urn:microsoft.com/office/officeart/2005/8/layout/process1"/>
    <dgm:cxn modelId="{8239756A-2853-4673-9701-4E7F471E65D1}" type="presOf" srcId="{99036B97-78CA-4F82-8851-31D0CACBDDF1}" destId="{376F0091-3CB4-40C7-B760-9A3EA51E11B0}" srcOrd="0" destOrd="0" presId="urn:microsoft.com/office/officeart/2005/8/layout/process1"/>
    <dgm:cxn modelId="{476C084D-CB42-434F-843B-99C3D96DBC9A}" type="presOf" srcId="{34D44A6D-1783-4436-B1B7-5EAA7D365614}" destId="{86190DFA-8B64-4E2B-92B1-7BB70DEBF96A}" srcOrd="0" destOrd="0" presId="urn:microsoft.com/office/officeart/2005/8/layout/process1"/>
    <dgm:cxn modelId="{30B1BA51-353F-4AE8-85E7-E8554CC82C14}" type="presOf" srcId="{A09B6804-EA41-4838-A745-794D2914788F}" destId="{1A929FD6-3D30-493F-AD76-92D34620BC7C}" srcOrd="0" destOrd="0" presId="urn:microsoft.com/office/officeart/2005/8/layout/process1"/>
    <dgm:cxn modelId="{5444D553-2EF5-49D4-9A2C-989323AB4B03}" srcId="{053E7E75-28F4-491C-B4C2-B1C1F7AEE013}" destId="{99036B97-78CA-4F82-8851-31D0CACBDDF1}" srcOrd="2" destOrd="0" parTransId="{05F815C2-5DE4-4846-A207-E90172493C18}" sibTransId="{CA8D09BE-9800-43B5-A10F-36E22CC8065B}"/>
    <dgm:cxn modelId="{DA14E273-AC61-4ABC-A4CE-64A1002E978B}" srcId="{053E7E75-28F4-491C-B4C2-B1C1F7AEE013}" destId="{A09B6804-EA41-4838-A745-794D2914788F}" srcOrd="3" destOrd="0" parTransId="{47679775-1662-46DD-BF6B-46727553F116}" sibTransId="{5A90C82D-E375-4D1D-A1A3-BE284EBF79A7}"/>
    <dgm:cxn modelId="{14F81F78-FCAD-445D-AAC2-FDE007FF38C8}" type="presOf" srcId="{6C972EFD-5032-4418-AF73-E009610E3160}" destId="{CA1EE4C8-B554-4D6E-A17D-D5FFCDA26C5A}" srcOrd="0" destOrd="0" presId="urn:microsoft.com/office/officeart/2005/8/layout/process1"/>
    <dgm:cxn modelId="{54FBB378-D3BF-4D1F-8A74-4BD8CFE3806C}" type="presOf" srcId="{C0399703-7521-4BC6-8EC9-D1EB6376E681}" destId="{C3D0C358-9F75-48D1-85CC-FEA24237235F}" srcOrd="0" destOrd="0" presId="urn:microsoft.com/office/officeart/2005/8/layout/process1"/>
    <dgm:cxn modelId="{B3016D8E-87B1-4CB9-8D99-6ACFD62AB5E7}" type="presOf" srcId="{116BBF15-2B56-4633-9EF5-B3049B5144A8}" destId="{E57A5373-DB0D-4704-87D9-18FCAAB8E9BB}" srcOrd="0" destOrd="0" presId="urn:microsoft.com/office/officeart/2005/8/layout/process1"/>
    <dgm:cxn modelId="{7EBF3B9B-FC00-4E23-812B-A8AFE5B2CABA}" srcId="{053E7E75-28F4-491C-B4C2-B1C1F7AEE013}" destId="{34D44A6D-1783-4436-B1B7-5EAA7D365614}" srcOrd="5" destOrd="0" parTransId="{B8D6C781-E877-442F-8BB2-2A2B3E7F5D75}" sibTransId="{F74047C9-C46A-4DC3-ABD7-D760195FFD14}"/>
    <dgm:cxn modelId="{83321F9F-53EE-49B3-9CD7-2E452E983266}" type="presOf" srcId="{A6E3B4B6-EEF0-46C4-AEC8-51E63B66C479}" destId="{2B8D0C9A-CC57-4C24-82C1-4E1EF5EE3F1C}" srcOrd="0" destOrd="0" presId="urn:microsoft.com/office/officeart/2005/8/layout/process1"/>
    <dgm:cxn modelId="{F6307BB5-93CF-42E2-9600-07741BD978F5}" type="presOf" srcId="{CA8D09BE-9800-43B5-A10F-36E22CC8065B}" destId="{7C2B330A-618A-4B58-9694-E1F6BAE8544F}" srcOrd="0" destOrd="0" presId="urn:microsoft.com/office/officeart/2005/8/layout/process1"/>
    <dgm:cxn modelId="{FC9EF6BC-A896-45AE-AB27-EEA4BD3B96D4}" type="presOf" srcId="{5A90C82D-E375-4D1D-A1A3-BE284EBF79A7}" destId="{B7ABAD18-64CE-4FBD-83D7-73CFE7C2E330}" srcOrd="0" destOrd="0" presId="urn:microsoft.com/office/officeart/2005/8/layout/process1"/>
    <dgm:cxn modelId="{01E932C0-1ACE-4C4D-9ED2-08B4C4F7DAD5}" srcId="{053E7E75-28F4-491C-B4C2-B1C1F7AEE013}" destId="{A6E3B4B6-EEF0-46C4-AEC8-51E63B66C479}" srcOrd="4" destOrd="0" parTransId="{31B805CD-E802-4E9A-B34E-F5CEF8489999}" sibTransId="{DAC6AE1F-76B8-4DFC-932C-A5F5DBE30C00}"/>
    <dgm:cxn modelId="{80D092C7-DC30-4371-8360-268DDBFECCD5}" type="presOf" srcId="{CA8D09BE-9800-43B5-A10F-36E22CC8065B}" destId="{218EC111-D1FF-4291-BD56-A41AD78D6113}" srcOrd="1" destOrd="0" presId="urn:microsoft.com/office/officeart/2005/8/layout/process1"/>
    <dgm:cxn modelId="{454EAFD6-7A76-4A24-9112-88BAA8955A06}" type="presOf" srcId="{C0399703-7521-4BC6-8EC9-D1EB6376E681}" destId="{26FE463C-0C2E-485B-AAFE-CFD9781BD67B}" srcOrd="1" destOrd="0" presId="urn:microsoft.com/office/officeart/2005/8/layout/process1"/>
    <dgm:cxn modelId="{3B3CBFDD-7C5A-42FA-ADC8-ECC529A95DEB}" srcId="{053E7E75-28F4-491C-B4C2-B1C1F7AEE013}" destId="{6C972EFD-5032-4418-AF73-E009610E3160}" srcOrd="1" destOrd="0" parTransId="{D35C68C7-8E4B-4648-8EE5-A38FD1A25A37}" sibTransId="{C0399703-7521-4BC6-8EC9-D1EB6376E681}"/>
    <dgm:cxn modelId="{56114DE4-408B-4685-90DB-29C4F77B8950}" type="presOf" srcId="{561659CC-8783-4BAA-B3B0-8C9B206E34D1}" destId="{27CC0B55-BD80-409D-A11D-933D05EF5477}" srcOrd="1" destOrd="0" presId="urn:microsoft.com/office/officeart/2005/8/layout/process1"/>
    <dgm:cxn modelId="{483054E9-B575-448F-A9A3-C22001FA386A}" type="presOf" srcId="{F74047C9-C46A-4DC3-ABD7-D760195FFD14}" destId="{EA9F2248-4A7A-42BE-94CC-CB409B609368}" srcOrd="0" destOrd="0" presId="urn:microsoft.com/office/officeart/2005/8/layout/process1"/>
    <dgm:cxn modelId="{0D1FCEF5-0FD9-4476-BD8D-277A32F5349C}" type="presOf" srcId="{561659CC-8783-4BAA-B3B0-8C9B206E34D1}" destId="{B9AA7DA7-D516-4D88-BB79-468C36D5A6AC}" srcOrd="0" destOrd="0" presId="urn:microsoft.com/office/officeart/2005/8/layout/process1"/>
    <dgm:cxn modelId="{B50A951E-0C59-4FEB-B12F-4E49165ACC73}" type="presParOf" srcId="{26CDE9E4-ED57-4738-8B41-AF650FDBF585}" destId="{D5892D57-AA12-4255-B0AB-658C300CA720}" srcOrd="0" destOrd="0" presId="urn:microsoft.com/office/officeart/2005/8/layout/process1"/>
    <dgm:cxn modelId="{CC5E8FEF-86A0-4519-8442-207782896AAF}" type="presParOf" srcId="{26CDE9E4-ED57-4738-8B41-AF650FDBF585}" destId="{B9AA7DA7-D516-4D88-BB79-468C36D5A6AC}" srcOrd="1" destOrd="0" presId="urn:microsoft.com/office/officeart/2005/8/layout/process1"/>
    <dgm:cxn modelId="{2B5D259D-48B1-4D96-B0C1-3B083DED7A36}" type="presParOf" srcId="{B9AA7DA7-D516-4D88-BB79-468C36D5A6AC}" destId="{27CC0B55-BD80-409D-A11D-933D05EF5477}" srcOrd="0" destOrd="0" presId="urn:microsoft.com/office/officeart/2005/8/layout/process1"/>
    <dgm:cxn modelId="{944B483F-8F31-4E53-BEE7-BC6089DDACA4}" type="presParOf" srcId="{26CDE9E4-ED57-4738-8B41-AF650FDBF585}" destId="{CA1EE4C8-B554-4D6E-A17D-D5FFCDA26C5A}" srcOrd="2" destOrd="0" presId="urn:microsoft.com/office/officeart/2005/8/layout/process1"/>
    <dgm:cxn modelId="{A5DBADF1-D98C-4426-B0A8-FA35EFF82737}" type="presParOf" srcId="{26CDE9E4-ED57-4738-8B41-AF650FDBF585}" destId="{C3D0C358-9F75-48D1-85CC-FEA24237235F}" srcOrd="3" destOrd="0" presId="urn:microsoft.com/office/officeart/2005/8/layout/process1"/>
    <dgm:cxn modelId="{BF4EFFFB-E4A6-4E21-9029-BC7DCCD58D31}" type="presParOf" srcId="{C3D0C358-9F75-48D1-85CC-FEA24237235F}" destId="{26FE463C-0C2E-485B-AAFE-CFD9781BD67B}" srcOrd="0" destOrd="0" presId="urn:microsoft.com/office/officeart/2005/8/layout/process1"/>
    <dgm:cxn modelId="{033EF3B4-8B62-4484-BD41-ABB651D92037}" type="presParOf" srcId="{26CDE9E4-ED57-4738-8B41-AF650FDBF585}" destId="{376F0091-3CB4-40C7-B760-9A3EA51E11B0}" srcOrd="4" destOrd="0" presId="urn:microsoft.com/office/officeart/2005/8/layout/process1"/>
    <dgm:cxn modelId="{7B57727A-B851-47F6-9DF9-CFAC473EC5AE}" type="presParOf" srcId="{26CDE9E4-ED57-4738-8B41-AF650FDBF585}" destId="{7C2B330A-618A-4B58-9694-E1F6BAE8544F}" srcOrd="5" destOrd="0" presId="urn:microsoft.com/office/officeart/2005/8/layout/process1"/>
    <dgm:cxn modelId="{55300436-BA90-4493-B6ED-EEDF430E8A51}" type="presParOf" srcId="{7C2B330A-618A-4B58-9694-E1F6BAE8544F}" destId="{218EC111-D1FF-4291-BD56-A41AD78D6113}" srcOrd="0" destOrd="0" presId="urn:microsoft.com/office/officeart/2005/8/layout/process1"/>
    <dgm:cxn modelId="{3F80DA85-B119-42DA-86C6-6A3BB3B04F00}" type="presParOf" srcId="{26CDE9E4-ED57-4738-8B41-AF650FDBF585}" destId="{1A929FD6-3D30-493F-AD76-92D34620BC7C}" srcOrd="6" destOrd="0" presId="urn:microsoft.com/office/officeart/2005/8/layout/process1"/>
    <dgm:cxn modelId="{DB87985C-3FE7-44F7-9F20-9B94FDDDCADD}" type="presParOf" srcId="{26CDE9E4-ED57-4738-8B41-AF650FDBF585}" destId="{B7ABAD18-64CE-4FBD-83D7-73CFE7C2E330}" srcOrd="7" destOrd="0" presId="urn:microsoft.com/office/officeart/2005/8/layout/process1"/>
    <dgm:cxn modelId="{18D79EA9-C574-4F86-8EFD-5363C451FFC2}" type="presParOf" srcId="{B7ABAD18-64CE-4FBD-83D7-73CFE7C2E330}" destId="{66743836-E677-4FDD-952D-2FB466FF8EB9}" srcOrd="0" destOrd="0" presId="urn:microsoft.com/office/officeart/2005/8/layout/process1"/>
    <dgm:cxn modelId="{E8EFE5AF-D84E-4F71-A0DC-7C92A324F803}" type="presParOf" srcId="{26CDE9E4-ED57-4738-8B41-AF650FDBF585}" destId="{2B8D0C9A-CC57-4C24-82C1-4E1EF5EE3F1C}" srcOrd="8" destOrd="0" presId="urn:microsoft.com/office/officeart/2005/8/layout/process1"/>
    <dgm:cxn modelId="{06E42122-26C7-4514-A1D9-DA0CB837CF06}" type="presParOf" srcId="{26CDE9E4-ED57-4738-8B41-AF650FDBF585}" destId="{F69BD65C-1211-40D1-BCE8-F875B93E8D84}" srcOrd="9" destOrd="0" presId="urn:microsoft.com/office/officeart/2005/8/layout/process1"/>
    <dgm:cxn modelId="{34D17C59-C2AB-4A1C-8267-58EC255BA6DD}" type="presParOf" srcId="{F69BD65C-1211-40D1-BCE8-F875B93E8D84}" destId="{46ED43FB-8DE1-45BC-BE37-1A560AD195F2}" srcOrd="0" destOrd="0" presId="urn:microsoft.com/office/officeart/2005/8/layout/process1"/>
    <dgm:cxn modelId="{73D6345F-5C36-40A3-BCAE-C02BE0E08F38}" type="presParOf" srcId="{26CDE9E4-ED57-4738-8B41-AF650FDBF585}" destId="{86190DFA-8B64-4E2B-92B1-7BB70DEBF96A}" srcOrd="10" destOrd="0" presId="urn:microsoft.com/office/officeart/2005/8/layout/process1"/>
    <dgm:cxn modelId="{E6E10860-C60B-485B-B3D0-7DB7E18213A4}" type="presParOf" srcId="{26CDE9E4-ED57-4738-8B41-AF650FDBF585}" destId="{EA9F2248-4A7A-42BE-94CC-CB409B609368}" srcOrd="11" destOrd="0" presId="urn:microsoft.com/office/officeart/2005/8/layout/process1"/>
    <dgm:cxn modelId="{28E9A931-1334-4762-882F-D33C0B0867C6}" type="presParOf" srcId="{EA9F2248-4A7A-42BE-94CC-CB409B609368}" destId="{B9FA450A-BFC1-40DA-9A3C-036C39DF10B8}" srcOrd="0" destOrd="0" presId="urn:microsoft.com/office/officeart/2005/8/layout/process1"/>
    <dgm:cxn modelId="{68DF8C96-3CE3-42CE-A2D7-5EC22FE8D93D}" type="presParOf" srcId="{26CDE9E4-ED57-4738-8B41-AF650FDBF585}" destId="{E57A5373-DB0D-4704-87D9-18FCAAB8E9BB}" srcOrd="12" destOrd="0" presId="urn:microsoft.com/office/officeart/2005/8/layout/process1"/>
  </dgm:cxnLst>
  <dgm:bg/>
  <dgm:whole/>
  <dgm:extLst>
    <a:ext uri="http://schemas.microsoft.com/office/drawing/2008/diagram">
      <dsp:dataModelExt xmlns:dsp="http://schemas.microsoft.com/office/drawing/2008/diagram" relId="rId6" minVer="http://schemas.openxmlformats.org/drawingml/2006/diagram"/>
    </a:ext>
    <a:ext uri="{C62137D5-CB1D-491B-B009-E17868A290BF}">
      <dgm14:recolorImg xmlns:dgm14="http://schemas.microsoft.com/office/drawing/2010/diagram" val="1"/>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D5892D57-AA12-4255-B0AB-658C300CA720}">
      <dsp:nvSpPr>
        <dsp:cNvPr id="0" name=""/>
        <dsp:cNvSpPr/>
      </dsp:nvSpPr>
      <dsp:spPr>
        <a:xfrm>
          <a:off x="3256" y="689250"/>
          <a:ext cx="1233098" cy="739859"/>
        </a:xfrm>
        <a:prstGeom prst="roundRect">
          <a:avLst>
            <a:gd name="adj" fmla="val 10000"/>
          </a:avLst>
        </a:prstGeom>
        <a:solidFill>
          <a:schemeClr val="accent2">
            <a:lumMod val="20000"/>
            <a:lumOff val="80000"/>
          </a:schemeClr>
        </a:solidFill>
        <a:ln w="1905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IN" sz="1400" b="1" i="1" kern="1200">
              <a:solidFill>
                <a:schemeClr val="tx1">
                  <a:lumMod val="95000"/>
                  <a:lumOff val="5000"/>
                </a:schemeClr>
              </a:solidFill>
            </a:rPr>
            <a:t>Revenue Segments</a:t>
          </a:r>
        </a:p>
      </dsp:txBody>
      <dsp:txXfrm>
        <a:off x="24926" y="710920"/>
        <a:ext cx="1189758" cy="696519"/>
      </dsp:txXfrm>
    </dsp:sp>
    <dsp:sp modelId="{B9AA7DA7-D516-4D88-BB79-468C36D5A6AC}">
      <dsp:nvSpPr>
        <dsp:cNvPr id="0" name=""/>
        <dsp:cNvSpPr/>
      </dsp:nvSpPr>
      <dsp:spPr>
        <a:xfrm>
          <a:off x="1359664" y="906275"/>
          <a:ext cx="261416" cy="305808"/>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577850">
            <a:lnSpc>
              <a:spcPct val="90000"/>
            </a:lnSpc>
            <a:spcBef>
              <a:spcPct val="0"/>
            </a:spcBef>
            <a:spcAft>
              <a:spcPct val="35000"/>
            </a:spcAft>
            <a:buNone/>
          </a:pPr>
          <a:endParaRPr lang="en-IN" sz="1300" kern="1200">
            <a:solidFill>
              <a:schemeClr val="bg1"/>
            </a:solidFill>
          </a:endParaRPr>
        </a:p>
      </dsp:txBody>
      <dsp:txXfrm>
        <a:off x="1359664" y="967437"/>
        <a:ext cx="182991" cy="183484"/>
      </dsp:txXfrm>
    </dsp:sp>
    <dsp:sp modelId="{CA1EE4C8-B554-4D6E-A17D-D5FFCDA26C5A}">
      <dsp:nvSpPr>
        <dsp:cNvPr id="0" name=""/>
        <dsp:cNvSpPr/>
      </dsp:nvSpPr>
      <dsp:spPr>
        <a:xfrm>
          <a:off x="1729594" y="689250"/>
          <a:ext cx="1233098" cy="739859"/>
        </a:xfrm>
        <a:prstGeom prst="roundRect">
          <a:avLst>
            <a:gd name="adj" fmla="val 10000"/>
          </a:avLst>
        </a:prstGeom>
        <a:solidFill>
          <a:schemeClr val="accent2">
            <a:lumMod val="20000"/>
            <a:lumOff val="80000"/>
          </a:schemeClr>
        </a:solidFill>
        <a:ln w="1905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IN" sz="1400" b="1" i="1" kern="1200">
              <a:solidFill>
                <a:schemeClr val="tx1">
                  <a:lumMod val="95000"/>
                  <a:lumOff val="5000"/>
                </a:schemeClr>
              </a:solidFill>
            </a:rPr>
            <a:t>Income Statement</a:t>
          </a:r>
        </a:p>
      </dsp:txBody>
      <dsp:txXfrm>
        <a:off x="1751264" y="710920"/>
        <a:ext cx="1189758" cy="696519"/>
      </dsp:txXfrm>
    </dsp:sp>
    <dsp:sp modelId="{C3D0C358-9F75-48D1-85CC-FEA24237235F}">
      <dsp:nvSpPr>
        <dsp:cNvPr id="0" name=""/>
        <dsp:cNvSpPr/>
      </dsp:nvSpPr>
      <dsp:spPr>
        <a:xfrm>
          <a:off x="3086002" y="906275"/>
          <a:ext cx="261416" cy="305808"/>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577850">
            <a:lnSpc>
              <a:spcPct val="90000"/>
            </a:lnSpc>
            <a:spcBef>
              <a:spcPct val="0"/>
            </a:spcBef>
            <a:spcAft>
              <a:spcPct val="35000"/>
            </a:spcAft>
            <a:buNone/>
          </a:pPr>
          <a:endParaRPr lang="en-IN" sz="1300" kern="1200">
            <a:solidFill>
              <a:schemeClr val="bg1"/>
            </a:solidFill>
          </a:endParaRPr>
        </a:p>
      </dsp:txBody>
      <dsp:txXfrm>
        <a:off x="3086002" y="967437"/>
        <a:ext cx="182991" cy="183484"/>
      </dsp:txXfrm>
    </dsp:sp>
    <dsp:sp modelId="{376F0091-3CB4-40C7-B760-9A3EA51E11B0}">
      <dsp:nvSpPr>
        <dsp:cNvPr id="0" name=""/>
        <dsp:cNvSpPr/>
      </dsp:nvSpPr>
      <dsp:spPr>
        <a:xfrm>
          <a:off x="3455932" y="689250"/>
          <a:ext cx="1233098" cy="739859"/>
        </a:xfrm>
        <a:prstGeom prst="roundRect">
          <a:avLst>
            <a:gd name="adj" fmla="val 10000"/>
          </a:avLst>
        </a:prstGeom>
        <a:solidFill>
          <a:schemeClr val="accent2">
            <a:lumMod val="20000"/>
            <a:lumOff val="80000"/>
          </a:schemeClr>
        </a:solidFill>
        <a:ln w="1905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IN" sz="1400" b="1" i="1" kern="1200">
              <a:solidFill>
                <a:schemeClr val="tx1">
                  <a:lumMod val="95000"/>
                  <a:lumOff val="5000"/>
                </a:schemeClr>
              </a:solidFill>
            </a:rPr>
            <a:t>Balance Sheet</a:t>
          </a:r>
        </a:p>
      </dsp:txBody>
      <dsp:txXfrm>
        <a:off x="3477602" y="710920"/>
        <a:ext cx="1189758" cy="696519"/>
      </dsp:txXfrm>
    </dsp:sp>
    <dsp:sp modelId="{7C2B330A-618A-4B58-9694-E1F6BAE8544F}">
      <dsp:nvSpPr>
        <dsp:cNvPr id="0" name=""/>
        <dsp:cNvSpPr/>
      </dsp:nvSpPr>
      <dsp:spPr>
        <a:xfrm>
          <a:off x="4812341" y="906275"/>
          <a:ext cx="261416" cy="305808"/>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577850">
            <a:lnSpc>
              <a:spcPct val="90000"/>
            </a:lnSpc>
            <a:spcBef>
              <a:spcPct val="0"/>
            </a:spcBef>
            <a:spcAft>
              <a:spcPct val="35000"/>
            </a:spcAft>
            <a:buNone/>
          </a:pPr>
          <a:endParaRPr lang="en-IN" sz="1300" kern="1200">
            <a:solidFill>
              <a:schemeClr val="bg1"/>
            </a:solidFill>
          </a:endParaRPr>
        </a:p>
      </dsp:txBody>
      <dsp:txXfrm>
        <a:off x="4812341" y="967437"/>
        <a:ext cx="182991" cy="183484"/>
      </dsp:txXfrm>
    </dsp:sp>
    <dsp:sp modelId="{1A929FD6-3D30-493F-AD76-92D34620BC7C}">
      <dsp:nvSpPr>
        <dsp:cNvPr id="0" name=""/>
        <dsp:cNvSpPr/>
      </dsp:nvSpPr>
      <dsp:spPr>
        <a:xfrm>
          <a:off x="5182270" y="689250"/>
          <a:ext cx="1233098" cy="739859"/>
        </a:xfrm>
        <a:prstGeom prst="roundRect">
          <a:avLst>
            <a:gd name="adj" fmla="val 10000"/>
          </a:avLst>
        </a:prstGeom>
        <a:solidFill>
          <a:schemeClr val="accent2">
            <a:lumMod val="20000"/>
            <a:lumOff val="80000"/>
          </a:schemeClr>
        </a:solidFill>
        <a:ln w="1905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IN" sz="1400" b="1" i="1" kern="1200">
              <a:solidFill>
                <a:schemeClr val="tx1">
                  <a:lumMod val="95000"/>
                  <a:lumOff val="5000"/>
                </a:schemeClr>
              </a:solidFill>
            </a:rPr>
            <a:t>Cash Flow Statement</a:t>
          </a:r>
        </a:p>
      </dsp:txBody>
      <dsp:txXfrm>
        <a:off x="5203940" y="710920"/>
        <a:ext cx="1189758" cy="696519"/>
      </dsp:txXfrm>
    </dsp:sp>
    <dsp:sp modelId="{B7ABAD18-64CE-4FBD-83D7-73CFE7C2E330}">
      <dsp:nvSpPr>
        <dsp:cNvPr id="0" name=""/>
        <dsp:cNvSpPr/>
      </dsp:nvSpPr>
      <dsp:spPr>
        <a:xfrm>
          <a:off x="6538679" y="906275"/>
          <a:ext cx="261416" cy="305808"/>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577850">
            <a:lnSpc>
              <a:spcPct val="90000"/>
            </a:lnSpc>
            <a:spcBef>
              <a:spcPct val="0"/>
            </a:spcBef>
            <a:spcAft>
              <a:spcPct val="35000"/>
            </a:spcAft>
            <a:buNone/>
          </a:pPr>
          <a:endParaRPr lang="en-IN" sz="1300" kern="1200">
            <a:solidFill>
              <a:schemeClr val="bg1"/>
            </a:solidFill>
          </a:endParaRPr>
        </a:p>
      </dsp:txBody>
      <dsp:txXfrm>
        <a:off x="6538679" y="967437"/>
        <a:ext cx="182991" cy="183484"/>
      </dsp:txXfrm>
    </dsp:sp>
    <dsp:sp modelId="{2B8D0C9A-CC57-4C24-82C1-4E1EF5EE3F1C}">
      <dsp:nvSpPr>
        <dsp:cNvPr id="0" name=""/>
        <dsp:cNvSpPr/>
      </dsp:nvSpPr>
      <dsp:spPr>
        <a:xfrm>
          <a:off x="6908608" y="689250"/>
          <a:ext cx="1233098" cy="739859"/>
        </a:xfrm>
        <a:prstGeom prst="roundRect">
          <a:avLst>
            <a:gd name="adj" fmla="val 10000"/>
          </a:avLst>
        </a:prstGeom>
        <a:solidFill>
          <a:schemeClr val="accent2">
            <a:lumMod val="20000"/>
            <a:lumOff val="80000"/>
          </a:schemeClr>
        </a:solidFill>
        <a:ln w="1905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IN" sz="1400" b="1" i="1" kern="1200">
              <a:solidFill>
                <a:schemeClr val="tx1">
                  <a:lumMod val="95000"/>
                  <a:lumOff val="5000"/>
                </a:schemeClr>
              </a:solidFill>
            </a:rPr>
            <a:t>Extra Calculations</a:t>
          </a:r>
        </a:p>
      </dsp:txBody>
      <dsp:txXfrm>
        <a:off x="6930278" y="710920"/>
        <a:ext cx="1189758" cy="696519"/>
      </dsp:txXfrm>
    </dsp:sp>
    <dsp:sp modelId="{F69BD65C-1211-40D1-BCE8-F875B93E8D84}">
      <dsp:nvSpPr>
        <dsp:cNvPr id="0" name=""/>
        <dsp:cNvSpPr/>
      </dsp:nvSpPr>
      <dsp:spPr>
        <a:xfrm>
          <a:off x="8265017" y="906275"/>
          <a:ext cx="261416" cy="305808"/>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577850">
            <a:lnSpc>
              <a:spcPct val="90000"/>
            </a:lnSpc>
            <a:spcBef>
              <a:spcPct val="0"/>
            </a:spcBef>
            <a:spcAft>
              <a:spcPct val="35000"/>
            </a:spcAft>
            <a:buNone/>
          </a:pPr>
          <a:endParaRPr lang="en-IN" sz="1300" kern="1200">
            <a:solidFill>
              <a:schemeClr val="bg1"/>
            </a:solidFill>
          </a:endParaRPr>
        </a:p>
      </dsp:txBody>
      <dsp:txXfrm>
        <a:off x="8265017" y="967437"/>
        <a:ext cx="182991" cy="183484"/>
      </dsp:txXfrm>
    </dsp:sp>
    <dsp:sp modelId="{86190DFA-8B64-4E2B-92B1-7BB70DEBF96A}">
      <dsp:nvSpPr>
        <dsp:cNvPr id="0" name=""/>
        <dsp:cNvSpPr/>
      </dsp:nvSpPr>
      <dsp:spPr>
        <a:xfrm>
          <a:off x="8634946" y="689250"/>
          <a:ext cx="1233098" cy="739859"/>
        </a:xfrm>
        <a:prstGeom prst="roundRect">
          <a:avLst>
            <a:gd name="adj" fmla="val 10000"/>
          </a:avLst>
        </a:prstGeom>
        <a:solidFill>
          <a:schemeClr val="accent2">
            <a:lumMod val="20000"/>
            <a:lumOff val="80000"/>
          </a:schemeClr>
        </a:solidFill>
        <a:ln w="1905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IN" sz="1400" b="1" i="1" kern="1200">
              <a:solidFill>
                <a:schemeClr val="tx1">
                  <a:lumMod val="95000"/>
                  <a:lumOff val="5000"/>
                </a:schemeClr>
              </a:solidFill>
            </a:rPr>
            <a:t>Fixed Asset Schedule</a:t>
          </a:r>
        </a:p>
      </dsp:txBody>
      <dsp:txXfrm>
        <a:off x="8656616" y="710920"/>
        <a:ext cx="1189758" cy="696519"/>
      </dsp:txXfrm>
    </dsp:sp>
    <dsp:sp modelId="{EA9F2248-4A7A-42BE-94CC-CB409B609368}">
      <dsp:nvSpPr>
        <dsp:cNvPr id="0" name=""/>
        <dsp:cNvSpPr/>
      </dsp:nvSpPr>
      <dsp:spPr>
        <a:xfrm>
          <a:off x="9991355" y="906275"/>
          <a:ext cx="261416" cy="305808"/>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577850">
            <a:lnSpc>
              <a:spcPct val="90000"/>
            </a:lnSpc>
            <a:spcBef>
              <a:spcPct val="0"/>
            </a:spcBef>
            <a:spcAft>
              <a:spcPct val="35000"/>
            </a:spcAft>
            <a:buNone/>
          </a:pPr>
          <a:endParaRPr lang="en-IN" sz="1300" kern="1200">
            <a:solidFill>
              <a:schemeClr val="bg1"/>
            </a:solidFill>
          </a:endParaRPr>
        </a:p>
      </dsp:txBody>
      <dsp:txXfrm>
        <a:off x="9991355" y="967437"/>
        <a:ext cx="182991" cy="183484"/>
      </dsp:txXfrm>
    </dsp:sp>
    <dsp:sp modelId="{E57A5373-DB0D-4704-87D9-18FCAAB8E9BB}">
      <dsp:nvSpPr>
        <dsp:cNvPr id="0" name=""/>
        <dsp:cNvSpPr/>
      </dsp:nvSpPr>
      <dsp:spPr>
        <a:xfrm>
          <a:off x="10361285" y="689250"/>
          <a:ext cx="1233098" cy="739859"/>
        </a:xfrm>
        <a:prstGeom prst="roundRect">
          <a:avLst>
            <a:gd name="adj" fmla="val 10000"/>
          </a:avLst>
        </a:prstGeom>
        <a:solidFill>
          <a:schemeClr val="accent2">
            <a:lumMod val="20000"/>
            <a:lumOff val="80000"/>
          </a:schemeClr>
        </a:solidFill>
        <a:ln w="1905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IN" sz="1400" b="1" i="1" kern="1200">
              <a:solidFill>
                <a:schemeClr val="tx1">
                  <a:lumMod val="95000"/>
                  <a:lumOff val="5000"/>
                </a:schemeClr>
              </a:solidFill>
            </a:rPr>
            <a:t>Debt Schedule</a:t>
          </a:r>
        </a:p>
      </dsp:txBody>
      <dsp:txXfrm>
        <a:off x="10382955" y="710920"/>
        <a:ext cx="1189758" cy="696519"/>
      </dsp:txXfrm>
    </dsp:sp>
  </dsp:spTree>
</dsp:drawing>
</file>

<file path=xl/diagrams/layout1.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Layout" Target="../diagrams/layout1.xml"/><Relationship Id="rId2" Type="http://schemas.openxmlformats.org/officeDocument/2006/relationships/diagramData" Target="../diagrams/data1.xml"/><Relationship Id="rId1" Type="http://schemas.openxmlformats.org/officeDocument/2006/relationships/image" Target="../media/image1.png"/><Relationship Id="rId6" Type="http://schemas.microsoft.com/office/2007/relationships/diagramDrawing" Target="../diagrams/drawing1.xml"/><Relationship Id="rId5" Type="http://schemas.openxmlformats.org/officeDocument/2006/relationships/diagramColors" Target="../diagrams/colors1.xml"/><Relationship Id="rId4" Type="http://schemas.openxmlformats.org/officeDocument/2006/relationships/diagramQuickStyle" Target="../diagrams/quickStyl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gnizant&gt;&gt;'!A1"/></Relationships>
</file>

<file path=xl/drawings/_rels/drawing3.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1.png"/><Relationship Id="rId1" Type="http://schemas.openxmlformats.org/officeDocument/2006/relationships/hyperlink" Target="#'Cognizant&gt;&gt;'!A1"/></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gnizant&gt;&gt;'!A1"/></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gnizant&gt;&gt;'!A1"/></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gnizant&gt;&gt;'!A1"/></Relationships>
</file>

<file path=xl/drawings/_rels/drawing7.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Cognizant&gt;&gt;'!A1"/></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7620</xdr:colOff>
      <xdr:row>0</xdr:row>
      <xdr:rowOff>7620</xdr:rowOff>
    </xdr:from>
    <xdr:to>
      <xdr:col>19</xdr:col>
      <xdr:colOff>304800</xdr:colOff>
      <xdr:row>8</xdr:row>
      <xdr:rowOff>114300</xdr:rowOff>
    </xdr:to>
    <xdr:pic>
      <xdr:nvPicPr>
        <xdr:cNvPr id="2" name="Picture 1">
          <a:extLst>
            <a:ext uri="{FF2B5EF4-FFF2-40B4-BE49-F238E27FC236}">
              <a16:creationId xmlns:a16="http://schemas.microsoft.com/office/drawing/2014/main" id="{C7AD0A30-A556-43DA-BACD-DE69EF0E77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4780" y="7620"/>
          <a:ext cx="13098780" cy="1569720"/>
        </a:xfrm>
        <a:prstGeom prst="rect">
          <a:avLst/>
        </a:prstGeom>
      </xdr:spPr>
    </xdr:pic>
    <xdr:clientData/>
  </xdr:twoCellAnchor>
  <xdr:twoCellAnchor>
    <xdr:from>
      <xdr:col>3</xdr:col>
      <xdr:colOff>22860</xdr:colOff>
      <xdr:row>8</xdr:row>
      <xdr:rowOff>129540</xdr:rowOff>
    </xdr:from>
    <xdr:to>
      <xdr:col>20</xdr:col>
      <xdr:colOff>91440</xdr:colOff>
      <xdr:row>17</xdr:row>
      <xdr:rowOff>121920</xdr:rowOff>
    </xdr:to>
    <xdr:graphicFrame macro="">
      <xdr:nvGraphicFramePr>
        <xdr:cNvPr id="3" name="Diagram 2">
          <a:extLst>
            <a:ext uri="{FF2B5EF4-FFF2-40B4-BE49-F238E27FC236}">
              <a16:creationId xmlns:a16="http://schemas.microsoft.com/office/drawing/2014/main" id="{A9A50C42-1F73-2235-3077-707468759B43}"/>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 r:lo="rId3" r:qs="rId4" r:cs="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12701</xdr:colOff>
      <xdr:row>0</xdr:row>
      <xdr:rowOff>133351</xdr:rowOff>
    </xdr:from>
    <xdr:to>
      <xdr:col>3</xdr:col>
      <xdr:colOff>55019</xdr:colOff>
      <xdr:row>2</xdr:row>
      <xdr:rowOff>163830</xdr:rowOff>
    </xdr:to>
    <xdr:pic>
      <xdr:nvPicPr>
        <xdr:cNvPr id="3" name="Picture 2">
          <a:hlinkClick xmlns:r="http://schemas.openxmlformats.org/officeDocument/2006/relationships" r:id="rId1"/>
          <a:extLst>
            <a:ext uri="{FF2B5EF4-FFF2-40B4-BE49-F238E27FC236}">
              <a16:creationId xmlns:a16="http://schemas.microsoft.com/office/drawing/2014/main" id="{EF945390-F977-DC4E-7B14-A8AC961F011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8751" y="133351"/>
          <a:ext cx="2048918" cy="39877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137159</xdr:colOff>
      <xdr:row>0</xdr:row>
      <xdr:rowOff>0</xdr:rowOff>
    </xdr:from>
    <xdr:to>
      <xdr:col>1</xdr:col>
      <xdr:colOff>2664199</xdr:colOff>
      <xdr:row>2</xdr:row>
      <xdr:rowOff>152400</xdr:rowOff>
    </xdr:to>
    <xdr:pic>
      <xdr:nvPicPr>
        <xdr:cNvPr id="2" name="Picture 1">
          <a:hlinkClick xmlns:r="http://schemas.openxmlformats.org/officeDocument/2006/relationships" r:id="rId1"/>
          <a:extLst>
            <a:ext uri="{FF2B5EF4-FFF2-40B4-BE49-F238E27FC236}">
              <a16:creationId xmlns:a16="http://schemas.microsoft.com/office/drawing/2014/main" id="{C13A0FD6-7405-4050-9256-B775191A50E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7159" y="0"/>
          <a:ext cx="2662295" cy="518160"/>
        </a:xfrm>
        <a:prstGeom prst="rect">
          <a:avLst/>
        </a:prstGeom>
      </xdr:spPr>
    </xdr:pic>
    <xdr:clientData/>
  </xdr:twoCellAnchor>
  <xdr:twoCellAnchor>
    <xdr:from>
      <xdr:col>1</xdr:col>
      <xdr:colOff>0</xdr:colOff>
      <xdr:row>84</xdr:row>
      <xdr:rowOff>137160</xdr:rowOff>
    </xdr:from>
    <xdr:to>
      <xdr:col>4</xdr:col>
      <xdr:colOff>388620</xdr:colOff>
      <xdr:row>105</xdr:row>
      <xdr:rowOff>114300</xdr:rowOff>
    </xdr:to>
    <xdr:graphicFrame macro="">
      <xdr:nvGraphicFramePr>
        <xdr:cNvPr id="5" name="Chart 4">
          <a:extLst>
            <a:ext uri="{FF2B5EF4-FFF2-40B4-BE49-F238E27FC236}">
              <a16:creationId xmlns:a16="http://schemas.microsoft.com/office/drawing/2014/main" id="{9F086B9C-210F-4B0A-83A5-4AB9E17BD7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22859</xdr:colOff>
      <xdr:row>0</xdr:row>
      <xdr:rowOff>0</xdr:rowOff>
    </xdr:from>
    <xdr:to>
      <xdr:col>3</xdr:col>
      <xdr:colOff>45720</xdr:colOff>
      <xdr:row>3</xdr:row>
      <xdr:rowOff>29345</xdr:rowOff>
    </xdr:to>
    <xdr:pic>
      <xdr:nvPicPr>
        <xdr:cNvPr id="2" name="Picture 1">
          <a:hlinkClick xmlns:r="http://schemas.openxmlformats.org/officeDocument/2006/relationships" r:id="rId1"/>
          <a:extLst>
            <a:ext uri="{FF2B5EF4-FFF2-40B4-BE49-F238E27FC236}">
              <a16:creationId xmlns:a16="http://schemas.microsoft.com/office/drawing/2014/main" id="{2099BB6B-BD4D-4226-9944-629D1D81F9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05739" y="0"/>
          <a:ext cx="2971801" cy="57798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30480</xdr:colOff>
      <xdr:row>0</xdr:row>
      <xdr:rowOff>30481</xdr:rowOff>
    </xdr:from>
    <xdr:to>
      <xdr:col>2</xdr:col>
      <xdr:colOff>769620</xdr:colOff>
      <xdr:row>2</xdr:row>
      <xdr:rowOff>137161</xdr:rowOff>
    </xdr:to>
    <xdr:pic>
      <xdr:nvPicPr>
        <xdr:cNvPr id="2" name="Picture 1">
          <a:hlinkClick xmlns:r="http://schemas.openxmlformats.org/officeDocument/2006/relationships" r:id="rId1"/>
          <a:extLst>
            <a:ext uri="{FF2B5EF4-FFF2-40B4-BE49-F238E27FC236}">
              <a16:creationId xmlns:a16="http://schemas.microsoft.com/office/drawing/2014/main" id="{C518FF97-AB33-4A4E-9942-D39F75C3F16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2880" y="30481"/>
          <a:ext cx="2773680" cy="47244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5</xdr:col>
      <xdr:colOff>343338</xdr:colOff>
      <xdr:row>3</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BF8E6F9C-1ADC-4844-BB9B-C594EF16BAC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8120" y="0"/>
          <a:ext cx="2781738" cy="54102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22860</xdr:rowOff>
    </xdr:from>
    <xdr:to>
      <xdr:col>2</xdr:col>
      <xdr:colOff>408680</xdr:colOff>
      <xdr:row>3</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0F7148AF-A393-4FF0-ACF7-E28090781B4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7160" y="22860"/>
          <a:ext cx="2664200" cy="5181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5</xdr:col>
      <xdr:colOff>891540</xdr:colOff>
      <xdr:row>3</xdr:row>
      <xdr:rowOff>37608</xdr:rowOff>
    </xdr:to>
    <xdr:pic>
      <xdr:nvPicPr>
        <xdr:cNvPr id="2" name="Picture 1">
          <a:extLst>
            <a:ext uri="{FF2B5EF4-FFF2-40B4-BE49-F238E27FC236}">
              <a16:creationId xmlns:a16="http://schemas.microsoft.com/office/drawing/2014/main" id="{83E6848E-2495-4F5D-825E-80940F03F1B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7640" y="0"/>
          <a:ext cx="4892040" cy="58624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7620</xdr:colOff>
      <xdr:row>0</xdr:row>
      <xdr:rowOff>45720</xdr:rowOff>
    </xdr:from>
    <xdr:to>
      <xdr:col>8</xdr:col>
      <xdr:colOff>373380</xdr:colOff>
      <xdr:row>3</xdr:row>
      <xdr:rowOff>83328</xdr:rowOff>
    </xdr:to>
    <xdr:pic>
      <xdr:nvPicPr>
        <xdr:cNvPr id="2" name="Picture 1">
          <a:extLst>
            <a:ext uri="{FF2B5EF4-FFF2-40B4-BE49-F238E27FC236}">
              <a16:creationId xmlns:a16="http://schemas.microsoft.com/office/drawing/2014/main" id="{E2F79E60-DB85-43F3-BB93-0AA124A0BCC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7640" y="45720"/>
          <a:ext cx="4892040" cy="586248"/>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45720</xdr:colOff>
      <xdr:row>0</xdr:row>
      <xdr:rowOff>38100</xdr:rowOff>
    </xdr:from>
    <xdr:to>
      <xdr:col>8</xdr:col>
      <xdr:colOff>304800</xdr:colOff>
      <xdr:row>3</xdr:row>
      <xdr:rowOff>75708</xdr:rowOff>
    </xdr:to>
    <xdr:pic>
      <xdr:nvPicPr>
        <xdr:cNvPr id="2" name="Picture 1">
          <a:extLst>
            <a:ext uri="{FF2B5EF4-FFF2-40B4-BE49-F238E27FC236}">
              <a16:creationId xmlns:a16="http://schemas.microsoft.com/office/drawing/2014/main" id="{CFFD6427-6535-4E2B-8CA2-8DBEF8BCA8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5320" y="38100"/>
          <a:ext cx="4892040" cy="586248"/>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60960</xdr:colOff>
      <xdr:row>0</xdr:row>
      <xdr:rowOff>106680</xdr:rowOff>
    </xdr:from>
    <xdr:to>
      <xdr:col>5</xdr:col>
      <xdr:colOff>586740</xdr:colOff>
      <xdr:row>3</xdr:row>
      <xdr:rowOff>144288</xdr:rowOff>
    </xdr:to>
    <xdr:pic>
      <xdr:nvPicPr>
        <xdr:cNvPr id="2" name="Picture 1">
          <a:extLst>
            <a:ext uri="{FF2B5EF4-FFF2-40B4-BE49-F238E27FC236}">
              <a16:creationId xmlns:a16="http://schemas.microsoft.com/office/drawing/2014/main" id="{EB219C68-3FFA-4B1A-B568-D1029C6EC42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960" y="106680"/>
          <a:ext cx="5372100" cy="563388"/>
        </a:xfrm>
        <a:prstGeom prst="rect">
          <a:avLst/>
        </a:prstGeom>
      </xdr:spPr>
    </xdr:pic>
    <xdr:clientData/>
  </xdr:twoCellAnchor>
  <xdr:twoCellAnchor>
    <xdr:from>
      <xdr:col>1</xdr:col>
      <xdr:colOff>716280</xdr:colOff>
      <xdr:row>51</xdr:row>
      <xdr:rowOff>60960</xdr:rowOff>
    </xdr:from>
    <xdr:to>
      <xdr:col>1</xdr:col>
      <xdr:colOff>1318260</xdr:colOff>
      <xdr:row>54</xdr:row>
      <xdr:rowOff>60960</xdr:rowOff>
    </xdr:to>
    <xdr:cxnSp macro="">
      <xdr:nvCxnSpPr>
        <xdr:cNvPr id="4" name="Straight Arrow Connector 3">
          <a:extLst>
            <a:ext uri="{FF2B5EF4-FFF2-40B4-BE49-F238E27FC236}">
              <a16:creationId xmlns:a16="http://schemas.microsoft.com/office/drawing/2014/main" id="{762EFCD7-BB5F-429B-95F1-7A28EE3B8A70}"/>
            </a:ext>
          </a:extLst>
        </xdr:cNvPr>
        <xdr:cNvCxnSpPr/>
      </xdr:nvCxnSpPr>
      <xdr:spPr>
        <a:xfrm>
          <a:off x="1386840" y="7955280"/>
          <a:ext cx="601980" cy="5334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45720</xdr:colOff>
      <xdr:row>39</xdr:row>
      <xdr:rowOff>137160</xdr:rowOff>
    </xdr:from>
    <xdr:to>
      <xdr:col>7</xdr:col>
      <xdr:colOff>937260</xdr:colOff>
      <xdr:row>39</xdr:row>
      <xdr:rowOff>160020</xdr:rowOff>
    </xdr:to>
    <xdr:cxnSp macro="">
      <xdr:nvCxnSpPr>
        <xdr:cNvPr id="6" name="Straight Arrow Connector 5">
          <a:extLst>
            <a:ext uri="{FF2B5EF4-FFF2-40B4-BE49-F238E27FC236}">
              <a16:creationId xmlns:a16="http://schemas.microsoft.com/office/drawing/2014/main" id="{E1D97415-DC6B-48F2-87A9-436447F4CBD7}"/>
            </a:ext>
          </a:extLst>
        </xdr:cNvPr>
        <xdr:cNvCxnSpPr/>
      </xdr:nvCxnSpPr>
      <xdr:spPr>
        <a:xfrm>
          <a:off x="5684520" y="6111240"/>
          <a:ext cx="1684020" cy="2286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45720</xdr:colOff>
      <xdr:row>0</xdr:row>
      <xdr:rowOff>38100</xdr:rowOff>
    </xdr:from>
    <xdr:to>
      <xdr:col>8</xdr:col>
      <xdr:colOff>579120</xdr:colOff>
      <xdr:row>3</xdr:row>
      <xdr:rowOff>75708</xdr:rowOff>
    </xdr:to>
    <xdr:pic>
      <xdr:nvPicPr>
        <xdr:cNvPr id="2" name="Picture 1">
          <a:extLst>
            <a:ext uri="{FF2B5EF4-FFF2-40B4-BE49-F238E27FC236}">
              <a16:creationId xmlns:a16="http://schemas.microsoft.com/office/drawing/2014/main" id="{6034E537-759D-4F1F-93AD-D821C43FCC2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720" y="38100"/>
          <a:ext cx="5372100" cy="563388"/>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6</xdr:col>
      <xdr:colOff>236904</xdr:colOff>
      <xdr:row>1</xdr:row>
      <xdr:rowOff>163635</xdr:rowOff>
    </xdr:from>
    <xdr:to>
      <xdr:col>15</xdr:col>
      <xdr:colOff>11723</xdr:colOff>
      <xdr:row>16</xdr:row>
      <xdr:rowOff>122604</xdr:rowOff>
    </xdr:to>
    <xdr:graphicFrame macro="">
      <xdr:nvGraphicFramePr>
        <xdr:cNvPr id="2" name="Chart 1">
          <a:extLst>
            <a:ext uri="{FF2B5EF4-FFF2-40B4-BE49-F238E27FC236}">
              <a16:creationId xmlns:a16="http://schemas.microsoft.com/office/drawing/2014/main" id="{8581E466-DFA7-452E-8DA9-ED4E2AB3AF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367322</xdr:colOff>
      <xdr:row>4</xdr:row>
      <xdr:rowOff>134815</xdr:rowOff>
    </xdr:from>
    <xdr:to>
      <xdr:col>8</xdr:col>
      <xdr:colOff>375138</xdr:colOff>
      <xdr:row>15</xdr:row>
      <xdr:rowOff>1955</xdr:rowOff>
    </xdr:to>
    <xdr:cxnSp macro="">
      <xdr:nvCxnSpPr>
        <xdr:cNvPr id="3" name="Straight Connector 2">
          <a:extLst>
            <a:ext uri="{FF2B5EF4-FFF2-40B4-BE49-F238E27FC236}">
              <a16:creationId xmlns:a16="http://schemas.microsoft.com/office/drawing/2014/main" id="{8B3E2295-AE93-4D25-8A16-4626480FF7D7}"/>
            </a:ext>
          </a:extLst>
        </xdr:cNvPr>
        <xdr:cNvCxnSpPr/>
      </xdr:nvCxnSpPr>
      <xdr:spPr>
        <a:xfrm flipH="1">
          <a:off x="6246445" y="838200"/>
          <a:ext cx="7816" cy="1801447"/>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11724</xdr:colOff>
      <xdr:row>4</xdr:row>
      <xdr:rowOff>93784</xdr:rowOff>
    </xdr:from>
    <xdr:to>
      <xdr:col>9</xdr:col>
      <xdr:colOff>19540</xdr:colOff>
      <xdr:row>15</xdr:row>
      <xdr:rowOff>0</xdr:rowOff>
    </xdr:to>
    <xdr:cxnSp macro="">
      <xdr:nvCxnSpPr>
        <xdr:cNvPr id="4" name="Straight Connector 3">
          <a:extLst>
            <a:ext uri="{FF2B5EF4-FFF2-40B4-BE49-F238E27FC236}">
              <a16:creationId xmlns:a16="http://schemas.microsoft.com/office/drawing/2014/main" id="{6A5C226B-CD58-472D-82C4-245F2CB42647}"/>
            </a:ext>
          </a:extLst>
        </xdr:cNvPr>
        <xdr:cNvCxnSpPr/>
      </xdr:nvCxnSpPr>
      <xdr:spPr>
        <a:xfrm flipH="1">
          <a:off x="6559062" y="797169"/>
          <a:ext cx="7816" cy="1840523"/>
        </a:xfrm>
        <a:prstGeom prst="line">
          <a:avLst/>
        </a:prstGeom>
        <a:ln w="9525">
          <a:solidFill>
            <a:schemeClr val="accent6">
              <a:lumMod val="75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533400</xdr:colOff>
      <xdr:row>4</xdr:row>
      <xdr:rowOff>59593</xdr:rowOff>
    </xdr:from>
    <xdr:to>
      <xdr:col>12</xdr:col>
      <xdr:colOff>539262</xdr:colOff>
      <xdr:row>14</xdr:row>
      <xdr:rowOff>137160</xdr:rowOff>
    </xdr:to>
    <xdr:cxnSp macro="">
      <xdr:nvCxnSpPr>
        <xdr:cNvPr id="5" name="Straight Connector 4">
          <a:extLst>
            <a:ext uri="{FF2B5EF4-FFF2-40B4-BE49-F238E27FC236}">
              <a16:creationId xmlns:a16="http://schemas.microsoft.com/office/drawing/2014/main" id="{DC119D4E-C6B8-44D6-8269-B7A66743E128}"/>
            </a:ext>
          </a:extLst>
        </xdr:cNvPr>
        <xdr:cNvCxnSpPr/>
      </xdr:nvCxnSpPr>
      <xdr:spPr>
        <a:xfrm flipH="1">
          <a:off x="9105900" y="760633"/>
          <a:ext cx="5862" cy="1830167"/>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ootball%20Field%20Analysis%20-%20Solution%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
      <sheetName val="Output Sheet"/>
    </sheetNames>
    <sheetDataSet>
      <sheetData sheetId="0">
        <row r="6">
          <cell r="B6" t="str">
            <v>Perpetual Growth</v>
          </cell>
        </row>
        <row r="17">
          <cell r="A17" t="str">
            <v>Market Consensus</v>
          </cell>
        </row>
        <row r="19">
          <cell r="A19" t="str">
            <v>52 week range</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62B3C-6426-488C-9A94-A621E9099046}">
  <sheetPr>
    <tabColor theme="0" tint="-4.9989318521683403E-2"/>
  </sheetPr>
  <dimension ref="B10:C15"/>
  <sheetViews>
    <sheetView showGridLines="0" showRowColHeaders="0" zoomScale="90" zoomScaleNormal="90" workbookViewId="0">
      <selection activeCell="K30" sqref="K30"/>
    </sheetView>
  </sheetViews>
  <sheetFormatPr defaultColWidth="8.8984375" defaultRowHeight="13.8"/>
  <cols>
    <col min="1" max="1" width="2" style="76" customWidth="1"/>
    <col min="2" max="2" width="23.796875" style="76" customWidth="1"/>
    <col min="3" max="3" width="20.69921875" style="76" customWidth="1"/>
    <col min="4" max="16384" width="8.8984375" style="76"/>
  </cols>
  <sheetData>
    <row r="10" spans="2:3" ht="21">
      <c r="B10" s="77" t="s">
        <v>7</v>
      </c>
      <c r="C10" s="78" t="s">
        <v>8</v>
      </c>
    </row>
    <row r="11" spans="2:3" ht="21">
      <c r="B11" s="77" t="s">
        <v>127</v>
      </c>
      <c r="C11" s="78" t="s">
        <v>126</v>
      </c>
    </row>
    <row r="12" spans="2:3" ht="21">
      <c r="B12" s="77" t="s">
        <v>128</v>
      </c>
      <c r="C12" s="79">
        <v>1994</v>
      </c>
    </row>
    <row r="13" spans="2:3" ht="21">
      <c r="B13" s="77" t="s">
        <v>129</v>
      </c>
      <c r="C13" s="78" t="s">
        <v>132</v>
      </c>
    </row>
    <row r="14" spans="2:3" ht="21">
      <c r="B14" s="77" t="s">
        <v>130</v>
      </c>
      <c r="C14" s="78" t="s">
        <v>133</v>
      </c>
    </row>
    <row r="15" spans="2:3" ht="21">
      <c r="B15" s="77" t="s">
        <v>131</v>
      </c>
      <c r="C15" s="78" t="s">
        <v>134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A58A4-317D-48D6-995A-A16139626A0D}">
  <sheetPr>
    <tabColor theme="3" tint="0.89999084444715716"/>
  </sheetPr>
  <dimension ref="B4:M20"/>
  <sheetViews>
    <sheetView showGridLines="0" zoomScaleNormal="100" workbookViewId="0">
      <selection activeCell="E25" sqref="E25"/>
    </sheetView>
  </sheetViews>
  <sheetFormatPr defaultRowHeight="13.8"/>
  <cols>
    <col min="1" max="1" width="2.09765625" customWidth="1"/>
    <col min="2" max="2" width="14.796875" customWidth="1"/>
    <col min="3" max="3" width="14.3984375" customWidth="1"/>
    <col min="4" max="4" width="14.69921875" customWidth="1"/>
    <col min="5" max="5" width="11.796875" customWidth="1"/>
    <col min="6" max="6" width="10.8984375" customWidth="1"/>
    <col min="7" max="7" width="12.296875" customWidth="1"/>
    <col min="8" max="8" width="12.59765625" customWidth="1"/>
    <col min="9" max="9" width="12.8984375" customWidth="1"/>
    <col min="10" max="10" width="15.69921875" customWidth="1"/>
    <col min="11" max="11" width="10.8984375" customWidth="1"/>
    <col min="12" max="12" width="13.296875" customWidth="1"/>
    <col min="13" max="13" width="14.69921875" customWidth="1"/>
  </cols>
  <sheetData>
    <row r="4" spans="2:13">
      <c r="D4" s="1">
        <f>DATE(2025,2,11)</f>
        <v>45699</v>
      </c>
    </row>
    <row r="5" spans="2:13" ht="14.4">
      <c r="B5" s="9" t="str">
        <f>"Segment Information: "&amp;'Cognizant&gt;&gt;'!C10</f>
        <v>Segment Information: Cognizant</v>
      </c>
      <c r="C5" s="9"/>
      <c r="D5" s="2" t="s">
        <v>0</v>
      </c>
      <c r="E5" s="2" t="s">
        <v>0</v>
      </c>
      <c r="F5" s="2" t="s">
        <v>0</v>
      </c>
      <c r="G5" s="2" t="s">
        <v>0</v>
      </c>
      <c r="H5" s="2" t="s">
        <v>0</v>
      </c>
      <c r="I5" s="11" t="s">
        <v>0</v>
      </c>
      <c r="J5" s="11" t="s">
        <v>0</v>
      </c>
      <c r="K5" s="11" t="s">
        <v>0</v>
      </c>
      <c r="L5" s="11" t="s">
        <v>0</v>
      </c>
      <c r="M5" s="12">
        <v>12</v>
      </c>
    </row>
    <row r="6" spans="2:13" ht="14.4">
      <c r="B6" s="9" t="s">
        <v>9</v>
      </c>
      <c r="C6" s="9"/>
      <c r="D6" s="4">
        <f>DATE(2020,12,31)</f>
        <v>44196</v>
      </c>
      <c r="E6" s="4">
        <f t="shared" ref="E6:M6" si="0">EOMONTH(D6,12)</f>
        <v>44561</v>
      </c>
      <c r="F6" s="4">
        <f t="shared" si="0"/>
        <v>44926</v>
      </c>
      <c r="G6" s="4">
        <f t="shared" si="0"/>
        <v>45291</v>
      </c>
      <c r="H6" s="4">
        <f t="shared" si="0"/>
        <v>45657</v>
      </c>
      <c r="I6" s="13">
        <f t="shared" si="0"/>
        <v>46022</v>
      </c>
      <c r="J6" s="13">
        <f t="shared" si="0"/>
        <v>46387</v>
      </c>
      <c r="K6" s="13">
        <f t="shared" si="0"/>
        <v>46752</v>
      </c>
      <c r="L6" s="13">
        <f t="shared" si="0"/>
        <v>47118</v>
      </c>
      <c r="M6" s="13">
        <f t="shared" si="0"/>
        <v>47483</v>
      </c>
    </row>
    <row r="7" spans="2:13" ht="14.4" customHeight="1">
      <c r="B7" s="175" t="s">
        <v>1</v>
      </c>
      <c r="C7" s="175"/>
      <c r="D7" s="5">
        <v>5621</v>
      </c>
      <c r="E7" s="5">
        <v>6051</v>
      </c>
      <c r="F7" s="5">
        <v>6072</v>
      </c>
      <c r="G7" s="5">
        <v>5809</v>
      </c>
      <c r="H7" s="5">
        <v>5753</v>
      </c>
      <c r="I7" s="14">
        <f>H7*(1+$H$9)</f>
        <v>5786.4815297556324</v>
      </c>
      <c r="J7" s="14">
        <f t="shared" ref="J7:M7" si="1">I7*(1+$H$9)</f>
        <v>5820.1579166005704</v>
      </c>
      <c r="K7" s="14">
        <f t="shared" si="1"/>
        <v>5854.0302945715666</v>
      </c>
      <c r="L7" s="14">
        <f t="shared" si="1"/>
        <v>5888.0998043052832</v>
      </c>
      <c r="M7" s="14">
        <f t="shared" si="1"/>
        <v>5922.3675930767031</v>
      </c>
    </row>
    <row r="8" spans="2:13" ht="14.4">
      <c r="B8" s="174" t="s">
        <v>2</v>
      </c>
      <c r="C8" s="174"/>
      <c r="D8" s="7">
        <v>-4.2000000000000003E-2</v>
      </c>
      <c r="E8" s="7">
        <f>(E7/D7)-1</f>
        <v>7.6498843622131218E-2</v>
      </c>
      <c r="F8" s="7">
        <f t="shared" ref="F8:H8" si="2">(F7/E7)-1</f>
        <v>3.4705007436788282E-3</v>
      </c>
      <c r="G8" s="7">
        <f t="shared" si="2"/>
        <v>-4.3313570487483521E-2</v>
      </c>
      <c r="H8" s="7">
        <f t="shared" si="2"/>
        <v>-9.6402134618694957E-3</v>
      </c>
      <c r="I8" s="10">
        <f>(H7/D7)^(1/4)-1</f>
        <v>5.8198383027345812E-3</v>
      </c>
      <c r="J8" s="10">
        <f>(J7/I7)-1</f>
        <v>5.8198383027345812E-3</v>
      </c>
      <c r="K8" s="10">
        <f t="shared" ref="K8:M8" si="3">(K7/J7)-1</f>
        <v>5.8198383027345812E-3</v>
      </c>
      <c r="L8" s="10">
        <f t="shared" si="3"/>
        <v>5.8198383027345812E-3</v>
      </c>
      <c r="M8" s="10">
        <f t="shared" si="3"/>
        <v>5.8198383027345812E-3</v>
      </c>
    </row>
    <row r="9" spans="2:13" ht="14.4">
      <c r="B9" s="88"/>
      <c r="C9" s="88"/>
      <c r="D9" s="7"/>
      <c r="E9" s="7"/>
      <c r="F9" s="7"/>
      <c r="G9" s="7"/>
      <c r="H9" s="111">
        <f>(H7/D7)^(1/4)-1</f>
        <v>5.8198383027345812E-3</v>
      </c>
      <c r="I9" s="10"/>
      <c r="J9" s="10"/>
      <c r="K9" s="10"/>
      <c r="L9" s="10"/>
      <c r="M9" s="10"/>
    </row>
    <row r="10" spans="2:13" ht="14.4">
      <c r="B10" s="175" t="s">
        <v>3</v>
      </c>
      <c r="C10" s="175"/>
      <c r="D10" s="5">
        <v>4852</v>
      </c>
      <c r="E10" s="5">
        <v>5337</v>
      </c>
      <c r="F10" s="5">
        <v>5631</v>
      </c>
      <c r="G10" s="5">
        <v>5674</v>
      </c>
      <c r="H10" s="5">
        <v>5932</v>
      </c>
      <c r="I10" s="14">
        <f>H10*(1+$H$12)</f>
        <v>6237.6532665925251</v>
      </c>
      <c r="J10" s="14">
        <f t="shared" ref="J10:M10" si="4">I10*(1+$H$12)</f>
        <v>6559.0556767080916</v>
      </c>
      <c r="K10" s="14">
        <f t="shared" si="4"/>
        <v>6897.0187234626555</v>
      </c>
      <c r="L10" s="14">
        <f t="shared" si="4"/>
        <v>7252.3957131079969</v>
      </c>
      <c r="M10" s="14">
        <f t="shared" si="4"/>
        <v>7626.0839195026501</v>
      </c>
    </row>
    <row r="11" spans="2:13" ht="14.4">
      <c r="B11" s="174" t="s">
        <v>2</v>
      </c>
      <c r="C11" s="174"/>
      <c r="D11" s="6">
        <v>0.03</v>
      </c>
      <c r="E11" s="7">
        <f>(E10/D10)-1</f>
        <v>9.9958779884583571E-2</v>
      </c>
      <c r="F11" s="7">
        <f t="shared" ref="F11:H11" si="5">(F10/E10)-1</f>
        <v>5.5087127599775076E-2</v>
      </c>
      <c r="G11" s="7">
        <f t="shared" si="5"/>
        <v>7.6362990587817148E-3</v>
      </c>
      <c r="H11" s="7">
        <f t="shared" si="5"/>
        <v>4.5470567500881298E-2</v>
      </c>
      <c r="I11" s="10">
        <f>(H10/D10)^(1/4)-1</f>
        <v>5.1526174408719649E-2</v>
      </c>
      <c r="J11" s="10">
        <f>I11</f>
        <v>5.1526174408719649E-2</v>
      </c>
      <c r="K11" s="10">
        <f t="shared" ref="K11:M11" si="6">J11</f>
        <v>5.1526174408719649E-2</v>
      </c>
      <c r="L11" s="10">
        <f t="shared" si="6"/>
        <v>5.1526174408719649E-2</v>
      </c>
      <c r="M11" s="10">
        <f t="shared" si="6"/>
        <v>5.1526174408719649E-2</v>
      </c>
    </row>
    <row r="12" spans="2:13" ht="14.4">
      <c r="B12" s="88"/>
      <c r="C12" s="88"/>
      <c r="D12" s="6"/>
      <c r="E12" s="7"/>
      <c r="F12" s="7"/>
      <c r="G12" s="7"/>
      <c r="H12" s="111">
        <f>(H10/D10)^(1/4)-1</f>
        <v>5.1526174408719649E-2</v>
      </c>
      <c r="I12" s="10"/>
      <c r="J12" s="10"/>
      <c r="K12" s="10"/>
      <c r="L12" s="10"/>
      <c r="M12" s="10"/>
    </row>
    <row r="13" spans="2:13" ht="21" customHeight="1">
      <c r="B13" s="175" t="s">
        <v>4</v>
      </c>
      <c r="C13" s="175"/>
      <c r="D13" s="5">
        <v>3696</v>
      </c>
      <c r="E13" s="5">
        <v>4276</v>
      </c>
      <c r="F13" s="5">
        <v>4566</v>
      </c>
      <c r="G13" s="5">
        <v>4628</v>
      </c>
      <c r="H13" s="5">
        <v>4782</v>
      </c>
      <c r="I13" s="14">
        <f>H13*(1+$H$15)</f>
        <v>5100.103317458641</v>
      </c>
      <c r="J13" s="14">
        <f t="shared" ref="J13:M13" si="7">I13*(1+$H$15)</f>
        <v>5439.3671787437543</v>
      </c>
      <c r="K13" s="14">
        <f t="shared" si="7"/>
        <v>5801.1992039286215</v>
      </c>
      <c r="L13" s="14">
        <f t="shared" si="7"/>
        <v>6187.1006493506457</v>
      </c>
      <c r="M13" s="14">
        <f t="shared" si="7"/>
        <v>6598.6726363872313</v>
      </c>
    </row>
    <row r="14" spans="2:13" ht="14.4">
      <c r="B14" s="174" t="s">
        <v>2</v>
      </c>
      <c r="C14" s="174"/>
      <c r="D14" s="6">
        <v>-0.02</v>
      </c>
      <c r="E14" s="7">
        <f>(E13/D13)-1</f>
        <v>0.15692640692640691</v>
      </c>
      <c r="F14" s="7">
        <f t="shared" ref="F14:H14" si="8">(F13/E13)-1</f>
        <v>6.7820392890551862E-2</v>
      </c>
      <c r="G14" s="7">
        <f t="shared" si="8"/>
        <v>1.3578624616732426E-2</v>
      </c>
      <c r="H14" s="7">
        <f t="shared" si="8"/>
        <v>3.3275713050993971E-2</v>
      </c>
      <c r="I14" s="10">
        <f>(H13/D13)^(1/4)-1</f>
        <v>6.6520978138569831E-2</v>
      </c>
      <c r="J14" s="10">
        <f>I14</f>
        <v>6.6520978138569831E-2</v>
      </c>
      <c r="K14" s="10">
        <f t="shared" ref="K14:M14" si="9">J14</f>
        <v>6.6520978138569831E-2</v>
      </c>
      <c r="L14" s="10">
        <f t="shared" si="9"/>
        <v>6.6520978138569831E-2</v>
      </c>
      <c r="M14" s="10">
        <f t="shared" si="9"/>
        <v>6.6520978138569831E-2</v>
      </c>
    </row>
    <row r="15" spans="2:13" ht="14.4">
      <c r="B15" s="88"/>
      <c r="C15" s="88"/>
      <c r="D15" s="6"/>
      <c r="E15" s="7"/>
      <c r="F15" s="7"/>
      <c r="G15" s="7"/>
      <c r="H15" s="111">
        <f>(H13/D13)^(1/4)-1</f>
        <v>6.6520978138569831E-2</v>
      </c>
      <c r="I15" s="10"/>
      <c r="J15" s="10"/>
      <c r="K15" s="10"/>
      <c r="L15" s="10"/>
      <c r="M15" s="10"/>
    </row>
    <row r="16" spans="2:13" ht="32.4" customHeight="1">
      <c r="B16" s="175" t="s">
        <v>5</v>
      </c>
      <c r="C16" s="175"/>
      <c r="D16" s="5">
        <v>2483</v>
      </c>
      <c r="E16" s="5">
        <v>2843</v>
      </c>
      <c r="F16" s="5">
        <v>3159</v>
      </c>
      <c r="G16" s="5">
        <v>3242</v>
      </c>
      <c r="H16" s="5">
        <v>3269</v>
      </c>
      <c r="I16" s="14">
        <f>H16*(1+$H$18)</f>
        <v>3501.6639963570201</v>
      </c>
      <c r="J16" s="14">
        <f t="shared" ref="J16:M16" si="10">I16*(1+$H$18)</f>
        <v>3750.8873488476652</v>
      </c>
      <c r="K16" s="14">
        <f t="shared" si="10"/>
        <v>4017.8486337873674</v>
      </c>
      <c r="L16" s="14">
        <f t="shared" si="10"/>
        <v>4303.8103101087381</v>
      </c>
      <c r="M16" s="14">
        <f t="shared" si="10"/>
        <v>4610.1246895252098</v>
      </c>
    </row>
    <row r="17" spans="2:13" ht="14.4">
      <c r="B17" s="174" t="s">
        <v>2</v>
      </c>
      <c r="C17" s="174"/>
      <c r="D17" s="6">
        <v>0.01</v>
      </c>
      <c r="E17" s="7">
        <f>(E16/D16)-1</f>
        <v>0.14498590414820778</v>
      </c>
      <c r="F17" s="7">
        <f t="shared" ref="F17:H17" si="11">(F16/E16)-1</f>
        <v>0.11115019345761512</v>
      </c>
      <c r="G17" s="7">
        <f t="shared" si="11"/>
        <v>2.6274137385248419E-2</v>
      </c>
      <c r="H17" s="7">
        <f t="shared" si="11"/>
        <v>8.3281924737816926E-3</v>
      </c>
      <c r="I17" s="10">
        <f>(H16/D16)^(1/4)-1</f>
        <v>7.1172834615178981E-2</v>
      </c>
      <c r="J17" s="10">
        <f>I17</f>
        <v>7.1172834615178981E-2</v>
      </c>
      <c r="K17" s="10">
        <f t="shared" ref="K17:M17" si="12">J17</f>
        <v>7.1172834615178981E-2</v>
      </c>
      <c r="L17" s="10">
        <f t="shared" si="12"/>
        <v>7.1172834615178981E-2</v>
      </c>
      <c r="M17" s="10">
        <f t="shared" si="12"/>
        <v>7.1172834615178981E-2</v>
      </c>
    </row>
    <row r="18" spans="2:13" ht="14.4">
      <c r="B18" s="88"/>
      <c r="C18" s="88"/>
      <c r="D18" s="6"/>
      <c r="E18" s="7"/>
      <c r="F18" s="7"/>
      <c r="G18" s="7"/>
      <c r="H18" s="111">
        <f>(H16/D16)^(1/4)-1</f>
        <v>7.1172834615178981E-2</v>
      </c>
      <c r="I18" s="10"/>
      <c r="J18" s="10"/>
      <c r="K18" s="10"/>
      <c r="L18" s="10"/>
      <c r="M18" s="10"/>
    </row>
    <row r="19" spans="2:13" ht="15" thickBot="1">
      <c r="B19" s="176" t="s">
        <v>6</v>
      </c>
      <c r="C19" s="176"/>
      <c r="D19" s="8">
        <f t="shared" ref="D19:M19" si="13">SUM(D7,D10,D13,D16)</f>
        <v>16652</v>
      </c>
      <c r="E19" s="8">
        <f t="shared" si="13"/>
        <v>18507</v>
      </c>
      <c r="F19" s="8">
        <f t="shared" si="13"/>
        <v>19428</v>
      </c>
      <c r="G19" s="8">
        <f t="shared" si="13"/>
        <v>19353</v>
      </c>
      <c r="H19" s="8">
        <f t="shared" si="13"/>
        <v>19736</v>
      </c>
      <c r="I19" s="15">
        <f t="shared" si="13"/>
        <v>20625.902110163817</v>
      </c>
      <c r="J19" s="15">
        <f t="shared" si="13"/>
        <v>21569.468120900081</v>
      </c>
      <c r="K19" s="15">
        <f t="shared" si="13"/>
        <v>22570.096855750213</v>
      </c>
      <c r="L19" s="15">
        <f t="shared" si="13"/>
        <v>23631.406476872668</v>
      </c>
      <c r="M19" s="15">
        <f t="shared" si="13"/>
        <v>24757.248838491796</v>
      </c>
    </row>
    <row r="20" spans="2:13" ht="14.4" thickTop="1"/>
  </sheetData>
  <mergeCells count="9">
    <mergeCell ref="B14:C14"/>
    <mergeCell ref="B16:C16"/>
    <mergeCell ref="B17:C17"/>
    <mergeCell ref="B19:C19"/>
    <mergeCell ref="B7:C7"/>
    <mergeCell ref="B8:C8"/>
    <mergeCell ref="B10:C10"/>
    <mergeCell ref="B11:C11"/>
    <mergeCell ref="B13:C1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02AEC-98B5-4BE8-83FC-CC7FA25BB15F}">
  <sheetPr>
    <tabColor theme="5" tint="0.79998168889431442"/>
  </sheetPr>
  <dimension ref="B4:O77"/>
  <sheetViews>
    <sheetView showGridLines="0" showRowColHeaders="0" zoomScale="90" zoomScaleNormal="90" workbookViewId="0">
      <selection activeCell="B7" sqref="B7"/>
    </sheetView>
  </sheetViews>
  <sheetFormatPr defaultRowHeight="13.8"/>
  <cols>
    <col min="1" max="1" width="2" customWidth="1"/>
    <col min="2" max="2" width="51.796875" customWidth="1"/>
    <col min="3" max="4" width="13.19921875" customWidth="1"/>
    <col min="5" max="5" width="12.09765625" customWidth="1"/>
    <col min="6" max="6" width="11.796875" customWidth="1"/>
    <col min="7" max="7" width="12.69921875" customWidth="1"/>
    <col min="8" max="8" width="12.296875" customWidth="1"/>
    <col min="9" max="9" width="13.796875" customWidth="1"/>
    <col min="10" max="10" width="12.3984375" customWidth="1"/>
    <col min="11" max="11" width="11.59765625" customWidth="1"/>
    <col min="12" max="12" width="12.3984375" customWidth="1"/>
  </cols>
  <sheetData>
    <row r="4" spans="2:12" ht="14.4">
      <c r="B4" s="2" t="str">
        <f>"Income Statement: "&amp;'Cognizant&gt;&gt;'!C10</f>
        <v>Income Statement: Cognizant</v>
      </c>
      <c r="C4" s="2" t="s">
        <v>0</v>
      </c>
      <c r="D4" s="2" t="s">
        <v>0</v>
      </c>
      <c r="E4" s="2" t="s">
        <v>0</v>
      </c>
      <c r="F4" s="2" t="s">
        <v>0</v>
      </c>
      <c r="G4" s="2" t="s">
        <v>0</v>
      </c>
      <c r="H4" s="11" t="s">
        <v>0</v>
      </c>
      <c r="I4" s="11" t="s">
        <v>0</v>
      </c>
      <c r="J4" s="11" t="s">
        <v>0</v>
      </c>
      <c r="K4" s="11" t="s">
        <v>0</v>
      </c>
      <c r="L4" s="12">
        <v>12</v>
      </c>
    </row>
    <row r="5" spans="2:12" ht="14.4">
      <c r="B5" s="4" t="s">
        <v>9</v>
      </c>
      <c r="C5" s="4">
        <f>DATE(2020,12,31)</f>
        <v>44196</v>
      </c>
      <c r="D5" s="4">
        <f t="shared" ref="D5:L5" si="0">EOMONTH(C5,12)</f>
        <v>44561</v>
      </c>
      <c r="E5" s="4">
        <f t="shared" si="0"/>
        <v>44926</v>
      </c>
      <c r="F5" s="4">
        <f t="shared" si="0"/>
        <v>45291</v>
      </c>
      <c r="G5" s="4">
        <f t="shared" si="0"/>
        <v>45657</v>
      </c>
      <c r="H5" s="13">
        <f t="shared" si="0"/>
        <v>46022</v>
      </c>
      <c r="I5" s="13">
        <f t="shared" si="0"/>
        <v>46387</v>
      </c>
      <c r="J5" s="13">
        <f t="shared" si="0"/>
        <v>46752</v>
      </c>
      <c r="K5" s="13">
        <f t="shared" si="0"/>
        <v>47118</v>
      </c>
      <c r="L5" s="13">
        <f t="shared" si="0"/>
        <v>47483</v>
      </c>
    </row>
    <row r="6" spans="2:12" ht="17.399999999999999">
      <c r="B6" s="16" t="s">
        <v>10</v>
      </c>
      <c r="C6" s="24">
        <f>'Revenue Segments'!D19</f>
        <v>16652</v>
      </c>
      <c r="D6" s="24">
        <f>'Revenue Segments'!E19</f>
        <v>18507</v>
      </c>
      <c r="E6" s="24">
        <f>'Revenue Segments'!F19</f>
        <v>19428</v>
      </c>
      <c r="F6" s="24">
        <f>'Revenue Segments'!G19</f>
        <v>19353</v>
      </c>
      <c r="G6" s="24">
        <f>'Revenue Segments'!H19</f>
        <v>19736</v>
      </c>
      <c r="H6" s="27">
        <f>'Revenue Segments'!I19</f>
        <v>20625.902110163817</v>
      </c>
      <c r="I6" s="27">
        <f>'Revenue Segments'!J19</f>
        <v>21569.468120900081</v>
      </c>
      <c r="J6" s="27">
        <f>'Revenue Segments'!K19</f>
        <v>22570.096855750213</v>
      </c>
      <c r="K6" s="27">
        <f>'Revenue Segments'!L19</f>
        <v>23631.406476872668</v>
      </c>
      <c r="L6" s="27">
        <f>'Revenue Segments'!M19</f>
        <v>24757.248838491796</v>
      </c>
    </row>
    <row r="7" spans="2:12" ht="36">
      <c r="B7" s="18" t="s">
        <v>13</v>
      </c>
      <c r="C7" s="24">
        <v>10671</v>
      </c>
      <c r="D7" s="24">
        <v>11604</v>
      </c>
      <c r="E7" s="24">
        <v>12448</v>
      </c>
      <c r="F7" s="24">
        <v>12664</v>
      </c>
      <c r="G7" s="24">
        <v>12958</v>
      </c>
      <c r="H7" s="27">
        <f>H6*$G$35</f>
        <v>13280.977784658895</v>
      </c>
      <c r="I7" s="27">
        <f t="shared" ref="I7:L7" si="1">I6*$G$35</f>
        <v>13888.538082386305</v>
      </c>
      <c r="J7" s="27">
        <f t="shared" si="1"/>
        <v>14532.840955892496</v>
      </c>
      <c r="K7" s="27">
        <f t="shared" si="1"/>
        <v>15216.216132672102</v>
      </c>
      <c r="L7" s="27">
        <f t="shared" si="1"/>
        <v>15941.143814081175</v>
      </c>
    </row>
    <row r="8" spans="2:12" ht="18.600000000000001" thickBot="1">
      <c r="B8" s="19" t="s">
        <v>14</v>
      </c>
      <c r="C8" s="25">
        <f>C6-C7</f>
        <v>5981</v>
      </c>
      <c r="D8" s="25">
        <f>D6-D7</f>
        <v>6903</v>
      </c>
      <c r="E8" s="25">
        <f>E6-E7</f>
        <v>6980</v>
      </c>
      <c r="F8" s="25">
        <f>F6-F7</f>
        <v>6689</v>
      </c>
      <c r="G8" s="25">
        <f t="shared" ref="G8:L8" si="2">G6-G7</f>
        <v>6778</v>
      </c>
      <c r="H8" s="28">
        <f>H6-H7</f>
        <v>7344.9243255049223</v>
      </c>
      <c r="I8" s="28">
        <f t="shared" si="2"/>
        <v>7680.9300385137758</v>
      </c>
      <c r="J8" s="28">
        <f t="shared" si="2"/>
        <v>8037.2558998577169</v>
      </c>
      <c r="K8" s="28">
        <f t="shared" si="2"/>
        <v>8415.190344200566</v>
      </c>
      <c r="L8" s="28">
        <f t="shared" si="2"/>
        <v>8816.1050244106209</v>
      </c>
    </row>
    <row r="9" spans="2:12" ht="18">
      <c r="B9" s="21" t="s">
        <v>15</v>
      </c>
      <c r="C9" s="24">
        <v>3100</v>
      </c>
      <c r="D9" s="24">
        <v>3503</v>
      </c>
      <c r="E9" s="24">
        <v>3443</v>
      </c>
      <c r="F9" s="24">
        <v>3252</v>
      </c>
      <c r="G9" s="24">
        <v>3223</v>
      </c>
      <c r="H9" s="27">
        <f>H8*$G$38</f>
        <v>3644.1332318991772</v>
      </c>
      <c r="I9" s="27">
        <f t="shared" ref="I9:L9" si="3">I8*$G$38</f>
        <v>3810.8401346009105</v>
      </c>
      <c r="J9" s="27">
        <f t="shared" si="3"/>
        <v>3987.6287378816241</v>
      </c>
      <c r="K9" s="27">
        <f t="shared" si="3"/>
        <v>4175.1382896583127</v>
      </c>
      <c r="L9" s="27">
        <f t="shared" si="3"/>
        <v>4374.0493259826062</v>
      </c>
    </row>
    <row r="10" spans="2:12" ht="18">
      <c r="B10" s="18" t="s">
        <v>16</v>
      </c>
      <c r="C10" s="24">
        <v>215</v>
      </c>
      <c r="D10" s="24">
        <v>0</v>
      </c>
      <c r="E10" s="24">
        <v>0</v>
      </c>
      <c r="F10" s="24">
        <v>229</v>
      </c>
      <c r="G10" s="24">
        <v>134</v>
      </c>
      <c r="H10" s="27">
        <v>0</v>
      </c>
      <c r="I10" s="27">
        <v>0</v>
      </c>
      <c r="J10" s="27">
        <v>0</v>
      </c>
      <c r="K10" s="27">
        <v>0</v>
      </c>
      <c r="L10" s="27">
        <v>0</v>
      </c>
    </row>
    <row r="11" spans="2:12" ht="18.600000000000001" thickBot="1">
      <c r="B11" s="19" t="s">
        <v>17</v>
      </c>
      <c r="C11" s="25">
        <f>C8-(C9+C10)</f>
        <v>2666</v>
      </c>
      <c r="D11" s="25">
        <f>D8-(D9+D10)</f>
        <v>3400</v>
      </c>
      <c r="E11" s="25">
        <f>E8-(E9+E10)</f>
        <v>3537</v>
      </c>
      <c r="F11" s="25">
        <f>F8-(F9+F10)</f>
        <v>3208</v>
      </c>
      <c r="G11" s="25">
        <f t="shared" ref="G11:L11" si="4">G8-(G9+G10)</f>
        <v>3421</v>
      </c>
      <c r="H11" s="28">
        <f t="shared" si="4"/>
        <v>3700.7910936057451</v>
      </c>
      <c r="I11" s="28">
        <f t="shared" si="4"/>
        <v>3870.0899039128653</v>
      </c>
      <c r="J11" s="28">
        <f t="shared" si="4"/>
        <v>4049.6271619760928</v>
      </c>
      <c r="K11" s="28">
        <f t="shared" si="4"/>
        <v>4240.0520545422532</v>
      </c>
      <c r="L11" s="28">
        <f t="shared" si="4"/>
        <v>4442.0556984280147</v>
      </c>
    </row>
    <row r="12" spans="2:12" ht="18">
      <c r="B12" s="22" t="s">
        <v>18</v>
      </c>
      <c r="C12" s="24">
        <v>552</v>
      </c>
      <c r="D12" s="24">
        <v>574</v>
      </c>
      <c r="E12" s="24">
        <v>569</v>
      </c>
      <c r="F12" s="24">
        <v>519</v>
      </c>
      <c r="G12" s="24">
        <v>529</v>
      </c>
      <c r="H12" s="27">
        <f>'Fixed Assets Schedule'!H17</f>
        <v>709.44056973624117</v>
      </c>
      <c r="I12" s="27">
        <f>'Fixed Assets Schedule'!I17</f>
        <v>729.10531814075171</v>
      </c>
      <c r="J12" s="27">
        <f>'Fixed Assets Schedule'!J17</f>
        <v>745.14073088734438</v>
      </c>
      <c r="K12" s="27">
        <f>'Fixed Assets Schedule'!K17</f>
        <v>749.63371735392695</v>
      </c>
      <c r="L12" s="27">
        <f>'Fixed Assets Schedule'!L17</f>
        <v>759.67680027435426</v>
      </c>
    </row>
    <row r="13" spans="2:12" ht="18.600000000000001" thickBot="1">
      <c r="B13" s="19" t="s">
        <v>11</v>
      </c>
      <c r="C13" s="25">
        <f>C11-C12</f>
        <v>2114</v>
      </c>
      <c r="D13" s="25">
        <f>D11-D12</f>
        <v>2826</v>
      </c>
      <c r="E13" s="25">
        <f>E11-E12</f>
        <v>2968</v>
      </c>
      <c r="F13" s="25">
        <f>F11-F12</f>
        <v>2689</v>
      </c>
      <c r="G13" s="25">
        <f t="shared" ref="G13:L13" si="5">G11-G12</f>
        <v>2892</v>
      </c>
      <c r="H13" s="28">
        <f t="shared" si="5"/>
        <v>2991.3505238695038</v>
      </c>
      <c r="I13" s="28">
        <f t="shared" si="5"/>
        <v>3140.9845857721139</v>
      </c>
      <c r="J13" s="28">
        <f t="shared" si="5"/>
        <v>3304.4864310887483</v>
      </c>
      <c r="K13" s="28">
        <f t="shared" si="5"/>
        <v>3490.4183371883264</v>
      </c>
      <c r="L13" s="28">
        <f t="shared" si="5"/>
        <v>3682.3788981536604</v>
      </c>
    </row>
    <row r="14" spans="2:12" ht="18">
      <c r="B14" s="17" t="s">
        <v>19</v>
      </c>
      <c r="C14" s="210"/>
      <c r="D14" s="210"/>
      <c r="E14" s="210"/>
      <c r="F14" s="210"/>
      <c r="G14" s="202"/>
      <c r="H14" s="211"/>
      <c r="I14" s="211"/>
      <c r="J14" s="211"/>
      <c r="K14" s="211"/>
      <c r="L14" s="211"/>
    </row>
    <row r="15" spans="2:12" ht="18">
      <c r="B15" s="17" t="s">
        <v>20</v>
      </c>
      <c r="C15" s="24">
        <v>119</v>
      </c>
      <c r="D15" s="24">
        <v>30</v>
      </c>
      <c r="E15" s="24">
        <v>59</v>
      </c>
      <c r="F15" s="24">
        <v>126</v>
      </c>
      <c r="G15" s="24">
        <v>119</v>
      </c>
      <c r="H15" s="27">
        <f>AVERAGE(D15:G15)</f>
        <v>83.5</v>
      </c>
      <c r="I15" s="27">
        <f>H15</f>
        <v>83.5</v>
      </c>
      <c r="J15" s="27">
        <f t="shared" ref="J15:L15" si="6">I15</f>
        <v>83.5</v>
      </c>
      <c r="K15" s="27">
        <f t="shared" si="6"/>
        <v>83.5</v>
      </c>
      <c r="L15" s="27">
        <f t="shared" si="6"/>
        <v>83.5</v>
      </c>
    </row>
    <row r="16" spans="2:12" ht="18">
      <c r="B16" s="17" t="s">
        <v>21</v>
      </c>
      <c r="C16" s="24">
        <v>-24</v>
      </c>
      <c r="D16" s="24">
        <v>-9</v>
      </c>
      <c r="E16" s="24">
        <v>-19</v>
      </c>
      <c r="F16" s="24">
        <v>-41</v>
      </c>
      <c r="G16" s="24">
        <v>-54</v>
      </c>
      <c r="H16" s="61">
        <f>-'Debt schedule'!C11</f>
        <v>-9.57</v>
      </c>
      <c r="I16" s="61">
        <f>-'Debt schedule'!D11</f>
        <v>-7.6559999999999997</v>
      </c>
      <c r="J16" s="61">
        <f>-'Debt schedule'!E11</f>
        <v>-5.742</v>
      </c>
      <c r="K16" s="61">
        <f>-'Debt schedule'!F11</f>
        <v>-3.8279999999999998</v>
      </c>
      <c r="L16" s="61">
        <f>-'Debt schedule'!G11</f>
        <v>-1.9139999999999999</v>
      </c>
    </row>
    <row r="17" spans="2:12" ht="18">
      <c r="B17" s="20" t="s">
        <v>22</v>
      </c>
      <c r="C17" s="24">
        <v>-116</v>
      </c>
      <c r="D17" s="24">
        <v>-20</v>
      </c>
      <c r="E17" s="24">
        <v>7</v>
      </c>
      <c r="F17" s="24">
        <v>2</v>
      </c>
      <c r="G17" s="24">
        <v>-19</v>
      </c>
      <c r="H17" s="27">
        <v>0</v>
      </c>
      <c r="I17" s="27">
        <v>0</v>
      </c>
      <c r="J17" s="27">
        <v>0</v>
      </c>
      <c r="K17" s="27">
        <v>0</v>
      </c>
      <c r="L17" s="27">
        <v>0</v>
      </c>
    </row>
    <row r="18" spans="2:12" ht="18">
      <c r="B18" s="23" t="s">
        <v>23</v>
      </c>
      <c r="C18" s="24">
        <v>3</v>
      </c>
      <c r="D18" s="24">
        <v>0</v>
      </c>
      <c r="E18" s="24">
        <v>1</v>
      </c>
      <c r="F18" s="24">
        <v>11</v>
      </c>
      <c r="G18" s="24">
        <v>0</v>
      </c>
      <c r="H18" s="27">
        <v>0</v>
      </c>
      <c r="I18" s="27">
        <v>0</v>
      </c>
      <c r="J18" s="27">
        <v>0</v>
      </c>
      <c r="K18" s="27">
        <v>0</v>
      </c>
      <c r="L18" s="27">
        <v>0</v>
      </c>
    </row>
    <row r="19" spans="2:12" ht="18">
      <c r="B19" s="17" t="s">
        <v>24</v>
      </c>
      <c r="C19" s="24">
        <f t="shared" ref="C19:L19" si="7">SUM(C15:C18)</f>
        <v>-18</v>
      </c>
      <c r="D19" s="24">
        <f t="shared" si="7"/>
        <v>1</v>
      </c>
      <c r="E19" s="24">
        <f t="shared" si="7"/>
        <v>48</v>
      </c>
      <c r="F19" s="24">
        <f t="shared" si="7"/>
        <v>98</v>
      </c>
      <c r="G19" s="24">
        <f t="shared" si="7"/>
        <v>46</v>
      </c>
      <c r="H19" s="27">
        <f>SUM(H15:H18)</f>
        <v>73.930000000000007</v>
      </c>
      <c r="I19" s="27">
        <f t="shared" si="7"/>
        <v>75.843999999999994</v>
      </c>
      <c r="J19" s="27">
        <f t="shared" si="7"/>
        <v>77.757999999999996</v>
      </c>
      <c r="K19" s="27">
        <f t="shared" si="7"/>
        <v>79.671999999999997</v>
      </c>
      <c r="L19" s="27">
        <f t="shared" si="7"/>
        <v>81.585999999999999</v>
      </c>
    </row>
    <row r="20" spans="2:12" ht="18.600000000000001" thickBot="1">
      <c r="B20" s="19" t="s">
        <v>25</v>
      </c>
      <c r="C20" s="25">
        <f>C13+C19</f>
        <v>2096</v>
      </c>
      <c r="D20" s="25">
        <f>D13+D19</f>
        <v>2827</v>
      </c>
      <c r="E20" s="25">
        <f>E13+E19</f>
        <v>3016</v>
      </c>
      <c r="F20" s="25">
        <f>F13+F19</f>
        <v>2787</v>
      </c>
      <c r="G20" s="25">
        <f t="shared" ref="G20:L20" si="8">G13+G19</f>
        <v>2938</v>
      </c>
      <c r="H20" s="28">
        <f t="shared" si="8"/>
        <v>3065.2805238695037</v>
      </c>
      <c r="I20" s="28">
        <f t="shared" si="8"/>
        <v>3216.8285857721139</v>
      </c>
      <c r="J20" s="28">
        <f t="shared" si="8"/>
        <v>3382.2444310887481</v>
      </c>
      <c r="K20" s="28">
        <f t="shared" si="8"/>
        <v>3570.0903371883264</v>
      </c>
      <c r="L20" s="28">
        <f t="shared" si="8"/>
        <v>3763.9648981536602</v>
      </c>
    </row>
    <row r="21" spans="2:12" ht="17.399999999999999">
      <c r="B21" s="16" t="s">
        <v>26</v>
      </c>
      <c r="C21" s="24">
        <v>704</v>
      </c>
      <c r="D21" s="24">
        <v>693</v>
      </c>
      <c r="E21" s="24">
        <v>730</v>
      </c>
      <c r="F21" s="24">
        <v>668</v>
      </c>
      <c r="G21" s="24">
        <v>713</v>
      </c>
      <c r="H21" s="27">
        <f>H20*$G$41</f>
        <v>643.70891001259577</v>
      </c>
      <c r="I21" s="27">
        <f t="shared" ref="I21:L21" si="9">I20*$G$41</f>
        <v>675.5340030121439</v>
      </c>
      <c r="J21" s="27">
        <f t="shared" si="9"/>
        <v>710.27133052863712</v>
      </c>
      <c r="K21" s="27">
        <f t="shared" si="9"/>
        <v>749.71897080954852</v>
      </c>
      <c r="L21" s="27">
        <f t="shared" si="9"/>
        <v>790.43262861226867</v>
      </c>
    </row>
    <row r="22" spans="2:12" ht="17.399999999999999">
      <c r="B22" s="16" t="s">
        <v>27</v>
      </c>
      <c r="C22" s="24">
        <v>0</v>
      </c>
      <c r="D22" s="24">
        <v>3</v>
      </c>
      <c r="E22" s="24">
        <v>4</v>
      </c>
      <c r="F22" s="24">
        <v>7</v>
      </c>
      <c r="G22" s="24">
        <v>15</v>
      </c>
      <c r="H22" s="27">
        <v>0</v>
      </c>
      <c r="I22" s="27">
        <v>0</v>
      </c>
      <c r="J22" s="27">
        <v>0</v>
      </c>
      <c r="K22" s="27">
        <v>0</v>
      </c>
      <c r="L22" s="27">
        <f t="shared" ref="L22" si="10">K22</f>
        <v>0</v>
      </c>
    </row>
    <row r="23" spans="2:12" ht="18.600000000000001" thickBot="1">
      <c r="B23" s="19" t="s">
        <v>12</v>
      </c>
      <c r="C23" s="25">
        <f t="shared" ref="C23:H23" si="11">C20-C21+C22</f>
        <v>1392</v>
      </c>
      <c r="D23" s="25">
        <f t="shared" si="11"/>
        <v>2137</v>
      </c>
      <c r="E23" s="25">
        <f t="shared" si="11"/>
        <v>2290</v>
      </c>
      <c r="F23" s="25">
        <f t="shared" si="11"/>
        <v>2126</v>
      </c>
      <c r="G23" s="25">
        <f t="shared" si="11"/>
        <v>2240</v>
      </c>
      <c r="H23" s="28">
        <f t="shared" si="11"/>
        <v>2421.5716138569078</v>
      </c>
      <c r="I23" s="28">
        <f t="shared" ref="I23:L23" si="12">I20-I21+I22</f>
        <v>2541.2945827599701</v>
      </c>
      <c r="J23" s="28">
        <f t="shared" si="12"/>
        <v>2671.9731005601111</v>
      </c>
      <c r="K23" s="28">
        <f t="shared" si="12"/>
        <v>2820.371366378778</v>
      </c>
      <c r="L23" s="28">
        <f t="shared" si="12"/>
        <v>2973.5322695413915</v>
      </c>
    </row>
    <row r="24" spans="2:12" ht="18">
      <c r="B24" s="207"/>
      <c r="C24" s="208"/>
      <c r="D24" s="208"/>
      <c r="E24" s="208"/>
      <c r="F24" s="208"/>
      <c r="G24" s="208"/>
      <c r="H24" s="209"/>
      <c r="I24" s="209"/>
      <c r="J24" s="209"/>
      <c r="K24" s="209"/>
      <c r="L24" s="209"/>
    </row>
    <row r="25" spans="2:12" ht="17.399999999999999">
      <c r="B25" s="16" t="s">
        <v>28</v>
      </c>
      <c r="C25" s="24">
        <v>480</v>
      </c>
      <c r="D25" s="24">
        <v>509</v>
      </c>
      <c r="E25" s="24">
        <v>564</v>
      </c>
      <c r="F25" s="24">
        <v>591</v>
      </c>
      <c r="G25" s="24">
        <v>600</v>
      </c>
      <c r="H25" s="27">
        <f>H23*$G$44</f>
        <v>666.00200239825472</v>
      </c>
      <c r="I25" s="27">
        <f t="shared" ref="I25:L25" si="13">I23*$G$44</f>
        <v>698.92927019666854</v>
      </c>
      <c r="J25" s="27">
        <f t="shared" si="13"/>
        <v>734.86962976617599</v>
      </c>
      <c r="K25" s="27">
        <f t="shared" si="13"/>
        <v>775.68343086216987</v>
      </c>
      <c r="L25" s="27">
        <f t="shared" si="13"/>
        <v>817.80709452411656</v>
      </c>
    </row>
    <row r="26" spans="2:12" ht="17.399999999999999">
      <c r="B26" s="16" t="s">
        <v>29</v>
      </c>
      <c r="C26" s="24">
        <v>1621</v>
      </c>
      <c r="D26" s="24">
        <v>771</v>
      </c>
      <c r="E26" s="24">
        <v>1422</v>
      </c>
      <c r="F26" s="24">
        <v>1064</v>
      </c>
      <c r="G26" s="24">
        <v>605</v>
      </c>
      <c r="H26" s="27">
        <f>H23*$G$47</f>
        <v>1412.6567315810119</v>
      </c>
      <c r="I26" s="27">
        <f t="shared" ref="I26:L26" si="14">I23*$G$47</f>
        <v>1482.498753587704</v>
      </c>
      <c r="J26" s="27">
        <f t="shared" si="14"/>
        <v>1558.7318440265922</v>
      </c>
      <c r="K26" s="27">
        <f t="shared" si="14"/>
        <v>1645.3019904406374</v>
      </c>
      <c r="L26" s="27">
        <f t="shared" si="14"/>
        <v>1734.6504861157598</v>
      </c>
    </row>
    <row r="27" spans="2:12" ht="18.600000000000001" thickBot="1">
      <c r="B27" s="19" t="s">
        <v>30</v>
      </c>
      <c r="C27" s="25">
        <f t="shared" ref="C27:F27" si="15">SUM(C25:C26)</f>
        <v>2101</v>
      </c>
      <c r="D27" s="25">
        <f t="shared" si="15"/>
        <v>1280</v>
      </c>
      <c r="E27" s="25">
        <f t="shared" si="15"/>
        <v>1986</v>
      </c>
      <c r="F27" s="25">
        <f t="shared" si="15"/>
        <v>1655</v>
      </c>
      <c r="G27" s="25">
        <f>SUM(G25:G26)</f>
        <v>1205</v>
      </c>
      <c r="H27" s="28">
        <f t="shared" ref="H27:L27" si="16">SUM(H25:H26)</f>
        <v>2078.6587339792668</v>
      </c>
      <c r="I27" s="28">
        <f t="shared" si="16"/>
        <v>2181.4280237843723</v>
      </c>
      <c r="J27" s="28">
        <f t="shared" si="16"/>
        <v>2293.601473792768</v>
      </c>
      <c r="K27" s="28">
        <f t="shared" si="16"/>
        <v>2420.9854213028075</v>
      </c>
      <c r="L27" s="28">
        <f t="shared" si="16"/>
        <v>2552.4575806398761</v>
      </c>
    </row>
    <row r="33" spans="2:15" ht="14.4" thickBot="1"/>
    <row r="34" spans="2:15">
      <c r="B34" s="60" t="s">
        <v>31</v>
      </c>
      <c r="C34" s="68">
        <f>C7/C6</f>
        <v>0.64082392505404762</v>
      </c>
      <c r="D34" s="66">
        <f t="shared" ref="D34:G34" si="17">D7/D6</f>
        <v>0.6270059977305884</v>
      </c>
      <c r="E34" s="66">
        <f t="shared" si="17"/>
        <v>0.64072472719785878</v>
      </c>
      <c r="F34" s="66">
        <f t="shared" si="17"/>
        <v>0.65436883170567872</v>
      </c>
      <c r="G34" s="66">
        <f t="shared" si="17"/>
        <v>0.65656668017835429</v>
      </c>
    </row>
    <row r="35" spans="2:15">
      <c r="B35" s="65"/>
      <c r="G35" s="63">
        <f>AVERAGE(C34:G34)</f>
        <v>0.64389803237330567</v>
      </c>
      <c r="H35" s="26"/>
    </row>
    <row r="36" spans="2:15">
      <c r="B36" s="65"/>
    </row>
    <row r="37" spans="2:15">
      <c r="B37" s="64" t="s">
        <v>32</v>
      </c>
      <c r="C37" s="62">
        <f>C9/C8</f>
        <v>0.51830797525497407</v>
      </c>
      <c r="D37" s="62">
        <f t="shared" ref="D37:G37" si="18">D9/D8</f>
        <v>0.50746052440967693</v>
      </c>
      <c r="E37" s="62">
        <f t="shared" si="18"/>
        <v>0.49326647564469916</v>
      </c>
      <c r="F37" s="62">
        <f t="shared" si="18"/>
        <v>0.48617132605770669</v>
      </c>
      <c r="G37" s="62">
        <f t="shared" si="18"/>
        <v>0.47550899970492772</v>
      </c>
    </row>
    <row r="38" spans="2:15">
      <c r="B38" s="65"/>
      <c r="G38" s="63">
        <f>AVERAGE(C37:G37)</f>
        <v>0.49614306021439691</v>
      </c>
      <c r="O38" s="67"/>
    </row>
    <row r="39" spans="2:15">
      <c r="B39" s="65"/>
    </row>
    <row r="40" spans="2:15">
      <c r="B40" s="64" t="s">
        <v>33</v>
      </c>
      <c r="C40" s="62">
        <f>C21/C20</f>
        <v>0.33587786259541985</v>
      </c>
      <c r="D40" s="62">
        <f t="shared" ref="D40:G40" si="19">D21/D20</f>
        <v>0.24513618677042801</v>
      </c>
      <c r="E40" s="62">
        <f t="shared" si="19"/>
        <v>0.24204244031830238</v>
      </c>
      <c r="F40" s="62">
        <f t="shared" si="19"/>
        <v>0.2396842482956584</v>
      </c>
      <c r="G40" s="62">
        <f t="shared" si="19"/>
        <v>0.24268209666439755</v>
      </c>
    </row>
    <row r="41" spans="2:15">
      <c r="B41" s="65"/>
      <c r="C41" s="60"/>
      <c r="D41" s="60"/>
      <c r="E41" s="60"/>
      <c r="F41" s="60"/>
      <c r="G41" s="63">
        <v>0.21</v>
      </c>
    </row>
    <row r="42" spans="2:15">
      <c r="B42" s="65"/>
    </row>
    <row r="43" spans="2:15">
      <c r="B43" s="64" t="s">
        <v>34</v>
      </c>
      <c r="C43" s="62">
        <f>C25/C23</f>
        <v>0.34482758620689657</v>
      </c>
      <c r="D43" s="62">
        <f t="shared" ref="D43:G43" si="20">D25/D23</f>
        <v>0.2381843706130089</v>
      </c>
      <c r="E43" s="62">
        <f t="shared" si="20"/>
        <v>0.24628820960698691</v>
      </c>
      <c r="F43" s="62">
        <f t="shared" si="20"/>
        <v>0.27798682972718719</v>
      </c>
      <c r="G43" s="62">
        <f t="shared" si="20"/>
        <v>0.26785714285714285</v>
      </c>
    </row>
    <row r="44" spans="2:15">
      <c r="B44" s="65"/>
      <c r="G44" s="63">
        <f>AVERAGE(C43:G43)</f>
        <v>0.27502882780224447</v>
      </c>
    </row>
    <row r="45" spans="2:15">
      <c r="B45" s="65"/>
    </row>
    <row r="46" spans="2:15">
      <c r="B46" s="64" t="s">
        <v>35</v>
      </c>
      <c r="C46" s="62">
        <f>C26/C23</f>
        <v>1.1645114942528736</v>
      </c>
      <c r="D46" s="62">
        <f t="shared" ref="D46:G46" si="21">D26/D23</f>
        <v>0.36078614880673843</v>
      </c>
      <c r="E46" s="62">
        <f t="shared" si="21"/>
        <v>0.62096069868995629</v>
      </c>
      <c r="F46" s="62">
        <f t="shared" si="21"/>
        <v>0.50047036688617119</v>
      </c>
      <c r="G46" s="62">
        <f t="shared" si="21"/>
        <v>0.2700892857142857</v>
      </c>
    </row>
    <row r="47" spans="2:15">
      <c r="G47" s="63">
        <f>AVERAGE(C46:G46)</f>
        <v>0.583363598870005</v>
      </c>
    </row>
    <row r="76" spans="2:5" ht="14.4" thickBot="1">
      <c r="B76" t="s">
        <v>326</v>
      </c>
      <c r="C76">
        <v>2022</v>
      </c>
      <c r="D76">
        <v>2023</v>
      </c>
      <c r="E76">
        <v>2024</v>
      </c>
    </row>
    <row r="77" spans="2:5" ht="14.4" thickBot="1">
      <c r="B77" t="s">
        <v>325</v>
      </c>
      <c r="C77" s="112">
        <v>4.41</v>
      </c>
      <c r="D77" s="112">
        <v>4.21</v>
      </c>
      <c r="E77" s="112">
        <v>4.51</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7655F-6252-42FE-A578-83DB8E63C81D}">
  <sheetPr>
    <tabColor theme="9" tint="0.79998168889431442"/>
  </sheetPr>
  <dimension ref="B4:S51"/>
  <sheetViews>
    <sheetView showGridLines="0" showRowColHeaders="0" topLeftCell="A7" zoomScale="70" zoomScaleNormal="70" workbookViewId="0">
      <selection activeCell="S27" sqref="S27"/>
    </sheetView>
  </sheetViews>
  <sheetFormatPr defaultRowHeight="13.8"/>
  <cols>
    <col min="1" max="1" width="2.69921875" customWidth="1"/>
    <col min="2" max="2" width="29" customWidth="1"/>
    <col min="3" max="3" width="14" customWidth="1"/>
    <col min="4" max="4" width="12.3984375" customWidth="1"/>
    <col min="5" max="5" width="12.296875" customWidth="1"/>
    <col min="6" max="6" width="13.59765625" customWidth="1"/>
    <col min="7" max="7" width="14.796875" customWidth="1"/>
    <col min="8" max="8" width="11.19921875" customWidth="1"/>
    <col min="9" max="9" width="11.59765625" customWidth="1"/>
    <col min="10" max="10" width="11.796875" customWidth="1"/>
    <col min="11" max="11" width="12.69921875" customWidth="1"/>
    <col min="12" max="12" width="12.8984375" customWidth="1"/>
  </cols>
  <sheetData>
    <row r="4" spans="2:13" ht="14.4">
      <c r="B4" s="2" t="str">
        <f>"Balance Sheet: "&amp;'Cognizant&gt;&gt;'!C10</f>
        <v>Balance Sheet: Cognizant</v>
      </c>
      <c r="C4" s="2" t="s">
        <v>0</v>
      </c>
      <c r="D4" s="2" t="s">
        <v>0</v>
      </c>
      <c r="E4" s="2" t="s">
        <v>0</v>
      </c>
      <c r="F4" s="2" t="s">
        <v>0</v>
      </c>
      <c r="G4" s="2" t="s">
        <v>0</v>
      </c>
      <c r="H4" s="11" t="s">
        <v>0</v>
      </c>
      <c r="I4" s="11" t="s">
        <v>0</v>
      </c>
      <c r="J4" s="11" t="s">
        <v>0</v>
      </c>
      <c r="K4" s="11" t="s">
        <v>0</v>
      </c>
      <c r="L4" s="12">
        <v>12</v>
      </c>
    </row>
    <row r="5" spans="2:13" ht="14.4">
      <c r="B5" s="4" t="s">
        <v>9</v>
      </c>
      <c r="C5" s="4">
        <f>DATE(2020,12,31)</f>
        <v>44196</v>
      </c>
      <c r="D5" s="4">
        <f t="shared" ref="D5:L5" si="0">EOMONTH(C5,12)</f>
        <v>44561</v>
      </c>
      <c r="E5" s="4">
        <f t="shared" si="0"/>
        <v>44926</v>
      </c>
      <c r="F5" s="4">
        <f t="shared" si="0"/>
        <v>45291</v>
      </c>
      <c r="G5" s="4">
        <f t="shared" si="0"/>
        <v>45657</v>
      </c>
      <c r="H5" s="13">
        <f t="shared" si="0"/>
        <v>46022</v>
      </c>
      <c r="I5" s="13">
        <f t="shared" si="0"/>
        <v>46387</v>
      </c>
      <c r="J5" s="13">
        <f t="shared" si="0"/>
        <v>46752</v>
      </c>
      <c r="K5" s="13">
        <f t="shared" si="0"/>
        <v>47118</v>
      </c>
      <c r="L5" s="13">
        <f t="shared" si="0"/>
        <v>47483</v>
      </c>
    </row>
    <row r="6" spans="2:13" ht="14.4">
      <c r="B6" s="30" t="s">
        <v>36</v>
      </c>
      <c r="C6" s="31"/>
      <c r="D6" s="31"/>
      <c r="E6" s="31"/>
      <c r="F6" s="31"/>
      <c r="H6" s="29"/>
      <c r="I6" s="29"/>
      <c r="J6" s="29"/>
      <c r="K6" s="29"/>
      <c r="L6" s="29"/>
      <c r="M6" s="118"/>
    </row>
    <row r="7" spans="2:13" ht="14.4">
      <c r="B7" s="31" t="s">
        <v>37</v>
      </c>
      <c r="C7" s="31">
        <v>2680</v>
      </c>
      <c r="D7" s="31">
        <v>1792</v>
      </c>
      <c r="E7" s="31">
        <v>2191</v>
      </c>
      <c r="F7" s="31">
        <v>2621</v>
      </c>
      <c r="G7" s="31">
        <v>2231</v>
      </c>
      <c r="H7" s="113">
        <f>'Cash Flow Statement'!C30</f>
        <v>2767.5286390111219</v>
      </c>
      <c r="I7" s="113">
        <f>'Cash Flow Statement'!D30</f>
        <v>3209.7671130416047</v>
      </c>
      <c r="J7" s="113">
        <f>'Cash Flow Statement'!E30</f>
        <v>3656.7274886977448</v>
      </c>
      <c r="K7" s="113">
        <f>'Cash Flow Statement'!F30</f>
        <v>4097.5523246971252</v>
      </c>
      <c r="L7" s="113">
        <f>'Cash Flow Statement'!G30</f>
        <v>4536.5256706436157</v>
      </c>
      <c r="M7" s="170">
        <f>H7-G7</f>
        <v>536.52863901112187</v>
      </c>
    </row>
    <row r="8" spans="2:13" ht="14.4">
      <c r="B8" s="31" t="s">
        <v>38</v>
      </c>
      <c r="C8" s="31">
        <v>44</v>
      </c>
      <c r="D8" s="31">
        <v>927</v>
      </c>
      <c r="E8" s="31">
        <v>310</v>
      </c>
      <c r="F8" s="31">
        <v>14</v>
      </c>
      <c r="G8" s="31">
        <v>12</v>
      </c>
      <c r="H8" s="35">
        <f>G8</f>
        <v>12</v>
      </c>
      <c r="I8" s="35">
        <f t="shared" ref="I8:L8" si="1">H8</f>
        <v>12</v>
      </c>
      <c r="J8" s="35">
        <f t="shared" si="1"/>
        <v>12</v>
      </c>
      <c r="K8" s="35">
        <f t="shared" si="1"/>
        <v>12</v>
      </c>
      <c r="L8" s="35">
        <f t="shared" si="1"/>
        <v>12</v>
      </c>
      <c r="M8" s="118"/>
    </row>
    <row r="9" spans="2:13" ht="14.4">
      <c r="B9" s="31" t="s">
        <v>39</v>
      </c>
      <c r="C9" s="31">
        <v>3087</v>
      </c>
      <c r="D9" s="31">
        <v>3557</v>
      </c>
      <c r="E9" s="31">
        <v>3796</v>
      </c>
      <c r="F9" s="31">
        <v>3849</v>
      </c>
      <c r="G9" s="31">
        <v>4059</v>
      </c>
      <c r="H9" s="113">
        <f>'Extra Calculations'!H6</f>
        <v>4032.435858012223</v>
      </c>
      <c r="I9" s="113">
        <f>'Extra Calculations'!I6</f>
        <v>4216.906306663268</v>
      </c>
      <c r="J9" s="113">
        <f>'Extra Calculations'!J6</f>
        <v>4412.5327170581259</v>
      </c>
      <c r="K9" s="113">
        <f>'Extra Calculations'!K6</f>
        <v>4620.0224525281037</v>
      </c>
      <c r="L9" s="113">
        <f>'Extra Calculations'!L6</f>
        <v>4840.1285640191027</v>
      </c>
      <c r="M9" s="170">
        <f>H9-G9</f>
        <v>-26.56414198777702</v>
      </c>
    </row>
    <row r="10" spans="2:13" ht="14.4">
      <c r="B10" s="31" t="s">
        <v>40</v>
      </c>
      <c r="C10" s="31">
        <v>1040</v>
      </c>
      <c r="D10" s="31">
        <v>1066</v>
      </c>
      <c r="E10" s="31">
        <v>969</v>
      </c>
      <c r="F10" s="31">
        <v>1022</v>
      </c>
      <c r="G10" s="31">
        <v>1202</v>
      </c>
      <c r="H10" s="35">
        <f>G10</f>
        <v>1202</v>
      </c>
      <c r="I10" s="35">
        <f t="shared" ref="I10:L10" si="2">H10</f>
        <v>1202</v>
      </c>
      <c r="J10" s="35">
        <f t="shared" si="2"/>
        <v>1202</v>
      </c>
      <c r="K10" s="35">
        <f t="shared" si="2"/>
        <v>1202</v>
      </c>
      <c r="L10" s="35">
        <f t="shared" si="2"/>
        <v>1202</v>
      </c>
      <c r="M10" s="118"/>
    </row>
    <row r="11" spans="2:13" ht="14.4" thickBot="1">
      <c r="B11" s="32" t="s">
        <v>41</v>
      </c>
      <c r="C11" s="32">
        <f>SUM(C7:C10)</f>
        <v>6851</v>
      </c>
      <c r="D11" s="32">
        <f t="shared" ref="D11:F11" si="3">SUM(D7:D10)</f>
        <v>7342</v>
      </c>
      <c r="E11" s="32">
        <f t="shared" si="3"/>
        <v>7266</v>
      </c>
      <c r="F11" s="32">
        <f t="shared" si="3"/>
        <v>7506</v>
      </c>
      <c r="G11" s="32">
        <f>SUM(G7:G10)</f>
        <v>7504</v>
      </c>
      <c r="H11" s="34">
        <f>SUM(H7:H10)</f>
        <v>8013.9644970233448</v>
      </c>
      <c r="I11" s="34">
        <f t="shared" ref="I11:L11" si="4">SUM(I7:I10)</f>
        <v>8640.6734197048718</v>
      </c>
      <c r="J11" s="34">
        <f t="shared" si="4"/>
        <v>9283.2602057558706</v>
      </c>
      <c r="K11" s="34">
        <f t="shared" si="4"/>
        <v>9931.5747772252289</v>
      </c>
      <c r="L11" s="34">
        <f t="shared" si="4"/>
        <v>10590.654234662717</v>
      </c>
      <c r="M11" s="118"/>
    </row>
    <row r="12" spans="2:13" ht="14.4">
      <c r="B12" s="31"/>
      <c r="C12" s="31"/>
      <c r="D12" s="31"/>
      <c r="E12" s="31"/>
      <c r="F12" s="31"/>
      <c r="H12" s="29"/>
      <c r="I12" s="29"/>
      <c r="J12" s="29"/>
      <c r="K12" s="29"/>
      <c r="L12" s="29"/>
      <c r="M12" s="118"/>
    </row>
    <row r="13" spans="2:13" ht="14.4">
      <c r="B13" s="31" t="s">
        <v>42</v>
      </c>
      <c r="C13" s="31">
        <v>1251</v>
      </c>
      <c r="D13" s="31">
        <v>1171</v>
      </c>
      <c r="E13" s="31">
        <v>1101</v>
      </c>
      <c r="F13" s="31">
        <v>1048</v>
      </c>
      <c r="G13" s="31">
        <v>994</v>
      </c>
      <c r="H13" s="113">
        <f>'Fixed Assets Schedule'!H10</f>
        <v>1216.5348953640619</v>
      </c>
      <c r="I13" s="113">
        <f>'Fixed Assets Schedule'!I10</f>
        <v>1272.1872965055609</v>
      </c>
      <c r="J13" s="113">
        <f>'Fixed Assets Schedule'!J10</f>
        <v>1331.2053102024906</v>
      </c>
      <c r="K13" s="113">
        <f>'Fixed Assets Schedule'!K10</f>
        <v>1393.8023390250432</v>
      </c>
      <c r="L13" s="113">
        <f>'Fixed Assets Schedule'!L10</f>
        <v>1460.2055689188692</v>
      </c>
      <c r="M13" s="170">
        <f>H13-G13</f>
        <v>222.53489536406187</v>
      </c>
    </row>
    <row r="14" spans="2:13" ht="14.4">
      <c r="B14" s="31" t="s">
        <v>43</v>
      </c>
      <c r="C14" s="31">
        <v>1013</v>
      </c>
      <c r="D14" s="31">
        <v>933</v>
      </c>
      <c r="E14" s="31">
        <v>876</v>
      </c>
      <c r="F14" s="31">
        <v>611</v>
      </c>
      <c r="G14" s="31">
        <v>552</v>
      </c>
      <c r="H14" s="35">
        <f t="shared" ref="H14:H19" si="5">G14</f>
        <v>552</v>
      </c>
      <c r="I14" s="35">
        <f t="shared" ref="I14:L14" si="6">H14</f>
        <v>552</v>
      </c>
      <c r="J14" s="35">
        <f t="shared" si="6"/>
        <v>552</v>
      </c>
      <c r="K14" s="35">
        <f t="shared" si="6"/>
        <v>552</v>
      </c>
      <c r="L14" s="35">
        <f t="shared" si="6"/>
        <v>552</v>
      </c>
      <c r="M14" s="118"/>
    </row>
    <row r="15" spans="2:13" ht="14.4">
      <c r="B15" s="31" t="s">
        <v>44</v>
      </c>
      <c r="C15" s="31">
        <v>5031</v>
      </c>
      <c r="D15" s="31">
        <v>5620</v>
      </c>
      <c r="E15" s="31">
        <v>5710</v>
      </c>
      <c r="F15" s="31">
        <v>6085</v>
      </c>
      <c r="G15" s="31">
        <v>6953</v>
      </c>
      <c r="H15" s="35">
        <f t="shared" si="5"/>
        <v>6953</v>
      </c>
      <c r="I15" s="35">
        <f t="shared" ref="I15:L15" si="7">H15</f>
        <v>6953</v>
      </c>
      <c r="J15" s="35">
        <f t="shared" si="7"/>
        <v>6953</v>
      </c>
      <c r="K15" s="35">
        <f t="shared" si="7"/>
        <v>6953</v>
      </c>
      <c r="L15" s="35">
        <f t="shared" si="7"/>
        <v>6953</v>
      </c>
      <c r="M15" s="118"/>
    </row>
    <row r="16" spans="2:13" ht="14.4">
      <c r="B16" s="31" t="s">
        <v>45</v>
      </c>
      <c r="C16" s="31">
        <v>1046</v>
      </c>
      <c r="D16" s="31">
        <v>1218</v>
      </c>
      <c r="E16" s="31">
        <v>1168</v>
      </c>
      <c r="F16" s="31">
        <v>1149</v>
      </c>
      <c r="G16" s="31">
        <v>1599</v>
      </c>
      <c r="H16" s="35">
        <f>G16-'Fixed Assets Schedule'!H19</f>
        <v>1385</v>
      </c>
      <c r="I16" s="35">
        <f>H16-'Fixed Assets Schedule'!I19</f>
        <v>1174</v>
      </c>
      <c r="J16" s="35">
        <f>I16-'Fixed Assets Schedule'!J19</f>
        <v>971</v>
      </c>
      <c r="K16" s="35">
        <f>J16-'Fixed Assets Schedule'!K19</f>
        <v>789</v>
      </c>
      <c r="L16" s="35">
        <f>K16-'Fixed Assets Schedule'!L19</f>
        <v>624</v>
      </c>
      <c r="M16" s="170">
        <f>H16-G16</f>
        <v>-214</v>
      </c>
    </row>
    <row r="17" spans="2:19" ht="14.4">
      <c r="B17" s="31" t="s">
        <v>46</v>
      </c>
      <c r="C17" s="31">
        <v>445</v>
      </c>
      <c r="D17" s="31">
        <v>404</v>
      </c>
      <c r="E17" s="31">
        <v>642</v>
      </c>
      <c r="F17" s="31">
        <v>993</v>
      </c>
      <c r="G17" s="31">
        <v>1248</v>
      </c>
      <c r="H17" s="35">
        <f t="shared" si="5"/>
        <v>1248</v>
      </c>
      <c r="I17" s="35">
        <f t="shared" ref="I17:L19" si="8">H17</f>
        <v>1248</v>
      </c>
      <c r="J17" s="35">
        <f t="shared" si="8"/>
        <v>1248</v>
      </c>
      <c r="K17" s="35">
        <f t="shared" si="8"/>
        <v>1248</v>
      </c>
      <c r="L17" s="35">
        <f t="shared" si="8"/>
        <v>1248</v>
      </c>
      <c r="M17" s="118"/>
    </row>
    <row r="18" spans="2:19" ht="14.4">
      <c r="B18" s="31" t="s">
        <v>47</v>
      </c>
      <c r="C18" s="31">
        <v>440</v>
      </c>
      <c r="D18" s="31">
        <v>463</v>
      </c>
      <c r="E18" s="31">
        <v>427</v>
      </c>
      <c r="F18" s="31">
        <v>435</v>
      </c>
      <c r="G18" s="31">
        <v>90</v>
      </c>
      <c r="H18" s="35">
        <f t="shared" si="5"/>
        <v>90</v>
      </c>
      <c r="I18" s="29">
        <f t="shared" si="8"/>
        <v>90</v>
      </c>
      <c r="J18" s="29">
        <f t="shared" si="8"/>
        <v>90</v>
      </c>
      <c r="K18" s="29">
        <f t="shared" si="8"/>
        <v>90</v>
      </c>
      <c r="L18" s="29">
        <f t="shared" si="8"/>
        <v>90</v>
      </c>
      <c r="M18" s="118"/>
    </row>
    <row r="19" spans="2:19" ht="14.4">
      <c r="B19" s="31" t="s">
        <v>48</v>
      </c>
      <c r="C19" s="31">
        <v>846</v>
      </c>
      <c r="D19" s="31">
        <v>701</v>
      </c>
      <c r="E19" s="31">
        <v>662</v>
      </c>
      <c r="F19" s="31">
        <v>656</v>
      </c>
      <c r="G19" s="31">
        <v>1026</v>
      </c>
      <c r="H19" s="35">
        <f t="shared" si="5"/>
        <v>1026</v>
      </c>
      <c r="I19" s="29">
        <f t="shared" si="8"/>
        <v>1026</v>
      </c>
      <c r="J19" s="29">
        <f t="shared" si="8"/>
        <v>1026</v>
      </c>
      <c r="K19" s="29">
        <f t="shared" si="8"/>
        <v>1026</v>
      </c>
      <c r="L19" s="29">
        <f t="shared" si="8"/>
        <v>1026</v>
      </c>
      <c r="M19" s="118"/>
    </row>
    <row r="20" spans="2:19" ht="14.4" thickBot="1">
      <c r="B20" s="32" t="s">
        <v>49</v>
      </c>
      <c r="C20" s="32">
        <f>SUM(C13:C19)+C11</f>
        <v>16923</v>
      </c>
      <c r="D20" s="32">
        <f t="shared" ref="D20:F20" si="9">SUM(D13:D19)+D11</f>
        <v>17852</v>
      </c>
      <c r="E20" s="32">
        <f t="shared" si="9"/>
        <v>17852</v>
      </c>
      <c r="F20" s="32">
        <f t="shared" si="9"/>
        <v>18483</v>
      </c>
      <c r="G20" s="32">
        <f>SUM(G13:G19)+G11</f>
        <v>19966</v>
      </c>
      <c r="H20" s="34">
        <f>SUM(H13:H19)+H11</f>
        <v>20484.499392387406</v>
      </c>
      <c r="I20" s="34">
        <f t="shared" ref="I20:L20" si="10">SUM(I13:I19)+I11</f>
        <v>20955.860716210431</v>
      </c>
      <c r="J20" s="34">
        <f t="shared" si="10"/>
        <v>21454.465515958364</v>
      </c>
      <c r="K20" s="34">
        <f t="shared" si="10"/>
        <v>21983.377116250274</v>
      </c>
      <c r="L20" s="34">
        <f t="shared" si="10"/>
        <v>22543.859803581588</v>
      </c>
      <c r="M20" s="171">
        <f>SUM(M7:M16)</f>
        <v>518.49939238740671</v>
      </c>
    </row>
    <row r="21" spans="2:19" ht="14.4">
      <c r="B21" s="31"/>
      <c r="C21" s="31"/>
      <c r="D21" s="31"/>
      <c r="E21" s="31"/>
      <c r="F21" s="31"/>
      <c r="H21" s="29"/>
      <c r="I21" s="29"/>
      <c r="J21" s="29"/>
      <c r="K21" s="29"/>
      <c r="L21" s="29"/>
      <c r="M21" s="118"/>
    </row>
    <row r="22" spans="2:19" ht="14.4">
      <c r="B22" s="30" t="s">
        <v>50</v>
      </c>
      <c r="C22" s="31"/>
      <c r="D22" s="31"/>
      <c r="E22" s="31"/>
      <c r="F22" s="31"/>
      <c r="H22" s="29"/>
      <c r="I22" s="29"/>
      <c r="J22" s="29"/>
      <c r="K22" s="29"/>
      <c r="L22" s="29"/>
      <c r="M22" s="118"/>
    </row>
    <row r="23" spans="2:19" ht="14.4">
      <c r="B23" s="30" t="s">
        <v>51</v>
      </c>
      <c r="C23" s="31"/>
      <c r="D23" s="31"/>
      <c r="E23" s="31"/>
      <c r="F23" s="31"/>
      <c r="H23" s="29"/>
      <c r="I23" s="29"/>
      <c r="J23" s="29"/>
      <c r="K23" s="29"/>
      <c r="L23" s="29"/>
      <c r="M23" s="118"/>
    </row>
    <row r="24" spans="2:19" ht="14.4">
      <c r="B24" s="31" t="s">
        <v>52</v>
      </c>
      <c r="C24" s="31">
        <v>389</v>
      </c>
      <c r="D24" s="31">
        <v>361</v>
      </c>
      <c r="E24" s="31">
        <v>360</v>
      </c>
      <c r="F24" s="31">
        <v>337</v>
      </c>
      <c r="G24" s="31">
        <v>340</v>
      </c>
      <c r="H24" s="113">
        <f>'Extra Calculations'!H11</f>
        <v>396.65949362078197</v>
      </c>
      <c r="I24" s="113">
        <f>'Extra Calculations'!I11</f>
        <v>414.80533829789778</v>
      </c>
      <c r="J24" s="113">
        <f>'Extra Calculations'!J11</f>
        <v>434.04856388619692</v>
      </c>
      <c r="K24" s="113">
        <f>'Extra Calculations'!K11</f>
        <v>454.45875174808202</v>
      </c>
      <c r="L24" s="113">
        <f>'Extra Calculations'!L11</f>
        <v>476.10997740946101</v>
      </c>
      <c r="M24" s="170">
        <f>H24-G24</f>
        <v>56.659493620781973</v>
      </c>
    </row>
    <row r="25" spans="2:19" ht="14.4">
      <c r="B25" s="31" t="s">
        <v>53</v>
      </c>
      <c r="C25" s="31">
        <v>383</v>
      </c>
      <c r="D25" s="31">
        <v>403</v>
      </c>
      <c r="E25" s="31">
        <v>398</v>
      </c>
      <c r="F25" s="31">
        <v>385</v>
      </c>
      <c r="G25" s="31">
        <v>450</v>
      </c>
      <c r="H25" s="35">
        <f>G25</f>
        <v>450</v>
      </c>
      <c r="I25" s="35">
        <f t="shared" ref="I25:L25" si="11">H25</f>
        <v>450</v>
      </c>
      <c r="J25" s="35">
        <f t="shared" si="11"/>
        <v>450</v>
      </c>
      <c r="K25" s="35">
        <f t="shared" si="11"/>
        <v>450</v>
      </c>
      <c r="L25" s="35">
        <f t="shared" si="11"/>
        <v>450</v>
      </c>
      <c r="M25" s="118"/>
    </row>
    <row r="26" spans="2:19" ht="14.4">
      <c r="B26" s="31" t="s">
        <v>54</v>
      </c>
      <c r="C26" s="31">
        <v>38</v>
      </c>
      <c r="D26" s="31">
        <v>38</v>
      </c>
      <c r="E26" s="31">
        <v>8</v>
      </c>
      <c r="F26" s="31">
        <v>33</v>
      </c>
      <c r="G26" s="31">
        <v>33</v>
      </c>
      <c r="H26" s="115">
        <f>'Debt schedule'!C18</f>
        <v>33</v>
      </c>
      <c r="I26" s="115">
        <f>'Debt schedule'!D18</f>
        <v>33</v>
      </c>
      <c r="J26" s="115">
        <f>'Debt schedule'!E18</f>
        <v>33</v>
      </c>
      <c r="K26" s="115">
        <f>'Debt schedule'!F18</f>
        <v>33</v>
      </c>
      <c r="L26" s="115">
        <f>'Debt schedule'!G18</f>
        <v>0</v>
      </c>
      <c r="M26" s="118"/>
      <c r="S26" s="152">
        <f>(54/908)*(1-0.3)</f>
        <v>4.162995594713656E-2</v>
      </c>
    </row>
    <row r="27" spans="2:19" ht="14.4">
      <c r="B27" s="31" t="s">
        <v>55</v>
      </c>
      <c r="C27" s="31">
        <v>211</v>
      </c>
      <c r="D27" s="31">
        <v>195</v>
      </c>
      <c r="E27" s="31">
        <v>174</v>
      </c>
      <c r="F27" s="31">
        <v>153</v>
      </c>
      <c r="G27" s="31">
        <v>152</v>
      </c>
      <c r="H27" s="35">
        <f>G27</f>
        <v>152</v>
      </c>
      <c r="I27" s="35">
        <f t="shared" ref="I27:L27" si="12">H27</f>
        <v>152</v>
      </c>
      <c r="J27" s="35">
        <f t="shared" si="12"/>
        <v>152</v>
      </c>
      <c r="K27" s="35">
        <f t="shared" si="12"/>
        <v>152</v>
      </c>
      <c r="L27" s="35">
        <f t="shared" si="12"/>
        <v>152</v>
      </c>
      <c r="M27" s="118" t="s">
        <v>85</v>
      </c>
    </row>
    <row r="28" spans="2:19" ht="28.2">
      <c r="B28" s="33" t="s">
        <v>56</v>
      </c>
      <c r="C28" s="31">
        <v>2519</v>
      </c>
      <c r="D28" s="31">
        <v>2532</v>
      </c>
      <c r="E28" s="31">
        <v>2407</v>
      </c>
      <c r="F28" s="31">
        <v>2425</v>
      </c>
      <c r="G28" s="31">
        <v>2610</v>
      </c>
      <c r="H28" s="113">
        <f>'Extra Calculations'!H15</f>
        <v>2761.9270188889836</v>
      </c>
      <c r="I28" s="113">
        <f>'Extra Calculations'!I15</f>
        <v>2888.2759390592969</v>
      </c>
      <c r="J28" s="113">
        <f>'Extra Calculations'!J15</f>
        <v>3022.2658864515824</v>
      </c>
      <c r="K28" s="113">
        <f>'Extra Calculations'!K15</f>
        <v>3164.3813538056384</v>
      </c>
      <c r="L28" s="113">
        <f>'Extra Calculations'!L15</f>
        <v>3315.1381265740588</v>
      </c>
      <c r="M28" s="170">
        <f>H28-G28</f>
        <v>151.92701888898364</v>
      </c>
    </row>
    <row r="29" spans="2:19" ht="14.4" thickBot="1">
      <c r="B29" s="32" t="s">
        <v>57</v>
      </c>
      <c r="C29" s="32">
        <f>SUM(C24:C28)</f>
        <v>3540</v>
      </c>
      <c r="D29" s="32">
        <f t="shared" ref="D29:F29" si="13">SUM(D24:D28)</f>
        <v>3529</v>
      </c>
      <c r="E29" s="32">
        <f t="shared" si="13"/>
        <v>3347</v>
      </c>
      <c r="F29" s="32">
        <f t="shared" si="13"/>
        <v>3333</v>
      </c>
      <c r="G29" s="32">
        <f>SUM(G24:G28)</f>
        <v>3585</v>
      </c>
      <c r="H29" s="34">
        <f>SUM(H24:H28)</f>
        <v>3793.5865125097657</v>
      </c>
      <c r="I29" s="34">
        <f t="shared" ref="I29:L29" si="14">SUM(I24:I28)</f>
        <v>3938.0812773571947</v>
      </c>
      <c r="J29" s="34">
        <f t="shared" si="14"/>
        <v>4091.3144503377794</v>
      </c>
      <c r="K29" s="34">
        <f t="shared" si="14"/>
        <v>4253.8401055537206</v>
      </c>
      <c r="L29" s="34">
        <f t="shared" si="14"/>
        <v>4393.2481039835202</v>
      </c>
      <c r="M29" s="118"/>
    </row>
    <row r="30" spans="2:19" ht="14.4">
      <c r="B30" s="31"/>
      <c r="C30" s="31"/>
      <c r="D30" s="31"/>
      <c r="E30" s="31"/>
      <c r="F30" s="31"/>
      <c r="H30" s="29"/>
      <c r="I30" s="29"/>
      <c r="J30" s="29"/>
      <c r="K30" s="29"/>
      <c r="L30" s="29"/>
      <c r="M30" s="118"/>
    </row>
    <row r="31" spans="2:19" ht="14.4">
      <c r="B31" s="31" t="s">
        <v>58</v>
      </c>
      <c r="C31" s="31">
        <v>36</v>
      </c>
      <c r="D31" s="31">
        <v>40</v>
      </c>
      <c r="E31" s="31">
        <v>19</v>
      </c>
      <c r="F31" s="31">
        <v>42</v>
      </c>
      <c r="G31" s="31">
        <v>30</v>
      </c>
      <c r="H31" s="35">
        <f>G31</f>
        <v>30</v>
      </c>
      <c r="I31" s="35">
        <f t="shared" ref="I31:L31" si="15">H31</f>
        <v>30</v>
      </c>
      <c r="J31" s="35">
        <f t="shared" si="15"/>
        <v>30</v>
      </c>
      <c r="K31" s="35">
        <f t="shared" si="15"/>
        <v>30</v>
      </c>
      <c r="L31" s="35">
        <f t="shared" si="15"/>
        <v>30</v>
      </c>
      <c r="M31" s="118"/>
    </row>
    <row r="32" spans="2:19" ht="14.4">
      <c r="B32" s="31" t="s">
        <v>59</v>
      </c>
      <c r="C32" s="31">
        <v>846</v>
      </c>
      <c r="D32" s="31">
        <v>783</v>
      </c>
      <c r="E32" s="31">
        <v>714</v>
      </c>
      <c r="F32" s="31">
        <v>523</v>
      </c>
      <c r="G32" s="31">
        <v>420</v>
      </c>
      <c r="H32" s="35">
        <f>G32</f>
        <v>420</v>
      </c>
      <c r="I32" s="35">
        <f t="shared" ref="I32:L32" si="16">H32</f>
        <v>420</v>
      </c>
      <c r="J32" s="35">
        <f t="shared" si="16"/>
        <v>420</v>
      </c>
      <c r="K32" s="35">
        <f t="shared" si="16"/>
        <v>420</v>
      </c>
      <c r="L32" s="35">
        <f t="shared" si="16"/>
        <v>420</v>
      </c>
      <c r="M32" s="118"/>
    </row>
    <row r="33" spans="2:13" ht="14.4">
      <c r="B33" s="31" t="s">
        <v>60</v>
      </c>
      <c r="C33" s="31">
        <v>206</v>
      </c>
      <c r="D33" s="31">
        <v>218</v>
      </c>
      <c r="E33" s="31">
        <v>180</v>
      </c>
      <c r="F33" s="31">
        <v>226</v>
      </c>
      <c r="G33" s="31">
        <v>154</v>
      </c>
      <c r="H33" s="35">
        <f>G33</f>
        <v>154</v>
      </c>
      <c r="I33" s="35">
        <f t="shared" ref="I33:L33" si="17">H33</f>
        <v>154</v>
      </c>
      <c r="J33" s="35">
        <f t="shared" si="17"/>
        <v>154</v>
      </c>
      <c r="K33" s="35">
        <f t="shared" si="17"/>
        <v>154</v>
      </c>
      <c r="L33" s="35">
        <f t="shared" si="17"/>
        <v>154</v>
      </c>
      <c r="M33" s="118"/>
    </row>
    <row r="34" spans="2:13" ht="14.4">
      <c r="B34" s="31" t="s">
        <v>61</v>
      </c>
      <c r="C34" s="31">
        <v>663</v>
      </c>
      <c r="D34" s="31">
        <v>626</v>
      </c>
      <c r="E34" s="31">
        <v>638</v>
      </c>
      <c r="F34" s="31">
        <v>606</v>
      </c>
      <c r="G34" s="31">
        <v>875</v>
      </c>
      <c r="H34" s="115">
        <f>'Debt schedule'!C19</f>
        <v>842</v>
      </c>
      <c r="I34" s="115">
        <f>'Debt schedule'!D19</f>
        <v>809</v>
      </c>
      <c r="J34" s="115">
        <f>'Debt schedule'!E19</f>
        <v>776</v>
      </c>
      <c r="K34" s="115">
        <f>'Debt schedule'!F19</f>
        <v>743</v>
      </c>
      <c r="L34" s="115">
        <f>'Debt schedule'!G19</f>
        <v>743</v>
      </c>
      <c r="M34" s="170">
        <f>H34-G34</f>
        <v>-33</v>
      </c>
    </row>
    <row r="35" spans="2:13" ht="14.4">
      <c r="B35" s="31" t="s">
        <v>62</v>
      </c>
      <c r="C35" s="31">
        <v>428</v>
      </c>
      <c r="D35" s="31">
        <v>378</v>
      </c>
      <c r="E35" s="31">
        <v>283</v>
      </c>
      <c r="F35" s="31">
        <v>157</v>
      </c>
      <c r="G35" s="31">
        <v>0</v>
      </c>
      <c r="H35" s="35">
        <f>G35</f>
        <v>0</v>
      </c>
      <c r="I35" s="35">
        <f t="shared" ref="I35:L36" si="18">H35</f>
        <v>0</v>
      </c>
      <c r="J35" s="35">
        <f t="shared" si="18"/>
        <v>0</v>
      </c>
      <c r="K35" s="35">
        <f t="shared" si="18"/>
        <v>0</v>
      </c>
      <c r="L35" s="35">
        <f t="shared" si="18"/>
        <v>0</v>
      </c>
      <c r="M35" s="118"/>
    </row>
    <row r="36" spans="2:13" ht="14.4">
      <c r="B36" s="31" t="s">
        <v>63</v>
      </c>
      <c r="C36" s="31">
        <v>368</v>
      </c>
      <c r="D36" s="31">
        <v>287</v>
      </c>
      <c r="E36" s="31">
        <v>362</v>
      </c>
      <c r="F36" s="31">
        <v>369</v>
      </c>
      <c r="G36" s="31">
        <v>494</v>
      </c>
      <c r="H36" s="35">
        <f>G36</f>
        <v>494</v>
      </c>
      <c r="I36" s="29">
        <f t="shared" si="18"/>
        <v>494</v>
      </c>
      <c r="J36" s="29">
        <f t="shared" si="18"/>
        <v>494</v>
      </c>
      <c r="K36" s="29">
        <f t="shared" si="18"/>
        <v>494</v>
      </c>
      <c r="L36" s="29">
        <f t="shared" si="18"/>
        <v>494</v>
      </c>
      <c r="M36" s="118"/>
    </row>
    <row r="37" spans="2:13" ht="14.4" thickBot="1">
      <c r="B37" s="32" t="s">
        <v>64</v>
      </c>
      <c r="C37" s="32">
        <f>SUM(C31:C36)+C29</f>
        <v>6087</v>
      </c>
      <c r="D37" s="32">
        <f t="shared" ref="D37:F37" si="19">SUM(D31:D36)+D29</f>
        <v>5861</v>
      </c>
      <c r="E37" s="32">
        <f t="shared" si="19"/>
        <v>5543</v>
      </c>
      <c r="F37" s="32">
        <f t="shared" si="19"/>
        <v>5256</v>
      </c>
      <c r="G37" s="32">
        <f>SUM(G31:G36)+G29</f>
        <v>5558</v>
      </c>
      <c r="H37" s="34">
        <f>SUM(H31:H36)+H29</f>
        <v>5733.5865125097662</v>
      </c>
      <c r="I37" s="34">
        <f t="shared" ref="I37:L37" si="20">SUM(I31:I36)+I29</f>
        <v>5845.0812773571943</v>
      </c>
      <c r="J37" s="34">
        <f t="shared" si="20"/>
        <v>5965.3144503377789</v>
      </c>
      <c r="K37" s="34">
        <f t="shared" si="20"/>
        <v>6094.8401055537206</v>
      </c>
      <c r="L37" s="34">
        <f t="shared" si="20"/>
        <v>6234.2481039835202</v>
      </c>
      <c r="M37" s="118"/>
    </row>
    <row r="38" spans="2:13" ht="14.4">
      <c r="B38" s="31"/>
      <c r="C38" s="31"/>
      <c r="D38" s="31"/>
      <c r="E38" s="31"/>
      <c r="F38" s="31"/>
      <c r="H38" s="29"/>
      <c r="I38" s="29"/>
      <c r="J38" s="29"/>
      <c r="K38" s="29"/>
      <c r="L38" s="29"/>
      <c r="M38" s="118"/>
    </row>
    <row r="39" spans="2:13" ht="14.4">
      <c r="B39" s="30" t="s">
        <v>65</v>
      </c>
      <c r="C39" s="31"/>
      <c r="D39" s="31"/>
      <c r="E39" s="31"/>
      <c r="F39" s="31"/>
      <c r="H39" s="29"/>
      <c r="I39" s="29"/>
      <c r="J39" s="29"/>
      <c r="K39" s="29"/>
      <c r="L39" s="29"/>
      <c r="M39" s="118"/>
    </row>
    <row r="40" spans="2:13" ht="14.4">
      <c r="B40" s="31" t="s">
        <v>66</v>
      </c>
      <c r="C40" s="31">
        <v>0</v>
      </c>
      <c r="D40" s="31">
        <v>0</v>
      </c>
      <c r="E40" s="31">
        <v>0</v>
      </c>
      <c r="F40" s="31">
        <v>0</v>
      </c>
      <c r="G40" s="31">
        <v>0</v>
      </c>
      <c r="H40" s="29"/>
      <c r="I40" s="29"/>
      <c r="J40" s="29"/>
      <c r="K40" s="29"/>
      <c r="L40" s="29"/>
      <c r="M40" s="118"/>
    </row>
    <row r="41" spans="2:13" ht="14.4">
      <c r="B41" s="31" t="s">
        <v>67</v>
      </c>
      <c r="C41" s="31">
        <v>5</v>
      </c>
      <c r="D41" s="31">
        <v>5</v>
      </c>
      <c r="E41" s="31">
        <v>5</v>
      </c>
      <c r="F41" s="31">
        <v>5</v>
      </c>
      <c r="G41" s="31">
        <v>5</v>
      </c>
      <c r="H41" s="35">
        <f>G41</f>
        <v>5</v>
      </c>
      <c r="I41" s="35">
        <f t="shared" ref="I41:L41" si="21">H41</f>
        <v>5</v>
      </c>
      <c r="J41" s="35">
        <f t="shared" si="21"/>
        <v>5</v>
      </c>
      <c r="K41" s="35">
        <f t="shared" si="21"/>
        <v>5</v>
      </c>
      <c r="L41" s="35">
        <f t="shared" si="21"/>
        <v>5</v>
      </c>
      <c r="M41" s="118"/>
    </row>
    <row r="42" spans="2:13" ht="14.4">
      <c r="B42" s="31" t="s">
        <v>68</v>
      </c>
      <c r="C42" s="31">
        <v>32</v>
      </c>
      <c r="D42" s="31">
        <v>27</v>
      </c>
      <c r="E42" s="31">
        <v>15</v>
      </c>
      <c r="F42" s="31">
        <v>15</v>
      </c>
      <c r="G42" s="31">
        <v>13</v>
      </c>
      <c r="H42" s="35">
        <f>G42</f>
        <v>13</v>
      </c>
      <c r="I42" s="35">
        <f t="shared" ref="I42:L42" si="22">H42</f>
        <v>13</v>
      </c>
      <c r="J42" s="35">
        <f t="shared" si="22"/>
        <v>13</v>
      </c>
      <c r="K42" s="35">
        <f t="shared" si="22"/>
        <v>13</v>
      </c>
      <c r="L42" s="35">
        <f t="shared" si="22"/>
        <v>13</v>
      </c>
      <c r="M42" s="118"/>
    </row>
    <row r="43" spans="2:13" ht="14.4">
      <c r="B43" s="31" t="s">
        <v>69</v>
      </c>
      <c r="C43" s="31">
        <v>10689</v>
      </c>
      <c r="D43" s="31">
        <v>11922</v>
      </c>
      <c r="E43" s="31">
        <v>12588</v>
      </c>
      <c r="F43" s="31">
        <v>13301</v>
      </c>
      <c r="G43" s="31">
        <v>14686</v>
      </c>
      <c r="H43" s="114">
        <f>G43+'Income statement'!H23-'Income statement'!H25-'Income statement'!H26</f>
        <v>15028.912879877642</v>
      </c>
      <c r="I43" s="114">
        <f>H43+'Income statement'!I23-'Income statement'!I25-'Income statement'!I26</f>
        <v>15388.779438853238</v>
      </c>
      <c r="J43" s="114">
        <f>I43+'Income statement'!J23-'Income statement'!J25-'Income statement'!J26</f>
        <v>15767.151065620579</v>
      </c>
      <c r="K43" s="114">
        <f>J43+'Income statement'!K23-'Income statement'!K25-'Income statement'!K26</f>
        <v>16166.537010696551</v>
      </c>
      <c r="L43" s="114">
        <f>K43+'Income statement'!L23-'Income statement'!L25-'Income statement'!L26</f>
        <v>16587.611699598066</v>
      </c>
      <c r="M43" s="170">
        <f>H43-G43</f>
        <v>342.9128798776419</v>
      </c>
    </row>
    <row r="44" spans="2:13" ht="28.2">
      <c r="B44" s="33" t="s">
        <v>70</v>
      </c>
      <c r="C44" s="31">
        <v>110</v>
      </c>
      <c r="D44" s="31">
        <v>37</v>
      </c>
      <c r="E44" s="31">
        <v>-299</v>
      </c>
      <c r="F44" s="31">
        <v>-94</v>
      </c>
      <c r="G44" s="31">
        <v>-296</v>
      </c>
      <c r="H44" s="35">
        <f>G44</f>
        <v>-296</v>
      </c>
      <c r="I44" s="35">
        <f t="shared" ref="I44:L44" si="23">H44</f>
        <v>-296</v>
      </c>
      <c r="J44" s="35">
        <f t="shared" si="23"/>
        <v>-296</v>
      </c>
      <c r="K44" s="35">
        <f t="shared" si="23"/>
        <v>-296</v>
      </c>
      <c r="L44" s="35">
        <f t="shared" si="23"/>
        <v>-296</v>
      </c>
      <c r="M44" s="118"/>
    </row>
    <row r="45" spans="2:13" ht="14.4" thickBot="1">
      <c r="B45" s="32" t="s">
        <v>71</v>
      </c>
      <c r="C45" s="32">
        <f t="shared" ref="C45:F45" si="24">SUM(C40:C44)</f>
        <v>10836</v>
      </c>
      <c r="D45" s="32">
        <f t="shared" si="24"/>
        <v>11991</v>
      </c>
      <c r="E45" s="32">
        <f t="shared" si="24"/>
        <v>12309</v>
      </c>
      <c r="F45" s="32">
        <f t="shared" si="24"/>
        <v>13227</v>
      </c>
      <c r="G45" s="32">
        <f>SUM(G40:G44)</f>
        <v>14408</v>
      </c>
      <c r="H45" s="34">
        <f>SUM(H40:H44)</f>
        <v>14750.912879877642</v>
      </c>
      <c r="I45" s="34">
        <f t="shared" ref="I45:L45" si="25">SUM(I40:I44)</f>
        <v>15110.779438853238</v>
      </c>
      <c r="J45" s="34">
        <f t="shared" si="25"/>
        <v>15489.151065620579</v>
      </c>
      <c r="K45" s="34">
        <f t="shared" si="25"/>
        <v>15888.537010696551</v>
      </c>
      <c r="L45" s="34">
        <f t="shared" si="25"/>
        <v>16309.611699598066</v>
      </c>
      <c r="M45" s="172"/>
    </row>
    <row r="46" spans="2:13" ht="14.4">
      <c r="B46" s="31" t="s">
        <v>72</v>
      </c>
      <c r="C46" s="31"/>
      <c r="D46" s="31"/>
      <c r="E46" s="31"/>
      <c r="F46" s="31"/>
      <c r="H46" s="29"/>
      <c r="I46" s="29"/>
      <c r="J46" s="29"/>
      <c r="K46" s="29"/>
      <c r="L46" s="29"/>
      <c r="M46" s="118"/>
    </row>
    <row r="47" spans="2:13" ht="14.4" thickBot="1">
      <c r="B47" s="32" t="s">
        <v>73</v>
      </c>
      <c r="C47" s="32">
        <f>C45+C37</f>
        <v>16923</v>
      </c>
      <c r="D47" s="32">
        <f>D45+D37</f>
        <v>17852</v>
      </c>
      <c r="E47" s="32">
        <f t="shared" ref="E47:F47" si="26">E45+E37</f>
        <v>17852</v>
      </c>
      <c r="F47" s="32">
        <f t="shared" si="26"/>
        <v>18483</v>
      </c>
      <c r="G47" s="32">
        <f>G45+G37</f>
        <v>19966</v>
      </c>
      <c r="H47" s="34">
        <f>H45+H37</f>
        <v>20484.499392387406</v>
      </c>
      <c r="I47" s="34">
        <f t="shared" ref="I47:L47" si="27">I45+I37</f>
        <v>20955.860716210431</v>
      </c>
      <c r="J47" s="34">
        <f t="shared" si="27"/>
        <v>21454.465515958356</v>
      </c>
      <c r="K47" s="34">
        <f t="shared" si="27"/>
        <v>21983.377116250271</v>
      </c>
      <c r="L47" s="34">
        <f t="shared" si="27"/>
        <v>22543.859803581588</v>
      </c>
      <c r="M47" s="172">
        <f>SUM(M24:M43)</f>
        <v>518.49939238740751</v>
      </c>
    </row>
    <row r="48" spans="2:13">
      <c r="B48" s="31"/>
      <c r="C48" s="31"/>
      <c r="D48" s="31"/>
      <c r="E48" s="31"/>
      <c r="F48" s="31"/>
      <c r="H48" s="24"/>
      <c r="I48" s="24"/>
      <c r="J48" s="24"/>
      <c r="K48" s="24"/>
      <c r="L48" s="24"/>
      <c r="M48" s="118"/>
    </row>
    <row r="49" spans="2:13">
      <c r="B49" s="30" t="s">
        <v>74</v>
      </c>
      <c r="C49" s="124">
        <f t="shared" ref="C49:F49" si="28">C47-C20</f>
        <v>0</v>
      </c>
      <c r="D49" s="124">
        <f t="shared" si="28"/>
        <v>0</v>
      </c>
      <c r="E49" s="124">
        <f t="shared" si="28"/>
        <v>0</v>
      </c>
      <c r="F49" s="124">
        <f t="shared" si="28"/>
        <v>0</v>
      </c>
      <c r="G49" s="124">
        <f>G47-G20</f>
        <v>0</v>
      </c>
      <c r="H49" s="169">
        <f>H47-H20</f>
        <v>0</v>
      </c>
      <c r="I49" s="169">
        <f t="shared" ref="I49:L49" si="29">I47-I20</f>
        <v>0</v>
      </c>
      <c r="J49" s="169">
        <f t="shared" si="29"/>
        <v>0</v>
      </c>
      <c r="K49" s="169">
        <f t="shared" si="29"/>
        <v>0</v>
      </c>
      <c r="L49" s="169">
        <f t="shared" si="29"/>
        <v>0</v>
      </c>
      <c r="M49" s="170">
        <f>M20-M47</f>
        <v>0</v>
      </c>
    </row>
    <row r="50" spans="2:13">
      <c r="M50" s="118"/>
    </row>
    <row r="51" spans="2:13">
      <c r="I51" s="116"/>
      <c r="J51" s="116"/>
      <c r="K51" s="116"/>
      <c r="L51" s="116"/>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1094C-8A44-4103-B6A5-ED4E5F310C83}">
  <sheetPr>
    <tabColor theme="8" tint="0.79998168889431442"/>
  </sheetPr>
  <dimension ref="B4:G30"/>
  <sheetViews>
    <sheetView showGridLines="0" showRowColHeaders="0" workbookViewId="0">
      <selection activeCell="G37" sqref="G37"/>
    </sheetView>
  </sheetViews>
  <sheetFormatPr defaultRowHeight="13.8"/>
  <cols>
    <col min="1" max="1" width="2.19921875" customWidth="1"/>
    <col min="2" max="2" width="29.69921875" customWidth="1"/>
    <col min="3" max="3" width="16.09765625" customWidth="1"/>
    <col min="4" max="4" width="17.09765625" customWidth="1"/>
    <col min="5" max="5" width="16.19921875" customWidth="1"/>
    <col min="6" max="6" width="12.8984375" customWidth="1"/>
    <col min="7" max="7" width="16.3984375" customWidth="1"/>
  </cols>
  <sheetData>
    <row r="4" spans="2:7" ht="14.4">
      <c r="B4" s="2" t="str">
        <f>"Cash Flow Statement: "&amp;'Cognizant&gt;&gt;'!C10</f>
        <v>Cash Flow Statement: Cognizant</v>
      </c>
      <c r="C4" s="11" t="s">
        <v>0</v>
      </c>
      <c r="D4" s="11" t="s">
        <v>0</v>
      </c>
      <c r="E4" s="11" t="s">
        <v>0</v>
      </c>
      <c r="F4" s="11" t="s">
        <v>0</v>
      </c>
      <c r="G4" s="12">
        <v>12</v>
      </c>
    </row>
    <row r="5" spans="2:7" ht="14.4">
      <c r="B5" s="4" t="s">
        <v>9</v>
      </c>
      <c r="C5" s="13">
        <f>'Balance Sheet'!H5</f>
        <v>46022</v>
      </c>
      <c r="D5" s="13">
        <f t="shared" ref="D5:G5" si="0">EOMONTH(C5,12)</f>
        <v>46387</v>
      </c>
      <c r="E5" s="13">
        <f t="shared" si="0"/>
        <v>46752</v>
      </c>
      <c r="F5" s="13">
        <f t="shared" si="0"/>
        <v>47118</v>
      </c>
      <c r="G5" s="13">
        <f t="shared" si="0"/>
        <v>47483</v>
      </c>
    </row>
    <row r="6" spans="2:7">
      <c r="B6" s="60" t="s">
        <v>108</v>
      </c>
    </row>
    <row r="7" spans="2:7">
      <c r="B7" t="s">
        <v>109</v>
      </c>
      <c r="C7" s="24">
        <f>'Income statement'!H23</f>
        <v>2421.5716138569078</v>
      </c>
      <c r="D7" s="24">
        <f>'Income statement'!I23</f>
        <v>2541.2945827599701</v>
      </c>
      <c r="E7" s="24">
        <f>'Income statement'!J23</f>
        <v>2671.9731005601111</v>
      </c>
      <c r="F7" s="24">
        <f>'Income statement'!K23</f>
        <v>2820.371366378778</v>
      </c>
      <c r="G7" s="24">
        <f>'Income statement'!L23</f>
        <v>2973.5322695413915</v>
      </c>
    </row>
    <row r="8" spans="2:7">
      <c r="B8" t="s">
        <v>93</v>
      </c>
      <c r="C8" s="24">
        <f>'Income statement'!H12</f>
        <v>709.44056973624117</v>
      </c>
      <c r="D8" s="24">
        <f>'Income statement'!I12</f>
        <v>729.10531814075171</v>
      </c>
      <c r="E8" s="24">
        <f>'Income statement'!J12</f>
        <v>745.14073088734438</v>
      </c>
      <c r="F8" s="24">
        <f>'Income statement'!K12</f>
        <v>749.63371735392695</v>
      </c>
      <c r="G8" s="24">
        <f>'Income statement'!L12</f>
        <v>759.67680027435426</v>
      </c>
    </row>
    <row r="9" spans="2:7">
      <c r="B9" t="s">
        <v>110</v>
      </c>
      <c r="C9" s="24">
        <f>'Income statement'!H16</f>
        <v>-9.57</v>
      </c>
      <c r="D9" s="24">
        <f>'Income statement'!I16</f>
        <v>-7.6559999999999997</v>
      </c>
      <c r="E9" s="24">
        <f>'Income statement'!J16</f>
        <v>-5.742</v>
      </c>
      <c r="F9" s="24">
        <f>'Income statement'!K16</f>
        <v>-3.8279999999999998</v>
      </c>
      <c r="G9" s="24">
        <f>'Income statement'!L16</f>
        <v>-1.9139999999999999</v>
      </c>
    </row>
    <row r="10" spans="2:7">
      <c r="B10" t="s">
        <v>123</v>
      </c>
      <c r="C10" s="24">
        <f>'Balance Sheet'!G9-'Balance Sheet'!H9</f>
        <v>26.56414198777702</v>
      </c>
      <c r="D10" s="24">
        <f>'Balance Sheet'!H9-'Balance Sheet'!I9</f>
        <v>-184.47044865104499</v>
      </c>
      <c r="E10" s="24">
        <f>'Balance Sheet'!I9-'Balance Sheet'!J9</f>
        <v>-195.62641039485788</v>
      </c>
      <c r="F10" s="24">
        <f>'Balance Sheet'!J9-'Balance Sheet'!K9</f>
        <v>-207.48973546997786</v>
      </c>
      <c r="G10" s="24">
        <f>'Balance Sheet'!K9-'Balance Sheet'!L9</f>
        <v>-220.10611149099896</v>
      </c>
    </row>
    <row r="11" spans="2:7">
      <c r="B11" t="s">
        <v>124</v>
      </c>
      <c r="C11" s="24">
        <f>'Balance Sheet'!H24-'Balance Sheet'!G24</f>
        <v>56.659493620781973</v>
      </c>
      <c r="D11" s="24">
        <f>'Balance Sheet'!I24-'Balance Sheet'!H24</f>
        <v>18.145844677115804</v>
      </c>
      <c r="E11" s="24">
        <f>'Balance Sheet'!J24-'Balance Sheet'!I24</f>
        <v>19.24322558829914</v>
      </c>
      <c r="F11" s="24">
        <f>'Balance Sheet'!K24-'Balance Sheet'!J24</f>
        <v>20.410187861885106</v>
      </c>
      <c r="G11" s="24">
        <f>'Balance Sheet'!L24-'Balance Sheet'!K24</f>
        <v>21.651225661378987</v>
      </c>
    </row>
    <row r="12" spans="2:7">
      <c r="B12" t="s">
        <v>125</v>
      </c>
      <c r="C12" s="24">
        <f>'Balance Sheet'!H28-'Balance Sheet'!G28</f>
        <v>151.92701888898364</v>
      </c>
      <c r="D12" s="24">
        <f>'Balance Sheet'!I28-'Balance Sheet'!H28</f>
        <v>126.34892017031325</v>
      </c>
      <c r="E12" s="24">
        <f>'Balance Sheet'!J28-'Balance Sheet'!I28</f>
        <v>133.98994739228556</v>
      </c>
      <c r="F12" s="24">
        <f>'Balance Sheet'!K28-'Balance Sheet'!J28</f>
        <v>142.11546735405591</v>
      </c>
      <c r="G12" s="24">
        <f>'Balance Sheet'!L28-'Balance Sheet'!K28</f>
        <v>150.75677276842043</v>
      </c>
    </row>
    <row r="13" spans="2:7">
      <c r="B13" t="s">
        <v>111</v>
      </c>
      <c r="C13" s="24">
        <f>SUM(C10:C12)</f>
        <v>235.15065449754263</v>
      </c>
      <c r="D13" s="24">
        <f>SUM(D10:D12)</f>
        <v>-39.975683803615937</v>
      </c>
      <c r="E13" s="24">
        <f>SUM(E10:E12)</f>
        <v>-42.393237414273187</v>
      </c>
      <c r="F13" s="24">
        <f>SUM(F10:F12)</f>
        <v>-44.964080254036844</v>
      </c>
      <c r="G13" s="24">
        <f>SUM(G10:G12)</f>
        <v>-47.698113061199535</v>
      </c>
    </row>
    <row r="14" spans="2:7" ht="14.4" thickBot="1">
      <c r="B14" s="71" t="s">
        <v>112</v>
      </c>
      <c r="C14" s="25">
        <f>C7+C8+C9+C13</f>
        <v>3356.5928380906917</v>
      </c>
      <c r="D14" s="25">
        <f>D7+D8+D9+D13</f>
        <v>3222.7682170971061</v>
      </c>
      <c r="E14" s="25">
        <f>E7+E8+E9+E13</f>
        <v>3368.9785940331822</v>
      </c>
      <c r="F14" s="25">
        <f>F7+F8+F9+F13</f>
        <v>3521.2130034786678</v>
      </c>
      <c r="G14" s="25">
        <f>G7+G8+G9+G13</f>
        <v>3683.5969567545462</v>
      </c>
    </row>
    <row r="16" spans="2:7">
      <c r="B16" s="60" t="s">
        <v>113</v>
      </c>
    </row>
    <row r="17" spans="2:7">
      <c r="B17" t="s">
        <v>114</v>
      </c>
      <c r="C17" s="24">
        <f>-'Fixed Assets Schedule'!H7</f>
        <v>-717.97546510030315</v>
      </c>
      <c r="D17" s="24">
        <f>-'Fixed Assets Schedule'!I7</f>
        <v>-573.75771928225072</v>
      </c>
      <c r="E17" s="24">
        <f>-'Fixed Assets Schedule'!J7</f>
        <v>-601.15874458427402</v>
      </c>
      <c r="F17" s="24">
        <f>-'Fixed Assets Schedule'!K7</f>
        <v>-630.23074617647967</v>
      </c>
      <c r="G17" s="24">
        <f>-'Fixed Assets Schedule'!L7</f>
        <v>-661.0800301681802</v>
      </c>
    </row>
    <row r="18" spans="2:7" ht="14.4" thickBot="1">
      <c r="B18" s="71" t="s">
        <v>115</v>
      </c>
      <c r="C18" s="25">
        <f>C17</f>
        <v>-717.97546510030315</v>
      </c>
      <c r="D18" s="25">
        <f t="shared" ref="D18:G18" si="1">D17</f>
        <v>-573.75771928225072</v>
      </c>
      <c r="E18" s="25">
        <f t="shared" si="1"/>
        <v>-601.15874458427402</v>
      </c>
      <c r="F18" s="25">
        <f t="shared" si="1"/>
        <v>-630.23074617647967</v>
      </c>
      <c r="G18" s="25">
        <f t="shared" si="1"/>
        <v>-661.0800301681802</v>
      </c>
    </row>
    <row r="20" spans="2:7">
      <c r="B20" s="60" t="s">
        <v>116</v>
      </c>
    </row>
    <row r="21" spans="2:7">
      <c r="B21" t="s">
        <v>117</v>
      </c>
      <c r="C21" s="24">
        <f>-'Income statement'!H25</f>
        <v>-666.00200239825472</v>
      </c>
      <c r="D21" s="24">
        <f>-'Income statement'!I25</f>
        <v>-698.92927019666854</v>
      </c>
      <c r="E21" s="24">
        <f>-'Income statement'!J25</f>
        <v>-734.86962976617599</v>
      </c>
      <c r="F21" s="24">
        <f>-'Income statement'!K25</f>
        <v>-775.68343086216987</v>
      </c>
      <c r="G21" s="24">
        <f>-'Income statement'!L25</f>
        <v>-817.80709452411656</v>
      </c>
    </row>
    <row r="22" spans="2:7">
      <c r="B22" s="60" t="s">
        <v>324</v>
      </c>
      <c r="C22" s="24">
        <f>-'Income statement'!H26</f>
        <v>-1412.6567315810119</v>
      </c>
      <c r="D22" s="24">
        <f>-'Income statement'!I26</f>
        <v>-1482.498753587704</v>
      </c>
      <c r="E22" s="24">
        <f>-'Income statement'!J26</f>
        <v>-1558.7318440265922</v>
      </c>
      <c r="F22" s="24">
        <f>-'Income statement'!K26</f>
        <v>-1645.3019904406374</v>
      </c>
      <c r="G22" s="24">
        <f>-'Income statement'!L26</f>
        <v>-1734.6504861157598</v>
      </c>
    </row>
    <row r="23" spans="2:7">
      <c r="B23" t="s">
        <v>119</v>
      </c>
      <c r="C23">
        <f>'Debt schedule'!C15</f>
        <v>0</v>
      </c>
      <c r="D23">
        <f>'Debt schedule'!D15</f>
        <v>0</v>
      </c>
      <c r="E23">
        <f>'Debt schedule'!E15</f>
        <v>0</v>
      </c>
      <c r="F23">
        <f>'Debt schedule'!F15</f>
        <v>0</v>
      </c>
      <c r="G23">
        <f>'Debt schedule'!G15</f>
        <v>0</v>
      </c>
    </row>
    <row r="24" spans="2:7">
      <c r="B24" t="s">
        <v>102</v>
      </c>
      <c r="C24">
        <f>-'Debt schedule'!C16</f>
        <v>-33</v>
      </c>
      <c r="D24">
        <f>-'Debt schedule'!D16</f>
        <v>-33</v>
      </c>
      <c r="E24">
        <f>-'Debt schedule'!E16</f>
        <v>-33</v>
      </c>
      <c r="F24">
        <f>-'Debt schedule'!F16</f>
        <v>-33</v>
      </c>
      <c r="G24">
        <f>-'Debt schedule'!G16</f>
        <v>-33</v>
      </c>
    </row>
    <row r="25" spans="2:7">
      <c r="B25" t="s">
        <v>118</v>
      </c>
      <c r="C25" s="24">
        <f>-C9</f>
        <v>9.57</v>
      </c>
      <c r="D25" s="24">
        <f>-D9</f>
        <v>7.6559999999999997</v>
      </c>
      <c r="E25" s="24">
        <f>-E9</f>
        <v>5.742</v>
      </c>
      <c r="F25" s="24">
        <f>-F9</f>
        <v>3.8279999999999998</v>
      </c>
      <c r="G25" s="24">
        <f>-G9</f>
        <v>1.9139999999999999</v>
      </c>
    </row>
    <row r="26" spans="2:7" ht="14.4" thickBot="1">
      <c r="B26" s="71" t="s">
        <v>120</v>
      </c>
      <c r="C26" s="25">
        <f>SUM(C21:C25)</f>
        <v>-2102.0887339792666</v>
      </c>
      <c r="D26" s="25">
        <f>SUM(D21:D25)</f>
        <v>-2206.7720237843723</v>
      </c>
      <c r="E26" s="25">
        <f>SUM(E21:E25)</f>
        <v>-2320.8594737927679</v>
      </c>
      <c r="F26" s="25">
        <f>SUM(F21:F25)</f>
        <v>-2450.1574213028075</v>
      </c>
      <c r="G26" s="25">
        <f>SUM(G21:G25)</f>
        <v>-2583.5435806398759</v>
      </c>
    </row>
    <row r="28" spans="2:7">
      <c r="B28" s="72" t="s">
        <v>121</v>
      </c>
      <c r="C28" s="73">
        <f>C26+C18+C14</f>
        <v>536.52863901112187</v>
      </c>
      <c r="D28" s="73">
        <f>D26+D18+D14</f>
        <v>442.23847403048285</v>
      </c>
      <c r="E28" s="73">
        <f>E26+E18+E14</f>
        <v>446.96037565614006</v>
      </c>
      <c r="F28" s="73">
        <f>F26+F18+F14</f>
        <v>440.82483599938041</v>
      </c>
      <c r="G28" s="73">
        <f>G26+G18+G14</f>
        <v>438.9733459464901</v>
      </c>
    </row>
    <row r="29" spans="2:7">
      <c r="B29" t="s">
        <v>122</v>
      </c>
      <c r="C29">
        <f>'Balance Sheet'!G7</f>
        <v>2231</v>
      </c>
      <c r="D29" s="24">
        <f>C30</f>
        <v>2767.5286390111219</v>
      </c>
      <c r="E29" s="24">
        <f t="shared" ref="E29:G29" si="2">D30</f>
        <v>3209.7671130416047</v>
      </c>
      <c r="F29" s="24">
        <f t="shared" si="2"/>
        <v>3656.7274886977448</v>
      </c>
      <c r="G29" s="24">
        <f t="shared" si="2"/>
        <v>4097.5523246971252</v>
      </c>
    </row>
    <row r="30" spans="2:7" ht="14.4" thickBot="1">
      <c r="B30" s="74" t="s">
        <v>105</v>
      </c>
      <c r="C30" s="75">
        <f>SUM(C28:C29)</f>
        <v>2767.5286390111219</v>
      </c>
      <c r="D30" s="75">
        <f t="shared" ref="D30:G30" si="3">SUM(D28:D29)</f>
        <v>3209.7671130416047</v>
      </c>
      <c r="E30" s="75">
        <f t="shared" si="3"/>
        <v>3656.7274886977448</v>
      </c>
      <c r="F30" s="75">
        <f t="shared" si="3"/>
        <v>4097.5523246971252</v>
      </c>
      <c r="G30" s="75">
        <f t="shared" si="3"/>
        <v>4536.5256706436157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F3469-4E5B-4263-9500-F05FE6A850DB}">
  <dimension ref="B4:L17"/>
  <sheetViews>
    <sheetView showGridLines="0" workbookViewId="0">
      <selection activeCell="B29" sqref="B29"/>
    </sheetView>
  </sheetViews>
  <sheetFormatPr defaultRowHeight="13.8"/>
  <cols>
    <col min="1" max="1" width="2.8984375" customWidth="1"/>
  </cols>
  <sheetData>
    <row r="4" spans="2:12" ht="14.4">
      <c r="B4" s="37" t="s">
        <v>76</v>
      </c>
      <c r="C4" s="37">
        <v>2020</v>
      </c>
      <c r="D4" s="37">
        <v>2021</v>
      </c>
      <c r="E4" s="37">
        <v>2022</v>
      </c>
      <c r="F4" s="37">
        <v>2023</v>
      </c>
      <c r="G4" s="37">
        <v>2024</v>
      </c>
      <c r="H4" s="42">
        <v>2025</v>
      </c>
      <c r="I4" s="42">
        <v>2026</v>
      </c>
      <c r="J4" s="42">
        <v>2027</v>
      </c>
      <c r="K4" s="42">
        <v>2028</v>
      </c>
      <c r="L4" s="42">
        <v>2029</v>
      </c>
    </row>
    <row r="5" spans="2:12" ht="14.4">
      <c r="B5" t="s">
        <v>75</v>
      </c>
      <c r="C5" s="24">
        <f>'Revenue Segments'!D19</f>
        <v>16652</v>
      </c>
      <c r="D5" s="24">
        <f>'Revenue Segments'!E19</f>
        <v>18507</v>
      </c>
      <c r="E5" s="24">
        <f>'Revenue Segments'!F19</f>
        <v>19428</v>
      </c>
      <c r="F5" s="24">
        <f>'Revenue Segments'!G19</f>
        <v>19353</v>
      </c>
      <c r="G5" s="24">
        <f>'Revenue Segments'!H19</f>
        <v>19736</v>
      </c>
      <c r="H5" s="27">
        <f>'Revenue Segments'!I19</f>
        <v>20625.902110163817</v>
      </c>
      <c r="I5" s="27">
        <f>'Revenue Segments'!J19</f>
        <v>21569.468120900081</v>
      </c>
      <c r="J5" s="27">
        <f>'Revenue Segments'!K19</f>
        <v>22570.096855750213</v>
      </c>
      <c r="K5" s="27">
        <f>'Revenue Segments'!L19</f>
        <v>23631.406476872668</v>
      </c>
      <c r="L5" s="27">
        <f>'Revenue Segments'!M19</f>
        <v>24757.248838491796</v>
      </c>
    </row>
    <row r="6" spans="2:12" ht="14.4">
      <c r="B6" t="s">
        <v>77</v>
      </c>
      <c r="C6">
        <f>'Balance Sheet'!C9</f>
        <v>3087</v>
      </c>
      <c r="D6">
        <f>'Balance Sheet'!D9</f>
        <v>3557</v>
      </c>
      <c r="E6">
        <f>'Balance Sheet'!E9</f>
        <v>3796</v>
      </c>
      <c r="F6">
        <f>'Balance Sheet'!F9</f>
        <v>3849</v>
      </c>
      <c r="G6">
        <f>'Balance Sheet'!G9</f>
        <v>4059</v>
      </c>
      <c r="H6" s="29">
        <f>H5*$G$9/365</f>
        <v>4032.435858012223</v>
      </c>
      <c r="I6" s="29">
        <f t="shared" ref="I6:L6" si="0">I5*$G$9/365</f>
        <v>4216.906306663268</v>
      </c>
      <c r="J6" s="29">
        <f t="shared" si="0"/>
        <v>4412.5327170581259</v>
      </c>
      <c r="K6" s="29">
        <f t="shared" si="0"/>
        <v>4620.0224525281037</v>
      </c>
      <c r="L6" s="29">
        <f t="shared" si="0"/>
        <v>4840.1285640191027</v>
      </c>
    </row>
    <row r="7" spans="2:12">
      <c r="B7" t="s">
        <v>78</v>
      </c>
      <c r="C7" s="36">
        <f>C5/C6</f>
        <v>5.3942338840298021</v>
      </c>
      <c r="D7" s="36">
        <f t="shared" ref="D7:G7" si="1">D5/D6</f>
        <v>5.2029800393590104</v>
      </c>
      <c r="E7" s="36">
        <f t="shared" si="1"/>
        <v>5.1180189673340362</v>
      </c>
      <c r="F7" s="36">
        <f t="shared" si="1"/>
        <v>5.0280592361652374</v>
      </c>
      <c r="G7" s="36">
        <f t="shared" si="1"/>
        <v>4.8622813500862279</v>
      </c>
    </row>
    <row r="8" spans="2:12">
      <c r="B8" t="s">
        <v>79</v>
      </c>
      <c r="C8">
        <f>365/C7</f>
        <v>67.664845063656017</v>
      </c>
      <c r="D8">
        <f t="shared" ref="D8:G8" si="2">365/D7</f>
        <v>70.152104609066839</v>
      </c>
      <c r="E8">
        <f t="shared" si="2"/>
        <v>71.316656372246243</v>
      </c>
      <c r="F8">
        <f t="shared" si="2"/>
        <v>72.592621299023406</v>
      </c>
      <c r="G8">
        <f t="shared" si="2"/>
        <v>75.067642886096479</v>
      </c>
    </row>
    <row r="9" spans="2:12">
      <c r="G9" s="40">
        <f>AVERAGE(C8:G8)</f>
        <v>71.358774046017786</v>
      </c>
    </row>
    <row r="10" spans="2:12" ht="14.4">
      <c r="B10" t="s">
        <v>80</v>
      </c>
      <c r="C10" s="24">
        <f>'Income statement'!C7</f>
        <v>10671</v>
      </c>
      <c r="D10" s="24">
        <f>'Income statement'!D7</f>
        <v>11604</v>
      </c>
      <c r="E10" s="24">
        <f>'Income statement'!E7</f>
        <v>12448</v>
      </c>
      <c r="F10" s="24">
        <f>'Income statement'!F7</f>
        <v>12664</v>
      </c>
      <c r="G10" s="24">
        <f>'Income statement'!G7</f>
        <v>12958</v>
      </c>
      <c r="H10" s="39">
        <f>'Income statement'!H7</f>
        <v>13280.977784658895</v>
      </c>
      <c r="I10" s="39">
        <f>'Income statement'!I7</f>
        <v>13888.538082386305</v>
      </c>
      <c r="J10" s="39">
        <f>'Income statement'!J7</f>
        <v>14532.840955892496</v>
      </c>
      <c r="K10" s="39">
        <f>'Income statement'!K7</f>
        <v>15216.216132672102</v>
      </c>
      <c r="L10" s="39">
        <f>'Income statement'!L7</f>
        <v>15941.143814081175</v>
      </c>
    </row>
    <row r="11" spans="2:12" ht="14.4">
      <c r="B11" t="s">
        <v>81</v>
      </c>
      <c r="C11">
        <f>'Balance Sheet'!C24</f>
        <v>389</v>
      </c>
      <c r="D11">
        <f>'Balance Sheet'!D24</f>
        <v>361</v>
      </c>
      <c r="E11">
        <f>'Balance Sheet'!E24</f>
        <v>360</v>
      </c>
      <c r="F11">
        <f>'Balance Sheet'!F24</f>
        <v>337</v>
      </c>
      <c r="G11">
        <f>'Balance Sheet'!G24</f>
        <v>340</v>
      </c>
      <c r="H11" s="39">
        <f>H10*$G$14/365</f>
        <v>396.65949362078197</v>
      </c>
      <c r="I11" s="39">
        <f t="shared" ref="I11:L11" si="3">I10*$G$14/365</f>
        <v>414.80533829789778</v>
      </c>
      <c r="J11" s="39">
        <f t="shared" si="3"/>
        <v>434.04856388619692</v>
      </c>
      <c r="K11" s="39">
        <f t="shared" si="3"/>
        <v>454.45875174808202</v>
      </c>
      <c r="L11" s="39">
        <f t="shared" si="3"/>
        <v>476.10997740946101</v>
      </c>
    </row>
    <row r="12" spans="2:12">
      <c r="B12" t="s">
        <v>82</v>
      </c>
      <c r="C12" s="24">
        <f>C10/C11</f>
        <v>27.431876606683804</v>
      </c>
      <c r="D12" s="24">
        <f t="shared" ref="D12:G12" si="4">D10/D11</f>
        <v>32.144044321329638</v>
      </c>
      <c r="E12" s="24">
        <f t="shared" si="4"/>
        <v>34.577777777777776</v>
      </c>
      <c r="F12" s="24">
        <f t="shared" si="4"/>
        <v>37.578635014836799</v>
      </c>
      <c r="G12" s="24">
        <f t="shared" si="4"/>
        <v>38.111764705882351</v>
      </c>
    </row>
    <row r="13" spans="2:12">
      <c r="B13" t="s">
        <v>83</v>
      </c>
      <c r="C13" s="24">
        <f>365/C12</f>
        <v>13.305688314122389</v>
      </c>
      <c r="D13" s="24">
        <f t="shared" ref="D13:G13" si="5">365/D12</f>
        <v>11.355136159944847</v>
      </c>
      <c r="E13" s="24">
        <f t="shared" si="5"/>
        <v>10.555912596401029</v>
      </c>
      <c r="F13" s="24">
        <f t="shared" si="5"/>
        <v>9.7129658875552742</v>
      </c>
      <c r="G13" s="24">
        <f t="shared" si="5"/>
        <v>9.5770952307454866</v>
      </c>
    </row>
    <row r="14" spans="2:12">
      <c r="G14" s="38">
        <f>AVERAGE(C13:G13)</f>
        <v>10.901359637753805</v>
      </c>
    </row>
    <row r="15" spans="2:12" ht="14.4">
      <c r="B15" t="s">
        <v>84</v>
      </c>
      <c r="C15">
        <f>'Balance Sheet'!C28</f>
        <v>2519</v>
      </c>
      <c r="D15">
        <f>'Balance Sheet'!D28</f>
        <v>2532</v>
      </c>
      <c r="E15">
        <f>'Balance Sheet'!E28</f>
        <v>2407</v>
      </c>
      <c r="F15">
        <f>'Balance Sheet'!F28</f>
        <v>2425</v>
      </c>
      <c r="G15">
        <f>'Balance Sheet'!G28</f>
        <v>2610</v>
      </c>
      <c r="H15" s="39">
        <f>H5*$G$17</f>
        <v>2761.9270188889836</v>
      </c>
      <c r="I15" s="39">
        <f t="shared" ref="I15:L15" si="6">I5*$G$17</f>
        <v>2888.2759390592969</v>
      </c>
      <c r="J15" s="39">
        <f t="shared" si="6"/>
        <v>3022.2658864515824</v>
      </c>
      <c r="K15" s="39">
        <f t="shared" si="6"/>
        <v>3164.3813538056384</v>
      </c>
      <c r="L15" s="39">
        <f t="shared" si="6"/>
        <v>3315.1381265740588</v>
      </c>
    </row>
    <row r="16" spans="2:12">
      <c r="C16" s="26">
        <f>C15/C5</f>
        <v>0.1512731203459044</v>
      </c>
      <c r="D16" s="26">
        <f t="shared" ref="D16:G16" si="7">D15/D5</f>
        <v>0.13681309774679851</v>
      </c>
      <c r="E16" s="26">
        <f t="shared" si="7"/>
        <v>0.12389334980440601</v>
      </c>
      <c r="F16" s="26">
        <f t="shared" si="7"/>
        <v>0.12530357050586471</v>
      </c>
      <c r="G16" s="26">
        <f t="shared" si="7"/>
        <v>0.13224564248074586</v>
      </c>
    </row>
    <row r="17" spans="7:7">
      <c r="G17" s="41">
        <f>AVERAGE(C16:G16)</f>
        <v>0.13390575617674391</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6DA0D-2E76-4B9B-858D-023FD78D8985}">
  <dimension ref="B4:M32"/>
  <sheetViews>
    <sheetView showGridLines="0" workbookViewId="0">
      <selection activeCell="B30" sqref="B30"/>
    </sheetView>
  </sheetViews>
  <sheetFormatPr defaultRowHeight="13.8"/>
  <cols>
    <col min="1" max="1" width="2" customWidth="1"/>
    <col min="2" max="2" width="32.8984375" customWidth="1"/>
    <col min="3" max="3" width="14.59765625" customWidth="1"/>
    <col min="4" max="4" width="13.3984375" customWidth="1"/>
    <col min="5" max="5" width="14" customWidth="1"/>
    <col min="6" max="6" width="14.69921875" customWidth="1"/>
    <col min="7" max="7" width="14.09765625" customWidth="1"/>
    <col min="8" max="8" width="12.8984375" customWidth="1"/>
    <col min="9" max="9" width="13.19921875" customWidth="1"/>
    <col min="10" max="10" width="15.3984375" customWidth="1"/>
    <col min="11" max="11" width="13.296875" customWidth="1"/>
    <col min="12" max="12" width="12.8984375" customWidth="1"/>
  </cols>
  <sheetData>
    <row r="4" spans="2:12" ht="14.4">
      <c r="B4" s="3" t="s">
        <v>86</v>
      </c>
      <c r="C4" s="2" t="str">
        <f>'Balance Sheet'!C4</f>
        <v>12 months</v>
      </c>
      <c r="D4" s="2" t="str">
        <f>'Balance Sheet'!D4</f>
        <v>12 months</v>
      </c>
      <c r="E4" s="2" t="str">
        <f>'Balance Sheet'!E4</f>
        <v>12 months</v>
      </c>
      <c r="F4" s="2" t="str">
        <f>'Balance Sheet'!F4</f>
        <v>12 months</v>
      </c>
      <c r="G4" s="2" t="str">
        <f>'Balance Sheet'!G4</f>
        <v>12 months</v>
      </c>
      <c r="H4" s="46" t="str">
        <f>'Balance Sheet'!H4</f>
        <v>12 months</v>
      </c>
      <c r="I4" s="46" t="str">
        <f>'Balance Sheet'!I4</f>
        <v>12 months</v>
      </c>
      <c r="J4" s="46" t="str">
        <f>'Balance Sheet'!J4</f>
        <v>12 months</v>
      </c>
      <c r="K4" s="46" t="str">
        <f>'Balance Sheet'!K4</f>
        <v>12 months</v>
      </c>
      <c r="L4" s="46">
        <f>'Balance Sheet'!L4</f>
        <v>12</v>
      </c>
    </row>
    <row r="5" spans="2:12" ht="14.4">
      <c r="B5" s="43"/>
      <c r="C5" s="45">
        <f>'Balance Sheet'!C5</f>
        <v>44196</v>
      </c>
      <c r="D5" s="45">
        <f>'Balance Sheet'!D5</f>
        <v>44561</v>
      </c>
      <c r="E5" s="45">
        <f>'Balance Sheet'!E5</f>
        <v>44926</v>
      </c>
      <c r="F5" s="45">
        <f>'Balance Sheet'!F5</f>
        <v>45291</v>
      </c>
      <c r="G5" s="45">
        <f>'Balance Sheet'!G5</f>
        <v>45657</v>
      </c>
      <c r="H5" s="47">
        <f>'Balance Sheet'!H5</f>
        <v>46022</v>
      </c>
      <c r="I5" s="47">
        <f>'Balance Sheet'!I5</f>
        <v>46387</v>
      </c>
      <c r="J5" s="47">
        <f>'Balance Sheet'!J5</f>
        <v>46752</v>
      </c>
      <c r="K5" s="47">
        <f>'Balance Sheet'!K5</f>
        <v>47118</v>
      </c>
      <c r="L5" s="47">
        <f>'Balance Sheet'!L5</f>
        <v>47483</v>
      </c>
    </row>
    <row r="6" spans="2:12" ht="14.4">
      <c r="B6" s="44" t="s">
        <v>87</v>
      </c>
      <c r="C6">
        <f>'Balance Sheet'!G13</f>
        <v>994</v>
      </c>
      <c r="D6">
        <f>C10</f>
        <v>1251</v>
      </c>
      <c r="E6">
        <f t="shared" ref="E6:G6" si="0">D10</f>
        <v>1171</v>
      </c>
      <c r="F6">
        <f t="shared" si="0"/>
        <v>1101</v>
      </c>
      <c r="G6">
        <f t="shared" si="0"/>
        <v>1048</v>
      </c>
      <c r="H6" s="49">
        <f>G10</f>
        <v>994</v>
      </c>
      <c r="I6" s="49">
        <f t="shared" ref="I6:L6" si="1">H10</f>
        <v>1216.5348953640619</v>
      </c>
      <c r="J6" s="49">
        <f t="shared" si="1"/>
        <v>1272.1872965055609</v>
      </c>
      <c r="K6" s="49">
        <f t="shared" si="1"/>
        <v>1331.2053102024906</v>
      </c>
      <c r="L6" s="49">
        <f t="shared" si="1"/>
        <v>1393.8023390250432</v>
      </c>
    </row>
    <row r="7" spans="2:12" ht="14.4">
      <c r="B7" s="44" t="s">
        <v>88</v>
      </c>
      <c r="C7" s="24">
        <f>C8-C6</f>
        <v>707</v>
      </c>
      <c r="D7" s="24">
        <f t="shared" ref="D7:G7" si="2">D8-D6</f>
        <v>354</v>
      </c>
      <c r="E7" s="24">
        <f t="shared" si="2"/>
        <v>373</v>
      </c>
      <c r="F7" s="24">
        <f t="shared" si="2"/>
        <v>412</v>
      </c>
      <c r="G7" s="24">
        <f t="shared" si="2"/>
        <v>409</v>
      </c>
      <c r="H7" s="49">
        <f>H8-H6</f>
        <v>717.97546510030315</v>
      </c>
      <c r="I7" s="49">
        <f t="shared" ref="I7:L7" si="3">I8-I6</f>
        <v>573.75771928225072</v>
      </c>
      <c r="J7" s="49">
        <f t="shared" si="3"/>
        <v>601.15874458427402</v>
      </c>
      <c r="K7" s="49">
        <f t="shared" si="3"/>
        <v>630.23074617647967</v>
      </c>
      <c r="L7" s="49">
        <f t="shared" si="3"/>
        <v>661.0800301681802</v>
      </c>
    </row>
    <row r="8" spans="2:12" ht="14.4">
      <c r="B8" s="44" t="s">
        <v>89</v>
      </c>
      <c r="C8" s="24">
        <f>C9+C10</f>
        <v>1701</v>
      </c>
      <c r="D8" s="24">
        <f t="shared" ref="D8:G8" si="4">D9+D10</f>
        <v>1605</v>
      </c>
      <c r="E8" s="24">
        <f t="shared" si="4"/>
        <v>1544</v>
      </c>
      <c r="F8" s="24">
        <f t="shared" si="4"/>
        <v>1513</v>
      </c>
      <c r="G8" s="24">
        <f t="shared" si="4"/>
        <v>1457</v>
      </c>
      <c r="H8" s="49">
        <f>H12/$G$14</f>
        <v>1711.9754651003032</v>
      </c>
      <c r="I8" s="49">
        <f t="shared" ref="I8:L8" si="5">I12/$G$14</f>
        <v>1790.2926146463126</v>
      </c>
      <c r="J8" s="49">
        <f t="shared" si="5"/>
        <v>1873.3460410898349</v>
      </c>
      <c r="K8" s="49">
        <f t="shared" si="5"/>
        <v>1961.4360563789703</v>
      </c>
      <c r="L8" s="49">
        <f t="shared" si="5"/>
        <v>2054.8823691932234</v>
      </c>
    </row>
    <row r="9" spans="2:12" ht="14.4">
      <c r="B9" s="44" t="s">
        <v>90</v>
      </c>
      <c r="C9" s="24">
        <f>C18</f>
        <v>450</v>
      </c>
      <c r="D9" s="24">
        <f t="shared" ref="D9:G9" si="6">D18</f>
        <v>434</v>
      </c>
      <c r="E9" s="24">
        <f t="shared" si="6"/>
        <v>443</v>
      </c>
      <c r="F9" s="24">
        <f t="shared" si="6"/>
        <v>465</v>
      </c>
      <c r="G9" s="24">
        <f t="shared" si="6"/>
        <v>463</v>
      </c>
      <c r="H9" s="49">
        <f>H8*$G$16</f>
        <v>495.44056973624117</v>
      </c>
      <c r="I9" s="49">
        <f t="shared" ref="I9:L9" si="7">I8*$G$16</f>
        <v>518.10531814075171</v>
      </c>
      <c r="J9" s="49">
        <f t="shared" si="7"/>
        <v>542.14073088734438</v>
      </c>
      <c r="K9" s="49">
        <f t="shared" si="7"/>
        <v>567.63371735392695</v>
      </c>
      <c r="L9" s="49">
        <f t="shared" si="7"/>
        <v>594.67680027435426</v>
      </c>
    </row>
    <row r="10" spans="2:12" ht="15" thickBot="1">
      <c r="B10" s="53" t="s">
        <v>91</v>
      </c>
      <c r="C10" s="54">
        <f>'Balance Sheet'!C13</f>
        <v>1251</v>
      </c>
      <c r="D10" s="54">
        <f>'Balance Sheet'!D13</f>
        <v>1171</v>
      </c>
      <c r="E10" s="54">
        <f>'Balance Sheet'!E13</f>
        <v>1101</v>
      </c>
      <c r="F10" s="54">
        <f>'Balance Sheet'!F13</f>
        <v>1048</v>
      </c>
      <c r="G10" s="54">
        <f>'Balance Sheet'!G13</f>
        <v>994</v>
      </c>
      <c r="H10" s="55">
        <f>H8-H9</f>
        <v>1216.5348953640619</v>
      </c>
      <c r="I10" s="55">
        <f t="shared" ref="I10:L10" si="8">I8-I9</f>
        <v>1272.1872965055609</v>
      </c>
      <c r="J10" s="55">
        <f t="shared" si="8"/>
        <v>1331.2053102024906</v>
      </c>
      <c r="K10" s="55">
        <f t="shared" si="8"/>
        <v>1393.8023390250432</v>
      </c>
      <c r="L10" s="55">
        <f t="shared" si="8"/>
        <v>1460.2055689188692</v>
      </c>
    </row>
    <row r="12" spans="2:12" ht="14.4">
      <c r="B12" s="69" t="s">
        <v>75</v>
      </c>
      <c r="C12" s="24">
        <f>'Revenue Segments'!D19</f>
        <v>16652</v>
      </c>
      <c r="D12" s="24">
        <f>'Revenue Segments'!E19</f>
        <v>18507</v>
      </c>
      <c r="E12" s="24">
        <f>'Revenue Segments'!F19</f>
        <v>19428</v>
      </c>
      <c r="F12" s="24">
        <f>'Revenue Segments'!G19</f>
        <v>19353</v>
      </c>
      <c r="G12" s="24">
        <f>'Revenue Segments'!H19</f>
        <v>19736</v>
      </c>
      <c r="H12" s="56">
        <f>'Revenue Segments'!I19</f>
        <v>20625.902110163817</v>
      </c>
      <c r="I12" s="56">
        <f>'Revenue Segments'!J19</f>
        <v>21569.468120900081</v>
      </c>
      <c r="J12" s="56">
        <f>'Revenue Segments'!K19</f>
        <v>22570.096855750213</v>
      </c>
      <c r="K12" s="56">
        <f>'Revenue Segments'!L19</f>
        <v>23631.406476872668</v>
      </c>
      <c r="L12" s="56">
        <f>'Revenue Segments'!M19</f>
        <v>24757.248838491796</v>
      </c>
    </row>
    <row r="13" spans="2:12" ht="14.4">
      <c r="B13" s="69" t="s">
        <v>95</v>
      </c>
      <c r="C13" s="24">
        <f>C12/C8</f>
        <v>9.7895355673133455</v>
      </c>
      <c r="D13" s="24">
        <f t="shared" ref="D13:G13" si="9">D12/D8</f>
        <v>11.530841121495326</v>
      </c>
      <c r="E13" s="24">
        <f t="shared" si="9"/>
        <v>12.582901554404145</v>
      </c>
      <c r="F13" s="24">
        <f t="shared" si="9"/>
        <v>12.7911434236616</v>
      </c>
      <c r="G13" s="24">
        <f t="shared" si="9"/>
        <v>13.545641729581332</v>
      </c>
    </row>
    <row r="14" spans="2:12">
      <c r="G14" s="50">
        <f>AVERAGE(C13:G13)</f>
        <v>12.048012679291151</v>
      </c>
    </row>
    <row r="15" spans="2:12" ht="14.4">
      <c r="B15" s="69" t="s">
        <v>96</v>
      </c>
      <c r="C15" s="26">
        <f>C9/C8</f>
        <v>0.26455026455026454</v>
      </c>
      <c r="D15" s="26">
        <f t="shared" ref="D15:G15" si="10">D9/D8</f>
        <v>0.270404984423676</v>
      </c>
      <c r="E15" s="26">
        <f t="shared" si="10"/>
        <v>0.28691709844559588</v>
      </c>
      <c r="F15" s="26">
        <f t="shared" si="10"/>
        <v>0.30733641771315268</v>
      </c>
      <c r="G15" s="26">
        <f t="shared" si="10"/>
        <v>0.31777625257378173</v>
      </c>
    </row>
    <row r="16" spans="2:12">
      <c r="B16" s="60"/>
      <c r="G16" s="51">
        <f>AVERAGE(C15:G15)</f>
        <v>0.28939700354129416</v>
      </c>
    </row>
    <row r="17" spans="2:13" ht="15" thickBot="1">
      <c r="B17" s="70" t="s">
        <v>93</v>
      </c>
      <c r="C17" s="54">
        <f>'Income statement'!$C$12</f>
        <v>552</v>
      </c>
      <c r="D17" s="54">
        <f>'Income statement'!$C$12</f>
        <v>552</v>
      </c>
      <c r="E17" s="54">
        <f>'Income statement'!$C$12</f>
        <v>552</v>
      </c>
      <c r="F17" s="54">
        <f>'Income statement'!$C$12</f>
        <v>552</v>
      </c>
      <c r="G17" s="54">
        <f>'Income statement'!$C$12</f>
        <v>552</v>
      </c>
      <c r="H17" s="55">
        <f>H18+H19</f>
        <v>709.44056973624117</v>
      </c>
      <c r="I17" s="55">
        <f t="shared" ref="I17:L17" si="11">I18+I19</f>
        <v>729.10531814075171</v>
      </c>
      <c r="J17" s="55">
        <f t="shared" si="11"/>
        <v>745.14073088734438</v>
      </c>
      <c r="K17" s="55">
        <f t="shared" si="11"/>
        <v>749.63371735392695</v>
      </c>
      <c r="L17" s="55">
        <f t="shared" si="11"/>
        <v>759.67680027435426</v>
      </c>
    </row>
    <row r="18" spans="2:13">
      <c r="B18" s="60" t="s">
        <v>92</v>
      </c>
      <c r="C18" s="24">
        <f>C17-C19</f>
        <v>450</v>
      </c>
      <c r="D18" s="24">
        <f t="shared" ref="D18:G18" si="12">D17-D19</f>
        <v>434</v>
      </c>
      <c r="E18" s="24">
        <f t="shared" si="12"/>
        <v>443</v>
      </c>
      <c r="F18" s="24">
        <f t="shared" si="12"/>
        <v>465</v>
      </c>
      <c r="G18" s="24">
        <f t="shared" si="12"/>
        <v>463</v>
      </c>
      <c r="H18" s="52">
        <f>H9</f>
        <v>495.44056973624117</v>
      </c>
      <c r="I18" s="52">
        <f t="shared" ref="I18:L18" si="13">I9</f>
        <v>518.10531814075171</v>
      </c>
      <c r="J18" s="52">
        <f t="shared" si="13"/>
        <v>542.14073088734438</v>
      </c>
      <c r="K18" s="52">
        <f t="shared" si="13"/>
        <v>567.63371735392695</v>
      </c>
      <c r="L18" s="52">
        <f t="shared" si="13"/>
        <v>594.67680027435426</v>
      </c>
    </row>
    <row r="19" spans="2:13" ht="14.4">
      <c r="B19" s="60" t="s">
        <v>94</v>
      </c>
      <c r="C19">
        <v>102</v>
      </c>
      <c r="D19">
        <v>118</v>
      </c>
      <c r="E19">
        <v>109</v>
      </c>
      <c r="F19">
        <v>87</v>
      </c>
      <c r="G19">
        <v>89</v>
      </c>
      <c r="H19" s="48">
        <v>214</v>
      </c>
      <c r="I19" s="48">
        <v>211</v>
      </c>
      <c r="J19" s="48">
        <v>203</v>
      </c>
      <c r="K19" s="48">
        <v>182</v>
      </c>
      <c r="L19" s="48">
        <v>165</v>
      </c>
      <c r="M19" t="s">
        <v>85</v>
      </c>
    </row>
    <row r="32" spans="2:13" ht="14.4">
      <c r="B32" s="44" t="s">
        <v>327</v>
      </c>
    </row>
  </sheetData>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E9615-F6AC-49EC-A62B-9A86EEB7E9AE}">
  <dimension ref="B2:I19"/>
  <sheetViews>
    <sheetView workbookViewId="0"/>
  </sheetViews>
  <sheetFormatPr defaultRowHeight="13.8"/>
  <cols>
    <col min="1" max="1" width="1.8984375" customWidth="1"/>
    <col min="2" max="2" width="14.69921875" customWidth="1"/>
    <col min="3" max="3" width="13.69921875" customWidth="1"/>
    <col min="4" max="4" width="15.69921875" customWidth="1"/>
    <col min="5" max="5" width="14.8984375" customWidth="1"/>
    <col min="6" max="6" width="11.796875" customWidth="1"/>
    <col min="7" max="7" width="13.09765625" customWidth="1"/>
  </cols>
  <sheetData>
    <row r="2" spans="2:9">
      <c r="C2" t="s">
        <v>97</v>
      </c>
      <c r="D2" t="s">
        <v>98</v>
      </c>
      <c r="E2" s="177" t="s">
        <v>100</v>
      </c>
      <c r="F2" s="177"/>
      <c r="G2" t="s">
        <v>99</v>
      </c>
    </row>
    <row r="3" spans="2:9">
      <c r="C3" s="57">
        <f>DATE(2025,12,31)</f>
        <v>46022</v>
      </c>
      <c r="D3">
        <v>33</v>
      </c>
      <c r="E3" s="58">
        <v>5.2999999999999999E-2</v>
      </c>
      <c r="F3" s="58">
        <v>6.3E-2</v>
      </c>
      <c r="G3" s="58">
        <f t="shared" ref="G3:G7" si="0">AVERAGE(E3:F3)</f>
        <v>5.7999999999999996E-2</v>
      </c>
      <c r="H3" s="59">
        <f t="shared" ref="H3:H7" si="1">D3*G3</f>
        <v>1.9139999999999999</v>
      </c>
    </row>
    <row r="4" spans="2:9">
      <c r="C4" s="57">
        <f>DATE(2026,12,31)</f>
        <v>46387</v>
      </c>
      <c r="D4">
        <v>33</v>
      </c>
      <c r="E4" s="58">
        <v>5.2999999999999999E-2</v>
      </c>
      <c r="F4" s="58">
        <v>6.3E-2</v>
      </c>
      <c r="G4" s="58">
        <f t="shared" si="0"/>
        <v>5.7999999999999996E-2</v>
      </c>
      <c r="H4" s="59">
        <f t="shared" si="1"/>
        <v>1.9139999999999999</v>
      </c>
    </row>
    <row r="5" spans="2:9">
      <c r="C5" s="57">
        <f>DATE(2027,12,31)</f>
        <v>46752</v>
      </c>
      <c r="D5">
        <v>33</v>
      </c>
      <c r="E5" s="58">
        <v>5.2999999999999999E-2</v>
      </c>
      <c r="F5" s="58">
        <v>6.3E-2</v>
      </c>
      <c r="G5" s="58">
        <f t="shared" si="0"/>
        <v>5.7999999999999996E-2</v>
      </c>
      <c r="H5" s="59">
        <f t="shared" si="1"/>
        <v>1.9139999999999999</v>
      </c>
    </row>
    <row r="6" spans="2:9">
      <c r="C6" s="57">
        <f>DATE(2028,12,31)</f>
        <v>47118</v>
      </c>
      <c r="D6">
        <v>33</v>
      </c>
      <c r="E6" s="58">
        <v>5.2999999999999999E-2</v>
      </c>
      <c r="F6" s="58">
        <v>6.3E-2</v>
      </c>
      <c r="G6" s="58">
        <f t="shared" si="0"/>
        <v>5.7999999999999996E-2</v>
      </c>
      <c r="H6" s="59">
        <f t="shared" si="1"/>
        <v>1.9139999999999999</v>
      </c>
    </row>
    <row r="7" spans="2:9">
      <c r="C7" s="57">
        <f>DATE(2029,12,31)</f>
        <v>47483</v>
      </c>
      <c r="D7">
        <v>33</v>
      </c>
      <c r="E7" s="58">
        <v>5.2999999999999999E-2</v>
      </c>
      <c r="F7" s="58">
        <v>6.3E-2</v>
      </c>
      <c r="G7" s="58">
        <f t="shared" si="0"/>
        <v>5.7999999999999996E-2</v>
      </c>
      <c r="H7" s="59">
        <f t="shared" si="1"/>
        <v>1.9139999999999999</v>
      </c>
    </row>
    <row r="9" spans="2:9">
      <c r="C9" t="s">
        <v>101</v>
      </c>
    </row>
    <row r="10" spans="2:9">
      <c r="C10" s="57">
        <f>DATE(2025,12,31)</f>
        <v>46022</v>
      </c>
      <c r="D10" s="57">
        <f>DATE(2026,12,31)</f>
        <v>46387</v>
      </c>
      <c r="E10" s="57">
        <f>DATE(2027,12,31)</f>
        <v>46752</v>
      </c>
      <c r="F10" s="57">
        <f>DATE(2028,12,31)</f>
        <v>47118</v>
      </c>
      <c r="G10" s="57">
        <f>DATE(2029,12,31)</f>
        <v>47483</v>
      </c>
    </row>
    <row r="11" spans="2:9">
      <c r="C11" s="59">
        <f>H3+H4+H5+H6+H7</f>
        <v>9.57</v>
      </c>
      <c r="D11" s="59">
        <f>H4+H5+H6+H7</f>
        <v>7.6559999999999997</v>
      </c>
      <c r="E11" s="59">
        <f>H5+H6+H7</f>
        <v>5.742</v>
      </c>
      <c r="F11" s="59">
        <f>H6+H7</f>
        <v>3.8279999999999998</v>
      </c>
      <c r="G11" s="59">
        <f>H7</f>
        <v>1.9139999999999999</v>
      </c>
    </row>
    <row r="12" spans="2:9">
      <c r="C12" t="s">
        <v>102</v>
      </c>
    </row>
    <row r="13" spans="2:9">
      <c r="C13">
        <f>D3</f>
        <v>33</v>
      </c>
      <c r="D13">
        <f>D4</f>
        <v>33</v>
      </c>
      <c r="E13">
        <f>D5</f>
        <v>33</v>
      </c>
      <c r="F13">
        <f>D6</f>
        <v>33</v>
      </c>
      <c r="G13">
        <f>D7</f>
        <v>33</v>
      </c>
    </row>
    <row r="14" spans="2:9">
      <c r="B14" t="s">
        <v>103</v>
      </c>
      <c r="C14">
        <f>'Balance Sheet'!G26+'Balance Sheet'!G34</f>
        <v>908</v>
      </c>
      <c r="D14">
        <f>C17</f>
        <v>875</v>
      </c>
      <c r="E14">
        <f>D17</f>
        <v>842</v>
      </c>
      <c r="F14">
        <f t="shared" ref="F14:G14" si="2">E17</f>
        <v>809</v>
      </c>
      <c r="G14">
        <f t="shared" si="2"/>
        <v>776</v>
      </c>
    </row>
    <row r="15" spans="2:9">
      <c r="B15" t="s">
        <v>104</v>
      </c>
      <c r="C15">
        <v>0</v>
      </c>
      <c r="D15">
        <v>0</v>
      </c>
      <c r="E15">
        <v>0</v>
      </c>
      <c r="F15">
        <v>0</v>
      </c>
      <c r="G15">
        <v>0</v>
      </c>
    </row>
    <row r="16" spans="2:9">
      <c r="B16" t="s">
        <v>102</v>
      </c>
      <c r="C16">
        <f>C13</f>
        <v>33</v>
      </c>
      <c r="D16">
        <f t="shared" ref="D16:E16" si="3">D13</f>
        <v>33</v>
      </c>
      <c r="E16">
        <f t="shared" si="3"/>
        <v>33</v>
      </c>
      <c r="F16">
        <v>33</v>
      </c>
      <c r="G16">
        <v>33</v>
      </c>
    </row>
    <row r="17" spans="2:7">
      <c r="B17" t="s">
        <v>105</v>
      </c>
      <c r="C17">
        <f>C14+C15-C16</f>
        <v>875</v>
      </c>
      <c r="D17">
        <f t="shared" ref="D17:E17" si="4">D14+D15-D16</f>
        <v>842</v>
      </c>
      <c r="E17">
        <f t="shared" si="4"/>
        <v>809</v>
      </c>
      <c r="F17">
        <f t="shared" ref="F17" si="5">F14+F15-F16</f>
        <v>776</v>
      </c>
      <c r="G17">
        <f t="shared" ref="G17" si="6">G14+G15-G16</f>
        <v>743</v>
      </c>
    </row>
    <row r="18" spans="2:7">
      <c r="B18" t="s">
        <v>106</v>
      </c>
      <c r="C18">
        <f>D16</f>
        <v>33</v>
      </c>
      <c r="D18">
        <f>E16</f>
        <v>33</v>
      </c>
      <c r="E18">
        <f>F16</f>
        <v>33</v>
      </c>
      <c r="F18">
        <f t="shared" ref="F18:G18" si="7">G16</f>
        <v>33</v>
      </c>
      <c r="G18">
        <f t="shared" si="7"/>
        <v>0</v>
      </c>
    </row>
    <row r="19" spans="2:7">
      <c r="B19" t="s">
        <v>107</v>
      </c>
      <c r="C19">
        <f>C17-C18</f>
        <v>842</v>
      </c>
      <c r="D19">
        <f t="shared" ref="D19:E19" si="8">D17-D18</f>
        <v>809</v>
      </c>
      <c r="E19">
        <f t="shared" si="8"/>
        <v>776</v>
      </c>
      <c r="F19">
        <f t="shared" ref="F19" si="9">F17-F18</f>
        <v>743</v>
      </c>
      <c r="G19">
        <f t="shared" ref="G19" si="10">G17-G18</f>
        <v>743</v>
      </c>
    </row>
  </sheetData>
  <mergeCells count="1">
    <mergeCell ref="E2:F2"/>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DEA2A-09E0-4E89-90FA-51D79DC1A6DC}">
  <sheetPr>
    <tabColor theme="4" tint="0.79998168889431442"/>
  </sheetPr>
  <dimension ref="B1:L22"/>
  <sheetViews>
    <sheetView showGridLines="0" workbookViewId="0">
      <selection activeCell="C14" sqref="C14"/>
    </sheetView>
  </sheetViews>
  <sheetFormatPr defaultRowHeight="13.8"/>
  <cols>
    <col min="1" max="1" width="2.3984375" customWidth="1"/>
    <col min="2" max="2" width="14.3984375" customWidth="1"/>
    <col min="3" max="3" width="13.796875" customWidth="1"/>
    <col min="4" max="4" width="11.8984375" customWidth="1"/>
    <col min="5" max="5" width="18" customWidth="1"/>
    <col min="6" max="6" width="18.09765625" customWidth="1"/>
    <col min="7" max="7" width="12" customWidth="1"/>
    <col min="8" max="8" width="11" customWidth="1"/>
    <col min="9" max="9" width="12.09765625" customWidth="1"/>
  </cols>
  <sheetData>
    <row r="1" spans="2:12">
      <c r="L1" s="118"/>
    </row>
    <row r="2" spans="2:12">
      <c r="L2" s="118" t="s">
        <v>295</v>
      </c>
    </row>
    <row r="3" spans="2:12">
      <c r="L3" s="118" t="s">
        <v>332</v>
      </c>
    </row>
    <row r="4" spans="2:12">
      <c r="B4" t="s">
        <v>135</v>
      </c>
      <c r="C4" s="57">
        <f>DATE(2025,2,11)</f>
        <v>45699</v>
      </c>
    </row>
    <row r="5" spans="2:12" ht="20.399999999999999">
      <c r="B5" s="178" t="s">
        <v>136</v>
      </c>
      <c r="C5" s="178"/>
      <c r="D5" s="178"/>
      <c r="E5" s="178"/>
      <c r="F5" s="178"/>
      <c r="G5" s="178"/>
      <c r="H5" s="178"/>
      <c r="I5" s="178"/>
    </row>
    <row r="6" spans="2:12">
      <c r="B6" s="119" t="s">
        <v>154</v>
      </c>
      <c r="C6" s="81" t="s">
        <v>137</v>
      </c>
      <c r="D6" s="81" t="s">
        <v>138</v>
      </c>
      <c r="E6" s="81" t="s">
        <v>139</v>
      </c>
      <c r="F6" s="81" t="s">
        <v>140</v>
      </c>
      <c r="G6" s="81" t="s">
        <v>141</v>
      </c>
      <c r="H6" s="81" t="s">
        <v>142</v>
      </c>
      <c r="I6" s="81" t="s">
        <v>143</v>
      </c>
    </row>
    <row r="7" spans="2:12">
      <c r="B7" s="119" t="s">
        <v>144</v>
      </c>
      <c r="C7" s="81" t="s">
        <v>145</v>
      </c>
      <c r="D7" s="80">
        <v>287.98099999999999</v>
      </c>
      <c r="E7" s="80">
        <v>183.55</v>
      </c>
      <c r="F7" s="80">
        <v>334.27</v>
      </c>
      <c r="G7" s="86">
        <f>E7*F7</f>
        <v>61355.258500000004</v>
      </c>
      <c r="H7" s="87">
        <f>D7/(D7+G7)</f>
        <v>4.6717369550313779E-3</v>
      </c>
      <c r="I7" s="87">
        <f>G7/(G7+D7)</f>
        <v>0.99532826304496858</v>
      </c>
    </row>
    <row r="8" spans="2:12">
      <c r="B8" s="119" t="s">
        <v>146</v>
      </c>
      <c r="C8" s="81" t="s">
        <v>147</v>
      </c>
      <c r="D8" s="80">
        <v>235.893</v>
      </c>
      <c r="E8" s="80">
        <v>120.21</v>
      </c>
      <c r="F8" s="80">
        <v>449.66</v>
      </c>
      <c r="G8" s="86">
        <f>E8*F8</f>
        <v>54053.628600000004</v>
      </c>
      <c r="H8" s="87">
        <f>D8/(D8+G8)</f>
        <v>4.3450926264931387E-3</v>
      </c>
      <c r="I8" s="87">
        <f>G8/(G8+D8)</f>
        <v>0.99565490737350693</v>
      </c>
    </row>
    <row r="9" spans="2:12">
      <c r="B9" s="119" t="s">
        <v>148</v>
      </c>
      <c r="C9" s="81" t="s">
        <v>149</v>
      </c>
      <c r="D9" s="80">
        <v>3070.1950000000002</v>
      </c>
      <c r="E9" s="80">
        <v>522.12</v>
      </c>
      <c r="F9" s="80">
        <v>77.13</v>
      </c>
      <c r="G9" s="86">
        <f>E9*F9</f>
        <v>40271.115599999997</v>
      </c>
      <c r="H9" s="87">
        <f>D9/(D9+G9)</f>
        <v>7.0837613295431825E-2</v>
      </c>
      <c r="I9" s="87">
        <f>G9/(G9+D9)</f>
        <v>0.92916238670456819</v>
      </c>
    </row>
    <row r="10" spans="2:12">
      <c r="B10" s="119" t="s">
        <v>150</v>
      </c>
      <c r="C10" s="81" t="s">
        <v>151</v>
      </c>
      <c r="D10" s="80">
        <v>3935.7</v>
      </c>
      <c r="E10" s="80">
        <v>206.26</v>
      </c>
      <c r="F10" s="80">
        <v>140.38999999999999</v>
      </c>
      <c r="G10" s="86">
        <f>F10*E10</f>
        <v>28956.841399999998</v>
      </c>
      <c r="H10" s="87">
        <f>D10/(D10+G10)</f>
        <v>0.11965326583126229</v>
      </c>
      <c r="I10" s="87">
        <f>G10/(G10+D10)</f>
        <v>0.88034673416873777</v>
      </c>
    </row>
    <row r="11" spans="2:12">
      <c r="B11" s="119" t="s">
        <v>152</v>
      </c>
      <c r="C11" s="81" t="s">
        <v>153</v>
      </c>
      <c r="D11" s="80">
        <v>1797.5</v>
      </c>
      <c r="E11" s="80">
        <v>227.38</v>
      </c>
      <c r="F11" s="80">
        <v>96.56</v>
      </c>
      <c r="G11" s="86">
        <f>E11*F11</f>
        <v>21955.8128</v>
      </c>
      <c r="H11" s="87">
        <f>D11/(D11+G11)</f>
        <v>7.5673655086965386E-2</v>
      </c>
      <c r="I11" s="87">
        <f>G11/(G11+D11)</f>
        <v>0.92432634491303456</v>
      </c>
    </row>
    <row r="12" spans="2:12">
      <c r="G12" s="83" t="s">
        <v>155</v>
      </c>
      <c r="H12" s="82">
        <f>MEDIAN(H7:H11)</f>
        <v>7.0837613295431825E-2</v>
      </c>
      <c r="I12" s="82">
        <f>MEDIAN(I7:I11)</f>
        <v>0.92916238670456819</v>
      </c>
    </row>
    <row r="14" spans="2:12">
      <c r="B14" s="81" t="s">
        <v>156</v>
      </c>
      <c r="C14" s="82">
        <v>4.5359999999999998E-2</v>
      </c>
      <c r="E14" s="81" t="s">
        <v>309</v>
      </c>
      <c r="F14" s="82">
        <f>'Regression Beta'!F9</f>
        <v>4.3299999999999998E-2</v>
      </c>
    </row>
    <row r="15" spans="2:12">
      <c r="B15" s="81" t="s">
        <v>157</v>
      </c>
      <c r="C15" s="84" t="s">
        <v>158</v>
      </c>
      <c r="E15" s="81" t="s">
        <v>310</v>
      </c>
      <c r="F15" s="84">
        <f>IF('DCF Valuation'!C9='DCF Valuation'!H5,'Regression Beta'!F12,'WACC Calculation'!C19)</f>
        <v>0.95949974585549747</v>
      </c>
    </row>
    <row r="16" spans="2:12">
      <c r="B16" s="81" t="s">
        <v>159</v>
      </c>
      <c r="C16" s="82">
        <v>1.2E-2</v>
      </c>
      <c r="E16" s="81" t="s">
        <v>311</v>
      </c>
      <c r="F16" s="82">
        <f>C14</f>
        <v>4.5359999999999998E-2</v>
      </c>
    </row>
    <row r="17" spans="2:6">
      <c r="B17" s="81" t="s">
        <v>160</v>
      </c>
      <c r="C17" s="85">
        <v>0.21</v>
      </c>
      <c r="E17" s="81"/>
      <c r="F17" s="85"/>
    </row>
    <row r="18" spans="2:6">
      <c r="B18" s="81" t="s">
        <v>161</v>
      </c>
      <c r="C18" s="82">
        <f>C14+C16</f>
        <v>5.7359999999999994E-2</v>
      </c>
      <c r="E18" s="81" t="s">
        <v>312</v>
      </c>
      <c r="F18" s="82">
        <f>F16+F15*F14</f>
        <v>8.6906338995543037E-2</v>
      </c>
    </row>
    <row r="19" spans="2:6">
      <c r="B19" s="81" t="s">
        <v>344</v>
      </c>
      <c r="C19" s="104">
        <f>'Bottom up Beta'!C17</f>
        <v>1.3805215134035131</v>
      </c>
      <c r="E19" s="81"/>
      <c r="F19" s="82"/>
    </row>
    <row r="21" spans="2:6" ht="22.8">
      <c r="B21" s="100" t="s">
        <v>313</v>
      </c>
      <c r="C21" s="101" t="s">
        <v>314</v>
      </c>
      <c r="D21" s="102"/>
      <c r="E21" s="102"/>
      <c r="F21" s="102"/>
    </row>
    <row r="22" spans="2:6" ht="21">
      <c r="B22" s="99">
        <f>H12*C18+I12*F18</f>
        <v>8.4813346859481026E-2</v>
      </c>
    </row>
  </sheetData>
  <mergeCells count="1">
    <mergeCell ref="B5:I5"/>
  </mergeCells>
  <dataValidations count="1">
    <dataValidation type="list" allowBlank="1" showInputMessage="1" showErrorMessage="1" sqref="G15" xr:uid="{F374218F-5048-4056-90F6-D4EA5B727511}">
      <formula1>$L$2:$L$3</formula1>
    </dataValidation>
  </dataValidation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7F871-9D0A-4B64-906D-AE3E5EE72AC1}">
  <sheetPr>
    <tabColor theme="9" tint="0.39997558519241921"/>
  </sheetPr>
  <dimension ref="A5:V229"/>
  <sheetViews>
    <sheetView showGridLines="0" showRowColHeaders="0" workbookViewId="0">
      <selection activeCell="F9" sqref="F9"/>
    </sheetView>
  </sheetViews>
  <sheetFormatPr defaultRowHeight="13.8"/>
  <cols>
    <col min="1" max="1" width="2.296875" customWidth="1"/>
    <col min="2" max="2" width="12.19921875" customWidth="1"/>
    <col min="4" max="4" width="7.09765625" customWidth="1"/>
    <col min="5" max="5" width="10.69921875" customWidth="1"/>
    <col min="7" max="7" width="7.19921875" customWidth="1"/>
    <col min="8" max="8" width="11" customWidth="1"/>
    <col min="10" max="10" width="7.296875" customWidth="1"/>
    <col min="11" max="11" width="11.09765625" customWidth="1"/>
    <col min="13" max="13" width="7.09765625" customWidth="1"/>
    <col min="14" max="14" width="10.796875" customWidth="1"/>
    <col min="16" max="16" width="7.69921875" customWidth="1"/>
    <col min="17" max="17" width="10.796875" customWidth="1"/>
    <col min="19" max="19" width="7" customWidth="1"/>
    <col min="20" max="20" width="11.3984375" customWidth="1"/>
    <col min="22" max="22" width="7" customWidth="1"/>
  </cols>
  <sheetData>
    <row r="5" spans="1:6" ht="20.399999999999999">
      <c r="A5" s="60" t="s">
        <v>308</v>
      </c>
      <c r="B5" s="181" t="s">
        <v>295</v>
      </c>
      <c r="C5" s="181"/>
      <c r="D5" s="181"/>
      <c r="E5" s="181"/>
      <c r="F5" s="181"/>
    </row>
    <row r="6" spans="1:6">
      <c r="B6" s="182" t="s">
        <v>296</v>
      </c>
      <c r="C6" s="182"/>
      <c r="E6" s="182" t="s">
        <v>299</v>
      </c>
      <c r="F6" s="182"/>
    </row>
    <row r="7" spans="1:6" ht="27.6">
      <c r="B7" s="97" t="s">
        <v>297</v>
      </c>
      <c r="C7" s="98">
        <f>_xlfn.RRI(4,U229,U21)</f>
        <v>0.11787715608751959</v>
      </c>
      <c r="E7" s="96" t="s">
        <v>300</v>
      </c>
      <c r="F7" s="95" t="s">
        <v>301</v>
      </c>
    </row>
    <row r="8" spans="1:6">
      <c r="B8" s="40" t="s">
        <v>156</v>
      </c>
      <c r="C8" s="94">
        <f>'WACC Calculation'!C14</f>
        <v>4.5359999999999998E-2</v>
      </c>
      <c r="E8" s="40" t="s">
        <v>302</v>
      </c>
      <c r="F8" s="95" t="s">
        <v>303</v>
      </c>
    </row>
    <row r="9" spans="1:6">
      <c r="B9" s="40" t="s">
        <v>298</v>
      </c>
      <c r="C9" s="94">
        <f>C7-C8</f>
        <v>7.2517156087519588E-2</v>
      </c>
      <c r="E9" s="40" t="s">
        <v>304</v>
      </c>
      <c r="F9" s="94">
        <v>4.3299999999999998E-2</v>
      </c>
    </row>
    <row r="11" spans="1:6" ht="20.399999999999999">
      <c r="A11" s="60" t="s">
        <v>308</v>
      </c>
      <c r="B11" s="181" t="s">
        <v>305</v>
      </c>
      <c r="C11" s="181"/>
      <c r="D11" s="181"/>
      <c r="E11" s="181"/>
      <c r="F11" s="181"/>
    </row>
    <row r="12" spans="1:6" ht="18">
      <c r="B12" s="179" t="s">
        <v>8</v>
      </c>
      <c r="C12" s="179"/>
      <c r="D12" s="179"/>
      <c r="E12" s="179"/>
      <c r="F12" s="86">
        <f>SLOPE(D21:D228,$V21:$V228)</f>
        <v>0.95949974585549747</v>
      </c>
    </row>
    <row r="13" spans="1:6" ht="18">
      <c r="B13" s="179" t="s">
        <v>162</v>
      </c>
      <c r="C13" s="179"/>
      <c r="D13" s="179"/>
      <c r="E13" s="179"/>
      <c r="F13" s="86">
        <f>SLOPE(G21:G228,V$21:V$228)</f>
        <v>1.6169715171092518</v>
      </c>
    </row>
    <row r="14" spans="1:6" ht="18">
      <c r="B14" s="179" t="s">
        <v>306</v>
      </c>
      <c r="C14" s="179"/>
      <c r="D14" s="179"/>
      <c r="E14" s="179"/>
      <c r="F14" s="86">
        <f>SLOPE(J21:J228,V$21:V$228)</f>
        <v>1.1009519345269214</v>
      </c>
    </row>
    <row r="15" spans="1:6" ht="18">
      <c r="B15" s="179" t="s">
        <v>151</v>
      </c>
      <c r="C15" s="179"/>
      <c r="D15" s="179"/>
      <c r="E15" s="179"/>
      <c r="F15" s="86">
        <f>SLOPE(M21:M228,V$21:V$228)</f>
        <v>1.1648443800945114</v>
      </c>
    </row>
    <row r="16" spans="1:6" ht="18">
      <c r="B16" s="179" t="s">
        <v>153</v>
      </c>
      <c r="C16" s="179"/>
      <c r="D16" s="179"/>
      <c r="E16" s="179"/>
      <c r="F16" s="86">
        <f>SLOPE(P21:P228,V$21:V$228)</f>
        <v>0.92684749419708057</v>
      </c>
    </row>
    <row r="17" spans="1:22" ht="18">
      <c r="B17" s="179" t="s">
        <v>307</v>
      </c>
      <c r="C17" s="179"/>
      <c r="D17" s="179"/>
      <c r="E17" s="179"/>
      <c r="F17" s="86">
        <f>SLOPE(S21:S228,V$21:V$228)</f>
        <v>1.9874040071223971</v>
      </c>
    </row>
    <row r="19" spans="1:22">
      <c r="A19" s="60" t="s">
        <v>308</v>
      </c>
      <c r="B19" s="180" t="s">
        <v>8</v>
      </c>
      <c r="C19" s="180"/>
      <c r="D19" s="180"/>
      <c r="E19" s="180" t="s">
        <v>162</v>
      </c>
      <c r="F19" s="180"/>
      <c r="G19" s="180"/>
      <c r="H19" s="180" t="s">
        <v>149</v>
      </c>
      <c r="I19" s="180"/>
      <c r="J19" s="180"/>
      <c r="K19" s="180" t="s">
        <v>163</v>
      </c>
      <c r="L19" s="180"/>
      <c r="M19" s="180"/>
      <c r="N19" s="180" t="s">
        <v>153</v>
      </c>
      <c r="O19" s="180"/>
      <c r="P19" s="180"/>
      <c r="Q19" s="180" t="s">
        <v>164</v>
      </c>
      <c r="R19" s="180"/>
      <c r="S19" s="180"/>
      <c r="T19" s="180" t="s">
        <v>165</v>
      </c>
      <c r="U19" s="180"/>
      <c r="V19" s="180"/>
    </row>
    <row r="20" spans="1:22">
      <c r="B20" s="89" t="s">
        <v>166</v>
      </c>
      <c r="C20" s="89" t="s">
        <v>167</v>
      </c>
      <c r="D20" s="89" t="s">
        <v>168</v>
      </c>
      <c r="E20" s="89" t="s">
        <v>166</v>
      </c>
      <c r="F20" s="89" t="s">
        <v>167</v>
      </c>
      <c r="G20" s="89" t="s">
        <v>168</v>
      </c>
      <c r="H20" s="89" t="s">
        <v>166</v>
      </c>
      <c r="I20" s="89" t="s">
        <v>167</v>
      </c>
      <c r="J20" s="89" t="s">
        <v>168</v>
      </c>
      <c r="K20" s="89" t="s">
        <v>166</v>
      </c>
      <c r="L20" s="89" t="s">
        <v>167</v>
      </c>
      <c r="M20" s="89" t="s">
        <v>168</v>
      </c>
      <c r="N20" s="89" t="s">
        <v>166</v>
      </c>
      <c r="O20" s="89" t="s">
        <v>167</v>
      </c>
      <c r="P20" s="89" t="s">
        <v>168</v>
      </c>
      <c r="Q20" s="89" t="s">
        <v>166</v>
      </c>
      <c r="R20" s="89" t="s">
        <v>167</v>
      </c>
      <c r="S20" s="89" t="s">
        <v>168</v>
      </c>
      <c r="T20" s="89" t="s">
        <v>166</v>
      </c>
      <c r="U20" s="89" t="s">
        <v>167</v>
      </c>
      <c r="V20" s="89" t="s">
        <v>168</v>
      </c>
    </row>
    <row r="21" spans="1:22" ht="14.4">
      <c r="B21" s="90">
        <v>45902</v>
      </c>
      <c r="C21" s="91">
        <v>88.98</v>
      </c>
      <c r="D21" s="92">
        <f>(C21/C22)-1</f>
        <v>3.2250580046403687E-2</v>
      </c>
      <c r="E21" s="90">
        <v>45902</v>
      </c>
      <c r="F21" s="91">
        <v>190.98</v>
      </c>
      <c r="G21" s="92">
        <f>(F21/F22)-1</f>
        <v>3.7765581698635975E-2</v>
      </c>
      <c r="H21" s="90">
        <v>45902</v>
      </c>
      <c r="I21" s="91">
        <v>512.51</v>
      </c>
      <c r="J21" s="92">
        <f>(I21/I22)-1</f>
        <v>-3.1702847210413942E-2</v>
      </c>
      <c r="K21" s="90">
        <v>45902</v>
      </c>
      <c r="L21" s="91">
        <v>210.06</v>
      </c>
      <c r="M21" s="92">
        <f>(L21/L22)-1</f>
        <v>-6.3386944181645921E-3</v>
      </c>
      <c r="N21" s="90">
        <v>45902</v>
      </c>
      <c r="O21" s="91">
        <v>228.94</v>
      </c>
      <c r="P21" s="92">
        <f>(O21/O22)-1</f>
        <v>3.4102714666425893E-2</v>
      </c>
      <c r="Q21" s="90">
        <v>45902</v>
      </c>
      <c r="R21" s="91">
        <v>81.95</v>
      </c>
      <c r="S21" s="92">
        <f>(R21/R22)-1</f>
        <v>-0.30130445903316572</v>
      </c>
      <c r="T21" s="90">
        <v>45902</v>
      </c>
      <c r="U21" s="93">
        <v>6100.81</v>
      </c>
      <c r="V21" s="6">
        <f>(U21/U22)-1</f>
        <v>1.2416217086321124E-2</v>
      </c>
    </row>
    <row r="22" spans="1:22" ht="14.4">
      <c r="B22" s="90">
        <v>45690</v>
      </c>
      <c r="C22" s="91">
        <v>86.2</v>
      </c>
      <c r="D22" s="92">
        <f t="shared" ref="D22:D85" si="0">(C22/C23)-1</f>
        <v>4.3457208570391037E-2</v>
      </c>
      <c r="E22" s="90">
        <v>45690</v>
      </c>
      <c r="F22" s="91">
        <v>184.03</v>
      </c>
      <c r="G22" s="92">
        <f t="shared" ref="G22:G85" si="1">(F22/F23)-1</f>
        <v>1.3883532587736225E-2</v>
      </c>
      <c r="H22" s="90">
        <v>45690</v>
      </c>
      <c r="I22" s="91">
        <v>529.29</v>
      </c>
      <c r="J22" s="92">
        <f t="shared" ref="J22:J85" si="2">(I22/I23)-1</f>
        <v>-2.4943352430779608E-2</v>
      </c>
      <c r="K22" s="90">
        <v>45690</v>
      </c>
      <c r="L22" s="91">
        <v>211.4</v>
      </c>
      <c r="M22" s="92">
        <f t="shared" ref="M22:M85" si="3">(L22/L23)-1</f>
        <v>-5.8782036209734656E-3</v>
      </c>
      <c r="N22" s="90">
        <v>45690</v>
      </c>
      <c r="O22" s="91">
        <v>221.39</v>
      </c>
      <c r="P22" s="92">
        <f t="shared" ref="P22:P85" si="4">(O22/O23)-1</f>
        <v>2.9720930232558063E-2</v>
      </c>
      <c r="Q22" s="90">
        <v>45690</v>
      </c>
      <c r="R22" s="91">
        <v>117.29</v>
      </c>
      <c r="S22" s="92">
        <f t="shared" ref="S22:S85" si="5">(R22/R23)-1</f>
        <v>-1.1712167172227894E-2</v>
      </c>
      <c r="T22" s="90">
        <v>45690</v>
      </c>
      <c r="U22" s="93">
        <v>6025.99</v>
      </c>
      <c r="V22" s="6">
        <f t="shared" ref="V22:V85" si="6">(U22/U23)-1</f>
        <v>-2.4070735514929442E-3</v>
      </c>
    </row>
    <row r="23" spans="1:22" ht="14.4">
      <c r="B23" s="91" t="s">
        <v>169</v>
      </c>
      <c r="C23" s="91">
        <v>82.61</v>
      </c>
      <c r="D23" s="92">
        <f t="shared" si="0"/>
        <v>3.1980012492192511E-2</v>
      </c>
      <c r="E23" s="91" t="s">
        <v>169</v>
      </c>
      <c r="F23" s="91">
        <v>181.51</v>
      </c>
      <c r="G23" s="92">
        <f t="shared" si="1"/>
        <v>4.2441994027107688E-2</v>
      </c>
      <c r="H23" s="91" t="s">
        <v>169</v>
      </c>
      <c r="I23" s="91">
        <v>542.83000000000004</v>
      </c>
      <c r="J23" s="92">
        <f t="shared" si="2"/>
        <v>2.7056174673150135E-2</v>
      </c>
      <c r="K23" s="91" t="s">
        <v>169</v>
      </c>
      <c r="L23" s="91">
        <v>212.65</v>
      </c>
      <c r="M23" s="92">
        <f t="shared" si="3"/>
        <v>2.5808007718282733E-2</v>
      </c>
      <c r="N23" s="91" t="s">
        <v>169</v>
      </c>
      <c r="O23" s="91">
        <v>215</v>
      </c>
      <c r="P23" s="92">
        <f t="shared" si="4"/>
        <v>2.0262895648460066E-2</v>
      </c>
      <c r="Q23" s="91" t="s">
        <v>169</v>
      </c>
      <c r="R23" s="91">
        <v>118.68</v>
      </c>
      <c r="S23" s="92">
        <f t="shared" si="5"/>
        <v>-1.0670223407802437E-2</v>
      </c>
      <c r="T23" s="91" t="s">
        <v>169</v>
      </c>
      <c r="U23" s="93">
        <v>6040.53</v>
      </c>
      <c r="V23" s="6">
        <f t="shared" si="6"/>
        <v>-9.9504363047511202E-3</v>
      </c>
    </row>
    <row r="24" spans="1:22" ht="14.4">
      <c r="B24" s="91" t="s">
        <v>170</v>
      </c>
      <c r="C24" s="91">
        <v>80.05</v>
      </c>
      <c r="D24" s="92">
        <f t="shared" si="0"/>
        <v>2.8788073512401979E-2</v>
      </c>
      <c r="E24" s="91" t="s">
        <v>170</v>
      </c>
      <c r="F24" s="91">
        <v>174.12</v>
      </c>
      <c r="G24" s="92">
        <f t="shared" si="1"/>
        <v>1.9497628666783839E-2</v>
      </c>
      <c r="H24" s="91" t="s">
        <v>170</v>
      </c>
      <c r="I24" s="91">
        <v>528.53</v>
      </c>
      <c r="J24" s="92">
        <f t="shared" si="2"/>
        <v>2.4878805507077661E-2</v>
      </c>
      <c r="K24" s="91" t="s">
        <v>170</v>
      </c>
      <c r="L24" s="91">
        <v>207.3</v>
      </c>
      <c r="M24" s="92">
        <f t="shared" si="3"/>
        <v>3.1805285948932394E-2</v>
      </c>
      <c r="N24" s="91" t="s">
        <v>170</v>
      </c>
      <c r="O24" s="91">
        <v>210.73</v>
      </c>
      <c r="P24" s="92">
        <f t="shared" si="4"/>
        <v>4.8159450696165784E-3</v>
      </c>
      <c r="Q24" s="91" t="s">
        <v>170</v>
      </c>
      <c r="R24" s="91">
        <v>119.96</v>
      </c>
      <c r="S24" s="92">
        <f t="shared" si="5"/>
        <v>-3.5846326957080898E-2</v>
      </c>
      <c r="T24" s="91" t="s">
        <v>170</v>
      </c>
      <c r="U24" s="93">
        <v>6101.24</v>
      </c>
      <c r="V24" s="6">
        <f t="shared" si="6"/>
        <v>1.7439708104177942E-2</v>
      </c>
    </row>
    <row r="25" spans="1:22" ht="14.4">
      <c r="B25" s="90">
        <v>45992</v>
      </c>
      <c r="C25" s="91">
        <v>77.81</v>
      </c>
      <c r="D25" s="92">
        <f t="shared" si="0"/>
        <v>3.3058948486457851E-2</v>
      </c>
      <c r="E25" s="90">
        <v>45992</v>
      </c>
      <c r="F25" s="91">
        <v>170.79</v>
      </c>
      <c r="G25" s="92">
        <f t="shared" si="1"/>
        <v>5.1274159793179841E-2</v>
      </c>
      <c r="H25" s="90">
        <v>45992</v>
      </c>
      <c r="I25" s="91">
        <v>515.70000000000005</v>
      </c>
      <c r="J25" s="92">
        <f t="shared" si="2"/>
        <v>5.460122699386516E-2</v>
      </c>
      <c r="K25" s="90">
        <v>45992</v>
      </c>
      <c r="L25" s="91">
        <v>200.91</v>
      </c>
      <c r="M25" s="92">
        <f t="shared" si="3"/>
        <v>4.1740122368557397E-2</v>
      </c>
      <c r="N25" s="90">
        <v>45992</v>
      </c>
      <c r="O25" s="91">
        <v>209.72</v>
      </c>
      <c r="P25" s="92">
        <f t="shared" si="4"/>
        <v>1.274869615607499E-2</v>
      </c>
      <c r="Q25" s="90">
        <v>45992</v>
      </c>
      <c r="R25" s="91">
        <v>124.42</v>
      </c>
      <c r="S25" s="92">
        <f t="shared" si="5"/>
        <v>4.7306397306397407E-2</v>
      </c>
      <c r="T25" s="90">
        <v>45992</v>
      </c>
      <c r="U25" s="93">
        <v>5996.66</v>
      </c>
      <c r="V25" s="6">
        <f t="shared" si="6"/>
        <v>2.9109118866525785E-2</v>
      </c>
    </row>
    <row r="26" spans="1:22" ht="14.4">
      <c r="B26" s="90">
        <v>45778</v>
      </c>
      <c r="C26" s="91">
        <v>75.319999999999993</v>
      </c>
      <c r="D26" s="92">
        <f t="shared" si="0"/>
        <v>-1.3877978528410662E-2</v>
      </c>
      <c r="E26" s="90">
        <v>45778</v>
      </c>
      <c r="F26" s="91">
        <v>162.46</v>
      </c>
      <c r="G26" s="92">
        <f t="shared" si="1"/>
        <v>1.4794723215387773E-3</v>
      </c>
      <c r="H26" s="90">
        <v>45778</v>
      </c>
      <c r="I26" s="91">
        <v>489</v>
      </c>
      <c r="J26" s="92">
        <f t="shared" si="2"/>
        <v>6.2349527748626343E-3</v>
      </c>
      <c r="K26" s="90">
        <v>45778</v>
      </c>
      <c r="L26" s="91">
        <v>192.86</v>
      </c>
      <c r="M26" s="92">
        <f t="shared" si="3"/>
        <v>-3.7576725385498166E-2</v>
      </c>
      <c r="N26" s="90">
        <v>45778</v>
      </c>
      <c r="O26" s="91">
        <v>207.08</v>
      </c>
      <c r="P26" s="92">
        <f t="shared" si="4"/>
        <v>7.1004766073339276E-3</v>
      </c>
      <c r="Q26" s="90">
        <v>45778</v>
      </c>
      <c r="R26" s="91">
        <v>118.8</v>
      </c>
      <c r="S26" s="92">
        <f t="shared" si="5"/>
        <v>-2.4950755088640864E-2</v>
      </c>
      <c r="T26" s="90">
        <v>45778</v>
      </c>
      <c r="U26" s="93">
        <v>5827.04</v>
      </c>
      <c r="V26" s="6">
        <f t="shared" si="6"/>
        <v>-1.9424582707190829E-2</v>
      </c>
    </row>
    <row r="27" spans="1:22" ht="14.4">
      <c r="B27" s="91" t="s">
        <v>171</v>
      </c>
      <c r="C27" s="91">
        <v>76.38</v>
      </c>
      <c r="D27" s="92">
        <f t="shared" si="0"/>
        <v>-3.5606060606060752E-2</v>
      </c>
      <c r="E27" s="91" t="s">
        <v>171</v>
      </c>
      <c r="F27" s="91">
        <v>162.22</v>
      </c>
      <c r="G27" s="92">
        <f t="shared" si="1"/>
        <v>2.2502363693665206E-2</v>
      </c>
      <c r="H27" s="91" t="s">
        <v>171</v>
      </c>
      <c r="I27" s="91">
        <v>485.97</v>
      </c>
      <c r="J27" s="92">
        <f t="shared" si="2"/>
        <v>-2.033021192705653E-3</v>
      </c>
      <c r="K27" s="91" t="s">
        <v>171</v>
      </c>
      <c r="L27" s="91">
        <v>200.39</v>
      </c>
      <c r="M27" s="92">
        <f t="shared" si="3"/>
        <v>-1.5040550503809258E-2</v>
      </c>
      <c r="N27" s="91" t="s">
        <v>171</v>
      </c>
      <c r="O27" s="91">
        <v>205.62</v>
      </c>
      <c r="P27" s="92">
        <f t="shared" si="4"/>
        <v>8.1882814415299432E-3</v>
      </c>
      <c r="Q27" s="91" t="s">
        <v>171</v>
      </c>
      <c r="R27" s="91">
        <v>121.84</v>
      </c>
      <c r="S27" s="92">
        <f t="shared" si="5"/>
        <v>3.7070598896120632E-3</v>
      </c>
      <c r="T27" s="91" t="s">
        <v>171</v>
      </c>
      <c r="U27" s="93">
        <v>5942.47</v>
      </c>
      <c r="V27" s="6">
        <f t="shared" si="6"/>
        <v>-4.7514252600974194E-3</v>
      </c>
    </row>
    <row r="28" spans="1:22" ht="14.4">
      <c r="B28" s="91" t="s">
        <v>172</v>
      </c>
      <c r="C28" s="91">
        <v>79.2</v>
      </c>
      <c r="D28" s="92">
        <f t="shared" si="0"/>
        <v>-3.7864445285873405E-4</v>
      </c>
      <c r="E28" s="91" t="s">
        <v>172</v>
      </c>
      <c r="F28" s="91">
        <v>158.65</v>
      </c>
      <c r="G28" s="92">
        <f t="shared" si="1"/>
        <v>-4.5943833062721651E-2</v>
      </c>
      <c r="H28" s="91" t="s">
        <v>172</v>
      </c>
      <c r="I28" s="91">
        <v>486.96</v>
      </c>
      <c r="J28" s="92">
        <f t="shared" si="2"/>
        <v>-8.7328244274809119E-3</v>
      </c>
      <c r="K28" s="91" t="s">
        <v>172</v>
      </c>
      <c r="L28" s="91">
        <v>203.45</v>
      </c>
      <c r="M28" s="92">
        <f t="shared" si="3"/>
        <v>-9.5418918261038765E-3</v>
      </c>
      <c r="N28" s="91" t="s">
        <v>172</v>
      </c>
      <c r="O28" s="91">
        <v>203.95</v>
      </c>
      <c r="P28" s="92">
        <f t="shared" si="4"/>
        <v>2.569905451619392E-2</v>
      </c>
      <c r="Q28" s="91" t="s">
        <v>172</v>
      </c>
      <c r="R28" s="91">
        <v>121.39</v>
      </c>
      <c r="S28" s="92">
        <f t="shared" si="5"/>
        <v>-2.8957683385329225E-2</v>
      </c>
      <c r="T28" s="91" t="s">
        <v>172</v>
      </c>
      <c r="U28" s="93">
        <v>5970.84</v>
      </c>
      <c r="V28" s="6">
        <f t="shared" si="6"/>
        <v>6.7427097296339777E-3</v>
      </c>
    </row>
    <row r="29" spans="1:22" ht="14.4">
      <c r="B29" s="91" t="s">
        <v>173</v>
      </c>
      <c r="C29" s="91">
        <v>79.23</v>
      </c>
      <c r="D29" s="92">
        <f t="shared" si="0"/>
        <v>-1.0367224581563805E-2</v>
      </c>
      <c r="E29" s="91" t="s">
        <v>173</v>
      </c>
      <c r="F29" s="91">
        <v>166.29</v>
      </c>
      <c r="G29" s="92">
        <f t="shared" si="1"/>
        <v>-8.2304526748970819E-3</v>
      </c>
      <c r="H29" s="91" t="s">
        <v>173</v>
      </c>
      <c r="I29" s="91">
        <v>491.25</v>
      </c>
      <c r="J29" s="92">
        <f t="shared" si="2"/>
        <v>-3.3847303622703828E-2</v>
      </c>
      <c r="K29" s="91" t="s">
        <v>173</v>
      </c>
      <c r="L29" s="91">
        <v>205.41</v>
      </c>
      <c r="M29" s="92">
        <f t="shared" si="3"/>
        <v>-6.6253989747557807E-3</v>
      </c>
      <c r="N29" s="91" t="s">
        <v>173</v>
      </c>
      <c r="O29" s="91">
        <v>198.84</v>
      </c>
      <c r="P29" s="92">
        <f t="shared" si="4"/>
        <v>7.2948328267476992E-3</v>
      </c>
      <c r="Q29" s="91" t="s">
        <v>173</v>
      </c>
      <c r="R29" s="91">
        <v>125.01</v>
      </c>
      <c r="S29" s="92">
        <f t="shared" si="5"/>
        <v>-5.5958314454009894E-2</v>
      </c>
      <c r="T29" s="91" t="s">
        <v>173</v>
      </c>
      <c r="U29" s="93">
        <v>5930.85</v>
      </c>
      <c r="V29" s="6">
        <f t="shared" si="6"/>
        <v>-1.9870800136834843E-2</v>
      </c>
    </row>
    <row r="30" spans="1:22" ht="14.4">
      <c r="B30" s="90">
        <v>45516</v>
      </c>
      <c r="C30" s="91">
        <v>80.06</v>
      </c>
      <c r="D30" s="92">
        <f t="shared" si="0"/>
        <v>-1.3310327828444657E-2</v>
      </c>
      <c r="E30" s="90">
        <v>45516</v>
      </c>
      <c r="F30" s="91">
        <v>167.67</v>
      </c>
      <c r="G30" s="92">
        <f t="shared" si="1"/>
        <v>-8.6963624482683466E-2</v>
      </c>
      <c r="H30" s="90">
        <v>45516</v>
      </c>
      <c r="I30" s="91">
        <v>508.46</v>
      </c>
      <c r="J30" s="92">
        <f t="shared" si="2"/>
        <v>-1.7221717532906911E-2</v>
      </c>
      <c r="K30" s="90">
        <v>45516</v>
      </c>
      <c r="L30" s="91">
        <v>206.78</v>
      </c>
      <c r="M30" s="92">
        <f t="shared" si="3"/>
        <v>1.0650658404338653E-3</v>
      </c>
      <c r="N30" s="90">
        <v>45516</v>
      </c>
      <c r="O30" s="91">
        <v>197.4</v>
      </c>
      <c r="P30" s="92">
        <f t="shared" si="4"/>
        <v>3.2750863241603145E-2</v>
      </c>
      <c r="Q30" s="90">
        <v>45516</v>
      </c>
      <c r="R30" s="91">
        <v>132.41999999999999</v>
      </c>
      <c r="S30" s="92">
        <f t="shared" si="5"/>
        <v>-4.8091438430019617E-2</v>
      </c>
      <c r="T30" s="90">
        <v>45516</v>
      </c>
      <c r="U30" s="93">
        <v>6051.09</v>
      </c>
      <c r="V30" s="6">
        <f t="shared" si="6"/>
        <v>-6.4332123206360947E-3</v>
      </c>
    </row>
    <row r="31" spans="1:22" ht="14.4">
      <c r="B31" s="90">
        <v>45303</v>
      </c>
      <c r="C31" s="91">
        <v>81.14</v>
      </c>
      <c r="D31" s="92">
        <f t="shared" si="0"/>
        <v>8.0755373338303738E-3</v>
      </c>
      <c r="E31" s="90">
        <v>45303</v>
      </c>
      <c r="F31" s="91">
        <v>183.64</v>
      </c>
      <c r="G31" s="92">
        <f t="shared" si="1"/>
        <v>5.0572082379862549E-2</v>
      </c>
      <c r="H31" s="90">
        <v>45303</v>
      </c>
      <c r="I31" s="91">
        <v>517.37</v>
      </c>
      <c r="J31" s="92">
        <f t="shared" si="2"/>
        <v>-1.0812271928637429E-3</v>
      </c>
      <c r="K31" s="90">
        <v>45303</v>
      </c>
      <c r="L31" s="91">
        <v>206.56</v>
      </c>
      <c r="M31" s="92">
        <f t="shared" si="3"/>
        <v>4.5502859745912838E-2</v>
      </c>
      <c r="N31" s="90">
        <v>45303</v>
      </c>
      <c r="O31" s="91">
        <v>191.14</v>
      </c>
      <c r="P31" s="92">
        <f t="shared" si="4"/>
        <v>2.1156106421626131E-2</v>
      </c>
      <c r="Q31" s="90">
        <v>45303</v>
      </c>
      <c r="R31" s="91">
        <v>139.11000000000001</v>
      </c>
      <c r="S31" s="92">
        <f t="shared" si="5"/>
        <v>8.2147024504084065E-2</v>
      </c>
      <c r="T31" s="90">
        <v>45303</v>
      </c>
      <c r="U31" s="93">
        <v>6090.27</v>
      </c>
      <c r="V31" s="6">
        <f t="shared" si="6"/>
        <v>9.5965439842982114E-3</v>
      </c>
    </row>
    <row r="32" spans="1:22" ht="14.4">
      <c r="B32" s="91" t="s">
        <v>174</v>
      </c>
      <c r="C32" s="91">
        <v>80.489999999999995</v>
      </c>
      <c r="D32" s="92">
        <f t="shared" si="0"/>
        <v>1.1943676137792236E-2</v>
      </c>
      <c r="E32" s="91" t="s">
        <v>174</v>
      </c>
      <c r="F32" s="91">
        <v>174.8</v>
      </c>
      <c r="G32" s="92">
        <f t="shared" si="1"/>
        <v>4.3956043956044022E-2</v>
      </c>
      <c r="H32" s="91" t="s">
        <v>174</v>
      </c>
      <c r="I32" s="91">
        <v>517.92999999999995</v>
      </c>
      <c r="J32" s="92">
        <f t="shared" si="2"/>
        <v>-3.5591981222825586E-3</v>
      </c>
      <c r="K32" s="91" t="s">
        <v>174</v>
      </c>
      <c r="L32" s="91">
        <v>197.57</v>
      </c>
      <c r="M32" s="92">
        <f t="shared" si="3"/>
        <v>6.213394448688625E-3</v>
      </c>
      <c r="N32" s="91" t="s">
        <v>174</v>
      </c>
      <c r="O32" s="91">
        <v>187.18</v>
      </c>
      <c r="P32" s="92">
        <f t="shared" si="4"/>
        <v>3.5459423576921001E-2</v>
      </c>
      <c r="Q32" s="91" t="s">
        <v>174</v>
      </c>
      <c r="R32" s="91">
        <v>128.55000000000001</v>
      </c>
      <c r="S32" s="92">
        <f t="shared" si="5"/>
        <v>-8.8666152659983011E-3</v>
      </c>
      <c r="T32" s="91" t="s">
        <v>174</v>
      </c>
      <c r="U32" s="93">
        <v>6032.38</v>
      </c>
      <c r="V32" s="6">
        <f t="shared" si="6"/>
        <v>1.0560631493598871E-2</v>
      </c>
    </row>
    <row r="33" spans="2:22" ht="14.4">
      <c r="B33" s="91" t="s">
        <v>175</v>
      </c>
      <c r="C33" s="91">
        <v>79.540000000000006</v>
      </c>
      <c r="D33" s="92">
        <f t="shared" si="0"/>
        <v>3.1513422383607992E-2</v>
      </c>
      <c r="E33" s="91" t="s">
        <v>175</v>
      </c>
      <c r="F33" s="91">
        <v>167.44</v>
      </c>
      <c r="G33" s="92">
        <f t="shared" si="1"/>
        <v>0.32931089234677691</v>
      </c>
      <c r="H33" s="91" t="s">
        <v>175</v>
      </c>
      <c r="I33" s="91">
        <v>519.78</v>
      </c>
      <c r="J33" s="92">
        <f t="shared" si="2"/>
        <v>-5.890678193015364E-3</v>
      </c>
      <c r="K33" s="91" t="s">
        <v>175</v>
      </c>
      <c r="L33" s="91">
        <v>196.35</v>
      </c>
      <c r="M33" s="92">
        <f t="shared" si="3"/>
        <v>7.3420074349442421E-2</v>
      </c>
      <c r="N33" s="91" t="s">
        <v>175</v>
      </c>
      <c r="O33" s="91">
        <v>180.77</v>
      </c>
      <c r="P33" s="92">
        <f t="shared" si="4"/>
        <v>-6.0813799203884855E-4</v>
      </c>
      <c r="Q33" s="91" t="s">
        <v>175</v>
      </c>
      <c r="R33" s="91">
        <v>129.69999999999999</v>
      </c>
      <c r="S33" s="92">
        <f t="shared" si="5"/>
        <v>9.7757088446889462E-2</v>
      </c>
      <c r="T33" s="91" t="s">
        <v>175</v>
      </c>
      <c r="U33" s="93">
        <v>5969.34</v>
      </c>
      <c r="V33" s="6">
        <f t="shared" si="6"/>
        <v>1.6815941076070429E-2</v>
      </c>
    </row>
    <row r="34" spans="2:22" ht="14.4">
      <c r="B34" s="90">
        <v>45576</v>
      </c>
      <c r="C34" s="91">
        <v>77.11</v>
      </c>
      <c r="D34" s="92">
        <f t="shared" si="0"/>
        <v>-3.9845598306562091E-2</v>
      </c>
      <c r="E34" s="90">
        <v>45576</v>
      </c>
      <c r="F34" s="91">
        <v>125.96</v>
      </c>
      <c r="G34" s="92">
        <f t="shared" si="1"/>
        <v>4.1938952766978232E-2</v>
      </c>
      <c r="H34" s="90">
        <v>45576</v>
      </c>
      <c r="I34" s="91">
        <v>522.86</v>
      </c>
      <c r="J34" s="92">
        <f t="shared" si="2"/>
        <v>-4.4830105955425581E-2</v>
      </c>
      <c r="K34" s="90">
        <v>45576</v>
      </c>
      <c r="L34" s="91">
        <v>182.92</v>
      </c>
      <c r="M34" s="92">
        <f t="shared" si="3"/>
        <v>2.8565002249212768E-2</v>
      </c>
      <c r="N34" s="90">
        <v>45576</v>
      </c>
      <c r="O34" s="91">
        <v>180.88</v>
      </c>
      <c r="P34" s="92">
        <f t="shared" si="4"/>
        <v>-1.4600130747439599E-2</v>
      </c>
      <c r="Q34" s="90">
        <v>45576</v>
      </c>
      <c r="R34" s="91">
        <v>118.15</v>
      </c>
      <c r="S34" s="92">
        <f t="shared" si="5"/>
        <v>-5.5781986733796751E-2</v>
      </c>
      <c r="T34" s="90">
        <v>45576</v>
      </c>
      <c r="U34" s="93">
        <v>5870.62</v>
      </c>
      <c r="V34" s="6">
        <f t="shared" si="6"/>
        <v>-2.0835487712532963E-2</v>
      </c>
    </row>
    <row r="35" spans="2:22" ht="14.4">
      <c r="B35" s="90">
        <v>45362</v>
      </c>
      <c r="C35" s="91">
        <v>80.31</v>
      </c>
      <c r="D35" s="92">
        <f t="shared" si="0"/>
        <v>7.6397265782066848E-2</v>
      </c>
      <c r="E35" s="90">
        <v>45362</v>
      </c>
      <c r="F35" s="91">
        <v>120.89</v>
      </c>
      <c r="G35" s="92">
        <f t="shared" si="1"/>
        <v>4.6757295003896582E-2</v>
      </c>
      <c r="H35" s="90">
        <v>45362</v>
      </c>
      <c r="I35" s="91">
        <v>547.4</v>
      </c>
      <c r="J35" s="92">
        <f t="shared" si="2"/>
        <v>8.677956679703791E-2</v>
      </c>
      <c r="K35" s="90">
        <v>45362</v>
      </c>
      <c r="L35" s="91">
        <v>177.84</v>
      </c>
      <c r="M35" s="92">
        <f t="shared" si="3"/>
        <v>8.8638589618021513E-2</v>
      </c>
      <c r="N35" s="90">
        <v>45362</v>
      </c>
      <c r="O35" s="91">
        <v>183.56</v>
      </c>
      <c r="P35" s="92">
        <f t="shared" si="4"/>
        <v>3.8940457323975552E-2</v>
      </c>
      <c r="Q35" s="90">
        <v>45362</v>
      </c>
      <c r="R35" s="91">
        <v>125.13</v>
      </c>
      <c r="S35" s="92">
        <f t="shared" si="5"/>
        <v>4.9836395670777689E-2</v>
      </c>
      <c r="T35" s="90">
        <v>45362</v>
      </c>
      <c r="U35" s="93">
        <v>5995.54</v>
      </c>
      <c r="V35" s="6">
        <f t="shared" si="6"/>
        <v>4.6561234464460144E-2</v>
      </c>
    </row>
    <row r="36" spans="2:22" ht="14.4">
      <c r="B36" s="91" t="s">
        <v>176</v>
      </c>
      <c r="C36" s="91">
        <v>74.61</v>
      </c>
      <c r="D36" s="92">
        <f t="shared" si="0"/>
        <v>-2.8067361668002722E-3</v>
      </c>
      <c r="E36" s="91" t="s">
        <v>176</v>
      </c>
      <c r="F36" s="91">
        <v>115.49</v>
      </c>
      <c r="G36" s="92">
        <f t="shared" si="1"/>
        <v>-4.7397449155464066E-3</v>
      </c>
      <c r="H36" s="91" t="s">
        <v>176</v>
      </c>
      <c r="I36" s="91">
        <v>503.69</v>
      </c>
      <c r="J36" s="92">
        <f t="shared" si="2"/>
        <v>-1.8836683808633348E-2</v>
      </c>
      <c r="K36" s="91" t="s">
        <v>176</v>
      </c>
      <c r="L36" s="91">
        <v>163.36000000000001</v>
      </c>
      <c r="M36" s="92">
        <f t="shared" si="3"/>
        <v>1.7629103594343887E-2</v>
      </c>
      <c r="N36" s="91" t="s">
        <v>176</v>
      </c>
      <c r="O36" s="91">
        <v>176.68</v>
      </c>
      <c r="P36" s="92">
        <f t="shared" si="4"/>
        <v>-2.5267571444334003E-2</v>
      </c>
      <c r="Q36" s="91" t="s">
        <v>176</v>
      </c>
      <c r="R36" s="91">
        <v>119.19</v>
      </c>
      <c r="S36" s="92">
        <f t="shared" si="5"/>
        <v>-2.3436846070142847E-3</v>
      </c>
      <c r="T36" s="91" t="s">
        <v>176</v>
      </c>
      <c r="U36" s="93">
        <v>5728.8</v>
      </c>
      <c r="V36" s="6">
        <f t="shared" si="6"/>
        <v>-1.3656742629284513E-2</v>
      </c>
    </row>
    <row r="37" spans="2:22" ht="14.4">
      <c r="B37" s="91" t="s">
        <v>177</v>
      </c>
      <c r="C37" s="91">
        <v>74.819999999999993</v>
      </c>
      <c r="D37" s="92">
        <f t="shared" si="0"/>
        <v>-4.0769230769230891E-2</v>
      </c>
      <c r="E37" s="91" t="s">
        <v>177</v>
      </c>
      <c r="F37" s="91">
        <v>116.04</v>
      </c>
      <c r="G37" s="92">
        <f t="shared" si="1"/>
        <v>-2.9278902459427769E-2</v>
      </c>
      <c r="H37" s="91" t="s">
        <v>177</v>
      </c>
      <c r="I37" s="91">
        <v>513.36</v>
      </c>
      <c r="J37" s="92">
        <f t="shared" si="2"/>
        <v>-3.3384172174207749E-2</v>
      </c>
      <c r="K37" s="91" t="s">
        <v>177</v>
      </c>
      <c r="L37" s="91">
        <v>160.53</v>
      </c>
      <c r="M37" s="92">
        <f t="shared" si="3"/>
        <v>-2.5318761384335087E-2</v>
      </c>
      <c r="N37" s="91" t="s">
        <v>177</v>
      </c>
      <c r="O37" s="91">
        <v>181.26</v>
      </c>
      <c r="P37" s="92">
        <f t="shared" si="4"/>
        <v>-3.4412955465587092E-2</v>
      </c>
      <c r="Q37" s="91" t="s">
        <v>177</v>
      </c>
      <c r="R37" s="91">
        <v>119.47</v>
      </c>
      <c r="S37" s="92">
        <f t="shared" si="5"/>
        <v>5.9784439205119444E-3</v>
      </c>
      <c r="T37" s="91" t="s">
        <v>177</v>
      </c>
      <c r="U37" s="93">
        <v>5808.12</v>
      </c>
      <c r="V37" s="6">
        <f t="shared" si="6"/>
        <v>-9.6424862780003506E-3</v>
      </c>
    </row>
    <row r="38" spans="2:22" ht="14.4">
      <c r="B38" s="91" t="s">
        <v>178</v>
      </c>
      <c r="C38" s="91">
        <v>78</v>
      </c>
      <c r="D38" s="92">
        <f t="shared" si="0"/>
        <v>2.7126678957071437E-2</v>
      </c>
      <c r="E38" s="91" t="s">
        <v>178</v>
      </c>
      <c r="F38" s="91">
        <v>119.54</v>
      </c>
      <c r="G38" s="92">
        <f t="shared" si="1"/>
        <v>-3.6200919132467924E-2</v>
      </c>
      <c r="H38" s="91" t="s">
        <v>178</v>
      </c>
      <c r="I38" s="91">
        <v>531.09</v>
      </c>
      <c r="J38" s="92">
        <f t="shared" si="2"/>
        <v>1.8936341659951728E-2</v>
      </c>
      <c r="K38" s="91" t="s">
        <v>178</v>
      </c>
      <c r="L38" s="91">
        <v>164.7</v>
      </c>
      <c r="M38" s="92">
        <f t="shared" si="3"/>
        <v>9.6242260773615751E-3</v>
      </c>
      <c r="N38" s="91" t="s">
        <v>178</v>
      </c>
      <c r="O38" s="91">
        <v>187.72</v>
      </c>
      <c r="P38" s="92">
        <f t="shared" si="4"/>
        <v>-2.0202020202020332E-3</v>
      </c>
      <c r="Q38" s="91" t="s">
        <v>178</v>
      </c>
      <c r="R38" s="91">
        <v>118.76</v>
      </c>
      <c r="S38" s="92">
        <f t="shared" si="5"/>
        <v>7.2943172179813498E-3</v>
      </c>
      <c r="T38" s="91" t="s">
        <v>178</v>
      </c>
      <c r="U38" s="93">
        <v>5864.67</v>
      </c>
      <c r="V38" s="6">
        <f t="shared" si="6"/>
        <v>8.5364993817744761E-3</v>
      </c>
    </row>
    <row r="39" spans="2:22" ht="14.4">
      <c r="B39" s="90">
        <v>45453</v>
      </c>
      <c r="C39" s="91">
        <v>75.94</v>
      </c>
      <c r="D39" s="92">
        <f t="shared" si="0"/>
        <v>-1.5556131708581833E-2</v>
      </c>
      <c r="E39" s="90">
        <v>45453</v>
      </c>
      <c r="F39" s="91">
        <v>124.03</v>
      </c>
      <c r="G39" s="92">
        <f t="shared" si="1"/>
        <v>8.1154114365411534E-2</v>
      </c>
      <c r="H39" s="90">
        <v>45453</v>
      </c>
      <c r="I39" s="91">
        <v>521.22</v>
      </c>
      <c r="J39" s="92">
        <f t="shared" si="2"/>
        <v>1.4619143096299414E-2</v>
      </c>
      <c r="K39" s="90">
        <v>45453</v>
      </c>
      <c r="L39" s="91">
        <v>163.13</v>
      </c>
      <c r="M39" s="92">
        <f t="shared" si="3"/>
        <v>4.3497729162668586E-2</v>
      </c>
      <c r="N39" s="90">
        <v>45453</v>
      </c>
      <c r="O39" s="91">
        <v>188.1</v>
      </c>
      <c r="P39" s="92">
        <f t="shared" si="4"/>
        <v>6.4205457463883953E-3</v>
      </c>
      <c r="Q39" s="90">
        <v>45453</v>
      </c>
      <c r="R39" s="91">
        <v>117.9</v>
      </c>
      <c r="S39" s="92">
        <f t="shared" si="5"/>
        <v>4.3362831858407169E-2</v>
      </c>
      <c r="T39" s="90">
        <v>45453</v>
      </c>
      <c r="U39" s="93">
        <v>5815.03</v>
      </c>
      <c r="V39" s="6">
        <f t="shared" si="6"/>
        <v>1.1121408711770142E-2</v>
      </c>
    </row>
    <row r="40" spans="2:22" ht="14.4">
      <c r="B40" s="91" t="s">
        <v>179</v>
      </c>
      <c r="C40" s="91">
        <v>77.14</v>
      </c>
      <c r="D40" s="92">
        <f t="shared" si="0"/>
        <v>3.2513981011834669E-3</v>
      </c>
      <c r="E40" s="91" t="s">
        <v>179</v>
      </c>
      <c r="F40" s="91">
        <v>114.72</v>
      </c>
      <c r="G40" s="92">
        <f t="shared" si="1"/>
        <v>7.0224719101124045E-3</v>
      </c>
      <c r="H40" s="91" t="s">
        <v>179</v>
      </c>
      <c r="I40" s="91">
        <v>513.71</v>
      </c>
      <c r="J40" s="92">
        <f t="shared" si="2"/>
        <v>9.3724211105434829E-3</v>
      </c>
      <c r="K40" s="91" t="s">
        <v>179</v>
      </c>
      <c r="L40" s="91">
        <v>156.33000000000001</v>
      </c>
      <c r="M40" s="92">
        <f t="shared" si="3"/>
        <v>2.1153846153847411E-3</v>
      </c>
      <c r="N40" s="91" t="s">
        <v>179</v>
      </c>
      <c r="O40" s="91">
        <v>186.9</v>
      </c>
      <c r="P40" s="92">
        <f t="shared" si="4"/>
        <v>-1.961812840956767E-2</v>
      </c>
      <c r="Q40" s="91" t="s">
        <v>179</v>
      </c>
      <c r="R40" s="91">
        <v>113</v>
      </c>
      <c r="S40" s="92">
        <f t="shared" si="5"/>
        <v>3.2434901781635439E-2</v>
      </c>
      <c r="T40" s="91" t="s">
        <v>179</v>
      </c>
      <c r="U40" s="93">
        <v>5751.07</v>
      </c>
      <c r="V40" s="6">
        <f t="shared" si="6"/>
        <v>2.2481034894399343E-3</v>
      </c>
    </row>
    <row r="41" spans="2:22" ht="14.4">
      <c r="B41" s="91" t="s">
        <v>180</v>
      </c>
      <c r="C41" s="91">
        <v>76.89</v>
      </c>
      <c r="D41" s="92">
        <f t="shared" si="0"/>
        <v>1.6525647805393895E-2</v>
      </c>
      <c r="E41" s="91" t="s">
        <v>180</v>
      </c>
      <c r="F41" s="91">
        <v>113.92</v>
      </c>
      <c r="G41" s="92">
        <f t="shared" si="1"/>
        <v>3.3100571324929717E-2</v>
      </c>
      <c r="H41" s="91" t="s">
        <v>180</v>
      </c>
      <c r="I41" s="91">
        <v>508.94</v>
      </c>
      <c r="J41" s="92">
        <f t="shared" si="2"/>
        <v>-9.0539146011410221E-3</v>
      </c>
      <c r="K41" s="91" t="s">
        <v>180</v>
      </c>
      <c r="L41" s="91">
        <v>156</v>
      </c>
      <c r="M41" s="92">
        <f t="shared" si="3"/>
        <v>-2.8340080971659964E-2</v>
      </c>
      <c r="N41" s="91" t="s">
        <v>180</v>
      </c>
      <c r="O41" s="91">
        <v>190.64</v>
      </c>
      <c r="P41" s="92">
        <f t="shared" si="4"/>
        <v>5.1981017547731989E-2</v>
      </c>
      <c r="Q41" s="91" t="s">
        <v>180</v>
      </c>
      <c r="R41" s="91">
        <v>109.45</v>
      </c>
      <c r="S41" s="92">
        <f t="shared" si="5"/>
        <v>-5.4789516939091065E-4</v>
      </c>
      <c r="T41" s="91" t="s">
        <v>180</v>
      </c>
      <c r="U41" s="93">
        <v>5738.17</v>
      </c>
      <c r="V41" s="6">
        <f t="shared" si="6"/>
        <v>6.2463283969451666E-3</v>
      </c>
    </row>
    <row r="42" spans="2:22" ht="14.4">
      <c r="B42" s="91" t="s">
        <v>181</v>
      </c>
      <c r="C42" s="91">
        <v>75.64</v>
      </c>
      <c r="D42" s="92">
        <f t="shared" si="0"/>
        <v>-2.0334153607045602E-2</v>
      </c>
      <c r="E42" s="91" t="s">
        <v>181</v>
      </c>
      <c r="F42" s="91">
        <v>110.27</v>
      </c>
      <c r="G42" s="92">
        <f t="shared" si="1"/>
        <v>-2.9911146300695024E-2</v>
      </c>
      <c r="H42" s="91" t="s">
        <v>181</v>
      </c>
      <c r="I42" s="91">
        <v>513.59</v>
      </c>
      <c r="J42" s="92">
        <f t="shared" si="2"/>
        <v>5.9346599811971323E-3</v>
      </c>
      <c r="K42" s="91" t="s">
        <v>181</v>
      </c>
      <c r="L42" s="91">
        <v>160.55000000000001</v>
      </c>
      <c r="M42" s="92">
        <f t="shared" si="3"/>
        <v>5.4307853953244001E-2</v>
      </c>
      <c r="N42" s="91" t="s">
        <v>181</v>
      </c>
      <c r="O42" s="91">
        <v>181.22</v>
      </c>
      <c r="P42" s="92">
        <f t="shared" si="4"/>
        <v>-8.6975548383567691E-3</v>
      </c>
      <c r="Q42" s="91" t="s">
        <v>181</v>
      </c>
      <c r="R42" s="91">
        <v>109.51</v>
      </c>
      <c r="S42" s="92">
        <f t="shared" si="5"/>
        <v>3.252875730718463E-2</v>
      </c>
      <c r="T42" s="91" t="s">
        <v>181</v>
      </c>
      <c r="U42" s="93">
        <v>5702.55</v>
      </c>
      <c r="V42" s="6">
        <f t="shared" si="6"/>
        <v>1.3602866680175296E-2</v>
      </c>
    </row>
    <row r="43" spans="2:22" ht="14.4">
      <c r="B43" s="90">
        <v>45513</v>
      </c>
      <c r="C43" s="91">
        <v>77.209999999999994</v>
      </c>
      <c r="D43" s="92">
        <f t="shared" si="0"/>
        <v>1.8064345991561037E-2</v>
      </c>
      <c r="E43" s="90">
        <v>45513</v>
      </c>
      <c r="F43" s="91">
        <v>113.67</v>
      </c>
      <c r="G43" s="92">
        <f t="shared" si="1"/>
        <v>4.7070744288872479E-2</v>
      </c>
      <c r="H43" s="90">
        <v>45513</v>
      </c>
      <c r="I43" s="91">
        <v>510.56</v>
      </c>
      <c r="J43" s="92">
        <f t="shared" si="2"/>
        <v>5.557393317896131E-2</v>
      </c>
      <c r="K43" s="90">
        <v>45513</v>
      </c>
      <c r="L43" s="91">
        <v>152.28</v>
      </c>
      <c r="M43" s="92">
        <f t="shared" si="3"/>
        <v>1.5200000000000102E-2</v>
      </c>
      <c r="N43" s="90">
        <v>45513</v>
      </c>
      <c r="O43" s="91">
        <v>182.81</v>
      </c>
      <c r="P43" s="92">
        <f t="shared" si="4"/>
        <v>5.3343598768147427E-3</v>
      </c>
      <c r="Q43" s="90">
        <v>45513</v>
      </c>
      <c r="R43" s="91">
        <v>106.06</v>
      </c>
      <c r="S43" s="92">
        <f t="shared" si="5"/>
        <v>5.7322300867311382E-2</v>
      </c>
      <c r="T43" s="90">
        <v>45513</v>
      </c>
      <c r="U43" s="93">
        <v>5626.02</v>
      </c>
      <c r="V43" s="6">
        <f t="shared" si="6"/>
        <v>4.0233561742616164E-2</v>
      </c>
    </row>
    <row r="44" spans="2:22" ht="14.4">
      <c r="B44" s="90">
        <v>45300</v>
      </c>
      <c r="C44" s="91">
        <v>75.84</v>
      </c>
      <c r="D44" s="92">
        <f t="shared" si="0"/>
        <v>-2.4816767391024674E-2</v>
      </c>
      <c r="E44" s="90">
        <v>45300</v>
      </c>
      <c r="F44" s="91">
        <v>108.56</v>
      </c>
      <c r="G44" s="92">
        <f t="shared" si="1"/>
        <v>-4.9636697890221515E-2</v>
      </c>
      <c r="H44" s="90">
        <v>45300</v>
      </c>
      <c r="I44" s="91">
        <v>483.68</v>
      </c>
      <c r="J44" s="92">
        <f t="shared" si="2"/>
        <v>-1.6830636637124918E-2</v>
      </c>
      <c r="K44" s="90">
        <v>45300</v>
      </c>
      <c r="L44" s="91">
        <v>150</v>
      </c>
      <c r="M44" s="92">
        <f t="shared" si="3"/>
        <v>-0.10399617705035535</v>
      </c>
      <c r="N44" s="90">
        <v>45300</v>
      </c>
      <c r="O44" s="91">
        <v>181.84</v>
      </c>
      <c r="P44" s="92">
        <f t="shared" si="4"/>
        <v>-1.1201740076128397E-2</v>
      </c>
      <c r="Q44" s="90">
        <v>45300</v>
      </c>
      <c r="R44" s="91">
        <v>100.31</v>
      </c>
      <c r="S44" s="92">
        <f t="shared" si="5"/>
        <v>-4.0371185305653867E-2</v>
      </c>
      <c r="T44" s="90">
        <v>45300</v>
      </c>
      <c r="U44" s="93">
        <v>5408.42</v>
      </c>
      <c r="V44" s="6">
        <f t="shared" si="6"/>
        <v>-4.2486367820975812E-2</v>
      </c>
    </row>
    <row r="45" spans="2:22" ht="14.4">
      <c r="B45" s="91" t="s">
        <v>182</v>
      </c>
      <c r="C45" s="91">
        <v>77.77</v>
      </c>
      <c r="D45" s="92">
        <f t="shared" si="0"/>
        <v>1.4214919144496463E-2</v>
      </c>
      <c r="E45" s="91" t="s">
        <v>182</v>
      </c>
      <c r="F45" s="91">
        <v>114.23</v>
      </c>
      <c r="G45" s="92">
        <f t="shared" si="1"/>
        <v>-1.4068703607802435E-2</v>
      </c>
      <c r="H45" s="91" t="s">
        <v>182</v>
      </c>
      <c r="I45" s="91">
        <v>491.96</v>
      </c>
      <c r="J45" s="92">
        <f t="shared" si="2"/>
        <v>2.3083641808426592E-2</v>
      </c>
      <c r="K45" s="91" t="s">
        <v>182</v>
      </c>
      <c r="L45" s="91">
        <v>167.41</v>
      </c>
      <c r="M45" s="92">
        <f t="shared" si="3"/>
        <v>3.053247152970151E-2</v>
      </c>
      <c r="N45" s="91" t="s">
        <v>182</v>
      </c>
      <c r="O45" s="91">
        <v>183.9</v>
      </c>
      <c r="P45" s="92">
        <f t="shared" si="4"/>
        <v>2.5540932411331818E-2</v>
      </c>
      <c r="Q45" s="91" t="s">
        <v>182</v>
      </c>
      <c r="R45" s="91">
        <v>104.53</v>
      </c>
      <c r="S45" s="92">
        <f t="shared" si="5"/>
        <v>-4.4761904761904114E-3</v>
      </c>
      <c r="T45" s="91" t="s">
        <v>182</v>
      </c>
      <c r="U45" s="93">
        <v>5648.4</v>
      </c>
      <c r="V45" s="6">
        <f t="shared" si="6"/>
        <v>2.4473743524395797E-3</v>
      </c>
    </row>
    <row r="46" spans="2:22" ht="14.4">
      <c r="B46" s="91" t="s">
        <v>183</v>
      </c>
      <c r="C46" s="91">
        <v>76.680000000000007</v>
      </c>
      <c r="D46" s="92">
        <f t="shared" si="0"/>
        <v>1.080938571051937E-2</v>
      </c>
      <c r="E46" s="91" t="s">
        <v>183</v>
      </c>
      <c r="F46" s="91">
        <v>115.86</v>
      </c>
      <c r="G46" s="92">
        <f t="shared" si="1"/>
        <v>-9.5126522961574422E-2</v>
      </c>
      <c r="H46" s="91" t="s">
        <v>183</v>
      </c>
      <c r="I46" s="91">
        <v>480.86</v>
      </c>
      <c r="J46" s="92">
        <f t="shared" si="2"/>
        <v>-3.8118914439609908E-3</v>
      </c>
      <c r="K46" s="91" t="s">
        <v>183</v>
      </c>
      <c r="L46" s="91">
        <v>162.44999999999999</v>
      </c>
      <c r="M46" s="92">
        <f t="shared" si="3"/>
        <v>-7.0293398533007867E-3</v>
      </c>
      <c r="N46" s="91" t="s">
        <v>183</v>
      </c>
      <c r="O46" s="91">
        <v>179.32</v>
      </c>
      <c r="P46" s="92">
        <f t="shared" si="4"/>
        <v>-3.0023351495608308E-3</v>
      </c>
      <c r="Q46" s="91" t="s">
        <v>183</v>
      </c>
      <c r="R46" s="91">
        <v>105</v>
      </c>
      <c r="S46" s="92">
        <f t="shared" si="5"/>
        <v>3.5196687370600444E-2</v>
      </c>
      <c r="T46" s="91" t="s">
        <v>183</v>
      </c>
      <c r="U46" s="93">
        <v>5634.61</v>
      </c>
      <c r="V46" s="6">
        <f t="shared" si="6"/>
        <v>1.4468200027006217E-2</v>
      </c>
    </row>
    <row r="47" spans="2:22" ht="14.4">
      <c r="B47" s="90">
        <v>45604</v>
      </c>
      <c r="C47" s="91">
        <v>75.86</v>
      </c>
      <c r="D47" s="92">
        <f t="shared" si="0"/>
        <v>1.9349637194302494E-2</v>
      </c>
      <c r="E47" s="90">
        <v>45604</v>
      </c>
      <c r="F47" s="91">
        <v>128.04</v>
      </c>
      <c r="G47" s="92">
        <f t="shared" si="1"/>
        <v>2.917771883289122E-2</v>
      </c>
      <c r="H47" s="90">
        <v>45604</v>
      </c>
      <c r="I47" s="91">
        <v>482.7</v>
      </c>
      <c r="J47" s="92">
        <f t="shared" si="2"/>
        <v>4.2232716832752981E-3</v>
      </c>
      <c r="K47" s="90">
        <v>45604</v>
      </c>
      <c r="L47" s="91">
        <v>163.6</v>
      </c>
      <c r="M47" s="92">
        <f t="shared" si="3"/>
        <v>3.8532343045768913E-2</v>
      </c>
      <c r="N47" s="90">
        <v>45604</v>
      </c>
      <c r="O47" s="91">
        <v>179.86</v>
      </c>
      <c r="P47" s="92">
        <f t="shared" si="4"/>
        <v>2.7712702131306832E-2</v>
      </c>
      <c r="Q47" s="90">
        <v>45604</v>
      </c>
      <c r="R47" s="91">
        <v>101.43</v>
      </c>
      <c r="S47" s="92">
        <f t="shared" si="5"/>
        <v>2.1450151057401889E-2</v>
      </c>
      <c r="T47" s="90">
        <v>45604</v>
      </c>
      <c r="U47" s="93">
        <v>5554.25</v>
      </c>
      <c r="V47" s="6">
        <f t="shared" si="6"/>
        <v>3.9312071494865375E-2</v>
      </c>
    </row>
    <row r="48" spans="2:22" ht="14.4">
      <c r="B48" s="90">
        <v>45390</v>
      </c>
      <c r="C48" s="91">
        <v>74.42</v>
      </c>
      <c r="D48" s="92">
        <f t="shared" si="0"/>
        <v>5.6756756756757287E-3</v>
      </c>
      <c r="E48" s="90">
        <v>45390</v>
      </c>
      <c r="F48" s="91">
        <v>124.41</v>
      </c>
      <c r="G48" s="92">
        <f t="shared" si="1"/>
        <v>3.874092009685226E-2</v>
      </c>
      <c r="H48" s="90">
        <v>45390</v>
      </c>
      <c r="I48" s="91">
        <v>480.67</v>
      </c>
      <c r="J48" s="92">
        <f t="shared" si="2"/>
        <v>2.8792589037951455E-3</v>
      </c>
      <c r="K48" s="90">
        <v>45390</v>
      </c>
      <c r="L48" s="91">
        <v>157.53</v>
      </c>
      <c r="M48" s="92">
        <f t="shared" si="3"/>
        <v>4.1520661157024907E-2</v>
      </c>
      <c r="N48" s="90">
        <v>45390</v>
      </c>
      <c r="O48" s="91">
        <v>175.01</v>
      </c>
      <c r="P48" s="92">
        <f t="shared" si="4"/>
        <v>-6.7657556869639479E-2</v>
      </c>
      <c r="Q48" s="90">
        <v>45390</v>
      </c>
      <c r="R48" s="91">
        <v>99.3</v>
      </c>
      <c r="S48" s="92">
        <f t="shared" si="5"/>
        <v>0.19523350987000487</v>
      </c>
      <c r="T48" s="90">
        <v>45390</v>
      </c>
      <c r="U48" s="93">
        <v>5344.16</v>
      </c>
      <c r="V48" s="6">
        <f t="shared" si="6"/>
        <v>-4.4888676083321144E-4</v>
      </c>
    </row>
    <row r="49" spans="2:22" ht="14.4">
      <c r="B49" s="91" t="s">
        <v>184</v>
      </c>
      <c r="C49" s="91">
        <v>74</v>
      </c>
      <c r="D49" s="92">
        <f t="shared" si="0"/>
        <v>-7.6438245943407646E-3</v>
      </c>
      <c r="E49" s="91" t="s">
        <v>184</v>
      </c>
      <c r="F49" s="91">
        <v>119.77</v>
      </c>
      <c r="G49" s="92">
        <f t="shared" si="1"/>
        <v>-7.1550387596899245E-2</v>
      </c>
      <c r="H49" s="91" t="s">
        <v>184</v>
      </c>
      <c r="I49" s="91">
        <v>479.29</v>
      </c>
      <c r="J49" s="92">
        <f t="shared" si="2"/>
        <v>1.777371952773299E-2</v>
      </c>
      <c r="K49" s="91" t="s">
        <v>184</v>
      </c>
      <c r="L49" s="91">
        <v>151.25</v>
      </c>
      <c r="M49" s="92">
        <f t="shared" si="3"/>
        <v>5.2906369648451079E-2</v>
      </c>
      <c r="N49" s="91" t="s">
        <v>184</v>
      </c>
      <c r="O49" s="91">
        <v>187.71</v>
      </c>
      <c r="P49" s="92">
        <f t="shared" si="4"/>
        <v>1.9608908202064068E-2</v>
      </c>
      <c r="Q49" s="91" t="s">
        <v>184</v>
      </c>
      <c r="R49" s="91">
        <v>83.08</v>
      </c>
      <c r="S49" s="92">
        <f t="shared" si="5"/>
        <v>-0.10115763280320256</v>
      </c>
      <c r="T49" s="91" t="s">
        <v>184</v>
      </c>
      <c r="U49" s="93">
        <v>5346.56</v>
      </c>
      <c r="V49" s="6">
        <f t="shared" si="6"/>
        <v>-2.0615119708376817E-2</v>
      </c>
    </row>
    <row r="50" spans="2:22" ht="14.4">
      <c r="B50" s="91" t="s">
        <v>185</v>
      </c>
      <c r="C50" s="91">
        <v>74.569999999999993</v>
      </c>
      <c r="D50" s="92">
        <f t="shared" si="0"/>
        <v>3.2288443427954672E-3</v>
      </c>
      <c r="E50" s="91" t="s">
        <v>185</v>
      </c>
      <c r="F50" s="91">
        <v>129</v>
      </c>
      <c r="G50" s="92">
        <f t="shared" si="1"/>
        <v>-6.5460146322680046E-3</v>
      </c>
      <c r="H50" s="91" t="s">
        <v>185</v>
      </c>
      <c r="I50" s="91">
        <v>470.92</v>
      </c>
      <c r="J50" s="92">
        <f t="shared" si="2"/>
        <v>2.6976338458183369E-2</v>
      </c>
      <c r="K50" s="91" t="s">
        <v>185</v>
      </c>
      <c r="L50" s="91">
        <v>143.65</v>
      </c>
      <c r="M50" s="92">
        <f t="shared" si="3"/>
        <v>-1.060679110131546E-2</v>
      </c>
      <c r="N50" s="91" t="s">
        <v>185</v>
      </c>
      <c r="O50" s="91">
        <v>184.1</v>
      </c>
      <c r="P50" s="92">
        <f t="shared" si="4"/>
        <v>3.9056326899198579E-2</v>
      </c>
      <c r="Q50" s="91" t="s">
        <v>185</v>
      </c>
      <c r="R50" s="91">
        <v>92.43</v>
      </c>
      <c r="S50" s="92">
        <f t="shared" si="5"/>
        <v>-3.7287782522653856E-2</v>
      </c>
      <c r="T50" s="91" t="s">
        <v>185</v>
      </c>
      <c r="U50" s="93">
        <v>5459.1</v>
      </c>
      <c r="V50" s="6">
        <f t="shared" si="6"/>
        <v>-8.3378746594005015E-3</v>
      </c>
    </row>
    <row r="51" spans="2:22" ht="14.4">
      <c r="B51" s="91" t="s">
        <v>186</v>
      </c>
      <c r="C51" s="91">
        <v>74.33</v>
      </c>
      <c r="D51" s="92">
        <f t="shared" si="0"/>
        <v>3.9144414930798233E-2</v>
      </c>
      <c r="E51" s="91" t="s">
        <v>186</v>
      </c>
      <c r="F51" s="91">
        <v>129.85</v>
      </c>
      <c r="G51" s="92">
        <f t="shared" si="1"/>
        <v>-4.3462246777163926E-2</v>
      </c>
      <c r="H51" s="91" t="s">
        <v>186</v>
      </c>
      <c r="I51" s="91">
        <v>458.55</v>
      </c>
      <c r="J51" s="92">
        <f t="shared" si="2"/>
        <v>6.9612192015460206E-3</v>
      </c>
      <c r="K51" s="91" t="s">
        <v>186</v>
      </c>
      <c r="L51" s="91">
        <v>145.19</v>
      </c>
      <c r="M51" s="92">
        <f t="shared" si="3"/>
        <v>-9.6332484690031528E-4</v>
      </c>
      <c r="N51" s="91" t="s">
        <v>186</v>
      </c>
      <c r="O51" s="91">
        <v>177.18</v>
      </c>
      <c r="P51" s="92">
        <f t="shared" si="4"/>
        <v>-3.2628262826281951E-3</v>
      </c>
      <c r="Q51" s="91" t="s">
        <v>186</v>
      </c>
      <c r="R51" s="91">
        <v>96.01</v>
      </c>
      <c r="S51" s="92">
        <f t="shared" si="5"/>
        <v>-3.4881383192601478E-2</v>
      </c>
      <c r="T51" s="91" t="s">
        <v>186</v>
      </c>
      <c r="U51" s="93">
        <v>5505</v>
      </c>
      <c r="V51" s="6">
        <f t="shared" si="6"/>
        <v>-1.965149100234187E-2</v>
      </c>
    </row>
    <row r="52" spans="2:22" ht="14.4">
      <c r="B52" s="90">
        <v>45480</v>
      </c>
      <c r="C52" s="91">
        <v>71.53</v>
      </c>
      <c r="D52" s="92">
        <f t="shared" si="0"/>
        <v>5.1911764705882435E-2</v>
      </c>
      <c r="E52" s="90">
        <v>45480</v>
      </c>
      <c r="F52" s="91">
        <v>135.75</v>
      </c>
      <c r="G52" s="92">
        <f t="shared" si="1"/>
        <v>-5.0832051461334182E-2</v>
      </c>
      <c r="H52" s="90">
        <v>45480</v>
      </c>
      <c r="I52" s="91">
        <v>455.38</v>
      </c>
      <c r="J52" s="92">
        <f t="shared" si="2"/>
        <v>7.4555872657684485E-3</v>
      </c>
      <c r="K52" s="90">
        <v>45480</v>
      </c>
      <c r="L52" s="91">
        <v>145.33000000000001</v>
      </c>
      <c r="M52" s="92">
        <f t="shared" si="3"/>
        <v>9.3763022642034954E-3</v>
      </c>
      <c r="N52" s="90">
        <v>45480</v>
      </c>
      <c r="O52" s="91">
        <v>177.76</v>
      </c>
      <c r="P52" s="92">
        <f t="shared" si="4"/>
        <v>5.4298642533936459E-3</v>
      </c>
      <c r="Q52" s="90">
        <v>45480</v>
      </c>
      <c r="R52" s="91">
        <v>99.48</v>
      </c>
      <c r="S52" s="92">
        <f t="shared" si="5"/>
        <v>-4.2042042042041983E-3</v>
      </c>
      <c r="T52" s="90">
        <v>45480</v>
      </c>
      <c r="U52" s="93">
        <v>5615.35</v>
      </c>
      <c r="V52" s="6">
        <f t="shared" si="6"/>
        <v>8.6506837381157276E-3</v>
      </c>
    </row>
    <row r="53" spans="2:22" ht="14.4">
      <c r="B53" s="91" t="s">
        <v>187</v>
      </c>
      <c r="C53" s="91">
        <v>68</v>
      </c>
      <c r="D53" s="92">
        <f t="shared" si="0"/>
        <v>0</v>
      </c>
      <c r="E53" s="91" t="s">
        <v>187</v>
      </c>
      <c r="F53" s="91">
        <v>143.02000000000001</v>
      </c>
      <c r="G53" s="92">
        <f t="shared" si="1"/>
        <v>5.8701606336516443E-2</v>
      </c>
      <c r="H53" s="91" t="s">
        <v>187</v>
      </c>
      <c r="I53" s="91">
        <v>452.01</v>
      </c>
      <c r="J53" s="92">
        <f t="shared" si="2"/>
        <v>6.5692780474768675E-3</v>
      </c>
      <c r="K53" s="91" t="s">
        <v>187</v>
      </c>
      <c r="L53" s="91">
        <v>143.97999999999999</v>
      </c>
      <c r="M53" s="92">
        <f t="shared" si="3"/>
        <v>3.0563309712976716E-2</v>
      </c>
      <c r="N53" s="91" t="s">
        <v>187</v>
      </c>
      <c r="O53" s="91">
        <v>176.8</v>
      </c>
      <c r="P53" s="92">
        <f t="shared" si="4"/>
        <v>-5.6242969628796935E-3</v>
      </c>
      <c r="Q53" s="91" t="s">
        <v>187</v>
      </c>
      <c r="R53" s="91">
        <v>99.9</v>
      </c>
      <c r="S53" s="92">
        <f t="shared" si="5"/>
        <v>2.2831985256476006E-2</v>
      </c>
      <c r="T53" s="91" t="s">
        <v>187</v>
      </c>
      <c r="U53" s="93">
        <v>5567.19</v>
      </c>
      <c r="V53" s="6">
        <f t="shared" si="6"/>
        <v>1.9542238045006988E-2</v>
      </c>
    </row>
    <row r="54" spans="2:22" ht="14.4">
      <c r="B54" s="91" t="s">
        <v>188</v>
      </c>
      <c r="C54" s="91">
        <v>68</v>
      </c>
      <c r="D54" s="92">
        <f t="shared" si="0"/>
        <v>-4.9751243781095411E-3</v>
      </c>
      <c r="E54" s="91" t="s">
        <v>188</v>
      </c>
      <c r="F54" s="91">
        <v>135.09</v>
      </c>
      <c r="G54" s="92">
        <f t="shared" si="1"/>
        <v>5.7042253521126796E-2</v>
      </c>
      <c r="H54" s="91" t="s">
        <v>188</v>
      </c>
      <c r="I54" s="91">
        <v>449.06</v>
      </c>
      <c r="J54" s="92">
        <f t="shared" si="2"/>
        <v>-6.7900824983964103E-3</v>
      </c>
      <c r="K54" s="91" t="s">
        <v>188</v>
      </c>
      <c r="L54" s="91">
        <v>139.71</v>
      </c>
      <c r="M54" s="92">
        <f t="shared" si="3"/>
        <v>1.4891762312944978E-2</v>
      </c>
      <c r="N54" s="91" t="s">
        <v>188</v>
      </c>
      <c r="O54" s="91">
        <v>177.8</v>
      </c>
      <c r="P54" s="92">
        <f t="shared" si="4"/>
        <v>-2.1410094116351974E-2</v>
      </c>
      <c r="Q54" s="91" t="s">
        <v>188</v>
      </c>
      <c r="R54" s="91">
        <v>97.67</v>
      </c>
      <c r="S54" s="92">
        <f t="shared" si="5"/>
        <v>-4.0937468017598899E-4</v>
      </c>
      <c r="T54" s="91" t="s">
        <v>188</v>
      </c>
      <c r="U54" s="93">
        <v>5460.48</v>
      </c>
      <c r="V54" s="6">
        <f t="shared" si="6"/>
        <v>-7.5760071148589514E-4</v>
      </c>
    </row>
    <row r="55" spans="2:22" ht="14.4">
      <c r="B55" s="91" t="s">
        <v>189</v>
      </c>
      <c r="C55" s="91">
        <v>68.34</v>
      </c>
      <c r="D55" s="92">
        <f t="shared" si="0"/>
        <v>6.3492063492063489E-2</v>
      </c>
      <c r="E55" s="91" t="s">
        <v>189</v>
      </c>
      <c r="F55" s="91">
        <v>127.8</v>
      </c>
      <c r="G55" s="92">
        <f t="shared" si="1"/>
        <v>4.9539985845719059E-3</v>
      </c>
      <c r="H55" s="91" t="s">
        <v>189</v>
      </c>
      <c r="I55" s="91">
        <v>452.13</v>
      </c>
      <c r="J55" s="92">
        <f t="shared" si="2"/>
        <v>4.6088706878600672E-2</v>
      </c>
      <c r="K55" s="91" t="s">
        <v>189</v>
      </c>
      <c r="L55" s="91">
        <v>137.66</v>
      </c>
      <c r="M55" s="92">
        <f t="shared" si="3"/>
        <v>9.4524830945963423E-4</v>
      </c>
      <c r="N55" s="91" t="s">
        <v>189</v>
      </c>
      <c r="O55" s="91">
        <v>181.69</v>
      </c>
      <c r="P55" s="92">
        <f t="shared" si="4"/>
        <v>7.6534856635792625E-3</v>
      </c>
      <c r="Q55" s="91" t="s">
        <v>189</v>
      </c>
      <c r="R55" s="91">
        <v>97.71</v>
      </c>
      <c r="S55" s="92">
        <f t="shared" si="5"/>
        <v>2.1430064812878902E-2</v>
      </c>
      <c r="T55" s="91" t="s">
        <v>189</v>
      </c>
      <c r="U55" s="93">
        <v>5464.62</v>
      </c>
      <c r="V55" s="6">
        <f t="shared" si="6"/>
        <v>6.079240002945685E-3</v>
      </c>
    </row>
    <row r="56" spans="2:22" ht="14.4">
      <c r="B56" s="90">
        <v>45541</v>
      </c>
      <c r="C56" s="91">
        <v>64.260000000000005</v>
      </c>
      <c r="D56" s="92">
        <f t="shared" si="0"/>
        <v>-2.547770700636931E-2</v>
      </c>
      <c r="E56" s="90">
        <v>45541</v>
      </c>
      <c r="F56" s="91">
        <v>127.17</v>
      </c>
      <c r="G56" s="92">
        <f t="shared" si="1"/>
        <v>-3.0790336102431315E-2</v>
      </c>
      <c r="H56" s="90">
        <v>45541</v>
      </c>
      <c r="I56" s="91">
        <v>432.21</v>
      </c>
      <c r="J56" s="92">
        <f t="shared" si="2"/>
        <v>-5.1330448393334116E-3</v>
      </c>
      <c r="K56" s="90">
        <v>45541</v>
      </c>
      <c r="L56" s="91">
        <v>137.53</v>
      </c>
      <c r="M56" s="92">
        <f t="shared" si="3"/>
        <v>-1.3131458094144732E-2</v>
      </c>
      <c r="N56" s="90">
        <v>45541</v>
      </c>
      <c r="O56" s="91">
        <v>180.31</v>
      </c>
      <c r="P56" s="92">
        <f t="shared" si="4"/>
        <v>-8.3120913221768067E-4</v>
      </c>
      <c r="Q56" s="90">
        <v>45541</v>
      </c>
      <c r="R56" s="91">
        <v>95.66</v>
      </c>
      <c r="S56" s="92">
        <f t="shared" si="5"/>
        <v>1.5822448762875529E-2</v>
      </c>
      <c r="T56" s="90">
        <v>45541</v>
      </c>
      <c r="U56" s="93">
        <v>5431.6</v>
      </c>
      <c r="V56" s="6">
        <f t="shared" si="6"/>
        <v>1.5823856038631234E-2</v>
      </c>
    </row>
    <row r="57" spans="2:22" ht="14.4">
      <c r="B57" s="90">
        <v>45328</v>
      </c>
      <c r="C57" s="91">
        <v>65.94</v>
      </c>
      <c r="D57" s="92">
        <f t="shared" si="0"/>
        <v>-3.1746031746032743E-3</v>
      </c>
      <c r="E57" s="90">
        <v>45328</v>
      </c>
      <c r="F57" s="91">
        <v>131.21</v>
      </c>
      <c r="G57" s="92">
        <f t="shared" si="1"/>
        <v>-3.6495814363342594E-2</v>
      </c>
      <c r="H57" s="90">
        <v>45328</v>
      </c>
      <c r="I57" s="91">
        <v>434.44</v>
      </c>
      <c r="J57" s="92">
        <f t="shared" si="2"/>
        <v>3.5194319346152803E-2</v>
      </c>
      <c r="K57" s="90">
        <v>45328</v>
      </c>
      <c r="L57" s="91">
        <v>139.36000000000001</v>
      </c>
      <c r="M57" s="92">
        <f t="shared" si="3"/>
        <v>-1.933681873522719E-3</v>
      </c>
      <c r="N57" s="90">
        <v>45328</v>
      </c>
      <c r="O57" s="91">
        <v>180.46</v>
      </c>
      <c r="P57" s="92">
        <f t="shared" si="4"/>
        <v>3.5222579164754464E-2</v>
      </c>
      <c r="Q57" s="90">
        <v>45328</v>
      </c>
      <c r="R57" s="91">
        <v>94.17</v>
      </c>
      <c r="S57" s="92">
        <f t="shared" si="5"/>
        <v>1.4981677085578848E-2</v>
      </c>
      <c r="T57" s="90">
        <v>45328</v>
      </c>
      <c r="U57" s="93">
        <v>5346.99</v>
      </c>
      <c r="V57" s="6">
        <f t="shared" si="6"/>
        <v>1.3165299544671605E-2</v>
      </c>
    </row>
    <row r="58" spans="2:22" ht="14.4">
      <c r="B58" s="91" t="s">
        <v>190</v>
      </c>
      <c r="C58" s="91">
        <v>66.150000000000006</v>
      </c>
      <c r="D58" s="92">
        <f t="shared" si="0"/>
        <v>-3.176229508196704E-2</v>
      </c>
      <c r="E58" s="91" t="s">
        <v>190</v>
      </c>
      <c r="F58" s="91">
        <v>136.18</v>
      </c>
      <c r="G58" s="92">
        <f t="shared" si="1"/>
        <v>-0.1279456967213114</v>
      </c>
      <c r="H58" s="91" t="s">
        <v>190</v>
      </c>
      <c r="I58" s="91">
        <v>419.67</v>
      </c>
      <c r="J58" s="92">
        <f t="shared" si="2"/>
        <v>-4.4118986880466449E-2</v>
      </c>
      <c r="K58" s="91" t="s">
        <v>190</v>
      </c>
      <c r="L58" s="91">
        <v>139.63</v>
      </c>
      <c r="M58" s="92">
        <f t="shared" si="3"/>
        <v>-3.6392179249321588E-3</v>
      </c>
      <c r="N58" s="91" t="s">
        <v>190</v>
      </c>
      <c r="O58" s="91">
        <v>174.32</v>
      </c>
      <c r="P58" s="92">
        <f t="shared" si="4"/>
        <v>1.840275749255138E-2</v>
      </c>
      <c r="Q58" s="91" t="s">
        <v>190</v>
      </c>
      <c r="R58" s="91">
        <v>92.78</v>
      </c>
      <c r="S58" s="92">
        <f t="shared" si="5"/>
        <v>-2.0791556728232186E-2</v>
      </c>
      <c r="T58" s="91" t="s">
        <v>190</v>
      </c>
      <c r="U58" s="93">
        <v>5277.51</v>
      </c>
      <c r="V58" s="6">
        <f t="shared" si="6"/>
        <v>-5.1293941998823422E-3</v>
      </c>
    </row>
    <row r="59" spans="2:22" ht="14.4">
      <c r="B59" s="91" t="s">
        <v>191</v>
      </c>
      <c r="C59" s="91">
        <v>68.319999999999993</v>
      </c>
      <c r="D59" s="92">
        <f t="shared" si="0"/>
        <v>-6.3990692262945181E-3</v>
      </c>
      <c r="E59" s="91" t="s">
        <v>191</v>
      </c>
      <c r="F59" s="91">
        <v>156.16</v>
      </c>
      <c r="G59" s="92">
        <f t="shared" si="1"/>
        <v>-3.5215618435685214E-2</v>
      </c>
      <c r="H59" s="91" t="s">
        <v>191</v>
      </c>
      <c r="I59" s="91">
        <v>439.04</v>
      </c>
      <c r="J59" s="92">
        <f t="shared" si="2"/>
        <v>-2.4918935726024882E-2</v>
      </c>
      <c r="K59" s="91" t="s">
        <v>191</v>
      </c>
      <c r="L59" s="91">
        <v>140.13999999999999</v>
      </c>
      <c r="M59" s="92">
        <f t="shared" si="3"/>
        <v>3.2719233603537123E-2</v>
      </c>
      <c r="N59" s="91" t="s">
        <v>191</v>
      </c>
      <c r="O59" s="91">
        <v>171.17</v>
      </c>
      <c r="P59" s="92">
        <f t="shared" si="4"/>
        <v>2.4597364568081925E-3</v>
      </c>
      <c r="Q59" s="91" t="s">
        <v>191</v>
      </c>
      <c r="R59" s="91">
        <v>94.75</v>
      </c>
      <c r="S59" s="92">
        <f t="shared" si="5"/>
        <v>-3.1652247309554848E-4</v>
      </c>
      <c r="T59" s="91" t="s">
        <v>191</v>
      </c>
      <c r="U59" s="93">
        <v>5304.72</v>
      </c>
      <c r="V59" s="6">
        <f t="shared" si="6"/>
        <v>2.7341621301579799E-4</v>
      </c>
    </row>
    <row r="60" spans="2:22" ht="14.4">
      <c r="B60" s="90">
        <v>45631</v>
      </c>
      <c r="C60" s="91">
        <v>68.760000000000005</v>
      </c>
      <c r="D60" s="92">
        <f t="shared" si="0"/>
        <v>2.6575097043893825E-2</v>
      </c>
      <c r="E60" s="90">
        <v>45631</v>
      </c>
      <c r="F60" s="91">
        <v>161.86000000000001</v>
      </c>
      <c r="G60" s="92">
        <f t="shared" si="1"/>
        <v>2.9971364937957379E-2</v>
      </c>
      <c r="H60" s="90">
        <v>45631</v>
      </c>
      <c r="I60" s="91">
        <v>450.26</v>
      </c>
      <c r="J60" s="92">
        <f t="shared" si="2"/>
        <v>2.5018781159651171E-2</v>
      </c>
      <c r="K60" s="90">
        <v>45631</v>
      </c>
      <c r="L60" s="91">
        <v>135.69999999999999</v>
      </c>
      <c r="M60" s="92">
        <f t="shared" si="3"/>
        <v>1.3291517323775315E-2</v>
      </c>
      <c r="N60" s="90">
        <v>45631</v>
      </c>
      <c r="O60" s="91">
        <v>170.75</v>
      </c>
      <c r="P60" s="92">
        <f t="shared" si="4"/>
        <v>-2.8032470945511534E-3</v>
      </c>
      <c r="Q60" s="90">
        <v>45631</v>
      </c>
      <c r="R60" s="91">
        <v>94.78</v>
      </c>
      <c r="S60" s="92">
        <f t="shared" si="5"/>
        <v>8.6179234471693844E-2</v>
      </c>
      <c r="T60" s="90">
        <v>45631</v>
      </c>
      <c r="U60" s="93">
        <v>5303.27</v>
      </c>
      <c r="V60" s="6">
        <f t="shared" si="6"/>
        <v>1.5430775004403818E-2</v>
      </c>
    </row>
    <row r="61" spans="2:22" ht="14.4">
      <c r="B61" s="90">
        <v>45417</v>
      </c>
      <c r="C61" s="91">
        <v>66.98</v>
      </c>
      <c r="D61" s="92">
        <f t="shared" si="0"/>
        <v>1.1018867924528442E-2</v>
      </c>
      <c r="E61" s="90">
        <v>45417</v>
      </c>
      <c r="F61" s="91">
        <v>157.15</v>
      </c>
      <c r="G61" s="92">
        <f t="shared" si="1"/>
        <v>-1.3620386643233617E-2</v>
      </c>
      <c r="H61" s="90">
        <v>45417</v>
      </c>
      <c r="I61" s="91">
        <v>439.27</v>
      </c>
      <c r="J61" s="92">
        <f t="shared" si="2"/>
        <v>2.4799365434863718E-2</v>
      </c>
      <c r="K61" s="90">
        <v>45417</v>
      </c>
      <c r="L61" s="91">
        <v>133.91999999999999</v>
      </c>
      <c r="M61" s="92">
        <f t="shared" si="3"/>
        <v>8.3144613393723699E-2</v>
      </c>
      <c r="N61" s="90">
        <v>45417</v>
      </c>
      <c r="O61" s="91">
        <v>171.23</v>
      </c>
      <c r="P61" s="92">
        <f t="shared" si="4"/>
        <v>1.728849809885924E-2</v>
      </c>
      <c r="Q61" s="90">
        <v>45417</v>
      </c>
      <c r="R61" s="91">
        <v>87.26</v>
      </c>
      <c r="S61" s="92">
        <f t="shared" si="5"/>
        <v>-1.5012981149113869E-2</v>
      </c>
      <c r="T61" s="90">
        <v>45417</v>
      </c>
      <c r="U61" s="93">
        <v>5222.68</v>
      </c>
      <c r="V61" s="6">
        <f t="shared" si="6"/>
        <v>1.8505047983634393E-2</v>
      </c>
    </row>
    <row r="62" spans="2:22" ht="14.4">
      <c r="B62" s="91" t="s">
        <v>192</v>
      </c>
      <c r="C62" s="91">
        <v>66.25</v>
      </c>
      <c r="D62" s="92">
        <f t="shared" si="0"/>
        <v>-1.0307738273080291E-2</v>
      </c>
      <c r="E62" s="91" t="s">
        <v>192</v>
      </c>
      <c r="F62" s="91">
        <v>159.32</v>
      </c>
      <c r="G62" s="92">
        <f t="shared" si="1"/>
        <v>7.5254537405931021E-3</v>
      </c>
      <c r="H62" s="91" t="s">
        <v>192</v>
      </c>
      <c r="I62" s="91">
        <v>428.64</v>
      </c>
      <c r="J62" s="92">
        <f t="shared" si="2"/>
        <v>-4.4877222692633278E-2</v>
      </c>
      <c r="K62" s="91" t="s">
        <v>192</v>
      </c>
      <c r="L62" s="91">
        <v>123.64</v>
      </c>
      <c r="M62" s="92">
        <f t="shared" si="3"/>
        <v>-1.0959123270138371E-2</v>
      </c>
      <c r="N62" s="91" t="s">
        <v>192</v>
      </c>
      <c r="O62" s="91">
        <v>168.32</v>
      </c>
      <c r="P62" s="92">
        <f t="shared" si="4"/>
        <v>-4.0802370640528829E-2</v>
      </c>
      <c r="Q62" s="91" t="s">
        <v>192</v>
      </c>
      <c r="R62" s="91">
        <v>88.59</v>
      </c>
      <c r="S62" s="92">
        <f t="shared" si="5"/>
        <v>4.555647350407166E-2</v>
      </c>
      <c r="T62" s="91" t="s">
        <v>192</v>
      </c>
      <c r="U62" s="93">
        <v>5127.79</v>
      </c>
      <c r="V62" s="6">
        <f t="shared" si="6"/>
        <v>5.4569055443571823E-3</v>
      </c>
    </row>
    <row r="63" spans="2:22" ht="14.4">
      <c r="B63" s="91" t="s">
        <v>193</v>
      </c>
      <c r="C63" s="91">
        <v>66.94</v>
      </c>
      <c r="D63" s="92">
        <f t="shared" si="0"/>
        <v>-7.4139976275207076E-3</v>
      </c>
      <c r="E63" s="91" t="s">
        <v>193</v>
      </c>
      <c r="F63" s="91">
        <v>158.13</v>
      </c>
      <c r="G63" s="92">
        <f t="shared" si="1"/>
        <v>8.7177724303884485E-2</v>
      </c>
      <c r="H63" s="91" t="s">
        <v>193</v>
      </c>
      <c r="I63" s="91">
        <v>448.78</v>
      </c>
      <c r="J63" s="92">
        <f t="shared" si="2"/>
        <v>1.9074435714609983E-2</v>
      </c>
      <c r="K63" s="91" t="s">
        <v>193</v>
      </c>
      <c r="L63" s="91">
        <v>125.01</v>
      </c>
      <c r="M63" s="92">
        <f t="shared" si="3"/>
        <v>4.0709290709290746E-2</v>
      </c>
      <c r="N63" s="91" t="s">
        <v>193</v>
      </c>
      <c r="O63" s="91">
        <v>175.48</v>
      </c>
      <c r="P63" s="92">
        <f t="shared" si="4"/>
        <v>-4.6925917879643841E-2</v>
      </c>
      <c r="Q63" s="91" t="s">
        <v>193</v>
      </c>
      <c r="R63" s="91">
        <v>84.73</v>
      </c>
      <c r="S63" s="92">
        <f t="shared" si="5"/>
        <v>9.6119016817593828E-2</v>
      </c>
      <c r="T63" s="91" t="s">
        <v>193</v>
      </c>
      <c r="U63" s="93">
        <v>5099.96</v>
      </c>
      <c r="V63" s="6">
        <f t="shared" si="6"/>
        <v>2.6721130287907124E-2</v>
      </c>
    </row>
    <row r="64" spans="2:22" ht="14.4">
      <c r="B64" s="91" t="s">
        <v>194</v>
      </c>
      <c r="C64" s="91">
        <v>67.44</v>
      </c>
      <c r="D64" s="92">
        <f t="shared" si="0"/>
        <v>-2.6277793820387085E-2</v>
      </c>
      <c r="E64" s="91" t="s">
        <v>194</v>
      </c>
      <c r="F64" s="91">
        <v>145.44999999999999</v>
      </c>
      <c r="G64" s="92">
        <f t="shared" si="1"/>
        <v>-8.2681634712411745E-2</v>
      </c>
      <c r="H64" s="91" t="s">
        <v>194</v>
      </c>
      <c r="I64" s="91">
        <v>440.38</v>
      </c>
      <c r="J64" s="92">
        <f t="shared" si="2"/>
        <v>-5.386185411966915E-2</v>
      </c>
      <c r="K64" s="91" t="s">
        <v>194</v>
      </c>
      <c r="L64" s="91">
        <v>120.12</v>
      </c>
      <c r="M64" s="92">
        <f t="shared" si="3"/>
        <v>-2.5790754257907444E-2</v>
      </c>
      <c r="N64" s="91" t="s">
        <v>194</v>
      </c>
      <c r="O64" s="91">
        <v>184.12</v>
      </c>
      <c r="P64" s="92">
        <f t="shared" si="4"/>
        <v>-7.0646605187941747E-3</v>
      </c>
      <c r="Q64" s="91" t="s">
        <v>194</v>
      </c>
      <c r="R64" s="91">
        <v>77.3</v>
      </c>
      <c r="S64" s="92">
        <f t="shared" si="5"/>
        <v>-0.10501331480838261</v>
      </c>
      <c r="T64" s="91" t="s">
        <v>194</v>
      </c>
      <c r="U64" s="93">
        <v>4967.2299999999996</v>
      </c>
      <c r="V64" s="6">
        <f t="shared" si="6"/>
        <v>-3.0483603693633787E-2</v>
      </c>
    </row>
    <row r="65" spans="2:22" ht="14.4">
      <c r="B65" s="90">
        <v>45477</v>
      </c>
      <c r="C65" s="91">
        <v>69.260000000000005</v>
      </c>
      <c r="D65" s="92">
        <f t="shared" si="0"/>
        <v>-2.6289891747504401E-2</v>
      </c>
      <c r="E65" s="90">
        <v>45477</v>
      </c>
      <c r="F65" s="91">
        <v>158.56</v>
      </c>
      <c r="G65" s="92">
        <f t="shared" si="1"/>
        <v>3.0547250747432697E-2</v>
      </c>
      <c r="H65" s="90">
        <v>45477</v>
      </c>
      <c r="I65" s="91">
        <v>465.45</v>
      </c>
      <c r="J65" s="92">
        <f t="shared" si="2"/>
        <v>-1.0438812824219768E-2</v>
      </c>
      <c r="K65" s="90">
        <v>45477</v>
      </c>
      <c r="L65" s="91">
        <v>123.3</v>
      </c>
      <c r="M65" s="92">
        <f t="shared" si="3"/>
        <v>-2.0962363030014308E-2</v>
      </c>
      <c r="N65" s="90">
        <v>45477</v>
      </c>
      <c r="O65" s="91">
        <v>185.43</v>
      </c>
      <c r="P65" s="92">
        <f t="shared" si="4"/>
        <v>-1.2724949419657072E-2</v>
      </c>
      <c r="Q65" s="90">
        <v>45477</v>
      </c>
      <c r="R65" s="91">
        <v>86.37</v>
      </c>
      <c r="S65" s="92">
        <f t="shared" si="5"/>
        <v>6.2915064662705245E-3</v>
      </c>
      <c r="T65" s="90">
        <v>45477</v>
      </c>
      <c r="U65" s="93">
        <v>5123.41</v>
      </c>
      <c r="V65" s="6">
        <f t="shared" si="6"/>
        <v>-1.5550482866223292E-2</v>
      </c>
    </row>
    <row r="66" spans="2:22" ht="14.4">
      <c r="B66" s="91" t="s">
        <v>195</v>
      </c>
      <c r="C66" s="91">
        <v>71.13</v>
      </c>
      <c r="D66" s="92">
        <f t="shared" si="0"/>
        <v>-2.9471960704052558E-2</v>
      </c>
      <c r="E66" s="91" t="s">
        <v>195</v>
      </c>
      <c r="F66" s="91">
        <v>153.86000000000001</v>
      </c>
      <c r="G66" s="92">
        <f t="shared" si="1"/>
        <v>-4.7896039603960272E-2</v>
      </c>
      <c r="H66" s="91" t="s">
        <v>195</v>
      </c>
      <c r="I66" s="91">
        <v>470.36</v>
      </c>
      <c r="J66" s="92">
        <f t="shared" si="2"/>
        <v>-1.3237669666645746E-2</v>
      </c>
      <c r="K66" s="91" t="s">
        <v>195</v>
      </c>
      <c r="L66" s="91">
        <v>125.94</v>
      </c>
      <c r="M66" s="92">
        <f t="shared" si="3"/>
        <v>6.117290192113245E-2</v>
      </c>
      <c r="N66" s="91" t="s">
        <v>195</v>
      </c>
      <c r="O66" s="91">
        <v>187.82</v>
      </c>
      <c r="P66" s="92">
        <f t="shared" si="4"/>
        <v>-8.9177352118621211E-3</v>
      </c>
      <c r="Q66" s="91" t="s">
        <v>195</v>
      </c>
      <c r="R66" s="91">
        <v>85.83</v>
      </c>
      <c r="S66" s="92">
        <f t="shared" si="5"/>
        <v>-1.8188057652711143E-2</v>
      </c>
      <c r="T66" s="91" t="s">
        <v>195</v>
      </c>
      <c r="U66" s="93">
        <v>5204.34</v>
      </c>
      <c r="V66" s="6">
        <f t="shared" si="6"/>
        <v>-9.5178280853007724E-3</v>
      </c>
    </row>
    <row r="67" spans="2:22" ht="14.4">
      <c r="B67" s="91" t="s">
        <v>196</v>
      </c>
      <c r="C67" s="91">
        <v>73.290000000000006</v>
      </c>
      <c r="D67" s="92">
        <f t="shared" si="0"/>
        <v>1.9332406119610512E-2</v>
      </c>
      <c r="E67" s="91" t="s">
        <v>196</v>
      </c>
      <c r="F67" s="91">
        <v>161.6</v>
      </c>
      <c r="G67" s="92">
        <f t="shared" si="1"/>
        <v>1.6160472866754594E-2</v>
      </c>
      <c r="H67" s="91" t="s">
        <v>196</v>
      </c>
      <c r="I67" s="91">
        <v>476.67</v>
      </c>
      <c r="J67" s="92">
        <f t="shared" si="2"/>
        <v>-5.5701589685817066E-3</v>
      </c>
      <c r="K67" s="91" t="s">
        <v>196</v>
      </c>
      <c r="L67" s="91">
        <v>118.68</v>
      </c>
      <c r="M67" s="92">
        <f t="shared" si="3"/>
        <v>-2.4173655648741965E-2</v>
      </c>
      <c r="N67" s="91" t="s">
        <v>196</v>
      </c>
      <c r="O67" s="91">
        <v>189.51</v>
      </c>
      <c r="P67" s="92">
        <f t="shared" si="4"/>
        <v>3.4948371723590999E-3</v>
      </c>
      <c r="Q67" s="91" t="s">
        <v>196</v>
      </c>
      <c r="R67" s="91">
        <v>87.42</v>
      </c>
      <c r="S67" s="92">
        <f t="shared" si="5"/>
        <v>2.7745121090994695E-2</v>
      </c>
      <c r="T67" s="91" t="s">
        <v>196</v>
      </c>
      <c r="U67" s="93">
        <v>5254.35</v>
      </c>
      <c r="V67" s="6">
        <f t="shared" si="6"/>
        <v>3.8535166922040176E-3</v>
      </c>
    </row>
    <row r="68" spans="2:22" ht="14.4">
      <c r="B68" s="91" t="s">
        <v>197</v>
      </c>
      <c r="C68" s="91">
        <v>71.900000000000006</v>
      </c>
      <c r="D68" s="92">
        <f t="shared" si="0"/>
        <v>-4.5532988185317813E-2</v>
      </c>
      <c r="E68" s="91" t="s">
        <v>197</v>
      </c>
      <c r="F68" s="91">
        <v>159.03</v>
      </c>
      <c r="G68" s="92">
        <f t="shared" si="1"/>
        <v>1.3123526788558326E-2</v>
      </c>
      <c r="H68" s="91" t="s">
        <v>197</v>
      </c>
      <c r="I68" s="91">
        <v>479.34</v>
      </c>
      <c r="J68" s="92">
        <f t="shared" si="2"/>
        <v>1.7771832600802506E-2</v>
      </c>
      <c r="K68" s="91" t="s">
        <v>197</v>
      </c>
      <c r="L68" s="91">
        <v>121.62</v>
      </c>
      <c r="M68" s="92">
        <f t="shared" si="3"/>
        <v>3.7801860226981843E-2</v>
      </c>
      <c r="N68" s="91" t="s">
        <v>197</v>
      </c>
      <c r="O68" s="91">
        <v>188.85</v>
      </c>
      <c r="P68" s="92">
        <f t="shared" si="4"/>
        <v>-7.3587385019711071E-3</v>
      </c>
      <c r="Q68" s="91" t="s">
        <v>197</v>
      </c>
      <c r="R68" s="91">
        <v>85.06</v>
      </c>
      <c r="S68" s="92">
        <f t="shared" si="5"/>
        <v>0.10870698644421273</v>
      </c>
      <c r="T68" s="91" t="s">
        <v>197</v>
      </c>
      <c r="U68" s="93">
        <v>5234.18</v>
      </c>
      <c r="V68" s="6">
        <f t="shared" si="6"/>
        <v>2.2882145907146434E-2</v>
      </c>
    </row>
    <row r="69" spans="2:22" ht="14.4">
      <c r="B69" s="90">
        <v>45568</v>
      </c>
      <c r="C69" s="91">
        <v>75.33</v>
      </c>
      <c r="D69" s="92">
        <f t="shared" si="0"/>
        <v>-1.8757327080890951E-2</v>
      </c>
      <c r="E69" s="90">
        <v>45568</v>
      </c>
      <c r="F69" s="91">
        <v>156.97</v>
      </c>
      <c r="G69" s="92">
        <f t="shared" si="1"/>
        <v>-3.3435960591133074E-2</v>
      </c>
      <c r="H69" s="90">
        <v>45568</v>
      </c>
      <c r="I69" s="91">
        <v>470.97</v>
      </c>
      <c r="J69" s="92">
        <f t="shared" si="2"/>
        <v>1.5984985762360848E-2</v>
      </c>
      <c r="K69" s="90">
        <v>45568</v>
      </c>
      <c r="L69" s="91">
        <v>117.19</v>
      </c>
      <c r="M69" s="92">
        <f t="shared" si="3"/>
        <v>3.2783995769807062E-2</v>
      </c>
      <c r="N69" s="90">
        <v>45568</v>
      </c>
      <c r="O69" s="91">
        <v>190.25</v>
      </c>
      <c r="P69" s="92">
        <f t="shared" si="4"/>
        <v>-4.0309915192127121E-3</v>
      </c>
      <c r="Q69" s="90">
        <v>45568</v>
      </c>
      <c r="R69" s="91">
        <v>76.72</v>
      </c>
      <c r="S69" s="92">
        <f t="shared" si="5"/>
        <v>-5.9688687339134794E-2</v>
      </c>
      <c r="T69" s="90">
        <v>45568</v>
      </c>
      <c r="U69" s="93">
        <v>5117.09</v>
      </c>
      <c r="V69" s="6">
        <f t="shared" si="6"/>
        <v>-1.2881341377014577E-3</v>
      </c>
    </row>
    <row r="70" spans="2:22" ht="14.4">
      <c r="B70" s="90">
        <v>45354</v>
      </c>
      <c r="C70" s="91">
        <v>76.77</v>
      </c>
      <c r="D70" s="92">
        <f t="shared" si="0"/>
        <v>-2.3406691260653867E-2</v>
      </c>
      <c r="E70" s="90">
        <v>45354</v>
      </c>
      <c r="F70" s="91">
        <v>162.4</v>
      </c>
      <c r="G70" s="92">
        <f t="shared" si="1"/>
        <v>-0.13024850042844893</v>
      </c>
      <c r="H70" s="90">
        <v>45354</v>
      </c>
      <c r="I70" s="91">
        <v>463.56</v>
      </c>
      <c r="J70" s="92">
        <f t="shared" si="2"/>
        <v>-1.6798167472639403E-2</v>
      </c>
      <c r="K70" s="90">
        <v>45354</v>
      </c>
      <c r="L70" s="91">
        <v>113.47</v>
      </c>
      <c r="M70" s="92">
        <f t="shared" si="3"/>
        <v>-2.1983819908547586E-3</v>
      </c>
      <c r="N70" s="90">
        <v>45354</v>
      </c>
      <c r="O70" s="91">
        <v>191.02</v>
      </c>
      <c r="P70" s="92">
        <f t="shared" si="4"/>
        <v>-2.1564308764021822E-2</v>
      </c>
      <c r="Q70" s="90">
        <v>45354</v>
      </c>
      <c r="R70" s="91">
        <v>81.59</v>
      </c>
      <c r="S70" s="92">
        <f t="shared" si="5"/>
        <v>-2.7416855405888674E-2</v>
      </c>
      <c r="T70" s="90">
        <v>45354</v>
      </c>
      <c r="U70" s="93">
        <v>5123.6899999999996</v>
      </c>
      <c r="V70" s="6">
        <f t="shared" si="6"/>
        <v>-2.6065391233931479E-3</v>
      </c>
    </row>
    <row r="71" spans="2:22" ht="14.4">
      <c r="B71" s="91" t="s">
        <v>198</v>
      </c>
      <c r="C71" s="91">
        <v>78.61</v>
      </c>
      <c r="D71" s="92">
        <f t="shared" si="0"/>
        <v>-1.5159107992984144E-2</v>
      </c>
      <c r="E71" s="91" t="s">
        <v>198</v>
      </c>
      <c r="F71" s="91">
        <v>186.72</v>
      </c>
      <c r="G71" s="92">
        <f t="shared" si="1"/>
        <v>-0.18583762099938961</v>
      </c>
      <c r="H71" s="91" t="s">
        <v>198</v>
      </c>
      <c r="I71" s="91">
        <v>471.48</v>
      </c>
      <c r="J71" s="92">
        <f t="shared" si="2"/>
        <v>2.3532476554359194E-2</v>
      </c>
      <c r="K71" s="91" t="s">
        <v>198</v>
      </c>
      <c r="L71" s="91">
        <v>113.72</v>
      </c>
      <c r="M71" s="92">
        <f t="shared" si="3"/>
        <v>-1.0355930728396134E-2</v>
      </c>
      <c r="N71" s="91" t="s">
        <v>198</v>
      </c>
      <c r="O71" s="91">
        <v>195.23</v>
      </c>
      <c r="P71" s="92">
        <f t="shared" si="4"/>
        <v>-6.7663817663817794E-3</v>
      </c>
      <c r="Q71" s="91" t="s">
        <v>198</v>
      </c>
      <c r="R71" s="91">
        <v>83.89</v>
      </c>
      <c r="S71" s="92">
        <f t="shared" si="5"/>
        <v>3.0083497053045249E-2</v>
      </c>
      <c r="T71" s="91" t="s">
        <v>198</v>
      </c>
      <c r="U71" s="93">
        <v>5137.08</v>
      </c>
      <c r="V71" s="6">
        <f t="shared" si="6"/>
        <v>9.4875019650997316E-3</v>
      </c>
    </row>
    <row r="72" spans="2:22" ht="14.4">
      <c r="B72" s="91" t="s">
        <v>199</v>
      </c>
      <c r="C72" s="91">
        <v>79.819999999999993</v>
      </c>
      <c r="D72" s="92">
        <f t="shared" si="0"/>
        <v>3.6623376623376558E-2</v>
      </c>
      <c r="E72" s="91" t="s">
        <v>199</v>
      </c>
      <c r="F72" s="91">
        <v>229.34</v>
      </c>
      <c r="G72" s="92">
        <f t="shared" si="1"/>
        <v>-4.2117146454778709E-3</v>
      </c>
      <c r="H72" s="91" t="s">
        <v>199</v>
      </c>
      <c r="I72" s="91">
        <v>460.64</v>
      </c>
      <c r="J72" s="92">
        <f t="shared" si="2"/>
        <v>2.6816165488954713E-2</v>
      </c>
      <c r="K72" s="91" t="s">
        <v>199</v>
      </c>
      <c r="L72" s="91">
        <v>114.91</v>
      </c>
      <c r="M72" s="92">
        <f t="shared" si="3"/>
        <v>4.4826332060374563E-2</v>
      </c>
      <c r="N72" s="91" t="s">
        <v>199</v>
      </c>
      <c r="O72" s="91">
        <v>196.56</v>
      </c>
      <c r="P72" s="92">
        <f t="shared" si="4"/>
        <v>1.1943986820428298E-2</v>
      </c>
      <c r="Q72" s="91" t="s">
        <v>199</v>
      </c>
      <c r="R72" s="91">
        <v>81.44</v>
      </c>
      <c r="S72" s="92">
        <f t="shared" si="5"/>
        <v>-8.4223546609693112E-2</v>
      </c>
      <c r="T72" s="91" t="s">
        <v>199</v>
      </c>
      <c r="U72" s="93">
        <v>5088.8</v>
      </c>
      <c r="V72" s="6">
        <f t="shared" si="6"/>
        <v>1.6627476990632495E-2</v>
      </c>
    </row>
    <row r="73" spans="2:22" ht="14.4">
      <c r="B73" s="90">
        <v>45598</v>
      </c>
      <c r="C73" s="91">
        <v>77</v>
      </c>
      <c r="D73" s="92">
        <f t="shared" si="0"/>
        <v>-1.2970168612190802E-3</v>
      </c>
      <c r="E73" s="90">
        <v>45598</v>
      </c>
      <c r="F73" s="91">
        <v>230.31</v>
      </c>
      <c r="G73" s="92">
        <f t="shared" si="1"/>
        <v>-1.273148148148151E-2</v>
      </c>
      <c r="H73" s="90">
        <v>45598</v>
      </c>
      <c r="I73" s="91">
        <v>448.61</v>
      </c>
      <c r="J73" s="92">
        <f t="shared" si="2"/>
        <v>-3.2166896789782462E-2</v>
      </c>
      <c r="K73" s="90">
        <v>45598</v>
      </c>
      <c r="L73" s="91">
        <v>109.98</v>
      </c>
      <c r="M73" s="92">
        <f t="shared" si="3"/>
        <v>-2.603613177470776E-2</v>
      </c>
      <c r="N73" s="90">
        <v>45598</v>
      </c>
      <c r="O73" s="91">
        <v>194.24</v>
      </c>
      <c r="P73" s="92">
        <f t="shared" si="4"/>
        <v>-2.0869039217663032E-2</v>
      </c>
      <c r="Q73" s="90">
        <v>45598</v>
      </c>
      <c r="R73" s="91">
        <v>88.93</v>
      </c>
      <c r="S73" s="92">
        <f t="shared" si="5"/>
        <v>0.24709016968167163</v>
      </c>
      <c r="T73" s="90">
        <v>45598</v>
      </c>
      <c r="U73" s="93">
        <v>5005.57</v>
      </c>
      <c r="V73" s="6">
        <f t="shared" si="6"/>
        <v>-4.1857235791119551E-3</v>
      </c>
    </row>
    <row r="74" spans="2:22" ht="14.4">
      <c r="B74" s="90">
        <v>45384</v>
      </c>
      <c r="C74" s="91">
        <v>77.099999999999994</v>
      </c>
      <c r="D74" s="92">
        <f t="shared" si="0"/>
        <v>-1.0142508666067584E-2</v>
      </c>
      <c r="E74" s="90">
        <v>45384</v>
      </c>
      <c r="F74" s="91">
        <v>233.28</v>
      </c>
      <c r="G74" s="92">
        <f t="shared" si="1"/>
        <v>6.6374108612177851E-2</v>
      </c>
      <c r="H74" s="90">
        <v>45384</v>
      </c>
      <c r="I74" s="91">
        <v>463.52</v>
      </c>
      <c r="J74" s="92">
        <f t="shared" si="2"/>
        <v>-1.3556364255464026E-2</v>
      </c>
      <c r="K74" s="90">
        <v>45384</v>
      </c>
      <c r="L74" s="91">
        <v>112.92</v>
      </c>
      <c r="M74" s="92">
        <f t="shared" si="3"/>
        <v>4.8760100306492138E-2</v>
      </c>
      <c r="N74" s="90">
        <v>45384</v>
      </c>
      <c r="O74" s="91">
        <v>198.38</v>
      </c>
      <c r="P74" s="92">
        <f t="shared" si="4"/>
        <v>-6.1122244488978072E-3</v>
      </c>
      <c r="Q74" s="90">
        <v>45384</v>
      </c>
      <c r="R74" s="91">
        <v>71.31</v>
      </c>
      <c r="S74" s="92">
        <f t="shared" si="5"/>
        <v>1.8714285714285683E-2</v>
      </c>
      <c r="T74" s="90">
        <v>45384</v>
      </c>
      <c r="U74" s="93">
        <v>5026.6099999999997</v>
      </c>
      <c r="V74" s="6">
        <f t="shared" si="6"/>
        <v>1.3713520522888434E-2</v>
      </c>
    </row>
    <row r="75" spans="2:22" ht="14.4">
      <c r="B75" s="91" t="s">
        <v>200</v>
      </c>
      <c r="C75" s="91">
        <v>77.89</v>
      </c>
      <c r="D75" s="92">
        <f t="shared" si="0"/>
        <v>7.893374741200887E-3</v>
      </c>
      <c r="E75" s="91" t="s">
        <v>200</v>
      </c>
      <c r="F75" s="91">
        <v>218.76</v>
      </c>
      <c r="G75" s="92">
        <f t="shared" si="1"/>
        <v>8.0242950965384363E-2</v>
      </c>
      <c r="H75" s="91" t="s">
        <v>200</v>
      </c>
      <c r="I75" s="91">
        <v>469.89</v>
      </c>
      <c r="J75" s="92">
        <f t="shared" si="2"/>
        <v>1.9660178373803738E-2</v>
      </c>
      <c r="K75" s="91" t="s">
        <v>200</v>
      </c>
      <c r="L75" s="91">
        <v>107.67</v>
      </c>
      <c r="M75" s="92">
        <f t="shared" si="3"/>
        <v>-7.4245939675177119E-4</v>
      </c>
      <c r="N75" s="91" t="s">
        <v>200</v>
      </c>
      <c r="O75" s="91">
        <v>199.6</v>
      </c>
      <c r="P75" s="92">
        <f t="shared" si="4"/>
        <v>-1.7281276155777792E-2</v>
      </c>
      <c r="Q75" s="91" t="s">
        <v>200</v>
      </c>
      <c r="R75" s="91">
        <v>70</v>
      </c>
      <c r="S75" s="92">
        <f t="shared" si="5"/>
        <v>2.9260402881928993E-2</v>
      </c>
      <c r="T75" s="91" t="s">
        <v>200</v>
      </c>
      <c r="U75" s="93">
        <v>4958.6099999999997</v>
      </c>
      <c r="V75" s="6">
        <f t="shared" si="6"/>
        <v>1.3829567549995092E-2</v>
      </c>
    </row>
    <row r="76" spans="2:22" ht="14.4">
      <c r="B76" s="91" t="s">
        <v>201</v>
      </c>
      <c r="C76" s="91">
        <v>77.28</v>
      </c>
      <c r="D76" s="92">
        <f t="shared" si="0"/>
        <v>5.202913631633832E-3</v>
      </c>
      <c r="E76" s="91" t="s">
        <v>201</v>
      </c>
      <c r="F76" s="91">
        <v>202.51</v>
      </c>
      <c r="G76" s="92">
        <f t="shared" si="1"/>
        <v>4.8622618061308964E-2</v>
      </c>
      <c r="H76" s="91" t="s">
        <v>201</v>
      </c>
      <c r="I76" s="91">
        <v>460.83</v>
      </c>
      <c r="J76" s="92">
        <f t="shared" si="2"/>
        <v>-8.7119256582344207E-3</v>
      </c>
      <c r="K76" s="91" t="s">
        <v>201</v>
      </c>
      <c r="L76" s="91">
        <v>107.75</v>
      </c>
      <c r="M76" s="92">
        <f t="shared" si="3"/>
        <v>-2.6841910403554436E-3</v>
      </c>
      <c r="N76" s="91" t="s">
        <v>201</v>
      </c>
      <c r="O76" s="91">
        <v>203.11</v>
      </c>
      <c r="P76" s="92">
        <f t="shared" si="4"/>
        <v>-1.1004528412134174E-2</v>
      </c>
      <c r="Q76" s="91" t="s">
        <v>201</v>
      </c>
      <c r="R76" s="91">
        <v>68.010000000000005</v>
      </c>
      <c r="S76" s="92">
        <f t="shared" si="5"/>
        <v>1.7352281226626909E-2</v>
      </c>
      <c r="T76" s="91" t="s">
        <v>201</v>
      </c>
      <c r="U76" s="93">
        <v>4890.97</v>
      </c>
      <c r="V76" s="6">
        <f t="shared" si="6"/>
        <v>1.0570662897923633E-2</v>
      </c>
    </row>
    <row r="77" spans="2:22" ht="14.4">
      <c r="B77" s="91" t="s">
        <v>202</v>
      </c>
      <c r="C77" s="91">
        <v>76.88</v>
      </c>
      <c r="D77" s="92">
        <f t="shared" si="0"/>
        <v>-1.3979735795818904E-2</v>
      </c>
      <c r="E77" s="91" t="s">
        <v>202</v>
      </c>
      <c r="F77" s="91">
        <v>193.12</v>
      </c>
      <c r="G77" s="92">
        <f t="shared" si="1"/>
        <v>9.7249817003033368E-3</v>
      </c>
      <c r="H77" s="91" t="s">
        <v>202</v>
      </c>
      <c r="I77" s="91">
        <v>464.88</v>
      </c>
      <c r="J77" s="92">
        <f t="shared" si="2"/>
        <v>2.3491336606415558E-2</v>
      </c>
      <c r="K77" s="91" t="s">
        <v>202</v>
      </c>
      <c r="L77" s="91">
        <v>108.04</v>
      </c>
      <c r="M77" s="92">
        <f t="shared" si="3"/>
        <v>3.1900668576886337E-2</v>
      </c>
      <c r="N77" s="91" t="s">
        <v>202</v>
      </c>
      <c r="O77" s="91">
        <v>205.37</v>
      </c>
      <c r="P77" s="92">
        <f t="shared" si="4"/>
        <v>5.8281908120285664E-3</v>
      </c>
      <c r="Q77" s="91" t="s">
        <v>202</v>
      </c>
      <c r="R77" s="91">
        <v>66.849999999999994</v>
      </c>
      <c r="S77" s="92">
        <f t="shared" si="5"/>
        <v>-1.6427718040621375E-3</v>
      </c>
      <c r="T77" s="91" t="s">
        <v>202</v>
      </c>
      <c r="U77" s="93">
        <v>4839.8100000000004</v>
      </c>
      <c r="V77" s="6">
        <f t="shared" si="6"/>
        <v>1.1701920845849534E-2</v>
      </c>
    </row>
    <row r="78" spans="2:22" ht="14.4">
      <c r="B78" s="90">
        <v>45474</v>
      </c>
      <c r="C78" s="91">
        <v>77.97</v>
      </c>
      <c r="D78" s="92">
        <f t="shared" si="0"/>
        <v>7.0428336079077392E-2</v>
      </c>
      <c r="E78" s="90">
        <v>45474</v>
      </c>
      <c r="F78" s="91">
        <v>191.26</v>
      </c>
      <c r="G78" s="92">
        <f t="shared" si="1"/>
        <v>1.1315566835871316E-2</v>
      </c>
      <c r="H78" s="90">
        <v>45474</v>
      </c>
      <c r="I78" s="91">
        <v>454.21</v>
      </c>
      <c r="J78" s="92">
        <f t="shared" si="2"/>
        <v>6.779979782307155E-2</v>
      </c>
      <c r="K78" s="90">
        <v>45474</v>
      </c>
      <c r="L78" s="91">
        <v>104.7</v>
      </c>
      <c r="M78" s="92">
        <f t="shared" si="3"/>
        <v>4.470165635601675E-2</v>
      </c>
      <c r="N78" s="90">
        <v>45474</v>
      </c>
      <c r="O78" s="91">
        <v>204.18</v>
      </c>
      <c r="P78" s="92">
        <f t="shared" si="4"/>
        <v>3.6920420496673767E-2</v>
      </c>
      <c r="Q78" s="90">
        <v>45474</v>
      </c>
      <c r="R78" s="91">
        <v>66.959999999999994</v>
      </c>
      <c r="S78" s="92">
        <f t="shared" si="5"/>
        <v>-1.0053222945003104E-2</v>
      </c>
      <c r="T78" s="90">
        <v>45474</v>
      </c>
      <c r="U78" s="93">
        <v>4783.83</v>
      </c>
      <c r="V78" s="6">
        <f t="shared" si="6"/>
        <v>1.8434229462407803E-2</v>
      </c>
    </row>
    <row r="79" spans="2:22" ht="14.4">
      <c r="B79" s="91" t="s">
        <v>203</v>
      </c>
      <c r="C79" s="91">
        <v>72.84</v>
      </c>
      <c r="D79" s="92">
        <f t="shared" si="0"/>
        <v>-3.561498742221636E-2</v>
      </c>
      <c r="E79" s="91" t="s">
        <v>203</v>
      </c>
      <c r="F79" s="91">
        <v>189.12</v>
      </c>
      <c r="G79" s="92">
        <f t="shared" si="1"/>
        <v>-4.9648241206030175E-2</v>
      </c>
      <c r="H79" s="91" t="s">
        <v>203</v>
      </c>
      <c r="I79" s="91">
        <v>425.37</v>
      </c>
      <c r="J79" s="92">
        <f t="shared" si="2"/>
        <v>-5.705925384052668E-2</v>
      </c>
      <c r="K79" s="91" t="s">
        <v>203</v>
      </c>
      <c r="L79" s="91">
        <v>100.22</v>
      </c>
      <c r="M79" s="92">
        <f t="shared" si="3"/>
        <v>-5.5953278070836499E-2</v>
      </c>
      <c r="N79" s="91" t="s">
        <v>203</v>
      </c>
      <c r="O79" s="91">
        <v>196.91</v>
      </c>
      <c r="P79" s="92">
        <f t="shared" si="4"/>
        <v>-4.3940570984657312E-2</v>
      </c>
      <c r="Q79" s="91" t="s">
        <v>203</v>
      </c>
      <c r="R79" s="91">
        <v>67.64</v>
      </c>
      <c r="S79" s="92">
        <f t="shared" si="5"/>
        <v>-6.0033351862145534E-2</v>
      </c>
      <c r="T79" s="91" t="s">
        <v>203</v>
      </c>
      <c r="U79" s="93">
        <v>4697.24</v>
      </c>
      <c r="V79" s="6">
        <f t="shared" si="6"/>
        <v>-1.5218571731067998E-2</v>
      </c>
    </row>
    <row r="80" spans="2:22" ht="14.4">
      <c r="B80" s="91" t="s">
        <v>204</v>
      </c>
      <c r="C80" s="91">
        <v>75.53</v>
      </c>
      <c r="D80" s="92">
        <f t="shared" si="0"/>
        <v>5.0565535595474831E-3</v>
      </c>
      <c r="E80" s="91" t="s">
        <v>204</v>
      </c>
      <c r="F80" s="91">
        <v>199</v>
      </c>
      <c r="G80" s="92">
        <f t="shared" si="1"/>
        <v>1.7018449430163063E-2</v>
      </c>
      <c r="H80" s="91" t="s">
        <v>204</v>
      </c>
      <c r="I80" s="91">
        <v>451.11</v>
      </c>
      <c r="J80" s="92">
        <f t="shared" si="2"/>
        <v>1.0347376201034653E-2</v>
      </c>
      <c r="K80" s="91" t="s">
        <v>204</v>
      </c>
      <c r="L80" s="91">
        <v>106.16</v>
      </c>
      <c r="M80" s="92">
        <f t="shared" si="3"/>
        <v>2.3604947597015702E-3</v>
      </c>
      <c r="N80" s="91" t="s">
        <v>204</v>
      </c>
      <c r="O80" s="91">
        <v>205.96</v>
      </c>
      <c r="P80" s="92">
        <f t="shared" si="4"/>
        <v>-2.0834342749163071E-3</v>
      </c>
      <c r="Q80" s="91" t="s">
        <v>204</v>
      </c>
      <c r="R80" s="91">
        <v>71.959999999999994</v>
      </c>
      <c r="S80" s="92">
        <f t="shared" si="5"/>
        <v>-2.0019065776930578E-2</v>
      </c>
      <c r="T80" s="91" t="s">
        <v>204</v>
      </c>
      <c r="U80" s="93">
        <v>4769.83</v>
      </c>
      <c r="V80" s="6">
        <f t="shared" si="6"/>
        <v>3.1968838795026766E-3</v>
      </c>
    </row>
    <row r="81" spans="2:22" ht="14.4">
      <c r="B81" s="91" t="s">
        <v>205</v>
      </c>
      <c r="C81" s="91">
        <v>75.150000000000006</v>
      </c>
      <c r="D81" s="92">
        <f t="shared" si="0"/>
        <v>-1.3391098857817973E-2</v>
      </c>
      <c r="E81" s="91" t="s">
        <v>205</v>
      </c>
      <c r="F81" s="91">
        <v>195.67</v>
      </c>
      <c r="G81" s="92">
        <f t="shared" si="1"/>
        <v>-1.6783076227325333E-2</v>
      </c>
      <c r="H81" s="91" t="s">
        <v>205</v>
      </c>
      <c r="I81" s="91">
        <v>446.49</v>
      </c>
      <c r="J81" s="92">
        <f t="shared" si="2"/>
        <v>4.6577561765897002E-3</v>
      </c>
      <c r="K81" s="91" t="s">
        <v>205</v>
      </c>
      <c r="L81" s="91">
        <v>105.91</v>
      </c>
      <c r="M81" s="92">
        <f t="shared" si="3"/>
        <v>7.8987438142368305E-3</v>
      </c>
      <c r="N81" s="91" t="s">
        <v>205</v>
      </c>
      <c r="O81" s="91">
        <v>206.39</v>
      </c>
      <c r="P81" s="92">
        <f t="shared" si="4"/>
        <v>-1.2581659811276014E-3</v>
      </c>
      <c r="Q81" s="91" t="s">
        <v>205</v>
      </c>
      <c r="R81" s="91">
        <v>73.430000000000007</v>
      </c>
      <c r="S81" s="92">
        <f t="shared" si="5"/>
        <v>-1.9495259714247481E-2</v>
      </c>
      <c r="T81" s="91" t="s">
        <v>205</v>
      </c>
      <c r="U81" s="93">
        <v>4754.63</v>
      </c>
      <c r="V81" s="6">
        <f t="shared" si="6"/>
        <v>7.5097633280287734E-3</v>
      </c>
    </row>
    <row r="82" spans="2:22" ht="14.4">
      <c r="B82" s="90">
        <v>45211</v>
      </c>
      <c r="C82" s="91">
        <v>76.17</v>
      </c>
      <c r="D82" s="92">
        <f t="shared" si="0"/>
        <v>8.3037110763543254E-2</v>
      </c>
      <c r="E82" s="90">
        <v>45211</v>
      </c>
      <c r="F82" s="91">
        <v>199.01</v>
      </c>
      <c r="G82" s="92">
        <f t="shared" si="1"/>
        <v>4.3740494047306955E-2</v>
      </c>
      <c r="H82" s="90">
        <v>45211</v>
      </c>
      <c r="I82" s="91">
        <v>444.42</v>
      </c>
      <c r="J82" s="92">
        <f t="shared" si="2"/>
        <v>-1.676991150442475E-2</v>
      </c>
      <c r="K82" s="90">
        <v>45211</v>
      </c>
      <c r="L82" s="91">
        <v>105.08</v>
      </c>
      <c r="M82" s="92">
        <f t="shared" si="3"/>
        <v>7.3818425846035041E-3</v>
      </c>
      <c r="N82" s="90">
        <v>45211</v>
      </c>
      <c r="O82" s="91">
        <v>206.65</v>
      </c>
      <c r="P82" s="92">
        <f t="shared" si="4"/>
        <v>-2.9675541156031326E-2</v>
      </c>
      <c r="Q82" s="90">
        <v>45211</v>
      </c>
      <c r="R82" s="91">
        <v>74.89</v>
      </c>
      <c r="S82" s="92">
        <f t="shared" si="5"/>
        <v>6.0314314030865068E-2</v>
      </c>
      <c r="T82" s="90">
        <v>45211</v>
      </c>
      <c r="U82" s="93">
        <v>4719.1899999999996</v>
      </c>
      <c r="V82" s="6">
        <f t="shared" si="6"/>
        <v>2.493717924493466E-2</v>
      </c>
    </row>
    <row r="83" spans="2:22" ht="14.4">
      <c r="B83" s="90">
        <v>44997</v>
      </c>
      <c r="C83" s="91">
        <v>70.33</v>
      </c>
      <c r="D83" s="92">
        <f t="shared" si="0"/>
        <v>-6.9189494493080428E-3</v>
      </c>
      <c r="E83" s="90">
        <v>44997</v>
      </c>
      <c r="F83" s="91">
        <v>190.67</v>
      </c>
      <c r="G83" s="92">
        <f t="shared" si="1"/>
        <v>2.5272893477442437E-2</v>
      </c>
      <c r="H83" s="90">
        <v>44997</v>
      </c>
      <c r="I83" s="91">
        <v>452</v>
      </c>
      <c r="J83" s="92">
        <f t="shared" si="2"/>
        <v>2.461803509090088E-2</v>
      </c>
      <c r="K83" s="90">
        <v>44997</v>
      </c>
      <c r="L83" s="91">
        <v>104.31</v>
      </c>
      <c r="M83" s="92">
        <f t="shared" si="3"/>
        <v>2.2546809136359203E-2</v>
      </c>
      <c r="N83" s="90">
        <v>44997</v>
      </c>
      <c r="O83" s="91">
        <v>212.97</v>
      </c>
      <c r="P83" s="92">
        <f t="shared" si="4"/>
        <v>-2.2041603526656628E-2</v>
      </c>
      <c r="Q83" s="90">
        <v>44997</v>
      </c>
      <c r="R83" s="91">
        <v>70.63</v>
      </c>
      <c r="S83" s="92">
        <f t="shared" si="5"/>
        <v>-1.3547486033519518E-2</v>
      </c>
      <c r="T83" s="90">
        <v>44997</v>
      </c>
      <c r="U83" s="93">
        <v>4604.37</v>
      </c>
      <c r="V83" s="6">
        <f t="shared" si="6"/>
        <v>2.1198660175030248E-3</v>
      </c>
    </row>
    <row r="84" spans="2:22" ht="14.4">
      <c r="B84" s="91" t="s">
        <v>206</v>
      </c>
      <c r="C84" s="91">
        <v>70.819999999999993</v>
      </c>
      <c r="D84" s="92">
        <f t="shared" si="0"/>
        <v>-4.9178024448505164E-3</v>
      </c>
      <c r="E84" s="91" t="s">
        <v>206</v>
      </c>
      <c r="F84" s="91">
        <v>185.97</v>
      </c>
      <c r="G84" s="92">
        <f t="shared" si="1"/>
        <v>8.6527225987380163E-2</v>
      </c>
      <c r="H84" s="91" t="s">
        <v>206</v>
      </c>
      <c r="I84" s="91">
        <v>441.14</v>
      </c>
      <c r="J84" s="92">
        <f t="shared" si="2"/>
        <v>3.3477802506735266E-2</v>
      </c>
      <c r="K84" s="91" t="s">
        <v>206</v>
      </c>
      <c r="L84" s="91">
        <v>102.01</v>
      </c>
      <c r="M84" s="92">
        <f t="shared" si="3"/>
        <v>7.7304889639877583E-2</v>
      </c>
      <c r="N84" s="91" t="s">
        <v>206</v>
      </c>
      <c r="O84" s="91">
        <v>217.77</v>
      </c>
      <c r="P84" s="92">
        <f t="shared" si="4"/>
        <v>2.1291563100876987E-2</v>
      </c>
      <c r="Q84" s="91" t="s">
        <v>206</v>
      </c>
      <c r="R84" s="91">
        <v>71.599999999999994</v>
      </c>
      <c r="S84" s="92">
        <f t="shared" si="5"/>
        <v>6.4367474357068577E-2</v>
      </c>
      <c r="T84" s="91" t="s">
        <v>206</v>
      </c>
      <c r="U84" s="93">
        <v>4594.63</v>
      </c>
      <c r="V84" s="6">
        <f t="shared" si="6"/>
        <v>7.740155373365365E-3</v>
      </c>
    </row>
    <row r="85" spans="2:22" ht="14.4">
      <c r="B85" s="91" t="s">
        <v>207</v>
      </c>
      <c r="C85" s="91">
        <v>71.17</v>
      </c>
      <c r="D85" s="92">
        <f t="shared" si="0"/>
        <v>2.3586940888824959E-2</v>
      </c>
      <c r="E85" s="91" t="s">
        <v>207</v>
      </c>
      <c r="F85" s="91">
        <v>171.16</v>
      </c>
      <c r="G85" s="92">
        <f t="shared" si="1"/>
        <v>5.7522397281433379E-2</v>
      </c>
      <c r="H85" s="91" t="s">
        <v>207</v>
      </c>
      <c r="I85" s="91">
        <v>426.85</v>
      </c>
      <c r="J85" s="92">
        <f t="shared" si="2"/>
        <v>2.2125906946672824E-2</v>
      </c>
      <c r="K85" s="91" t="s">
        <v>207</v>
      </c>
      <c r="L85" s="91">
        <v>94.69</v>
      </c>
      <c r="M85" s="92">
        <f t="shared" si="3"/>
        <v>2.8009988057757118E-2</v>
      </c>
      <c r="N85" s="91" t="s">
        <v>207</v>
      </c>
      <c r="O85" s="91">
        <v>213.23</v>
      </c>
      <c r="P85" s="92">
        <f t="shared" si="4"/>
        <v>1.4801066057490875E-2</v>
      </c>
      <c r="Q85" s="91" t="s">
        <v>207</v>
      </c>
      <c r="R85" s="91">
        <v>67.27</v>
      </c>
      <c r="S85" s="92">
        <f t="shared" si="5"/>
        <v>1.2035504738979963E-2</v>
      </c>
      <c r="T85" s="91" t="s">
        <v>207</v>
      </c>
      <c r="U85" s="93">
        <v>4559.34</v>
      </c>
      <c r="V85" s="6">
        <f t="shared" si="6"/>
        <v>1.003983145843379E-2</v>
      </c>
    </row>
    <row r="86" spans="2:22" ht="14.4">
      <c r="B86" s="90">
        <v>45271</v>
      </c>
      <c r="C86" s="91">
        <v>69.53</v>
      </c>
      <c r="D86" s="92">
        <f t="shared" ref="D86:D149" si="7">(C86/C87)-1</f>
        <v>5.4283548142532112E-2</v>
      </c>
      <c r="E86" s="90">
        <v>45271</v>
      </c>
      <c r="F86" s="91">
        <v>161.85</v>
      </c>
      <c r="G86" s="92">
        <f t="shared" ref="G86:G149" si="8">(F86/F87)-1</f>
        <v>9.039900249376398E-3</v>
      </c>
      <c r="H86" s="90">
        <v>45271</v>
      </c>
      <c r="I86" s="91">
        <v>417.61</v>
      </c>
      <c r="J86" s="92">
        <f t="shared" ref="J86:J149" si="9">(I86/I87)-1</f>
        <v>1.4527609746617154E-2</v>
      </c>
      <c r="K86" s="90">
        <v>45271</v>
      </c>
      <c r="L86" s="91">
        <v>92.11</v>
      </c>
      <c r="M86" s="92">
        <f t="shared" ref="M86:M149" si="10">(L86/L87)-1</f>
        <v>5.0884198516828238E-2</v>
      </c>
      <c r="N86" s="90">
        <v>45271</v>
      </c>
      <c r="O86" s="91">
        <v>210.12</v>
      </c>
      <c r="P86" s="92">
        <f t="shared" ref="P86:P149" si="11">(O86/O87)-1</f>
        <v>1.3799092926758627E-2</v>
      </c>
      <c r="Q86" s="90">
        <v>45271</v>
      </c>
      <c r="R86" s="91">
        <v>66.47</v>
      </c>
      <c r="S86" s="92">
        <f t="shared" ref="S86:S149" si="12">(R86/R87)-1</f>
        <v>3.8431495078893763E-2</v>
      </c>
      <c r="T86" s="90">
        <v>45271</v>
      </c>
      <c r="U86" s="93">
        <v>4514.0200000000004</v>
      </c>
      <c r="V86" s="6">
        <f t="shared" ref="V86:V149" si="13">(U86/U87)-1</f>
        <v>2.2372509761643844E-2</v>
      </c>
    </row>
    <row r="87" spans="2:22" ht="14.4">
      <c r="B87" s="90">
        <v>45057</v>
      </c>
      <c r="C87" s="91">
        <v>65.95</v>
      </c>
      <c r="D87" s="92">
        <f t="shared" si="7"/>
        <v>-4.8287309491473751E-3</v>
      </c>
      <c r="E87" s="90">
        <v>45057</v>
      </c>
      <c r="F87" s="91">
        <v>160.4</v>
      </c>
      <c r="G87" s="92">
        <f t="shared" si="8"/>
        <v>6.9404626975131611E-2</v>
      </c>
      <c r="H87" s="90">
        <v>45057</v>
      </c>
      <c r="I87" s="91">
        <v>411.63</v>
      </c>
      <c r="J87" s="92">
        <f t="shared" si="9"/>
        <v>6.4441054019808153E-2</v>
      </c>
      <c r="K87" s="90">
        <v>45057</v>
      </c>
      <c r="L87" s="91">
        <v>87.65</v>
      </c>
      <c r="M87" s="92">
        <f t="shared" si="10"/>
        <v>2.4427302477793456E-2</v>
      </c>
      <c r="N87" s="90">
        <v>45057</v>
      </c>
      <c r="O87" s="91">
        <v>207.26</v>
      </c>
      <c r="P87" s="92">
        <f t="shared" si="11"/>
        <v>2.3556718850313407E-2</v>
      </c>
      <c r="Q87" s="90">
        <v>45057</v>
      </c>
      <c r="R87" s="91">
        <v>64.010000000000005</v>
      </c>
      <c r="S87" s="92">
        <f t="shared" si="12"/>
        <v>-0.19056651492159826</v>
      </c>
      <c r="T87" s="90">
        <v>45057</v>
      </c>
      <c r="U87" s="93">
        <v>4415.24</v>
      </c>
      <c r="V87" s="6">
        <f t="shared" si="13"/>
        <v>1.3055429360719906E-2</v>
      </c>
    </row>
    <row r="88" spans="2:22" ht="14.4">
      <c r="B88" s="91" t="s">
        <v>208</v>
      </c>
      <c r="C88" s="91">
        <v>66.27</v>
      </c>
      <c r="D88" s="92">
        <f t="shared" si="7"/>
        <v>4.6919431279620838E-2</v>
      </c>
      <c r="E88" s="91" t="s">
        <v>208</v>
      </c>
      <c r="F88" s="91">
        <v>149.99</v>
      </c>
      <c r="G88" s="92">
        <f t="shared" si="8"/>
        <v>4.610126935416381E-2</v>
      </c>
      <c r="H88" s="91" t="s">
        <v>208</v>
      </c>
      <c r="I88" s="91">
        <v>386.71</v>
      </c>
      <c r="J88" s="92">
        <f t="shared" si="9"/>
        <v>0.18710093320235743</v>
      </c>
      <c r="K88" s="91" t="s">
        <v>208</v>
      </c>
      <c r="L88" s="91">
        <v>85.56</v>
      </c>
      <c r="M88" s="92">
        <f t="shared" si="10"/>
        <v>0.19397153223555685</v>
      </c>
      <c r="N88" s="91" t="s">
        <v>208</v>
      </c>
      <c r="O88" s="91">
        <v>202.49</v>
      </c>
      <c r="P88" s="92">
        <f t="shared" si="11"/>
        <v>5.1186211908840873E-2</v>
      </c>
      <c r="Q88" s="91" t="s">
        <v>208</v>
      </c>
      <c r="R88" s="91">
        <v>79.08</v>
      </c>
      <c r="S88" s="92">
        <f t="shared" si="12"/>
        <v>0.18276996709542326</v>
      </c>
      <c r="T88" s="91" t="s">
        <v>208</v>
      </c>
      <c r="U88" s="93">
        <v>4358.34</v>
      </c>
      <c r="V88" s="6">
        <f t="shared" si="13"/>
        <v>5.852522362576118E-2</v>
      </c>
    </row>
    <row r="89" spans="2:22" ht="14.4">
      <c r="B89" s="91" t="s">
        <v>209</v>
      </c>
      <c r="C89" s="91">
        <v>63.3</v>
      </c>
      <c r="D89" s="92">
        <f t="shared" si="7"/>
        <v>-3.7115911165196191E-2</v>
      </c>
      <c r="E89" s="91" t="s">
        <v>209</v>
      </c>
      <c r="F89" s="91">
        <v>143.38</v>
      </c>
      <c r="G89" s="92">
        <f t="shared" si="8"/>
        <v>-2.9051262951174883E-2</v>
      </c>
      <c r="H89" s="91" t="s">
        <v>209</v>
      </c>
      <c r="I89" s="91">
        <v>325.76</v>
      </c>
      <c r="J89" s="92">
        <f t="shared" si="9"/>
        <v>-6.5947929808464312E-2</v>
      </c>
      <c r="K89" s="91" t="s">
        <v>209</v>
      </c>
      <c r="L89" s="91">
        <v>71.66</v>
      </c>
      <c r="M89" s="92">
        <f t="shared" si="10"/>
        <v>-3.7991676735132263E-2</v>
      </c>
      <c r="N89" s="91" t="s">
        <v>209</v>
      </c>
      <c r="O89" s="91">
        <v>192.63</v>
      </c>
      <c r="P89" s="92">
        <f t="shared" si="11"/>
        <v>-7.4428214491639499E-2</v>
      </c>
      <c r="Q89" s="91" t="s">
        <v>209</v>
      </c>
      <c r="R89" s="91">
        <v>66.86</v>
      </c>
      <c r="S89" s="92">
        <f t="shared" si="12"/>
        <v>-9.7218471509586846E-2</v>
      </c>
      <c r="T89" s="91" t="s">
        <v>209</v>
      </c>
      <c r="U89" s="93">
        <v>4117.37</v>
      </c>
      <c r="V89" s="6">
        <f t="shared" si="13"/>
        <v>-2.5280765880080325E-2</v>
      </c>
    </row>
    <row r="90" spans="2:22" ht="14.4">
      <c r="B90" s="91" t="s">
        <v>210</v>
      </c>
      <c r="C90" s="91">
        <v>65.739999999999995</v>
      </c>
      <c r="D90" s="92">
        <f t="shared" si="7"/>
        <v>-6.0808756460939417E-4</v>
      </c>
      <c r="E90" s="91" t="s">
        <v>210</v>
      </c>
      <c r="F90" s="91">
        <v>147.66999999999999</v>
      </c>
      <c r="G90" s="92">
        <f t="shared" si="8"/>
        <v>-6.0384321710358901E-2</v>
      </c>
      <c r="H90" s="91" t="s">
        <v>210</v>
      </c>
      <c r="I90" s="91">
        <v>348.76</v>
      </c>
      <c r="J90" s="92">
        <f t="shared" si="9"/>
        <v>-2.6408352409134195E-2</v>
      </c>
      <c r="K90" s="91" t="s">
        <v>210</v>
      </c>
      <c r="L90" s="91">
        <v>74.489999999999995</v>
      </c>
      <c r="M90" s="92">
        <f t="shared" si="10"/>
        <v>-8.0482897384304142E-4</v>
      </c>
      <c r="N90" s="91" t="s">
        <v>210</v>
      </c>
      <c r="O90" s="91">
        <v>208.12</v>
      </c>
      <c r="P90" s="92">
        <f t="shared" si="11"/>
        <v>3.1329830818913607E-3</v>
      </c>
      <c r="Q90" s="91" t="s">
        <v>210</v>
      </c>
      <c r="R90" s="91">
        <v>74.06</v>
      </c>
      <c r="S90" s="92">
        <f t="shared" si="12"/>
        <v>-7.7018943170488408E-2</v>
      </c>
      <c r="T90" s="91" t="s">
        <v>210</v>
      </c>
      <c r="U90" s="93">
        <v>4224.16</v>
      </c>
      <c r="V90" s="6">
        <f t="shared" si="13"/>
        <v>-2.3942991556872073E-2</v>
      </c>
    </row>
    <row r="91" spans="2:22" ht="14.4">
      <c r="B91" s="90">
        <v>45148</v>
      </c>
      <c r="C91" s="91">
        <v>65.78</v>
      </c>
      <c r="D91" s="92">
        <f t="shared" si="7"/>
        <v>-3.036556603773588E-2</v>
      </c>
      <c r="E91" s="90">
        <v>45148</v>
      </c>
      <c r="F91" s="91">
        <v>157.16</v>
      </c>
      <c r="G91" s="92">
        <f t="shared" si="8"/>
        <v>-1.7442950922163081E-2</v>
      </c>
      <c r="H91" s="90">
        <v>45148</v>
      </c>
      <c r="I91" s="91">
        <v>358.22</v>
      </c>
      <c r="J91" s="92">
        <f t="shared" si="9"/>
        <v>1.306561085972846E-2</v>
      </c>
      <c r="K91" s="90">
        <v>45148</v>
      </c>
      <c r="L91" s="91">
        <v>74.55</v>
      </c>
      <c r="M91" s="92">
        <f t="shared" si="10"/>
        <v>2.2855606345792978E-3</v>
      </c>
      <c r="N91" s="90">
        <v>45148</v>
      </c>
      <c r="O91" s="91">
        <v>207.47</v>
      </c>
      <c r="P91" s="92">
        <f t="shared" si="11"/>
        <v>1.2547656966361842E-3</v>
      </c>
      <c r="Q91" s="90">
        <v>45148</v>
      </c>
      <c r="R91" s="91">
        <v>80.239999999999995</v>
      </c>
      <c r="S91" s="92">
        <f t="shared" si="12"/>
        <v>-2.3250152160681825E-2</v>
      </c>
      <c r="T91" s="90">
        <v>45148</v>
      </c>
      <c r="U91" s="93">
        <v>4327.78</v>
      </c>
      <c r="V91" s="6">
        <f t="shared" si="13"/>
        <v>4.4748752466055031E-3</v>
      </c>
    </row>
    <row r="92" spans="2:22" ht="14.4">
      <c r="B92" s="90">
        <v>44936</v>
      </c>
      <c r="C92" s="91">
        <v>67.84</v>
      </c>
      <c r="D92" s="92">
        <f t="shared" si="7"/>
        <v>1.4762326542663295E-3</v>
      </c>
      <c r="E92" s="90">
        <v>44936</v>
      </c>
      <c r="F92" s="91">
        <v>159.94999999999999</v>
      </c>
      <c r="G92" s="92">
        <f t="shared" si="8"/>
        <v>4.6998756300320688E-2</v>
      </c>
      <c r="H92" s="90">
        <v>44936</v>
      </c>
      <c r="I92" s="91">
        <v>353.6</v>
      </c>
      <c r="J92" s="92">
        <f t="shared" si="9"/>
        <v>2.9073659090247617E-2</v>
      </c>
      <c r="K92" s="90">
        <v>44936</v>
      </c>
      <c r="L92" s="91">
        <v>74.38</v>
      </c>
      <c r="M92" s="92">
        <f t="shared" si="10"/>
        <v>-1.3426423200860738E-3</v>
      </c>
      <c r="N92" s="90">
        <v>44936</v>
      </c>
      <c r="O92" s="91">
        <v>207.21</v>
      </c>
      <c r="P92" s="92">
        <f t="shared" si="11"/>
        <v>2.3107687749962968E-2</v>
      </c>
      <c r="Q92" s="90">
        <v>44936</v>
      </c>
      <c r="R92" s="91">
        <v>82.15</v>
      </c>
      <c r="S92" s="92">
        <f t="shared" si="12"/>
        <v>5.1183621241202903E-2</v>
      </c>
      <c r="T92" s="90">
        <v>44936</v>
      </c>
      <c r="U92" s="93">
        <v>4308.5</v>
      </c>
      <c r="V92" s="6">
        <f t="shared" si="13"/>
        <v>4.7690675248655001E-3</v>
      </c>
    </row>
    <row r="93" spans="2:22" ht="14.4">
      <c r="B93" s="91" t="s">
        <v>211</v>
      </c>
      <c r="C93" s="91">
        <v>67.739999999999995</v>
      </c>
      <c r="D93" s="92">
        <f t="shared" si="7"/>
        <v>-2.6863956328113892E-2</v>
      </c>
      <c r="E93" s="91" t="s">
        <v>211</v>
      </c>
      <c r="F93" s="91">
        <v>152.77000000000001</v>
      </c>
      <c r="G93" s="92">
        <f t="shared" si="8"/>
        <v>2.0507682030728169E-2</v>
      </c>
      <c r="H93" s="91" t="s">
        <v>211</v>
      </c>
      <c r="I93" s="91">
        <v>343.61</v>
      </c>
      <c r="J93" s="92">
        <f t="shared" si="9"/>
        <v>-3.5507775220344651E-2</v>
      </c>
      <c r="K93" s="91" t="s">
        <v>211</v>
      </c>
      <c r="L93" s="91">
        <v>74.48</v>
      </c>
      <c r="M93" s="92">
        <f t="shared" si="10"/>
        <v>1.7069507032636988E-2</v>
      </c>
      <c r="N93" s="91" t="s">
        <v>211</v>
      </c>
      <c r="O93" s="91">
        <v>202.53</v>
      </c>
      <c r="P93" s="92">
        <f t="shared" si="11"/>
        <v>1.4069697576607254E-2</v>
      </c>
      <c r="Q93" s="91" t="s">
        <v>211</v>
      </c>
      <c r="R93" s="91">
        <v>78.150000000000006</v>
      </c>
      <c r="S93" s="92">
        <f t="shared" si="12"/>
        <v>2.3575638506876384E-2</v>
      </c>
      <c r="T93" s="91" t="s">
        <v>211</v>
      </c>
      <c r="U93" s="93">
        <v>4288.05</v>
      </c>
      <c r="V93" s="6">
        <f t="shared" si="13"/>
        <v>-7.4096193108429409E-3</v>
      </c>
    </row>
    <row r="94" spans="2:22" ht="14.4">
      <c r="B94" s="91" t="s">
        <v>212</v>
      </c>
      <c r="C94" s="91">
        <v>69.61</v>
      </c>
      <c r="D94" s="92">
        <f t="shared" si="7"/>
        <v>-7.9806184979336336E-3</v>
      </c>
      <c r="E94" s="91" t="s">
        <v>212</v>
      </c>
      <c r="F94" s="91">
        <v>149.69999999999999</v>
      </c>
      <c r="G94" s="92">
        <f t="shared" si="8"/>
        <v>-7.8258727910842985E-2</v>
      </c>
      <c r="H94" s="91" t="s">
        <v>212</v>
      </c>
      <c r="I94" s="91">
        <v>356.26</v>
      </c>
      <c r="J94" s="92">
        <f t="shared" si="9"/>
        <v>1.7478722796595569E-2</v>
      </c>
      <c r="K94" s="91" t="s">
        <v>212</v>
      </c>
      <c r="L94" s="91">
        <v>73.23</v>
      </c>
      <c r="M94" s="92">
        <f t="shared" si="10"/>
        <v>-3.3650039588281833E-2</v>
      </c>
      <c r="N94" s="91" t="s">
        <v>212</v>
      </c>
      <c r="O94" s="91">
        <v>199.72</v>
      </c>
      <c r="P94" s="92">
        <f t="shared" si="11"/>
        <v>-4.9820645675567876E-3</v>
      </c>
      <c r="Q94" s="91" t="s">
        <v>212</v>
      </c>
      <c r="R94" s="91">
        <v>76.349999999999994</v>
      </c>
      <c r="S94" s="92">
        <f t="shared" si="12"/>
        <v>-8.4312784840489319E-2</v>
      </c>
      <c r="T94" s="91" t="s">
        <v>212</v>
      </c>
      <c r="U94" s="93">
        <v>4320.0600000000004</v>
      </c>
      <c r="V94" s="6">
        <f t="shared" si="13"/>
        <v>-2.9269805317370334E-2</v>
      </c>
    </row>
    <row r="95" spans="2:22" ht="14.4">
      <c r="B95" s="90">
        <v>45208</v>
      </c>
      <c r="C95" s="91">
        <v>70.17</v>
      </c>
      <c r="D95" s="92">
        <f t="shared" si="7"/>
        <v>-1.6400336417157324E-2</v>
      </c>
      <c r="E95" s="90">
        <v>45208</v>
      </c>
      <c r="F95" s="91">
        <v>162.41</v>
      </c>
      <c r="G95" s="92">
        <f t="shared" si="8"/>
        <v>-2.1331726423621578E-2</v>
      </c>
      <c r="H95" s="90">
        <v>45208</v>
      </c>
      <c r="I95" s="91">
        <v>350.14</v>
      </c>
      <c r="J95" s="92">
        <f t="shared" si="9"/>
        <v>-1.1322885782860337E-2</v>
      </c>
      <c r="K95" s="90">
        <v>45208</v>
      </c>
      <c r="L95" s="91">
        <v>75.78</v>
      </c>
      <c r="M95" s="92">
        <f t="shared" si="10"/>
        <v>1.6090104585679832E-2</v>
      </c>
      <c r="N95" s="90">
        <v>45208</v>
      </c>
      <c r="O95" s="91">
        <v>200.72</v>
      </c>
      <c r="P95" s="92">
        <f t="shared" si="11"/>
        <v>-2.8272656855151013E-2</v>
      </c>
      <c r="Q95" s="90">
        <v>45208</v>
      </c>
      <c r="R95" s="91">
        <v>83.38</v>
      </c>
      <c r="S95" s="92">
        <f t="shared" si="12"/>
        <v>-6.0793896769579803E-3</v>
      </c>
      <c r="T95" s="90">
        <v>45208</v>
      </c>
      <c r="U95" s="93">
        <v>4450.32</v>
      </c>
      <c r="V95" s="6">
        <f t="shared" si="13"/>
        <v>-1.6085285665251581E-3</v>
      </c>
    </row>
    <row r="96" spans="2:22" ht="14.4">
      <c r="B96" s="90">
        <v>44994</v>
      </c>
      <c r="C96" s="91">
        <v>71.34</v>
      </c>
      <c r="D96" s="92">
        <f t="shared" si="7"/>
        <v>-5.4370556252614222E-3</v>
      </c>
      <c r="E96" s="90">
        <v>44994</v>
      </c>
      <c r="F96" s="91">
        <v>165.95</v>
      </c>
      <c r="G96" s="92">
        <f t="shared" si="8"/>
        <v>5.6468041762159249E-2</v>
      </c>
      <c r="H96" s="90">
        <v>44994</v>
      </c>
      <c r="I96" s="91">
        <v>354.15</v>
      </c>
      <c r="J96" s="92">
        <f t="shared" si="9"/>
        <v>1.1741515255399237E-2</v>
      </c>
      <c r="K96" s="90">
        <v>44994</v>
      </c>
      <c r="L96" s="91">
        <v>74.58</v>
      </c>
      <c r="M96" s="92">
        <f t="shared" si="10"/>
        <v>2.6565726083964014E-2</v>
      </c>
      <c r="N96" s="90">
        <v>44994</v>
      </c>
      <c r="O96" s="91">
        <v>206.56</v>
      </c>
      <c r="P96" s="92">
        <f t="shared" si="11"/>
        <v>6.8730197416524419E-3</v>
      </c>
      <c r="Q96" s="90">
        <v>44994</v>
      </c>
      <c r="R96" s="91">
        <v>83.89</v>
      </c>
      <c r="S96" s="92">
        <f t="shared" si="12"/>
        <v>4.9543350431627609E-2</v>
      </c>
      <c r="T96" s="90">
        <v>44994</v>
      </c>
      <c r="U96" s="93">
        <v>4457.49</v>
      </c>
      <c r="V96" s="6">
        <f t="shared" si="13"/>
        <v>-1.290588316056851E-2</v>
      </c>
    </row>
    <row r="97" spans="2:22" ht="14.4">
      <c r="B97" s="91" t="s">
        <v>213</v>
      </c>
      <c r="C97" s="91">
        <v>71.73</v>
      </c>
      <c r="D97" s="92">
        <f t="shared" si="7"/>
        <v>2.3836711390236909E-2</v>
      </c>
      <c r="E97" s="91" t="s">
        <v>213</v>
      </c>
      <c r="F97" s="91">
        <v>157.08000000000001</v>
      </c>
      <c r="G97" s="92">
        <f t="shared" si="8"/>
        <v>2.9695181907571255E-2</v>
      </c>
      <c r="H97" s="91" t="s">
        <v>213</v>
      </c>
      <c r="I97" s="91">
        <v>350.04</v>
      </c>
      <c r="J97" s="92">
        <f t="shared" si="9"/>
        <v>2.204443925370092E-2</v>
      </c>
      <c r="K97" s="91" t="s">
        <v>213</v>
      </c>
      <c r="L97" s="91">
        <v>72.650000000000006</v>
      </c>
      <c r="M97" s="92">
        <f t="shared" si="10"/>
        <v>1.579977628635354E-2</v>
      </c>
      <c r="N97" s="91" t="s">
        <v>213</v>
      </c>
      <c r="O97" s="91">
        <v>205.15</v>
      </c>
      <c r="P97" s="92">
        <f t="shared" si="11"/>
        <v>-2.8676970934189416E-3</v>
      </c>
      <c r="Q97" s="91" t="s">
        <v>213</v>
      </c>
      <c r="R97" s="91">
        <v>79.930000000000007</v>
      </c>
      <c r="S97" s="92">
        <f t="shared" si="12"/>
        <v>5.2957449611382046E-2</v>
      </c>
      <c r="T97" s="91" t="s">
        <v>213</v>
      </c>
      <c r="U97" s="93">
        <v>4515.7700000000004</v>
      </c>
      <c r="V97" s="6">
        <f t="shared" si="13"/>
        <v>2.4981217556307778E-2</v>
      </c>
    </row>
    <row r="98" spans="2:22" ht="14.4">
      <c r="B98" s="91" t="s">
        <v>214</v>
      </c>
      <c r="C98" s="91">
        <v>70.06</v>
      </c>
      <c r="D98" s="92">
        <f t="shared" si="7"/>
        <v>1.8313953488372059E-2</v>
      </c>
      <c r="E98" s="91" t="s">
        <v>214</v>
      </c>
      <c r="F98" s="91">
        <v>152.55000000000001</v>
      </c>
      <c r="G98" s="92">
        <f t="shared" si="8"/>
        <v>3.3326559642349318E-2</v>
      </c>
      <c r="H98" s="91" t="s">
        <v>214</v>
      </c>
      <c r="I98" s="91">
        <v>342.49</v>
      </c>
      <c r="J98" s="92">
        <f t="shared" si="9"/>
        <v>4.3699527655035819E-2</v>
      </c>
      <c r="K98" s="91" t="s">
        <v>214</v>
      </c>
      <c r="L98" s="91">
        <v>71.52</v>
      </c>
      <c r="M98" s="92">
        <f t="shared" si="10"/>
        <v>2.2444603288062748E-2</v>
      </c>
      <c r="N98" s="91" t="s">
        <v>214</v>
      </c>
      <c r="O98" s="91">
        <v>205.74</v>
      </c>
      <c r="P98" s="92">
        <f t="shared" si="11"/>
        <v>2.1853581007251544E-2</v>
      </c>
      <c r="Q98" s="91" t="s">
        <v>214</v>
      </c>
      <c r="R98" s="91">
        <v>75.91</v>
      </c>
      <c r="S98" s="92">
        <f t="shared" si="12"/>
        <v>5.1676364643945538E-2</v>
      </c>
      <c r="T98" s="91" t="s">
        <v>214</v>
      </c>
      <c r="U98" s="93">
        <v>4405.71</v>
      </c>
      <c r="V98" s="6">
        <f t="shared" si="13"/>
        <v>8.2385329918919226E-3</v>
      </c>
    </row>
    <row r="99" spans="2:22" ht="14.4">
      <c r="B99" s="91" t="s">
        <v>215</v>
      </c>
      <c r="C99" s="91">
        <v>68.8</v>
      </c>
      <c r="D99" s="92">
        <f t="shared" si="7"/>
        <v>-1.8264840182648401E-2</v>
      </c>
      <c r="E99" s="91" t="s">
        <v>215</v>
      </c>
      <c r="F99" s="91">
        <v>147.63</v>
      </c>
      <c r="G99" s="92">
        <f t="shared" si="8"/>
        <v>-3.7425832952989513E-2</v>
      </c>
      <c r="H99" s="91" t="s">
        <v>215</v>
      </c>
      <c r="I99" s="91">
        <v>328.15</v>
      </c>
      <c r="J99" s="92">
        <f t="shared" si="9"/>
        <v>-3.4739381103659261E-2</v>
      </c>
      <c r="K99" s="91" t="s">
        <v>215</v>
      </c>
      <c r="L99" s="91">
        <v>69.95</v>
      </c>
      <c r="M99" s="92">
        <f t="shared" si="10"/>
        <v>-1.0468241618333485E-2</v>
      </c>
      <c r="N99" s="91" t="s">
        <v>215</v>
      </c>
      <c r="O99" s="91">
        <v>201.34</v>
      </c>
      <c r="P99" s="92">
        <f t="shared" si="11"/>
        <v>-2.2431540104874803E-2</v>
      </c>
      <c r="Q99" s="91" t="s">
        <v>215</v>
      </c>
      <c r="R99" s="91">
        <v>72.180000000000007</v>
      </c>
      <c r="S99" s="92">
        <f t="shared" si="12"/>
        <v>-3.2699008308764377E-2</v>
      </c>
      <c r="T99" s="91" t="s">
        <v>215</v>
      </c>
      <c r="U99" s="93">
        <v>4369.71</v>
      </c>
      <c r="V99" s="6">
        <f t="shared" si="13"/>
        <v>-2.1133275836964227E-2</v>
      </c>
    </row>
    <row r="100" spans="2:22" ht="14.4">
      <c r="B100" s="90">
        <v>45085</v>
      </c>
      <c r="C100" s="91">
        <v>70.08</v>
      </c>
      <c r="D100" s="92">
        <f t="shared" si="7"/>
        <v>-1.2957746478873267E-2</v>
      </c>
      <c r="E100" s="90">
        <v>45085</v>
      </c>
      <c r="F100" s="91">
        <v>153.37</v>
      </c>
      <c r="G100" s="92">
        <f t="shared" si="8"/>
        <v>-7.979840403191929E-2</v>
      </c>
      <c r="H100" s="90">
        <v>45085</v>
      </c>
      <c r="I100" s="91">
        <v>339.96</v>
      </c>
      <c r="J100" s="92">
        <f t="shared" si="9"/>
        <v>9.2925214499894881E-3</v>
      </c>
      <c r="K100" s="90">
        <v>45085</v>
      </c>
      <c r="L100" s="91">
        <v>70.69</v>
      </c>
      <c r="M100" s="92">
        <f t="shared" si="10"/>
        <v>1.449483352468417E-2</v>
      </c>
      <c r="N100" s="90">
        <v>45085</v>
      </c>
      <c r="O100" s="91">
        <v>205.96</v>
      </c>
      <c r="P100" s="92">
        <f t="shared" si="11"/>
        <v>4.1441177904539828E-3</v>
      </c>
      <c r="Q100" s="90">
        <v>45085</v>
      </c>
      <c r="R100" s="91">
        <v>74.62</v>
      </c>
      <c r="S100" s="92">
        <f t="shared" si="12"/>
        <v>-0.12046204620462042</v>
      </c>
      <c r="T100" s="90">
        <v>45085</v>
      </c>
      <c r="U100" s="93">
        <v>4464.05</v>
      </c>
      <c r="V100" s="6">
        <f t="shared" si="13"/>
        <v>-3.1219085178079142E-3</v>
      </c>
    </row>
    <row r="101" spans="2:22" ht="14.4">
      <c r="B101" s="91" t="s">
        <v>216</v>
      </c>
      <c r="C101" s="91">
        <v>71</v>
      </c>
      <c r="D101" s="92">
        <f t="shared" si="7"/>
        <v>7.9683698296836969E-2</v>
      </c>
      <c r="E101" s="91" t="s">
        <v>216</v>
      </c>
      <c r="F101" s="91">
        <v>166.67</v>
      </c>
      <c r="G101" s="92">
        <f t="shared" si="8"/>
        <v>-4.667391180003444E-2</v>
      </c>
      <c r="H101" s="91" t="s">
        <v>216</v>
      </c>
      <c r="I101" s="91">
        <v>336.83</v>
      </c>
      <c r="J101" s="92">
        <f t="shared" si="9"/>
        <v>-3.998745938550996E-2</v>
      </c>
      <c r="K101" s="91" t="s">
        <v>216</v>
      </c>
      <c r="L101" s="91">
        <v>69.680000000000007</v>
      </c>
      <c r="M101" s="92">
        <f t="shared" si="10"/>
        <v>-6.582651830004016E-2</v>
      </c>
      <c r="N101" s="91" t="s">
        <v>216</v>
      </c>
      <c r="O101" s="91">
        <v>205.11</v>
      </c>
      <c r="P101" s="92">
        <f t="shared" si="11"/>
        <v>-1.5219896293451107E-2</v>
      </c>
      <c r="Q101" s="91" t="s">
        <v>216</v>
      </c>
      <c r="R101" s="91">
        <v>84.84</v>
      </c>
      <c r="S101" s="92">
        <f t="shared" si="12"/>
        <v>-6.2023217247097806E-2</v>
      </c>
      <c r="T101" s="91" t="s">
        <v>216</v>
      </c>
      <c r="U101" s="93">
        <v>4478.03</v>
      </c>
      <c r="V101" s="6">
        <f t="shared" si="13"/>
        <v>-2.2740019597444872E-2</v>
      </c>
    </row>
    <row r="102" spans="2:22" ht="14.4">
      <c r="B102" s="91" t="s">
        <v>217</v>
      </c>
      <c r="C102" s="91">
        <v>65.760000000000005</v>
      </c>
      <c r="D102" s="92">
        <f t="shared" si="7"/>
        <v>-1.5716210148181364E-2</v>
      </c>
      <c r="E102" s="91" t="s">
        <v>217</v>
      </c>
      <c r="F102" s="91">
        <v>174.83</v>
      </c>
      <c r="G102" s="92">
        <f t="shared" si="8"/>
        <v>-6.083001705514457E-3</v>
      </c>
      <c r="H102" s="91" t="s">
        <v>217</v>
      </c>
      <c r="I102" s="91">
        <v>350.86</v>
      </c>
      <c r="J102" s="92">
        <f t="shared" si="9"/>
        <v>-1.4022762399887645E-2</v>
      </c>
      <c r="K102" s="91" t="s">
        <v>217</v>
      </c>
      <c r="L102" s="91">
        <v>74.59</v>
      </c>
      <c r="M102" s="92">
        <f t="shared" si="10"/>
        <v>-1.4011896893588949E-2</v>
      </c>
      <c r="N102" s="91" t="s">
        <v>217</v>
      </c>
      <c r="O102" s="91">
        <v>208.28</v>
      </c>
      <c r="P102" s="92">
        <f t="shared" si="11"/>
        <v>-2.6228435176960052E-2</v>
      </c>
      <c r="Q102" s="91" t="s">
        <v>217</v>
      </c>
      <c r="R102" s="91">
        <v>90.45</v>
      </c>
      <c r="S102" s="92">
        <f t="shared" si="12"/>
        <v>7.4738593155893707E-2</v>
      </c>
      <c r="T102" s="91" t="s">
        <v>217</v>
      </c>
      <c r="U102" s="93">
        <v>4582.2299999999996</v>
      </c>
      <c r="V102" s="6">
        <f t="shared" si="13"/>
        <v>1.0116084773187151E-2</v>
      </c>
    </row>
    <row r="103" spans="2:22" ht="14.4">
      <c r="B103" s="91" t="s">
        <v>218</v>
      </c>
      <c r="C103" s="91">
        <v>66.81</v>
      </c>
      <c r="D103" s="92">
        <f t="shared" si="7"/>
        <v>-2.6093294460641236E-2</v>
      </c>
      <c r="E103" s="91" t="s">
        <v>218</v>
      </c>
      <c r="F103" s="91">
        <v>175.9</v>
      </c>
      <c r="G103" s="92">
        <f t="shared" si="8"/>
        <v>-2.7047956192267186E-2</v>
      </c>
      <c r="H103" s="91" t="s">
        <v>218</v>
      </c>
      <c r="I103" s="91">
        <v>355.85</v>
      </c>
      <c r="J103" s="92">
        <f t="shared" si="9"/>
        <v>-1.880497421898697E-2</v>
      </c>
      <c r="K103" s="91" t="s">
        <v>218</v>
      </c>
      <c r="L103" s="91">
        <v>75.650000000000006</v>
      </c>
      <c r="M103" s="92">
        <f t="shared" si="10"/>
        <v>-1.7277214861002865E-2</v>
      </c>
      <c r="N103" s="91" t="s">
        <v>218</v>
      </c>
      <c r="O103" s="91">
        <v>213.89</v>
      </c>
      <c r="P103" s="92">
        <f t="shared" si="11"/>
        <v>-1.2648294326732312E-2</v>
      </c>
      <c r="Q103" s="91" t="s">
        <v>218</v>
      </c>
      <c r="R103" s="91">
        <v>84.16</v>
      </c>
      <c r="S103" s="92">
        <f t="shared" si="12"/>
        <v>-4.3636363636363695E-2</v>
      </c>
      <c r="T103" s="91" t="s">
        <v>218</v>
      </c>
      <c r="U103" s="93">
        <v>4536.34</v>
      </c>
      <c r="V103" s="6">
        <f t="shared" si="13"/>
        <v>6.8628451953425262E-3</v>
      </c>
    </row>
    <row r="104" spans="2:22" ht="14.4">
      <c r="B104" s="90">
        <v>45176</v>
      </c>
      <c r="C104" s="91">
        <v>68.599999999999994</v>
      </c>
      <c r="D104" s="92">
        <f t="shared" si="7"/>
        <v>4.9892868074686181E-2</v>
      </c>
      <c r="E104" s="90">
        <v>45176</v>
      </c>
      <c r="F104" s="91">
        <v>180.79</v>
      </c>
      <c r="G104" s="92">
        <f t="shared" si="8"/>
        <v>5.9668249223374881E-2</v>
      </c>
      <c r="H104" s="90">
        <v>45176</v>
      </c>
      <c r="I104" s="91">
        <v>362.67</v>
      </c>
      <c r="J104" s="92">
        <f t="shared" si="9"/>
        <v>4.2934376258123796E-2</v>
      </c>
      <c r="K104" s="90">
        <v>45176</v>
      </c>
      <c r="L104" s="91">
        <v>76.98</v>
      </c>
      <c r="M104" s="92">
        <f t="shared" si="10"/>
        <v>1.9332627118644252E-2</v>
      </c>
      <c r="N104" s="90">
        <v>45176</v>
      </c>
      <c r="O104" s="91">
        <v>216.63</v>
      </c>
      <c r="P104" s="92">
        <f t="shared" si="11"/>
        <v>-2.6163182737693802E-2</v>
      </c>
      <c r="Q104" s="90">
        <v>45176</v>
      </c>
      <c r="R104" s="91">
        <v>88</v>
      </c>
      <c r="S104" s="92">
        <f t="shared" si="12"/>
        <v>0.16094986807387857</v>
      </c>
      <c r="T104" s="90">
        <v>45176</v>
      </c>
      <c r="U104" s="93">
        <v>4505.42</v>
      </c>
      <c r="V104" s="6">
        <f t="shared" si="13"/>
        <v>2.4203503108696456E-2</v>
      </c>
    </row>
    <row r="105" spans="2:22" ht="14.4">
      <c r="B105" s="90">
        <v>44964</v>
      </c>
      <c r="C105" s="91">
        <v>65.34</v>
      </c>
      <c r="D105" s="92">
        <f t="shared" si="7"/>
        <v>9.1911764705887578E-4</v>
      </c>
      <c r="E105" s="90">
        <v>44964</v>
      </c>
      <c r="F105" s="91">
        <v>170.61</v>
      </c>
      <c r="G105" s="92">
        <f t="shared" si="8"/>
        <v>-3.0514831230821549E-2</v>
      </c>
      <c r="H105" s="90">
        <v>44964</v>
      </c>
      <c r="I105" s="91">
        <v>347.74</v>
      </c>
      <c r="J105" s="92">
        <f t="shared" si="9"/>
        <v>-7.3363592246866727E-3</v>
      </c>
      <c r="K105" s="90">
        <v>44964</v>
      </c>
      <c r="L105" s="91">
        <v>75.52</v>
      </c>
      <c r="M105" s="92">
        <f t="shared" si="10"/>
        <v>5.191002262744604E-3</v>
      </c>
      <c r="N105" s="90">
        <v>44964</v>
      </c>
      <c r="O105" s="91">
        <v>222.45</v>
      </c>
      <c r="P105" s="92">
        <f t="shared" si="11"/>
        <v>-1.5577289020666463E-2</v>
      </c>
      <c r="Q105" s="90">
        <v>44964</v>
      </c>
      <c r="R105" s="91">
        <v>75.8</v>
      </c>
      <c r="S105" s="92">
        <f t="shared" si="12"/>
        <v>-1.8389018389018408E-2</v>
      </c>
      <c r="T105" s="90">
        <v>44964</v>
      </c>
      <c r="U105" s="93">
        <v>4398.95</v>
      </c>
      <c r="V105" s="6">
        <f t="shared" si="13"/>
        <v>-1.1556316539261924E-2</v>
      </c>
    </row>
    <row r="106" spans="2:22" ht="14.4">
      <c r="B106" s="91" t="s">
        <v>219</v>
      </c>
      <c r="C106" s="91">
        <v>65.28</v>
      </c>
      <c r="D106" s="92">
        <f t="shared" si="7"/>
        <v>5.2224371373307488E-2</v>
      </c>
      <c r="E106" s="91" t="s">
        <v>219</v>
      </c>
      <c r="F106" s="91">
        <v>175.98</v>
      </c>
      <c r="G106" s="92">
        <f t="shared" si="8"/>
        <v>-1.2734922861150078E-2</v>
      </c>
      <c r="H106" s="91" t="s">
        <v>219</v>
      </c>
      <c r="I106" s="91">
        <v>350.31</v>
      </c>
      <c r="J106" s="92">
        <f t="shared" si="9"/>
        <v>3.5837842632839623E-2</v>
      </c>
      <c r="K106" s="91" t="s">
        <v>219</v>
      </c>
      <c r="L106" s="91">
        <v>75.13</v>
      </c>
      <c r="M106" s="92">
        <f t="shared" si="10"/>
        <v>3.842432619212155E-2</v>
      </c>
      <c r="N106" s="91" t="s">
        <v>219</v>
      </c>
      <c r="O106" s="91">
        <v>225.97</v>
      </c>
      <c r="P106" s="92">
        <f t="shared" si="11"/>
        <v>2.0964171147155763E-2</v>
      </c>
      <c r="Q106" s="91" t="s">
        <v>219</v>
      </c>
      <c r="R106" s="91">
        <v>77.22</v>
      </c>
      <c r="S106" s="92">
        <f t="shared" si="12"/>
        <v>1.2854144805876322E-2</v>
      </c>
      <c r="T106" s="91" t="s">
        <v>219</v>
      </c>
      <c r="U106" s="93">
        <v>4450.38</v>
      </c>
      <c r="V106" s="6">
        <f t="shared" si="13"/>
        <v>2.3468779968401687E-2</v>
      </c>
    </row>
    <row r="107" spans="2:22" ht="14.4">
      <c r="B107" s="91" t="s">
        <v>220</v>
      </c>
      <c r="C107" s="91">
        <v>62.04</v>
      </c>
      <c r="D107" s="92">
        <f t="shared" si="7"/>
        <v>-4.6711739397664376E-2</v>
      </c>
      <c r="E107" s="91" t="s">
        <v>220</v>
      </c>
      <c r="F107" s="91">
        <v>178.25</v>
      </c>
      <c r="G107" s="92">
        <f t="shared" si="8"/>
        <v>-3.2196764035183012E-2</v>
      </c>
      <c r="H107" s="91" t="s">
        <v>220</v>
      </c>
      <c r="I107" s="91">
        <v>338.19</v>
      </c>
      <c r="J107" s="92">
        <f t="shared" si="9"/>
        <v>-5.1466876086834645E-2</v>
      </c>
      <c r="K107" s="91" t="s">
        <v>220</v>
      </c>
      <c r="L107" s="91">
        <v>72.349999999999994</v>
      </c>
      <c r="M107" s="92">
        <f t="shared" si="10"/>
        <v>-3.4174342544386671E-2</v>
      </c>
      <c r="N107" s="91" t="s">
        <v>220</v>
      </c>
      <c r="O107" s="91">
        <v>221.33</v>
      </c>
      <c r="P107" s="92">
        <f t="shared" si="11"/>
        <v>-1.0550315168313174E-2</v>
      </c>
      <c r="Q107" s="91" t="s">
        <v>220</v>
      </c>
      <c r="R107" s="91">
        <v>76.239999999999995</v>
      </c>
      <c r="S107" s="92">
        <f t="shared" si="12"/>
        <v>-2.4859348423394989E-3</v>
      </c>
      <c r="T107" s="91" t="s">
        <v>220</v>
      </c>
      <c r="U107" s="93">
        <v>4348.33</v>
      </c>
      <c r="V107" s="6">
        <f t="shared" si="13"/>
        <v>-1.389244805072587E-2</v>
      </c>
    </row>
    <row r="108" spans="2:22" ht="14.4">
      <c r="B108" s="90">
        <v>45236</v>
      </c>
      <c r="C108" s="91">
        <v>65.08</v>
      </c>
      <c r="D108" s="92">
        <f t="shared" si="7"/>
        <v>4.8831587429492451E-2</v>
      </c>
      <c r="E108" s="90">
        <v>45236</v>
      </c>
      <c r="F108" s="91">
        <v>184.18</v>
      </c>
      <c r="G108" s="92">
        <f t="shared" si="8"/>
        <v>7.9285086434222052E-2</v>
      </c>
      <c r="H108" s="90">
        <v>45236</v>
      </c>
      <c r="I108" s="91">
        <v>356.54</v>
      </c>
      <c r="J108" s="92">
        <f t="shared" si="9"/>
        <v>3.4799013205630613E-2</v>
      </c>
      <c r="K108" s="90">
        <v>45236</v>
      </c>
      <c r="L108" s="91">
        <v>74.91</v>
      </c>
      <c r="M108" s="92">
        <f t="shared" si="10"/>
        <v>4.0272184418830514E-2</v>
      </c>
      <c r="N108" s="90">
        <v>45236</v>
      </c>
      <c r="O108" s="91">
        <v>223.69</v>
      </c>
      <c r="P108" s="92">
        <f t="shared" si="11"/>
        <v>1.2309363261981288E-2</v>
      </c>
      <c r="Q108" s="90">
        <v>45236</v>
      </c>
      <c r="R108" s="91">
        <v>76.430000000000007</v>
      </c>
      <c r="S108" s="92">
        <f t="shared" si="12"/>
        <v>2.4805577902923259E-2</v>
      </c>
      <c r="T108" s="90">
        <v>45236</v>
      </c>
      <c r="U108" s="93">
        <v>4409.59</v>
      </c>
      <c r="V108" s="6">
        <f t="shared" si="13"/>
        <v>2.5757991653601264E-2</v>
      </c>
    </row>
    <row r="109" spans="2:22" ht="14.4">
      <c r="B109" s="90">
        <v>45022</v>
      </c>
      <c r="C109" s="91">
        <v>62.05</v>
      </c>
      <c r="D109" s="92">
        <f t="shared" si="7"/>
        <v>-2.6819322459222139E-2</v>
      </c>
      <c r="E109" s="90">
        <v>45022</v>
      </c>
      <c r="F109" s="91">
        <v>170.65</v>
      </c>
      <c r="G109" s="92">
        <f t="shared" si="8"/>
        <v>-2.6025911763027265E-2</v>
      </c>
      <c r="H109" s="90">
        <v>45022</v>
      </c>
      <c r="I109" s="91">
        <v>344.55</v>
      </c>
      <c r="J109" s="92">
        <f t="shared" si="9"/>
        <v>-1.333294687110409E-3</v>
      </c>
      <c r="K109" s="90">
        <v>45022</v>
      </c>
      <c r="L109" s="91">
        <v>72.010000000000005</v>
      </c>
      <c r="M109" s="92">
        <f t="shared" si="10"/>
        <v>-4.9121880364452641E-2</v>
      </c>
      <c r="N109" s="90">
        <v>45022</v>
      </c>
      <c r="O109" s="91">
        <v>220.97</v>
      </c>
      <c r="P109" s="92">
        <f t="shared" si="11"/>
        <v>-2.6435211701987038E-2</v>
      </c>
      <c r="Q109" s="90">
        <v>45022</v>
      </c>
      <c r="R109" s="91">
        <v>74.58</v>
      </c>
      <c r="S109" s="92">
        <f t="shared" si="12"/>
        <v>4.579741379310498E-3</v>
      </c>
      <c r="T109" s="90">
        <v>45022</v>
      </c>
      <c r="U109" s="93">
        <v>4298.8599999999997</v>
      </c>
      <c r="V109" s="6">
        <f t="shared" si="13"/>
        <v>3.8506714739734438E-3</v>
      </c>
    </row>
    <row r="110" spans="2:22" ht="14.4">
      <c r="B110" s="91" t="s">
        <v>221</v>
      </c>
      <c r="C110" s="91">
        <v>63.76</v>
      </c>
      <c r="D110" s="92">
        <f t="shared" si="7"/>
        <v>1.3994910941475647E-2</v>
      </c>
      <c r="E110" s="91" t="s">
        <v>221</v>
      </c>
      <c r="F110" s="91">
        <v>175.21</v>
      </c>
      <c r="G110" s="92">
        <f t="shared" si="8"/>
        <v>0.16798880074661704</v>
      </c>
      <c r="H110" s="91" t="s">
        <v>221</v>
      </c>
      <c r="I110" s="91">
        <v>345.01</v>
      </c>
      <c r="J110" s="92">
        <f t="shared" si="9"/>
        <v>5.0981763095030441E-3</v>
      </c>
      <c r="K110" s="91" t="s">
        <v>221</v>
      </c>
      <c r="L110" s="91">
        <v>75.73</v>
      </c>
      <c r="M110" s="92">
        <f t="shared" si="10"/>
        <v>4.6717346233586809E-2</v>
      </c>
      <c r="N110" s="91" t="s">
        <v>221</v>
      </c>
      <c r="O110" s="91">
        <v>226.97</v>
      </c>
      <c r="P110" s="92">
        <f t="shared" si="11"/>
        <v>4.3364750652683526E-3</v>
      </c>
      <c r="Q110" s="91" t="s">
        <v>221</v>
      </c>
      <c r="R110" s="91">
        <v>74.239999999999995</v>
      </c>
      <c r="S110" s="92">
        <f t="shared" si="12"/>
        <v>9.7088813358947812E-2</v>
      </c>
      <c r="T110" s="91" t="s">
        <v>221</v>
      </c>
      <c r="U110" s="93">
        <v>4282.37</v>
      </c>
      <c r="V110" s="6">
        <f t="shared" si="13"/>
        <v>1.8290551546207956E-2</v>
      </c>
    </row>
    <row r="111" spans="2:22" ht="14.4">
      <c r="B111" s="91" t="s">
        <v>222</v>
      </c>
      <c r="C111" s="91">
        <v>62.88</v>
      </c>
      <c r="D111" s="92">
        <f t="shared" si="7"/>
        <v>-2.0631645770511353E-3</v>
      </c>
      <c r="E111" s="91" t="s">
        <v>222</v>
      </c>
      <c r="F111" s="91">
        <v>150.01</v>
      </c>
      <c r="G111" s="92">
        <f t="shared" si="8"/>
        <v>-0.15162311955661123</v>
      </c>
      <c r="H111" s="91" t="s">
        <v>222</v>
      </c>
      <c r="I111" s="91">
        <v>343.26</v>
      </c>
      <c r="J111" s="92">
        <f t="shared" si="9"/>
        <v>3.77603773014481E-2</v>
      </c>
      <c r="K111" s="91" t="s">
        <v>222</v>
      </c>
      <c r="L111" s="91">
        <v>72.349999999999994</v>
      </c>
      <c r="M111" s="92">
        <f t="shared" si="10"/>
        <v>1.132233715403963E-2</v>
      </c>
      <c r="N111" s="91" t="s">
        <v>222</v>
      </c>
      <c r="O111" s="91">
        <v>225.99</v>
      </c>
      <c r="P111" s="92">
        <f t="shared" si="11"/>
        <v>-6.2442284859943742E-3</v>
      </c>
      <c r="Q111" s="91" t="s">
        <v>222</v>
      </c>
      <c r="R111" s="91">
        <v>67.67</v>
      </c>
      <c r="S111" s="92">
        <f t="shared" si="12"/>
        <v>1.2720742292726905E-2</v>
      </c>
      <c r="T111" s="91" t="s">
        <v>222</v>
      </c>
      <c r="U111" s="93">
        <v>4205.45</v>
      </c>
      <c r="V111" s="6">
        <f t="shared" si="13"/>
        <v>3.2132786893068754E-3</v>
      </c>
    </row>
    <row r="112" spans="2:22" ht="14.4">
      <c r="B112" s="91" t="s">
        <v>223</v>
      </c>
      <c r="C112" s="91">
        <v>63.01</v>
      </c>
      <c r="D112" s="92">
        <f t="shared" si="7"/>
        <v>2.1894258838793368E-2</v>
      </c>
      <c r="E112" s="91" t="s">
        <v>223</v>
      </c>
      <c r="F112" s="91">
        <v>176.82</v>
      </c>
      <c r="G112" s="92">
        <f t="shared" si="8"/>
        <v>5.6272401433691721E-2</v>
      </c>
      <c r="H112" s="91" t="s">
        <v>223</v>
      </c>
      <c r="I112" s="91">
        <v>330.77</v>
      </c>
      <c r="J112" s="92">
        <f t="shared" si="9"/>
        <v>6.483597849531586E-2</v>
      </c>
      <c r="K112" s="91" t="s">
        <v>223</v>
      </c>
      <c r="L112" s="91">
        <v>71.540000000000006</v>
      </c>
      <c r="M112" s="92">
        <f t="shared" si="10"/>
        <v>1.5471965933286036E-2</v>
      </c>
      <c r="N112" s="91" t="s">
        <v>223</v>
      </c>
      <c r="O112" s="91">
        <v>227.41</v>
      </c>
      <c r="P112" s="92">
        <f t="shared" si="11"/>
        <v>2.1011987608315019E-2</v>
      </c>
      <c r="Q112" s="91" t="s">
        <v>223</v>
      </c>
      <c r="R112" s="91">
        <v>66.819999999999993</v>
      </c>
      <c r="S112" s="92">
        <f t="shared" si="12"/>
        <v>7.2552166934189311E-2</v>
      </c>
      <c r="T112" s="91" t="s">
        <v>223</v>
      </c>
      <c r="U112" s="93">
        <v>4191.9799999999996</v>
      </c>
      <c r="V112" s="6">
        <f t="shared" si="13"/>
        <v>1.6464278093538454E-2</v>
      </c>
    </row>
    <row r="113" spans="2:22" ht="14.4">
      <c r="B113" s="90">
        <v>45112</v>
      </c>
      <c r="C113" s="91">
        <v>61.66</v>
      </c>
      <c r="D113" s="92">
        <f t="shared" si="7"/>
        <v>-2.57544635803445E-2</v>
      </c>
      <c r="E113" s="90">
        <v>45112</v>
      </c>
      <c r="F113" s="91">
        <v>167.4</v>
      </c>
      <c r="G113" s="92">
        <f t="shared" si="8"/>
        <v>8.5814360770578135E-2</v>
      </c>
      <c r="H113" s="90">
        <v>45112</v>
      </c>
      <c r="I113" s="91">
        <v>310.63</v>
      </c>
      <c r="J113" s="92">
        <f t="shared" si="9"/>
        <v>2.3256580030964757E-2</v>
      </c>
      <c r="K113" s="90">
        <v>45112</v>
      </c>
      <c r="L113" s="91">
        <v>70.45</v>
      </c>
      <c r="M113" s="92">
        <f t="shared" si="10"/>
        <v>1.1486001435750071E-2</v>
      </c>
      <c r="N113" s="90">
        <v>45112</v>
      </c>
      <c r="O113" s="91">
        <v>222.73</v>
      </c>
      <c r="P113" s="92">
        <f t="shared" si="11"/>
        <v>1.4761492550913413E-2</v>
      </c>
      <c r="Q113" s="90">
        <v>45112</v>
      </c>
      <c r="R113" s="91">
        <v>62.3</v>
      </c>
      <c r="S113" s="92">
        <f t="shared" si="12"/>
        <v>-6.3795853269538183E-3</v>
      </c>
      <c r="T113" s="90">
        <v>45112</v>
      </c>
      <c r="U113" s="93">
        <v>4124.08</v>
      </c>
      <c r="V113" s="6">
        <f t="shared" si="13"/>
        <v>-2.9422786340284057E-3</v>
      </c>
    </row>
    <row r="114" spans="2:22" ht="14.4">
      <c r="B114" s="91" t="s">
        <v>224</v>
      </c>
      <c r="C114" s="91">
        <v>63.29</v>
      </c>
      <c r="D114" s="92">
        <f t="shared" si="7"/>
        <v>5.9956456204990793E-2</v>
      </c>
      <c r="E114" s="91" t="s">
        <v>224</v>
      </c>
      <c r="F114" s="91">
        <v>154.16999999999999</v>
      </c>
      <c r="G114" s="92">
        <f t="shared" si="8"/>
        <v>4.1126418152349853E-2</v>
      </c>
      <c r="H114" s="91" t="s">
        <v>224</v>
      </c>
      <c r="I114" s="91">
        <v>303.57</v>
      </c>
      <c r="J114" s="92">
        <f t="shared" si="9"/>
        <v>3.6699067645309391E-3</v>
      </c>
      <c r="K114" s="91" t="s">
        <v>224</v>
      </c>
      <c r="L114" s="91">
        <v>69.650000000000006</v>
      </c>
      <c r="M114" s="92">
        <f t="shared" si="10"/>
        <v>-7.9677589852008457E-2</v>
      </c>
      <c r="N114" s="91" t="s">
        <v>224</v>
      </c>
      <c r="O114" s="91">
        <v>219.49</v>
      </c>
      <c r="P114" s="92">
        <f t="shared" si="11"/>
        <v>-1.0414788097385053E-2</v>
      </c>
      <c r="Q114" s="91" t="s">
        <v>224</v>
      </c>
      <c r="R114" s="91">
        <v>62.7</v>
      </c>
      <c r="S114" s="92">
        <f t="shared" si="12"/>
        <v>-2.5489586571339817E-2</v>
      </c>
      <c r="T114" s="91" t="s">
        <v>224</v>
      </c>
      <c r="U114" s="93">
        <v>4136.25</v>
      </c>
      <c r="V114" s="6">
        <f t="shared" si="13"/>
        <v>-7.9698187783607821E-3</v>
      </c>
    </row>
    <row r="115" spans="2:22" ht="14.4">
      <c r="B115" s="91" t="s">
        <v>225</v>
      </c>
      <c r="C115" s="91">
        <v>59.71</v>
      </c>
      <c r="D115" s="92">
        <f t="shared" si="7"/>
        <v>3.6981005210958706E-3</v>
      </c>
      <c r="E115" s="91" t="s">
        <v>225</v>
      </c>
      <c r="F115" s="91">
        <v>148.08000000000001</v>
      </c>
      <c r="G115" s="92">
        <f t="shared" si="8"/>
        <v>1.9904952131689635E-2</v>
      </c>
      <c r="H115" s="91" t="s">
        <v>225</v>
      </c>
      <c r="I115" s="91">
        <v>302.45999999999998</v>
      </c>
      <c r="J115" s="92">
        <f t="shared" si="9"/>
        <v>-8.5887949260055052E-4</v>
      </c>
      <c r="K115" s="91" t="s">
        <v>225</v>
      </c>
      <c r="L115" s="91">
        <v>75.680000000000007</v>
      </c>
      <c r="M115" s="92">
        <f t="shared" si="10"/>
        <v>-2.2348533781165081E-2</v>
      </c>
      <c r="N115" s="91" t="s">
        <v>225</v>
      </c>
      <c r="O115" s="91">
        <v>221.8</v>
      </c>
      <c r="P115" s="92">
        <f t="shared" si="11"/>
        <v>1.948887663173382E-2</v>
      </c>
      <c r="Q115" s="91" t="s">
        <v>225</v>
      </c>
      <c r="R115" s="91">
        <v>64.34</v>
      </c>
      <c r="S115" s="92">
        <f t="shared" si="12"/>
        <v>3.4571474513587441E-2</v>
      </c>
      <c r="T115" s="91" t="s">
        <v>225</v>
      </c>
      <c r="U115" s="93">
        <v>4169.4799999999996</v>
      </c>
      <c r="V115" s="6">
        <f t="shared" si="13"/>
        <v>8.6996071145171161E-3</v>
      </c>
    </row>
    <row r="116" spans="2:22" ht="14.4">
      <c r="B116" s="91" t="s">
        <v>226</v>
      </c>
      <c r="C116" s="91">
        <v>59.49</v>
      </c>
      <c r="D116" s="92">
        <f t="shared" si="7"/>
        <v>-9.16055962691531E-3</v>
      </c>
      <c r="E116" s="91" t="s">
        <v>226</v>
      </c>
      <c r="F116" s="91">
        <v>145.19</v>
      </c>
      <c r="G116" s="92">
        <f t="shared" si="8"/>
        <v>2.1529585590656541E-2</v>
      </c>
      <c r="H116" s="91" t="s">
        <v>226</v>
      </c>
      <c r="I116" s="91">
        <v>302.72000000000003</v>
      </c>
      <c r="J116" s="92">
        <f t="shared" si="9"/>
        <v>-3.8617886178861638E-2</v>
      </c>
      <c r="K116" s="91" t="s">
        <v>226</v>
      </c>
      <c r="L116" s="91">
        <v>77.41</v>
      </c>
      <c r="M116" s="92">
        <f t="shared" si="10"/>
        <v>8.2052617869237121E-3</v>
      </c>
      <c r="N116" s="91" t="s">
        <v>226</v>
      </c>
      <c r="O116" s="91">
        <v>217.56</v>
      </c>
      <c r="P116" s="92">
        <f t="shared" si="11"/>
        <v>5.0817703039822693E-3</v>
      </c>
      <c r="Q116" s="91" t="s">
        <v>226</v>
      </c>
      <c r="R116" s="91">
        <v>62.19</v>
      </c>
      <c r="S116" s="92">
        <f t="shared" si="12"/>
        <v>2.4715768660405368E-2</v>
      </c>
      <c r="T116" s="91" t="s">
        <v>226</v>
      </c>
      <c r="U116" s="93">
        <v>4133.5200000000004</v>
      </c>
      <c r="V116" s="6">
        <f t="shared" si="13"/>
        <v>-9.9573670014785343E-4</v>
      </c>
    </row>
    <row r="117" spans="2:22" ht="14.4">
      <c r="B117" s="90">
        <v>45173</v>
      </c>
      <c r="C117" s="91">
        <v>60.04</v>
      </c>
      <c r="D117" s="92">
        <f t="shared" si="7"/>
        <v>-6.2893081761006275E-3</v>
      </c>
      <c r="E117" s="90">
        <v>45173</v>
      </c>
      <c r="F117" s="91">
        <v>142.13</v>
      </c>
      <c r="G117" s="92">
        <f t="shared" si="8"/>
        <v>-2.4368478857770492E-2</v>
      </c>
      <c r="H117" s="90">
        <v>45173</v>
      </c>
      <c r="I117" s="91">
        <v>314.88</v>
      </c>
      <c r="J117" s="92">
        <f t="shared" si="9"/>
        <v>3.6015936254980563E-3</v>
      </c>
      <c r="K117" s="90">
        <v>45173</v>
      </c>
      <c r="L117" s="91">
        <v>76.78</v>
      </c>
      <c r="M117" s="92">
        <f t="shared" si="10"/>
        <v>3.528950463991487E-3</v>
      </c>
      <c r="N117" s="90">
        <v>45173</v>
      </c>
      <c r="O117" s="91">
        <v>216.46</v>
      </c>
      <c r="P117" s="92">
        <f t="shared" si="11"/>
        <v>1.5957946118464239E-2</v>
      </c>
      <c r="Q117" s="90">
        <v>45173</v>
      </c>
      <c r="R117" s="91">
        <v>60.69</v>
      </c>
      <c r="S117" s="92">
        <f t="shared" si="12"/>
        <v>-2.6294165981923801E-3</v>
      </c>
      <c r="T117" s="90">
        <v>45173</v>
      </c>
      <c r="U117" s="93">
        <v>4137.6400000000003</v>
      </c>
      <c r="V117" s="6">
        <f t="shared" si="13"/>
        <v>7.9463681053928426E-3</v>
      </c>
    </row>
    <row r="118" spans="2:22" ht="14.4">
      <c r="B118" s="90">
        <v>44961</v>
      </c>
      <c r="C118" s="91">
        <v>60.42</v>
      </c>
      <c r="D118" s="92">
        <f t="shared" si="7"/>
        <v>-8.3702609551944418E-3</v>
      </c>
      <c r="E118" s="90">
        <v>44961</v>
      </c>
      <c r="F118" s="91">
        <v>145.68</v>
      </c>
      <c r="G118" s="92">
        <f t="shared" si="8"/>
        <v>-5.5804005444293092E-2</v>
      </c>
      <c r="H118" s="90">
        <v>44961</v>
      </c>
      <c r="I118" s="91">
        <v>313.75</v>
      </c>
      <c r="J118" s="92">
        <f t="shared" si="9"/>
        <v>-3.6897197409215043E-2</v>
      </c>
      <c r="K118" s="90">
        <v>44961</v>
      </c>
      <c r="L118" s="91">
        <v>76.510000000000005</v>
      </c>
      <c r="M118" s="92">
        <f t="shared" si="10"/>
        <v>-1.5568708183221758E-2</v>
      </c>
      <c r="N118" s="90">
        <v>44961</v>
      </c>
      <c r="O118" s="91">
        <v>213.06</v>
      </c>
      <c r="P118" s="92">
        <f t="shared" si="11"/>
        <v>8.1862489944635186E-3</v>
      </c>
      <c r="Q118" s="90">
        <v>44961</v>
      </c>
      <c r="R118" s="91">
        <v>60.85</v>
      </c>
      <c r="S118" s="92">
        <f t="shared" si="12"/>
        <v>-9.8505992447861512E-4</v>
      </c>
      <c r="T118" s="90">
        <v>44961</v>
      </c>
      <c r="U118" s="93">
        <v>4105.0200000000004</v>
      </c>
      <c r="V118" s="6">
        <f t="shared" si="13"/>
        <v>-1.0439708856231356E-3</v>
      </c>
    </row>
    <row r="119" spans="2:22" ht="14.4">
      <c r="B119" s="91" t="s">
        <v>227</v>
      </c>
      <c r="C119" s="91">
        <v>60.93</v>
      </c>
      <c r="D119" s="92">
        <f t="shared" si="7"/>
        <v>3.8874680306905329E-2</v>
      </c>
      <c r="E119" s="91" t="s">
        <v>227</v>
      </c>
      <c r="F119" s="91">
        <v>154.29</v>
      </c>
      <c r="G119" s="92">
        <f t="shared" si="8"/>
        <v>0.13008130081300817</v>
      </c>
      <c r="H119" s="91" t="s">
        <v>227</v>
      </c>
      <c r="I119" s="91">
        <v>325.77</v>
      </c>
      <c r="J119" s="92">
        <f t="shared" si="9"/>
        <v>4.3766620742686779E-2</v>
      </c>
      <c r="K119" s="91" t="s">
        <v>227</v>
      </c>
      <c r="L119" s="91">
        <v>77.72</v>
      </c>
      <c r="M119" s="92">
        <f t="shared" si="10"/>
        <v>4.4623655913978322E-2</v>
      </c>
      <c r="N119" s="91" t="s">
        <v>227</v>
      </c>
      <c r="O119" s="91">
        <v>211.33</v>
      </c>
      <c r="P119" s="92">
        <f t="shared" si="11"/>
        <v>4.680998613037457E-2</v>
      </c>
      <c r="Q119" s="91" t="s">
        <v>227</v>
      </c>
      <c r="R119" s="91">
        <v>60.91</v>
      </c>
      <c r="S119" s="92">
        <f t="shared" si="12"/>
        <v>7.6095947063687941E-3</v>
      </c>
      <c r="T119" s="91" t="s">
        <v>227</v>
      </c>
      <c r="U119" s="93">
        <v>4109.3100000000004</v>
      </c>
      <c r="V119" s="6">
        <f t="shared" si="13"/>
        <v>3.4832623602678581E-2</v>
      </c>
    </row>
    <row r="120" spans="2:22" ht="14.4">
      <c r="B120" s="91" t="s">
        <v>228</v>
      </c>
      <c r="C120" s="91">
        <v>58.65</v>
      </c>
      <c r="D120" s="92">
        <f t="shared" si="7"/>
        <v>1.4881467381899993E-2</v>
      </c>
      <c r="E120" s="91" t="s">
        <v>228</v>
      </c>
      <c r="F120" s="91">
        <v>136.53</v>
      </c>
      <c r="G120" s="92">
        <f t="shared" si="8"/>
        <v>6.7099247898538827E-3</v>
      </c>
      <c r="H120" s="91" t="s">
        <v>228</v>
      </c>
      <c r="I120" s="91">
        <v>312.11</v>
      </c>
      <c r="J120" s="92">
        <f t="shared" si="9"/>
        <v>3.1802704221627121E-2</v>
      </c>
      <c r="K120" s="91" t="s">
        <v>228</v>
      </c>
      <c r="L120" s="91">
        <v>74.400000000000006</v>
      </c>
      <c r="M120" s="92">
        <f t="shared" si="10"/>
        <v>1.7227235438884492E-2</v>
      </c>
      <c r="N120" s="91" t="s">
        <v>228</v>
      </c>
      <c r="O120" s="91">
        <v>201.88</v>
      </c>
      <c r="P120" s="92">
        <f t="shared" si="11"/>
        <v>4.4116886475303874E-2</v>
      </c>
      <c r="Q120" s="91" t="s">
        <v>228</v>
      </c>
      <c r="R120" s="91">
        <v>60.45</v>
      </c>
      <c r="S120" s="92">
        <f t="shared" si="12"/>
        <v>3.3156725346094706E-2</v>
      </c>
      <c r="T120" s="91" t="s">
        <v>228</v>
      </c>
      <c r="U120" s="93">
        <v>3970.99</v>
      </c>
      <c r="V120" s="6">
        <f t="shared" si="13"/>
        <v>1.3876690224273736E-2</v>
      </c>
    </row>
    <row r="121" spans="2:22" ht="14.4">
      <c r="B121" s="90">
        <v>45263</v>
      </c>
      <c r="C121" s="91">
        <v>57.79</v>
      </c>
      <c r="D121" s="92">
        <f t="shared" si="7"/>
        <v>-4.2894998343822488E-2</v>
      </c>
      <c r="E121" s="90">
        <v>45263</v>
      </c>
      <c r="F121" s="91">
        <v>135.62</v>
      </c>
      <c r="G121" s="92">
        <f t="shared" si="8"/>
        <v>3.1644606724478885E-2</v>
      </c>
      <c r="H121" s="90">
        <v>45263</v>
      </c>
      <c r="I121" s="91">
        <v>302.49</v>
      </c>
      <c r="J121" s="92">
        <f t="shared" si="9"/>
        <v>-3.7667419590875717E-2</v>
      </c>
      <c r="K121" s="90">
        <v>45263</v>
      </c>
      <c r="L121" s="91">
        <v>73.14</v>
      </c>
      <c r="M121" s="92">
        <f t="shared" si="10"/>
        <v>1.0220994475138134E-2</v>
      </c>
      <c r="N121" s="90">
        <v>45263</v>
      </c>
      <c r="O121" s="91">
        <v>193.35</v>
      </c>
      <c r="P121" s="92">
        <f t="shared" si="11"/>
        <v>1.124476987447709E-2</v>
      </c>
      <c r="Q121" s="90">
        <v>45263</v>
      </c>
      <c r="R121" s="91">
        <v>58.51</v>
      </c>
      <c r="S121" s="92">
        <f t="shared" si="12"/>
        <v>9.6719775070290392E-2</v>
      </c>
      <c r="T121" s="90">
        <v>45263</v>
      </c>
      <c r="U121" s="93">
        <v>3916.64</v>
      </c>
      <c r="V121" s="6">
        <f t="shared" si="13"/>
        <v>1.4255785829153211E-2</v>
      </c>
    </row>
    <row r="122" spans="2:22" ht="14.4">
      <c r="B122" s="90">
        <v>45049</v>
      </c>
      <c r="C122" s="91">
        <v>60.38</v>
      </c>
      <c r="D122" s="92">
        <f t="shared" si="7"/>
        <v>-3.4537895746722058E-2</v>
      </c>
      <c r="E122" s="90">
        <v>45049</v>
      </c>
      <c r="F122" s="91">
        <v>131.46</v>
      </c>
      <c r="G122" s="92">
        <f t="shared" si="8"/>
        <v>-7.4941946379565194E-2</v>
      </c>
      <c r="H122" s="90">
        <v>45049</v>
      </c>
      <c r="I122" s="91">
        <v>314.33</v>
      </c>
      <c r="J122" s="92">
        <f t="shared" si="9"/>
        <v>-5.8356550133309426E-2</v>
      </c>
      <c r="K122" s="90">
        <v>45049</v>
      </c>
      <c r="L122" s="91">
        <v>72.400000000000006</v>
      </c>
      <c r="M122" s="92">
        <f t="shared" si="10"/>
        <v>-4.6490188331357873E-2</v>
      </c>
      <c r="N122" s="90">
        <v>45049</v>
      </c>
      <c r="O122" s="91">
        <v>191.2</v>
      </c>
      <c r="P122" s="92">
        <f t="shared" si="11"/>
        <v>-4.7144423402770919E-2</v>
      </c>
      <c r="Q122" s="90">
        <v>45049</v>
      </c>
      <c r="R122" s="91">
        <v>53.35</v>
      </c>
      <c r="S122" s="92">
        <f t="shared" si="12"/>
        <v>-6.8772909757374712E-2</v>
      </c>
      <c r="T122" s="90">
        <v>45049</v>
      </c>
      <c r="U122" s="93">
        <v>3861.59</v>
      </c>
      <c r="V122" s="6">
        <f t="shared" si="13"/>
        <v>-4.5493420076922253E-2</v>
      </c>
    </row>
    <row r="123" spans="2:22" ht="14.4">
      <c r="B123" s="91" t="s">
        <v>229</v>
      </c>
      <c r="C123" s="91">
        <v>62.54</v>
      </c>
      <c r="D123" s="92">
        <f t="shared" si="7"/>
        <v>-2.0209932633557859E-2</v>
      </c>
      <c r="E123" s="91" t="s">
        <v>229</v>
      </c>
      <c r="F123" s="91">
        <v>142.11000000000001</v>
      </c>
      <c r="G123" s="92">
        <f t="shared" si="8"/>
        <v>-4.2643492320129206E-2</v>
      </c>
      <c r="H123" s="91" t="s">
        <v>229</v>
      </c>
      <c r="I123" s="91">
        <v>333.81</v>
      </c>
      <c r="J123" s="92">
        <f t="shared" si="9"/>
        <v>4.3929592297275999E-3</v>
      </c>
      <c r="K123" s="91" t="s">
        <v>229</v>
      </c>
      <c r="L123" s="91">
        <v>75.930000000000007</v>
      </c>
      <c r="M123" s="92">
        <f t="shared" si="10"/>
        <v>4.3650793650795716E-3</v>
      </c>
      <c r="N123" s="91" t="s">
        <v>229</v>
      </c>
      <c r="O123" s="91">
        <v>200.66</v>
      </c>
      <c r="P123" s="92">
        <f t="shared" si="11"/>
        <v>1.1493094061901354E-2</v>
      </c>
      <c r="Q123" s="91" t="s">
        <v>229</v>
      </c>
      <c r="R123" s="91">
        <v>57.29</v>
      </c>
      <c r="S123" s="92">
        <f t="shared" si="12"/>
        <v>4.2204839003092687E-2</v>
      </c>
      <c r="T123" s="91" t="s">
        <v>229</v>
      </c>
      <c r="U123" s="93">
        <v>4045.64</v>
      </c>
      <c r="V123" s="6">
        <f t="shared" si="13"/>
        <v>1.9042629293407609E-2</v>
      </c>
    </row>
    <row r="124" spans="2:22" ht="14.4">
      <c r="B124" s="91" t="s">
        <v>230</v>
      </c>
      <c r="C124" s="91">
        <v>63.83</v>
      </c>
      <c r="D124" s="92">
        <f t="shared" si="7"/>
        <v>-2.5198533903482034E-2</v>
      </c>
      <c r="E124" s="91" t="s">
        <v>230</v>
      </c>
      <c r="F124" s="91">
        <v>148.44</v>
      </c>
      <c r="G124" s="92">
        <f t="shared" si="8"/>
        <v>-3.6604361370716654E-2</v>
      </c>
      <c r="H124" s="91" t="s">
        <v>230</v>
      </c>
      <c r="I124" s="91">
        <v>332.35</v>
      </c>
      <c r="J124" s="92">
        <f t="shared" si="9"/>
        <v>-3.9506386914051062E-2</v>
      </c>
      <c r="K124" s="91" t="s">
        <v>230</v>
      </c>
      <c r="L124" s="91">
        <v>75.599999999999994</v>
      </c>
      <c r="M124" s="92">
        <f t="shared" si="10"/>
        <v>-2.8402518956432421E-2</v>
      </c>
      <c r="N124" s="91" t="s">
        <v>230</v>
      </c>
      <c r="O124" s="91">
        <v>198.38</v>
      </c>
      <c r="P124" s="92">
        <f t="shared" si="11"/>
        <v>-3.0921791803038556E-2</v>
      </c>
      <c r="Q124" s="91" t="s">
        <v>230</v>
      </c>
      <c r="R124" s="91">
        <v>54.97</v>
      </c>
      <c r="S124" s="92">
        <f t="shared" si="12"/>
        <v>-8.8391376451077974E-2</v>
      </c>
      <c r="T124" s="91" t="s">
        <v>230</v>
      </c>
      <c r="U124" s="93">
        <v>3970.04</v>
      </c>
      <c r="V124" s="6">
        <f t="shared" si="13"/>
        <v>-2.6733903885425514E-2</v>
      </c>
    </row>
    <row r="125" spans="2:22" ht="14.4">
      <c r="B125" s="90">
        <v>45262</v>
      </c>
      <c r="C125" s="91">
        <v>65.48</v>
      </c>
      <c r="D125" s="92">
        <f t="shared" si="7"/>
        <v>-1.8585131894484297E-2</v>
      </c>
      <c r="E125" s="90">
        <v>45262</v>
      </c>
      <c r="F125" s="91">
        <v>154.08000000000001</v>
      </c>
      <c r="G125" s="92">
        <f t="shared" si="8"/>
        <v>-2.0657217313926113E-2</v>
      </c>
      <c r="H125" s="90">
        <v>45262</v>
      </c>
      <c r="I125" s="91">
        <v>346.02</v>
      </c>
      <c r="J125" s="92">
        <f t="shared" si="9"/>
        <v>-4.6027271158162186E-3</v>
      </c>
      <c r="K125" s="90">
        <v>45262</v>
      </c>
      <c r="L125" s="91">
        <v>77.81</v>
      </c>
      <c r="M125" s="92">
        <f t="shared" si="10"/>
        <v>-3.5811648079306035E-2</v>
      </c>
      <c r="N125" s="90">
        <v>45262</v>
      </c>
      <c r="O125" s="91">
        <v>204.71</v>
      </c>
      <c r="P125" s="92">
        <f t="shared" si="11"/>
        <v>-2.6025311637643878E-2</v>
      </c>
      <c r="Q125" s="90">
        <v>45262</v>
      </c>
      <c r="R125" s="91">
        <v>60.3</v>
      </c>
      <c r="S125" s="92">
        <f t="shared" si="12"/>
        <v>0.23844731977818845</v>
      </c>
      <c r="T125" s="90">
        <v>45262</v>
      </c>
      <c r="U125" s="93">
        <v>4079.09</v>
      </c>
      <c r="V125" s="6">
        <f t="shared" si="13"/>
        <v>-2.7796384758682624E-3</v>
      </c>
    </row>
    <row r="126" spans="2:22" ht="14.4">
      <c r="B126" s="90">
        <v>45048</v>
      </c>
      <c r="C126" s="91">
        <v>66.72</v>
      </c>
      <c r="D126" s="92">
        <f t="shared" si="7"/>
        <v>-2.1987686895338587E-2</v>
      </c>
      <c r="E126" s="90">
        <v>45048</v>
      </c>
      <c r="F126" s="91">
        <v>157.33000000000001</v>
      </c>
      <c r="G126" s="92">
        <f t="shared" si="8"/>
        <v>-3.6499479453732553E-2</v>
      </c>
      <c r="H126" s="90">
        <v>45048</v>
      </c>
      <c r="I126" s="91">
        <v>347.62</v>
      </c>
      <c r="J126" s="92">
        <f t="shared" si="9"/>
        <v>1.6581371545547618E-2</v>
      </c>
      <c r="K126" s="90">
        <v>45048</v>
      </c>
      <c r="L126" s="91">
        <v>80.7</v>
      </c>
      <c r="M126" s="92">
        <f t="shared" si="10"/>
        <v>-3.1212484993997536E-2</v>
      </c>
      <c r="N126" s="90">
        <v>45048</v>
      </c>
      <c r="O126" s="91">
        <v>210.18</v>
      </c>
      <c r="P126" s="92">
        <f t="shared" si="11"/>
        <v>-3.4675974831212875E-2</v>
      </c>
      <c r="Q126" s="90">
        <v>45048</v>
      </c>
      <c r="R126" s="91">
        <v>48.69</v>
      </c>
      <c r="S126" s="92">
        <f t="shared" si="12"/>
        <v>-8.3050847457627142E-2</v>
      </c>
      <c r="T126" s="90">
        <v>45048</v>
      </c>
      <c r="U126" s="93">
        <v>4090.46</v>
      </c>
      <c r="V126" s="6">
        <f t="shared" si="13"/>
        <v>-1.1125401307391702E-2</v>
      </c>
    </row>
    <row r="127" spans="2:22" ht="14.4">
      <c r="B127" s="91" t="s">
        <v>231</v>
      </c>
      <c r="C127" s="91">
        <v>68.22</v>
      </c>
      <c r="D127" s="92">
        <f t="shared" si="7"/>
        <v>3.819814335717564E-2</v>
      </c>
      <c r="E127" s="91" t="s">
        <v>231</v>
      </c>
      <c r="F127" s="91">
        <v>163.29</v>
      </c>
      <c r="G127" s="92">
        <f t="shared" si="8"/>
        <v>2.4661144578313143E-2</v>
      </c>
      <c r="H127" s="91" t="s">
        <v>231</v>
      </c>
      <c r="I127" s="91">
        <v>341.95</v>
      </c>
      <c r="J127" s="92">
        <f t="shared" si="9"/>
        <v>3.1150111573487571E-2</v>
      </c>
      <c r="K127" s="91" t="s">
        <v>231</v>
      </c>
      <c r="L127" s="91">
        <v>83.3</v>
      </c>
      <c r="M127" s="92">
        <f t="shared" si="10"/>
        <v>1.3381995133819879E-2</v>
      </c>
      <c r="N127" s="91" t="s">
        <v>231</v>
      </c>
      <c r="O127" s="91">
        <v>217.73</v>
      </c>
      <c r="P127" s="92">
        <f t="shared" si="11"/>
        <v>-3.6152297272561418E-3</v>
      </c>
      <c r="Q127" s="91" t="s">
        <v>231</v>
      </c>
      <c r="R127" s="91">
        <v>53.1</v>
      </c>
      <c r="S127" s="92">
        <f t="shared" si="12"/>
        <v>2.2136669874879722E-2</v>
      </c>
      <c r="T127" s="91" t="s">
        <v>231</v>
      </c>
      <c r="U127" s="93">
        <v>4136.4799999999996</v>
      </c>
      <c r="V127" s="6">
        <f t="shared" si="13"/>
        <v>1.6194331983805599E-2</v>
      </c>
    </row>
    <row r="128" spans="2:22" ht="14.4">
      <c r="B128" s="91" t="s">
        <v>232</v>
      </c>
      <c r="C128" s="91">
        <v>65.709999999999994</v>
      </c>
      <c r="D128" s="92">
        <f t="shared" si="7"/>
        <v>4.7338221230474931E-2</v>
      </c>
      <c r="E128" s="91" t="s">
        <v>232</v>
      </c>
      <c r="F128" s="91">
        <v>159.36000000000001</v>
      </c>
      <c r="G128" s="92">
        <f t="shared" si="8"/>
        <v>0.10040049716889943</v>
      </c>
      <c r="H128" s="91" t="s">
        <v>232</v>
      </c>
      <c r="I128" s="91">
        <v>331.62</v>
      </c>
      <c r="J128" s="92">
        <f t="shared" si="9"/>
        <v>-4.0245074483420407E-3</v>
      </c>
      <c r="K128" s="91" t="s">
        <v>232</v>
      </c>
      <c r="L128" s="91">
        <v>82.2</v>
      </c>
      <c r="M128" s="92">
        <f t="shared" si="10"/>
        <v>2.6986506746626615E-2</v>
      </c>
      <c r="N128" s="91" t="s">
        <v>232</v>
      </c>
      <c r="O128" s="91">
        <v>218.52</v>
      </c>
      <c r="P128" s="92">
        <f t="shared" si="11"/>
        <v>1.6797729282025164E-2</v>
      </c>
      <c r="Q128" s="91" t="s">
        <v>232</v>
      </c>
      <c r="R128" s="91">
        <v>51.95</v>
      </c>
      <c r="S128" s="92">
        <f t="shared" si="12"/>
        <v>0.14000438885231525</v>
      </c>
      <c r="T128" s="91" t="s">
        <v>232</v>
      </c>
      <c r="U128" s="93">
        <v>4070.56</v>
      </c>
      <c r="V128" s="6">
        <f t="shared" si="13"/>
        <v>2.4656334248768452E-2</v>
      </c>
    </row>
    <row r="129" spans="2:22" ht="14.4">
      <c r="B129" s="91" t="s">
        <v>233</v>
      </c>
      <c r="C129" s="91">
        <v>62.74</v>
      </c>
      <c r="D129" s="92">
        <f t="shared" si="7"/>
        <v>-2.060568217296288E-2</v>
      </c>
      <c r="E129" s="91" t="s">
        <v>233</v>
      </c>
      <c r="F129" s="91">
        <v>144.82</v>
      </c>
      <c r="G129" s="92">
        <f t="shared" si="8"/>
        <v>2.8040036913466126E-2</v>
      </c>
      <c r="H129" s="91" t="s">
        <v>233</v>
      </c>
      <c r="I129" s="91">
        <v>332.96</v>
      </c>
      <c r="J129" s="92">
        <f t="shared" si="9"/>
        <v>-8.9886302756118086E-3</v>
      </c>
      <c r="K129" s="91" t="s">
        <v>233</v>
      </c>
      <c r="L129" s="91">
        <v>80.040000000000006</v>
      </c>
      <c r="M129" s="92">
        <f t="shared" si="10"/>
        <v>5.4267650158061231E-2</v>
      </c>
      <c r="N129" s="91" t="s">
        <v>233</v>
      </c>
      <c r="O129" s="91">
        <v>214.91</v>
      </c>
      <c r="P129" s="92">
        <f t="shared" si="11"/>
        <v>4.6748632602495732E-3</v>
      </c>
      <c r="Q129" s="91" t="s">
        <v>233</v>
      </c>
      <c r="R129" s="91">
        <v>45.57</v>
      </c>
      <c r="S129" s="92">
        <f t="shared" si="12"/>
        <v>-3.1044014458856073E-2</v>
      </c>
      <c r="T129" s="91" t="s">
        <v>233</v>
      </c>
      <c r="U129" s="93">
        <v>3972.61</v>
      </c>
      <c r="V129" s="6">
        <f t="shared" si="13"/>
        <v>-6.6215063927043127E-3</v>
      </c>
    </row>
    <row r="130" spans="2:22" ht="14.4">
      <c r="B130" s="90">
        <v>45139</v>
      </c>
      <c r="C130" s="91">
        <v>64.06</v>
      </c>
      <c r="D130" s="92">
        <f t="shared" si="7"/>
        <v>7.213389121338909E-2</v>
      </c>
      <c r="E130" s="90">
        <v>45139</v>
      </c>
      <c r="F130" s="91">
        <v>140.87</v>
      </c>
      <c r="G130" s="92">
        <f t="shared" si="8"/>
        <v>0.1354989521199419</v>
      </c>
      <c r="H130" s="90">
        <v>45139</v>
      </c>
      <c r="I130" s="91">
        <v>335.98</v>
      </c>
      <c r="J130" s="92">
        <f t="shared" si="9"/>
        <v>2.239668918507709E-2</v>
      </c>
      <c r="K130" s="90">
        <v>45139</v>
      </c>
      <c r="L130" s="91">
        <v>75.92</v>
      </c>
      <c r="M130" s="92">
        <f t="shared" si="10"/>
        <v>1.8786902844873943E-2</v>
      </c>
      <c r="N130" s="90">
        <v>45139</v>
      </c>
      <c r="O130" s="91">
        <v>213.91</v>
      </c>
      <c r="P130" s="92">
        <f t="shared" si="11"/>
        <v>4.1887876869124652E-2</v>
      </c>
      <c r="Q130" s="90">
        <v>45139</v>
      </c>
      <c r="R130" s="91">
        <v>47.03</v>
      </c>
      <c r="S130" s="92">
        <f t="shared" si="12"/>
        <v>0.11208323480728311</v>
      </c>
      <c r="T130" s="90">
        <v>45139</v>
      </c>
      <c r="U130" s="93">
        <v>3999.09</v>
      </c>
      <c r="V130" s="6">
        <f t="shared" si="13"/>
        <v>2.6702917526726155E-2</v>
      </c>
    </row>
    <row r="131" spans="2:22" ht="14.4">
      <c r="B131" s="90">
        <v>44927</v>
      </c>
      <c r="C131" s="91">
        <v>59.75</v>
      </c>
      <c r="D131" s="92">
        <f t="shared" si="7"/>
        <v>4.4763070466864896E-2</v>
      </c>
      <c r="E131" s="90">
        <v>44927</v>
      </c>
      <c r="F131" s="91">
        <v>124.06</v>
      </c>
      <c r="G131" s="92">
        <f t="shared" si="8"/>
        <v>-0.13571129998606657</v>
      </c>
      <c r="H131" s="90">
        <v>44927</v>
      </c>
      <c r="I131" s="91">
        <v>328.62</v>
      </c>
      <c r="J131" s="92">
        <f t="shared" si="9"/>
        <v>-2.2371630868090575E-2</v>
      </c>
      <c r="K131" s="90">
        <v>44927</v>
      </c>
      <c r="L131" s="91">
        <v>74.52</v>
      </c>
      <c r="M131" s="92">
        <f t="shared" si="10"/>
        <v>-4.0096230954289602E-3</v>
      </c>
      <c r="N131" s="90">
        <v>44927</v>
      </c>
      <c r="O131" s="91">
        <v>205.31</v>
      </c>
      <c r="P131" s="92">
        <f t="shared" si="11"/>
        <v>-6.3278816199374699E-4</v>
      </c>
      <c r="Q131" s="90">
        <v>44927</v>
      </c>
      <c r="R131" s="91">
        <v>42.29</v>
      </c>
      <c r="S131" s="92">
        <f t="shared" si="12"/>
        <v>-5.6658487619897335E-2</v>
      </c>
      <c r="T131" s="90">
        <v>44927</v>
      </c>
      <c r="U131" s="93">
        <v>3895.08</v>
      </c>
      <c r="V131" s="6">
        <f t="shared" si="13"/>
        <v>1.447584320875106E-2</v>
      </c>
    </row>
    <row r="132" spans="2:22" ht="14.4">
      <c r="B132" s="91" t="s">
        <v>234</v>
      </c>
      <c r="C132" s="91">
        <v>57.19</v>
      </c>
      <c r="D132" s="92">
        <f t="shared" si="7"/>
        <v>2.088539807211709E-2</v>
      </c>
      <c r="E132" s="91" t="s">
        <v>234</v>
      </c>
      <c r="F132" s="91">
        <v>143.54</v>
      </c>
      <c r="G132" s="92">
        <f t="shared" si="8"/>
        <v>3.6464726695068173E-2</v>
      </c>
      <c r="H132" s="91" t="s">
        <v>234</v>
      </c>
      <c r="I132" s="91">
        <v>336.14</v>
      </c>
      <c r="J132" s="92">
        <f t="shared" si="9"/>
        <v>5.6556035124266657E-4</v>
      </c>
      <c r="K132" s="91" t="s">
        <v>234</v>
      </c>
      <c r="L132" s="91">
        <v>74.819999999999993</v>
      </c>
      <c r="M132" s="92">
        <f t="shared" si="10"/>
        <v>6.6871740002660829E-4</v>
      </c>
      <c r="N132" s="91" t="s">
        <v>234</v>
      </c>
      <c r="O132" s="91">
        <v>205.44</v>
      </c>
      <c r="P132" s="92">
        <f t="shared" si="11"/>
        <v>8.4429609267622219E-3</v>
      </c>
      <c r="Q132" s="91" t="s">
        <v>234</v>
      </c>
      <c r="R132" s="91">
        <v>44.83</v>
      </c>
      <c r="S132" s="92">
        <f t="shared" si="12"/>
        <v>-1.1140819964350346E-3</v>
      </c>
      <c r="T132" s="91" t="s">
        <v>234</v>
      </c>
      <c r="U132" s="93">
        <v>3839.5</v>
      </c>
      <c r="V132" s="6">
        <f t="shared" si="13"/>
        <v>-1.3836798601755129E-3</v>
      </c>
    </row>
    <row r="133" spans="2:22" ht="14.4">
      <c r="B133" s="91" t="s">
        <v>235</v>
      </c>
      <c r="C133" s="91">
        <v>56.02</v>
      </c>
      <c r="D133" s="92">
        <f t="shared" si="7"/>
        <v>8.2793376529877172E-3</v>
      </c>
      <c r="E133" s="91" t="s">
        <v>235</v>
      </c>
      <c r="F133" s="91">
        <v>138.49</v>
      </c>
      <c r="G133" s="92">
        <f t="shared" si="8"/>
        <v>-2.779922779922761E-2</v>
      </c>
      <c r="H133" s="91" t="s">
        <v>235</v>
      </c>
      <c r="I133" s="91">
        <v>335.95</v>
      </c>
      <c r="J133" s="92">
        <f t="shared" si="9"/>
        <v>-6.5647455421830037E-3</v>
      </c>
      <c r="K133" s="91" t="s">
        <v>235</v>
      </c>
      <c r="L133" s="91">
        <v>74.77</v>
      </c>
      <c r="M133" s="92">
        <f t="shared" si="10"/>
        <v>8.0895240663341195E-3</v>
      </c>
      <c r="N133" s="91" t="s">
        <v>235</v>
      </c>
      <c r="O133" s="91">
        <v>203.72</v>
      </c>
      <c r="P133" s="92">
        <f t="shared" si="11"/>
        <v>1.5300274109145251E-2</v>
      </c>
      <c r="Q133" s="91" t="s">
        <v>235</v>
      </c>
      <c r="R133" s="91">
        <v>44.88</v>
      </c>
      <c r="S133" s="92">
        <f t="shared" si="12"/>
        <v>-2.751895991332598E-2</v>
      </c>
      <c r="T133" s="91" t="s">
        <v>235</v>
      </c>
      <c r="U133" s="93">
        <v>3844.82</v>
      </c>
      <c r="V133" s="6">
        <f t="shared" si="13"/>
        <v>-1.9572417946401854E-3</v>
      </c>
    </row>
    <row r="134" spans="2:22" ht="14.4">
      <c r="B134" s="90">
        <v>44877</v>
      </c>
      <c r="C134" s="91">
        <v>55.56</v>
      </c>
      <c r="D134" s="92">
        <f t="shared" si="7"/>
        <v>-4.765169694892013E-2</v>
      </c>
      <c r="E134" s="90">
        <v>44877</v>
      </c>
      <c r="F134" s="91">
        <v>142.44999999999999</v>
      </c>
      <c r="G134" s="92">
        <f t="shared" si="8"/>
        <v>-1.4391475818169353E-2</v>
      </c>
      <c r="H134" s="90">
        <v>44877</v>
      </c>
      <c r="I134" s="91">
        <v>338.17</v>
      </c>
      <c r="J134" s="92">
        <f t="shared" si="9"/>
        <v>-1.4943198368773669E-2</v>
      </c>
      <c r="K134" s="90">
        <v>44877</v>
      </c>
      <c r="L134" s="91">
        <v>74.17</v>
      </c>
      <c r="M134" s="92">
        <f t="shared" si="10"/>
        <v>-7.3608137044967048E-3</v>
      </c>
      <c r="N134" s="90">
        <v>44877</v>
      </c>
      <c r="O134" s="91">
        <v>200.65</v>
      </c>
      <c r="P134" s="92">
        <f t="shared" si="11"/>
        <v>1.5075631102342335E-2</v>
      </c>
      <c r="Q134" s="90">
        <v>44877</v>
      </c>
      <c r="R134" s="91">
        <v>46.15</v>
      </c>
      <c r="S134" s="92">
        <f t="shared" si="12"/>
        <v>-3.4720769713449173E-2</v>
      </c>
      <c r="T134" s="90">
        <v>44877</v>
      </c>
      <c r="U134" s="93">
        <v>3852.36</v>
      </c>
      <c r="V134" s="6">
        <f t="shared" si="13"/>
        <v>-2.0846994952190667E-2</v>
      </c>
    </row>
    <row r="135" spans="2:22" ht="14.4">
      <c r="B135" s="90">
        <v>44663</v>
      </c>
      <c r="C135" s="91">
        <v>58.34</v>
      </c>
      <c r="D135" s="92">
        <f t="shared" si="7"/>
        <v>-6.491424907837795E-2</v>
      </c>
      <c r="E135" s="90">
        <v>44663</v>
      </c>
      <c r="F135" s="91">
        <v>144.53</v>
      </c>
      <c r="G135" s="92">
        <f t="shared" si="8"/>
        <v>-3.4793642313343143E-2</v>
      </c>
      <c r="H135" s="90">
        <v>44663</v>
      </c>
      <c r="I135" s="91">
        <v>343.3</v>
      </c>
      <c r="J135" s="92">
        <f t="shared" si="9"/>
        <v>-2.4688201369357121E-2</v>
      </c>
      <c r="K135" s="90">
        <v>44663</v>
      </c>
      <c r="L135" s="91">
        <v>74.72</v>
      </c>
      <c r="M135" s="92">
        <f t="shared" si="10"/>
        <v>-5.1415513520375766E-2</v>
      </c>
      <c r="N135" s="90">
        <v>44663</v>
      </c>
      <c r="O135" s="91">
        <v>197.67</v>
      </c>
      <c r="P135" s="92">
        <f t="shared" si="11"/>
        <v>-2.1919841662543349E-2</v>
      </c>
      <c r="Q135" s="90">
        <v>44663</v>
      </c>
      <c r="R135" s="91">
        <v>47.81</v>
      </c>
      <c r="S135" s="92">
        <f t="shared" si="12"/>
        <v>-0.12259130115617545</v>
      </c>
      <c r="T135" s="90">
        <v>44663</v>
      </c>
      <c r="U135" s="93">
        <v>3934.38</v>
      </c>
      <c r="V135" s="6">
        <f t="shared" si="13"/>
        <v>-3.3725470933516632E-2</v>
      </c>
    </row>
    <row r="136" spans="2:22" ht="14.4">
      <c r="B136" s="91" t="s">
        <v>236</v>
      </c>
      <c r="C136" s="91">
        <v>62.39</v>
      </c>
      <c r="D136" s="92">
        <f t="shared" si="7"/>
        <v>2.4130006565988182E-2</v>
      </c>
      <c r="E136" s="91" t="s">
        <v>236</v>
      </c>
      <c r="F136" s="91">
        <v>149.74</v>
      </c>
      <c r="G136" s="92">
        <f t="shared" si="8"/>
        <v>3.4687672747374387E-2</v>
      </c>
      <c r="H136" s="91" t="s">
        <v>236</v>
      </c>
      <c r="I136" s="91">
        <v>351.99</v>
      </c>
      <c r="J136" s="92">
        <f t="shared" si="9"/>
        <v>2.7498029599789975E-2</v>
      </c>
      <c r="K136" s="91" t="s">
        <v>236</v>
      </c>
      <c r="L136" s="91">
        <v>78.77</v>
      </c>
      <c r="M136" s="92">
        <f t="shared" si="10"/>
        <v>3.7539515279241265E-2</v>
      </c>
      <c r="N136" s="91" t="s">
        <v>236</v>
      </c>
      <c r="O136" s="91">
        <v>202.1</v>
      </c>
      <c r="P136" s="92">
        <f t="shared" si="11"/>
        <v>1.624176597777427E-2</v>
      </c>
      <c r="Q136" s="91" t="s">
        <v>236</v>
      </c>
      <c r="R136" s="91">
        <v>54.49</v>
      </c>
      <c r="S136" s="92">
        <f t="shared" si="12"/>
        <v>0.10325976918404534</v>
      </c>
      <c r="T136" s="91" t="s">
        <v>236</v>
      </c>
      <c r="U136" s="93">
        <v>4071.7</v>
      </c>
      <c r="V136" s="6">
        <f t="shared" si="13"/>
        <v>1.1321073390758274E-2</v>
      </c>
    </row>
    <row r="137" spans="2:22" ht="14.4">
      <c r="B137" s="91" t="s">
        <v>237</v>
      </c>
      <c r="C137" s="91">
        <v>60.92</v>
      </c>
      <c r="D137" s="92">
        <f t="shared" si="7"/>
        <v>1.5841253960313439E-2</v>
      </c>
      <c r="E137" s="91" t="s">
        <v>237</v>
      </c>
      <c r="F137" s="91">
        <v>144.72</v>
      </c>
      <c r="G137" s="92">
        <f t="shared" si="8"/>
        <v>-1.012311901504781E-2</v>
      </c>
      <c r="H137" s="91" t="s">
        <v>237</v>
      </c>
      <c r="I137" s="91">
        <v>342.57</v>
      </c>
      <c r="J137" s="92">
        <f t="shared" si="9"/>
        <v>1.4451123811779931E-2</v>
      </c>
      <c r="K137" s="91" t="s">
        <v>237</v>
      </c>
      <c r="L137" s="91">
        <v>75.92</v>
      </c>
      <c r="M137" s="92">
        <f t="shared" si="10"/>
        <v>2.5530190463325608E-2</v>
      </c>
      <c r="N137" s="91" t="s">
        <v>237</v>
      </c>
      <c r="O137" s="91">
        <v>198.87</v>
      </c>
      <c r="P137" s="92">
        <f t="shared" si="11"/>
        <v>2.3783783783783763E-2</v>
      </c>
      <c r="Q137" s="91" t="s">
        <v>237</v>
      </c>
      <c r="R137" s="91">
        <v>49.39</v>
      </c>
      <c r="S137" s="92">
        <f t="shared" si="12"/>
        <v>-7.635121559172231E-3</v>
      </c>
      <c r="T137" s="91" t="s">
        <v>237</v>
      </c>
      <c r="U137" s="93">
        <v>4026.12</v>
      </c>
      <c r="V137" s="6">
        <f t="shared" si="13"/>
        <v>1.5327815521493759E-2</v>
      </c>
    </row>
    <row r="138" spans="2:22" ht="14.4">
      <c r="B138" s="91" t="s">
        <v>238</v>
      </c>
      <c r="C138" s="91">
        <v>59.97</v>
      </c>
      <c r="D138" s="92">
        <f t="shared" si="7"/>
        <v>2.6532009585758187E-2</v>
      </c>
      <c r="E138" s="91" t="s">
        <v>238</v>
      </c>
      <c r="F138" s="91">
        <v>146.19999999999999</v>
      </c>
      <c r="G138" s="92">
        <f t="shared" si="8"/>
        <v>-8.2868076030362059E-2</v>
      </c>
      <c r="H138" s="91" t="s">
        <v>238</v>
      </c>
      <c r="I138" s="91">
        <v>337.69</v>
      </c>
      <c r="J138" s="92">
        <f t="shared" si="9"/>
        <v>7.2481059476228182E-3</v>
      </c>
      <c r="K138" s="91" t="s">
        <v>238</v>
      </c>
      <c r="L138" s="91">
        <v>74.03</v>
      </c>
      <c r="M138" s="92">
        <f t="shared" si="10"/>
        <v>5.406135964320935E-4</v>
      </c>
      <c r="N138" s="91" t="s">
        <v>238</v>
      </c>
      <c r="O138" s="91">
        <v>194.25</v>
      </c>
      <c r="P138" s="92">
        <f t="shared" si="11"/>
        <v>9.6678621549977084E-3</v>
      </c>
      <c r="Q138" s="91" t="s">
        <v>238</v>
      </c>
      <c r="R138" s="91">
        <v>49.77</v>
      </c>
      <c r="S138" s="92">
        <f t="shared" si="12"/>
        <v>2.0504408447816314E-2</v>
      </c>
      <c r="T138" s="91" t="s">
        <v>238</v>
      </c>
      <c r="U138" s="93">
        <v>3965.34</v>
      </c>
      <c r="V138" s="6">
        <f t="shared" si="13"/>
        <v>-6.9097129175818006E-3</v>
      </c>
    </row>
    <row r="139" spans="2:22" ht="14.4">
      <c r="B139" s="90">
        <v>44723</v>
      </c>
      <c r="C139" s="91">
        <v>58.42</v>
      </c>
      <c r="D139" s="92">
        <f t="shared" si="7"/>
        <v>0.11001330039901203</v>
      </c>
      <c r="E139" s="90">
        <v>44723</v>
      </c>
      <c r="F139" s="91">
        <v>159.41</v>
      </c>
      <c r="G139" s="92">
        <f t="shared" si="8"/>
        <v>0.20482200891844915</v>
      </c>
      <c r="H139" s="90">
        <v>44723</v>
      </c>
      <c r="I139" s="91">
        <v>335.26</v>
      </c>
      <c r="J139" s="92">
        <f t="shared" si="9"/>
        <v>4.9327073552425604E-2</v>
      </c>
      <c r="K139" s="90">
        <v>44723</v>
      </c>
      <c r="L139" s="91">
        <v>73.989999999999995</v>
      </c>
      <c r="M139" s="92">
        <f t="shared" si="10"/>
        <v>9.5661187620316834E-2</v>
      </c>
      <c r="N139" s="90">
        <v>44723</v>
      </c>
      <c r="O139" s="91">
        <v>192.39</v>
      </c>
      <c r="P139" s="92">
        <f t="shared" si="11"/>
        <v>8.8856188805252145E-2</v>
      </c>
      <c r="Q139" s="90">
        <v>44723</v>
      </c>
      <c r="R139" s="91">
        <v>48.77</v>
      </c>
      <c r="S139" s="92">
        <f t="shared" si="12"/>
        <v>5.4486486486486463E-2</v>
      </c>
      <c r="T139" s="90">
        <v>44723</v>
      </c>
      <c r="U139" s="93">
        <v>3992.93</v>
      </c>
      <c r="V139" s="6">
        <f t="shared" si="13"/>
        <v>5.8978133163596791E-2</v>
      </c>
    </row>
    <row r="140" spans="2:22" ht="14.4">
      <c r="B140" s="91" t="s">
        <v>239</v>
      </c>
      <c r="C140" s="91">
        <v>52.63</v>
      </c>
      <c r="D140" s="92">
        <f t="shared" si="7"/>
        <v>-0.16486829577911777</v>
      </c>
      <c r="E140" s="91" t="s">
        <v>239</v>
      </c>
      <c r="F140" s="91">
        <v>132.31</v>
      </c>
      <c r="G140" s="92">
        <f t="shared" si="8"/>
        <v>-0.17145719832174833</v>
      </c>
      <c r="H140" s="91" t="s">
        <v>239</v>
      </c>
      <c r="I140" s="91">
        <v>319.5</v>
      </c>
      <c r="J140" s="92">
        <f t="shared" si="9"/>
        <v>5.791198966921618E-2</v>
      </c>
      <c r="K140" s="91" t="s">
        <v>239</v>
      </c>
      <c r="L140" s="91">
        <v>67.53</v>
      </c>
      <c r="M140" s="92">
        <f t="shared" si="10"/>
        <v>-0.16763219524220385</v>
      </c>
      <c r="N140" s="91" t="s">
        <v>239</v>
      </c>
      <c r="O140" s="91">
        <v>176.69</v>
      </c>
      <c r="P140" s="92">
        <f t="shared" si="11"/>
        <v>-0.13118945763878653</v>
      </c>
      <c r="Q140" s="91" t="s">
        <v>239</v>
      </c>
      <c r="R140" s="91">
        <v>46.25</v>
      </c>
      <c r="S140" s="92">
        <f t="shared" si="12"/>
        <v>-0.13889406069633214</v>
      </c>
      <c r="T140" s="91" t="s">
        <v>239</v>
      </c>
      <c r="U140" s="93">
        <v>3770.55</v>
      </c>
      <c r="V140" s="6">
        <f t="shared" si="13"/>
        <v>-3.3455009664040025E-2</v>
      </c>
    </row>
    <row r="141" spans="2:22" ht="14.4">
      <c r="B141" s="91" t="s">
        <v>240</v>
      </c>
      <c r="C141" s="91">
        <v>63.02</v>
      </c>
      <c r="D141" s="92">
        <f t="shared" si="7"/>
        <v>4.5454545454545414E-2</v>
      </c>
      <c r="E141" s="91" t="s">
        <v>240</v>
      </c>
      <c r="F141" s="91">
        <v>159.69</v>
      </c>
      <c r="G141" s="92">
        <f t="shared" si="8"/>
        <v>-9.8306041784302689E-2</v>
      </c>
      <c r="H141" s="91" t="s">
        <v>240</v>
      </c>
      <c r="I141" s="91">
        <v>302.01</v>
      </c>
      <c r="J141" s="92">
        <f t="shared" si="9"/>
        <v>4.2312338222605606E-2</v>
      </c>
      <c r="K141" s="91" t="s">
        <v>240</v>
      </c>
      <c r="L141" s="91">
        <v>81.13</v>
      </c>
      <c r="M141" s="92">
        <f t="shared" si="10"/>
        <v>5.6930693069306759E-2</v>
      </c>
      <c r="N141" s="91" t="s">
        <v>240</v>
      </c>
      <c r="O141" s="91">
        <v>203.37</v>
      </c>
      <c r="P141" s="92">
        <f t="shared" si="11"/>
        <v>0.13519397153223545</v>
      </c>
      <c r="Q141" s="91" t="s">
        <v>240</v>
      </c>
      <c r="R141" s="91">
        <v>53.71</v>
      </c>
      <c r="S141" s="92">
        <f t="shared" si="12"/>
        <v>-5.656068856490426E-2</v>
      </c>
      <c r="T141" s="91" t="s">
        <v>240</v>
      </c>
      <c r="U141" s="93">
        <v>3901.06</v>
      </c>
      <c r="V141" s="6">
        <f t="shared" si="13"/>
        <v>3.9520351742055704E-2</v>
      </c>
    </row>
    <row r="142" spans="2:22" ht="14.4">
      <c r="B142" s="91" t="s">
        <v>241</v>
      </c>
      <c r="C142" s="91">
        <v>60.28</v>
      </c>
      <c r="D142" s="92">
        <f t="shared" si="7"/>
        <v>2.8668941979522078E-2</v>
      </c>
      <c r="E142" s="91" t="s">
        <v>241</v>
      </c>
      <c r="F142" s="91">
        <v>177.1</v>
      </c>
      <c r="G142" s="92">
        <f t="shared" si="8"/>
        <v>0.16222601391258684</v>
      </c>
      <c r="H142" s="91" t="s">
        <v>241</v>
      </c>
      <c r="I142" s="91">
        <v>289.75</v>
      </c>
      <c r="J142" s="92">
        <f t="shared" si="9"/>
        <v>4.103043150217367E-2</v>
      </c>
      <c r="K142" s="91" t="s">
        <v>241</v>
      </c>
      <c r="L142" s="91">
        <v>76.760000000000005</v>
      </c>
      <c r="M142" s="92">
        <f t="shared" si="10"/>
        <v>6.9527657795736442E-2</v>
      </c>
      <c r="N142" s="91" t="s">
        <v>241</v>
      </c>
      <c r="O142" s="91">
        <v>179.15</v>
      </c>
      <c r="P142" s="92">
        <f t="shared" si="11"/>
        <v>2.9124540441176405E-2</v>
      </c>
      <c r="Q142" s="91" t="s">
        <v>241</v>
      </c>
      <c r="R142" s="91">
        <v>56.93</v>
      </c>
      <c r="S142" s="92">
        <f t="shared" si="12"/>
        <v>0.12509881422924907</v>
      </c>
      <c r="T142" s="91" t="s">
        <v>241</v>
      </c>
      <c r="U142" s="93">
        <v>3752.75</v>
      </c>
      <c r="V142" s="6">
        <f t="shared" si="13"/>
        <v>4.7356038257695188E-2</v>
      </c>
    </row>
    <row r="143" spans="2:22" ht="14.4">
      <c r="B143" s="90">
        <v>44814</v>
      </c>
      <c r="C143" s="91">
        <v>58.6</v>
      </c>
      <c r="D143" s="92">
        <f t="shared" si="7"/>
        <v>1.8806633612582502E-3</v>
      </c>
      <c r="E143" s="90">
        <v>44814</v>
      </c>
      <c r="F143" s="91">
        <v>152.38</v>
      </c>
      <c r="G143" s="92">
        <f t="shared" si="8"/>
        <v>-0.12975442604226162</v>
      </c>
      <c r="H143" s="90">
        <v>44814</v>
      </c>
      <c r="I143" s="91">
        <v>278.33</v>
      </c>
      <c r="J143" s="92">
        <f t="shared" si="9"/>
        <v>-5.3331519336077049E-2</v>
      </c>
      <c r="K143" s="90">
        <v>44814</v>
      </c>
      <c r="L143" s="91">
        <v>71.77</v>
      </c>
      <c r="M143" s="92">
        <f t="shared" si="10"/>
        <v>-5.4538269002766482E-2</v>
      </c>
      <c r="N143" s="90">
        <v>44814</v>
      </c>
      <c r="O143" s="91">
        <v>174.08</v>
      </c>
      <c r="P143" s="92">
        <f t="shared" si="11"/>
        <v>-2.1252670639829052E-2</v>
      </c>
      <c r="Q143" s="90">
        <v>44814</v>
      </c>
      <c r="R143" s="91">
        <v>50.6</v>
      </c>
      <c r="S143" s="92">
        <f t="shared" si="12"/>
        <v>-0.1089980630392674</v>
      </c>
      <c r="T143" s="90">
        <v>44814</v>
      </c>
      <c r="U143" s="93">
        <v>3583.07</v>
      </c>
      <c r="V143" s="6">
        <f t="shared" si="13"/>
        <v>-1.554815559695133E-2</v>
      </c>
    </row>
    <row r="144" spans="2:22" ht="14.4">
      <c r="B144" s="90">
        <v>44602</v>
      </c>
      <c r="C144" s="91">
        <v>58.49</v>
      </c>
      <c r="D144" s="92">
        <f t="shared" si="7"/>
        <v>1.8279944289693706E-2</v>
      </c>
      <c r="E144" s="90">
        <v>44602</v>
      </c>
      <c r="F144" s="91">
        <v>175.1</v>
      </c>
      <c r="G144" s="92">
        <f t="shared" si="8"/>
        <v>3.0242409978818552E-2</v>
      </c>
      <c r="H144" s="90">
        <v>44602</v>
      </c>
      <c r="I144" s="91">
        <v>294.01</v>
      </c>
      <c r="J144" s="92">
        <f t="shared" si="9"/>
        <v>6.2597130362499476E-2</v>
      </c>
      <c r="K144" s="90">
        <v>44602</v>
      </c>
      <c r="L144" s="91">
        <v>75.91</v>
      </c>
      <c r="M144" s="92">
        <f t="shared" si="10"/>
        <v>7.0965011286681756E-2</v>
      </c>
      <c r="N144" s="90">
        <v>44602</v>
      </c>
      <c r="O144" s="91">
        <v>177.86</v>
      </c>
      <c r="P144" s="92">
        <f t="shared" si="11"/>
        <v>2.3949337938975468E-2</v>
      </c>
      <c r="Q144" s="90">
        <v>44602</v>
      </c>
      <c r="R144" s="91">
        <v>56.79</v>
      </c>
      <c r="S144" s="92">
        <f t="shared" si="12"/>
        <v>-4.9539748953974949E-2</v>
      </c>
      <c r="T144" s="90">
        <v>44602</v>
      </c>
      <c r="U144" s="93">
        <v>3639.66</v>
      </c>
      <c r="V144" s="6">
        <f t="shared" si="13"/>
        <v>1.5071312632124911E-2</v>
      </c>
    </row>
    <row r="145" spans="2:22" ht="14.4">
      <c r="B145" s="91" t="s">
        <v>242</v>
      </c>
      <c r="C145" s="91">
        <v>57.44</v>
      </c>
      <c r="D145" s="92">
        <f t="shared" si="7"/>
        <v>-2.3959218351741751E-2</v>
      </c>
      <c r="E145" s="91" t="s">
        <v>242</v>
      </c>
      <c r="F145" s="91">
        <v>169.96</v>
      </c>
      <c r="G145" s="92">
        <f t="shared" si="8"/>
        <v>-1.2606750711671388E-2</v>
      </c>
      <c r="H145" s="91" t="s">
        <v>242</v>
      </c>
      <c r="I145" s="91">
        <v>276.69</v>
      </c>
      <c r="J145" s="92">
        <f t="shared" si="9"/>
        <v>2.2821125842207302E-3</v>
      </c>
      <c r="K145" s="91" t="s">
        <v>242</v>
      </c>
      <c r="L145" s="91">
        <v>70.88</v>
      </c>
      <c r="M145" s="92">
        <f t="shared" si="10"/>
        <v>5.3900709219858456E-3</v>
      </c>
      <c r="N145" s="91" t="s">
        <v>242</v>
      </c>
      <c r="O145" s="91">
        <v>173.7</v>
      </c>
      <c r="P145" s="92">
        <f t="shared" si="11"/>
        <v>0</v>
      </c>
      <c r="Q145" s="91" t="s">
        <v>242</v>
      </c>
      <c r="R145" s="91">
        <v>59.75</v>
      </c>
      <c r="S145" s="92">
        <f t="shared" si="12"/>
        <v>3.5528596187174966E-2</v>
      </c>
      <c r="T145" s="91" t="s">
        <v>242</v>
      </c>
      <c r="U145" s="93">
        <v>3585.62</v>
      </c>
      <c r="V145" s="6">
        <f t="shared" si="13"/>
        <v>-2.9137096796029494E-2</v>
      </c>
    </row>
    <row r="146" spans="2:22" ht="14.4">
      <c r="B146" s="91" t="s">
        <v>243</v>
      </c>
      <c r="C146" s="91">
        <v>58.85</v>
      </c>
      <c r="D146" s="92">
        <f t="shared" si="7"/>
        <v>-5.3858520900321616E-2</v>
      </c>
      <c r="E146" s="91" t="s">
        <v>243</v>
      </c>
      <c r="F146" s="91">
        <v>172.13</v>
      </c>
      <c r="G146" s="92">
        <f t="shared" si="8"/>
        <v>-6.790491146369193E-2</v>
      </c>
      <c r="H146" s="91" t="s">
        <v>243</v>
      </c>
      <c r="I146" s="91">
        <v>276.06</v>
      </c>
      <c r="J146" s="92">
        <f t="shared" si="9"/>
        <v>-8.0045321247667278E-2</v>
      </c>
      <c r="K146" s="91" t="s">
        <v>243</v>
      </c>
      <c r="L146" s="91">
        <v>70.5</v>
      </c>
      <c r="M146" s="92">
        <f t="shared" si="10"/>
        <v>-5.9498399146211245E-2</v>
      </c>
      <c r="N146" s="91" t="s">
        <v>243</v>
      </c>
      <c r="O146" s="91">
        <v>173.7</v>
      </c>
      <c r="P146" s="92">
        <f t="shared" si="11"/>
        <v>-7.5986973661659185E-3</v>
      </c>
      <c r="Q146" s="91" t="s">
        <v>243</v>
      </c>
      <c r="R146" s="91">
        <v>57.7</v>
      </c>
      <c r="S146" s="92">
        <f t="shared" si="12"/>
        <v>-6.7700759411859712E-2</v>
      </c>
      <c r="T146" s="91" t="s">
        <v>243</v>
      </c>
      <c r="U146" s="93">
        <v>3693.23</v>
      </c>
      <c r="V146" s="6">
        <f t="shared" si="13"/>
        <v>-4.6497458259430524E-2</v>
      </c>
    </row>
    <row r="147" spans="2:22" ht="14.4">
      <c r="B147" s="90">
        <v>44874</v>
      </c>
      <c r="C147" s="91">
        <v>62.2</v>
      </c>
      <c r="D147" s="92">
        <f t="shared" si="7"/>
        <v>-5.0526637154632903E-2</v>
      </c>
      <c r="E147" s="90">
        <v>44874</v>
      </c>
      <c r="F147" s="91">
        <v>184.67</v>
      </c>
      <c r="G147" s="92">
        <f t="shared" si="8"/>
        <v>-1.87045007704979E-2</v>
      </c>
      <c r="H147" s="90">
        <v>44874</v>
      </c>
      <c r="I147" s="91">
        <v>300.08</v>
      </c>
      <c r="J147" s="92">
        <f t="shared" si="9"/>
        <v>-1.9794865094401315E-2</v>
      </c>
      <c r="K147" s="90">
        <v>44874</v>
      </c>
      <c r="L147" s="91">
        <v>74.959999999999994</v>
      </c>
      <c r="M147" s="92">
        <f t="shared" si="10"/>
        <v>-3.9590006406149958E-2</v>
      </c>
      <c r="N147" s="90">
        <v>44874</v>
      </c>
      <c r="O147" s="91">
        <v>175.03</v>
      </c>
      <c r="P147" s="92">
        <f t="shared" si="11"/>
        <v>-8.149664147774982E-2</v>
      </c>
      <c r="Q147" s="90">
        <v>44874</v>
      </c>
      <c r="R147" s="91">
        <v>61.89</v>
      </c>
      <c r="S147" s="92">
        <f t="shared" si="12"/>
        <v>-7.4611244019138656E-2</v>
      </c>
      <c r="T147" s="90">
        <v>44874</v>
      </c>
      <c r="U147" s="93">
        <v>3873.33</v>
      </c>
      <c r="V147" s="6">
        <f t="shared" si="13"/>
        <v>-4.7704161913378784E-2</v>
      </c>
    </row>
    <row r="148" spans="2:22" ht="14.4">
      <c r="B148" s="90">
        <v>44660</v>
      </c>
      <c r="C148" s="91">
        <v>65.510000000000005</v>
      </c>
      <c r="D148" s="92">
        <f t="shared" si="7"/>
        <v>5.1018771057275814E-2</v>
      </c>
      <c r="E148" s="90">
        <v>44660</v>
      </c>
      <c r="F148" s="91">
        <v>188.19</v>
      </c>
      <c r="G148" s="92">
        <f t="shared" si="8"/>
        <v>9.7381771531867667E-2</v>
      </c>
      <c r="H148" s="90">
        <v>44660</v>
      </c>
      <c r="I148" s="91">
        <v>306.14</v>
      </c>
      <c r="J148" s="92">
        <f t="shared" si="9"/>
        <v>5.9601273708985048E-2</v>
      </c>
      <c r="K148" s="90">
        <v>44660</v>
      </c>
      <c r="L148" s="91">
        <v>78.05</v>
      </c>
      <c r="M148" s="92">
        <f t="shared" si="10"/>
        <v>3.9696283468762639E-2</v>
      </c>
      <c r="N148" s="90">
        <v>44660</v>
      </c>
      <c r="O148" s="91">
        <v>190.56</v>
      </c>
      <c r="P148" s="92">
        <f t="shared" si="11"/>
        <v>5.0206668503720131E-2</v>
      </c>
      <c r="Q148" s="90">
        <v>44660</v>
      </c>
      <c r="R148" s="91">
        <v>66.88</v>
      </c>
      <c r="S148" s="92">
        <f t="shared" si="12"/>
        <v>9.1561938958707234E-2</v>
      </c>
      <c r="T148" s="90">
        <v>44660</v>
      </c>
      <c r="U148" s="93">
        <v>4067.36</v>
      </c>
      <c r="V148" s="6">
        <f t="shared" si="13"/>
        <v>3.646547374536846E-2</v>
      </c>
    </row>
    <row r="149" spans="2:22" ht="14.4">
      <c r="B149" s="91" t="s">
        <v>244</v>
      </c>
      <c r="C149" s="91">
        <v>62.33</v>
      </c>
      <c r="D149" s="92">
        <f t="shared" si="7"/>
        <v>-3.6630602782071198E-2</v>
      </c>
      <c r="E149" s="91" t="s">
        <v>244</v>
      </c>
      <c r="F149" s="91">
        <v>171.49</v>
      </c>
      <c r="G149" s="92">
        <f t="shared" si="8"/>
        <v>-0.13261848161448586</v>
      </c>
      <c r="H149" s="91" t="s">
        <v>244</v>
      </c>
      <c r="I149" s="91">
        <v>288.92</v>
      </c>
      <c r="J149" s="92">
        <f t="shared" si="9"/>
        <v>-2.0444143075097343E-2</v>
      </c>
      <c r="K149" s="91" t="s">
        <v>244</v>
      </c>
      <c r="L149" s="91">
        <v>75.069999999999993</v>
      </c>
      <c r="M149" s="92">
        <f t="shared" si="10"/>
        <v>-3.4221021484626357E-2</v>
      </c>
      <c r="N149" s="91" t="s">
        <v>244</v>
      </c>
      <c r="O149" s="91">
        <v>181.45</v>
      </c>
      <c r="P149" s="92">
        <f t="shared" si="11"/>
        <v>-3.2318276358594189E-2</v>
      </c>
      <c r="Q149" s="91" t="s">
        <v>244</v>
      </c>
      <c r="R149" s="91">
        <v>61.27</v>
      </c>
      <c r="S149" s="92">
        <f t="shared" si="12"/>
        <v>-3.3748620091468173E-2</v>
      </c>
      <c r="T149" s="91" t="s">
        <v>244</v>
      </c>
      <c r="U149" s="93">
        <v>3924.26</v>
      </c>
      <c r="V149" s="6">
        <f t="shared" si="13"/>
        <v>-3.2876091146128439E-2</v>
      </c>
    </row>
    <row r="150" spans="2:22" ht="14.4">
      <c r="B150" s="91" t="s">
        <v>245</v>
      </c>
      <c r="C150" s="91">
        <v>64.7</v>
      </c>
      <c r="D150" s="92">
        <f t="shared" ref="D150:D213" si="14">(C150/C151)-1</f>
        <v>-5.685131195335269E-2</v>
      </c>
      <c r="E150" s="91" t="s">
        <v>245</v>
      </c>
      <c r="F150" s="91">
        <v>197.71</v>
      </c>
      <c r="G150" s="92">
        <f t="shared" ref="G150:G213" si="15">(F150/F151)-1</f>
        <v>0.2843315577497727</v>
      </c>
      <c r="H150" s="91" t="s">
        <v>245</v>
      </c>
      <c r="I150" s="91">
        <v>294.95</v>
      </c>
      <c r="J150" s="92">
        <f t="shared" ref="J150:J213" si="16">(I150/I151)-1</f>
        <v>-4.2307942074160776E-2</v>
      </c>
      <c r="K150" s="91" t="s">
        <v>245</v>
      </c>
      <c r="L150" s="91">
        <v>77.73</v>
      </c>
      <c r="M150" s="92">
        <f t="shared" ref="M150:M213" si="17">(L150/L151)-1</f>
        <v>-4.1317217562900743E-2</v>
      </c>
      <c r="N150" s="91" t="s">
        <v>245</v>
      </c>
      <c r="O150" s="91">
        <v>187.51</v>
      </c>
      <c r="P150" s="92">
        <f t="shared" ref="P150:P213" si="18">(O150/O151)-1</f>
        <v>-6.929071325755698E-2</v>
      </c>
      <c r="Q150" s="91" t="s">
        <v>245</v>
      </c>
      <c r="R150" s="91">
        <v>63.41</v>
      </c>
      <c r="S150" s="92">
        <f t="shared" ref="S150:S213" si="19">(R150/R151)-1</f>
        <v>-3.4708479220581512E-2</v>
      </c>
      <c r="T150" s="91" t="s">
        <v>245</v>
      </c>
      <c r="U150" s="93">
        <v>4057.66</v>
      </c>
      <c r="V150" s="6">
        <f t="shared" ref="V150:V213" si="20">(U150/U151)-1</f>
        <v>-4.0397495080974677E-2</v>
      </c>
    </row>
    <row r="151" spans="2:22" ht="14.4">
      <c r="B151" s="91" t="s">
        <v>246</v>
      </c>
      <c r="C151" s="91">
        <v>68.599999999999994</v>
      </c>
      <c r="D151" s="92">
        <f t="shared" si="14"/>
        <v>-1.6910289481226859E-2</v>
      </c>
      <c r="E151" s="91" t="s">
        <v>246</v>
      </c>
      <c r="F151" s="91">
        <v>153.94</v>
      </c>
      <c r="G151" s="92">
        <f t="shared" si="15"/>
        <v>-8.7384396490396088E-2</v>
      </c>
      <c r="H151" s="91" t="s">
        <v>246</v>
      </c>
      <c r="I151" s="91">
        <v>307.98</v>
      </c>
      <c r="J151" s="92">
        <f t="shared" si="16"/>
        <v>-3.2468586642409036E-5</v>
      </c>
      <c r="K151" s="91" t="s">
        <v>246</v>
      </c>
      <c r="L151" s="91">
        <v>81.08</v>
      </c>
      <c r="M151" s="92">
        <f t="shared" si="17"/>
        <v>-2.8286803591194287E-3</v>
      </c>
      <c r="N151" s="91" t="s">
        <v>246</v>
      </c>
      <c r="O151" s="91">
        <v>201.47</v>
      </c>
      <c r="P151" s="92">
        <f t="shared" si="18"/>
        <v>-3.067940026720839E-3</v>
      </c>
      <c r="Q151" s="91" t="s">
        <v>246</v>
      </c>
      <c r="R151" s="91">
        <v>65.69</v>
      </c>
      <c r="S151" s="92">
        <f t="shared" si="19"/>
        <v>-0.11813666263928047</v>
      </c>
      <c r="T151" s="91" t="s">
        <v>246</v>
      </c>
      <c r="U151" s="93">
        <v>4228.4799999999996</v>
      </c>
      <c r="V151" s="6">
        <f t="shared" si="20"/>
        <v>-1.2072006822190784E-2</v>
      </c>
    </row>
    <row r="152" spans="2:22" ht="14.4">
      <c r="B152" s="90">
        <v>44750</v>
      </c>
      <c r="C152" s="91">
        <v>69.78</v>
      </c>
      <c r="D152" s="92">
        <f t="shared" si="14"/>
        <v>1.5424912689173453E-2</v>
      </c>
      <c r="E152" s="90">
        <v>44750</v>
      </c>
      <c r="F152" s="91">
        <v>168.68</v>
      </c>
      <c r="G152" s="92">
        <f t="shared" si="15"/>
        <v>1.9029783120884547E-2</v>
      </c>
      <c r="H152" s="90">
        <v>44750</v>
      </c>
      <c r="I152" s="91">
        <v>307.99</v>
      </c>
      <c r="J152" s="92">
        <f t="shared" si="16"/>
        <v>4.2479014351475719E-2</v>
      </c>
      <c r="K152" s="90">
        <v>44750</v>
      </c>
      <c r="L152" s="91">
        <v>81.31</v>
      </c>
      <c r="M152" s="92">
        <f t="shared" si="17"/>
        <v>3.0153300392752991E-2</v>
      </c>
      <c r="N152" s="90">
        <v>44750</v>
      </c>
      <c r="O152" s="91">
        <v>202.09</v>
      </c>
      <c r="P152" s="92">
        <f t="shared" si="18"/>
        <v>1.7060895822848643E-2</v>
      </c>
      <c r="Q152" s="90">
        <v>44750</v>
      </c>
      <c r="R152" s="91">
        <v>74.489999999999995</v>
      </c>
      <c r="S152" s="92">
        <f t="shared" si="19"/>
        <v>0.41133004926108363</v>
      </c>
      <c r="T152" s="90">
        <v>44750</v>
      </c>
      <c r="U152" s="93">
        <v>4280.1499999999996</v>
      </c>
      <c r="V152" s="6">
        <f t="shared" si="20"/>
        <v>3.2558218079267842E-2</v>
      </c>
    </row>
    <row r="153" spans="2:22" ht="14.4">
      <c r="B153" s="91" t="s">
        <v>247</v>
      </c>
      <c r="C153" s="91">
        <v>68.72</v>
      </c>
      <c r="D153" s="92">
        <f t="shared" si="14"/>
        <v>1.1183048852266175E-2</v>
      </c>
      <c r="E153" s="91" t="s">
        <v>247</v>
      </c>
      <c r="F153" s="91">
        <v>165.53</v>
      </c>
      <c r="G153" s="92">
        <f t="shared" si="15"/>
        <v>0.10419585084383964</v>
      </c>
      <c r="H153" s="91" t="s">
        <v>247</v>
      </c>
      <c r="I153" s="91">
        <v>295.44</v>
      </c>
      <c r="J153" s="92">
        <f t="shared" si="16"/>
        <v>0.112852192255537</v>
      </c>
      <c r="K153" s="91" t="s">
        <v>247</v>
      </c>
      <c r="L153" s="91">
        <v>78.930000000000007</v>
      </c>
      <c r="M153" s="92">
        <f t="shared" si="17"/>
        <v>6.4033432191965556E-2</v>
      </c>
      <c r="N153" s="91" t="s">
        <v>247</v>
      </c>
      <c r="O153" s="91">
        <v>198.7</v>
      </c>
      <c r="P153" s="92">
        <f t="shared" si="18"/>
        <v>5.0433495453584332E-2</v>
      </c>
      <c r="Q153" s="91" t="s">
        <v>247</v>
      </c>
      <c r="R153" s="91">
        <v>52.78</v>
      </c>
      <c r="S153" s="92">
        <f t="shared" si="19"/>
        <v>0.17288888888888887</v>
      </c>
      <c r="T153" s="91" t="s">
        <v>247</v>
      </c>
      <c r="U153" s="93">
        <v>4145.1899999999996</v>
      </c>
      <c r="V153" s="6">
        <f t="shared" si="20"/>
        <v>3.6074948732411904E-3</v>
      </c>
    </row>
    <row r="154" spans="2:22" ht="14.4">
      <c r="B154" s="91" t="s">
        <v>248</v>
      </c>
      <c r="C154" s="91">
        <v>67.959999999999994</v>
      </c>
      <c r="D154" s="92">
        <f t="shared" si="14"/>
        <v>-1.6497829232995698E-2</v>
      </c>
      <c r="E154" s="91" t="s">
        <v>248</v>
      </c>
      <c r="F154" s="91">
        <v>149.91</v>
      </c>
      <c r="G154" s="92">
        <f t="shared" si="15"/>
        <v>4.8394992656829006E-2</v>
      </c>
      <c r="H154" s="91" t="s">
        <v>248</v>
      </c>
      <c r="I154" s="91">
        <v>265.48</v>
      </c>
      <c r="J154" s="92">
        <f t="shared" si="16"/>
        <v>4.6267833215102083E-2</v>
      </c>
      <c r="K154" s="91" t="s">
        <v>248</v>
      </c>
      <c r="L154" s="91">
        <v>74.180000000000007</v>
      </c>
      <c r="M154" s="92">
        <f t="shared" si="17"/>
        <v>2.1615779519050804E-3</v>
      </c>
      <c r="N154" s="91" t="s">
        <v>248</v>
      </c>
      <c r="O154" s="91">
        <v>189.16</v>
      </c>
      <c r="P154" s="92">
        <f t="shared" si="18"/>
        <v>2.0831084727468863E-2</v>
      </c>
      <c r="Q154" s="91" t="s">
        <v>248</v>
      </c>
      <c r="R154" s="91">
        <v>45</v>
      </c>
      <c r="S154" s="92">
        <f t="shared" si="19"/>
        <v>-4.8022001269304115E-2</v>
      </c>
      <c r="T154" s="91" t="s">
        <v>248</v>
      </c>
      <c r="U154" s="93">
        <v>4130.29</v>
      </c>
      <c r="V154" s="6">
        <f t="shared" si="20"/>
        <v>4.2573385197506974E-2</v>
      </c>
    </row>
    <row r="155" spans="2:22" ht="14.4">
      <c r="B155" s="91" t="s">
        <v>249</v>
      </c>
      <c r="C155" s="91">
        <v>69.099999999999994</v>
      </c>
      <c r="D155" s="92">
        <f t="shared" si="14"/>
        <v>4.919526267840868E-2</v>
      </c>
      <c r="E155" s="91" t="s">
        <v>249</v>
      </c>
      <c r="F155" s="91">
        <v>142.99</v>
      </c>
      <c r="G155" s="92">
        <f t="shared" si="15"/>
        <v>-3.3524839472794721E-2</v>
      </c>
      <c r="H155" s="91" t="s">
        <v>249</v>
      </c>
      <c r="I155" s="91">
        <v>253.74</v>
      </c>
      <c r="J155" s="92">
        <f t="shared" si="16"/>
        <v>5.4219120029914025E-2</v>
      </c>
      <c r="K155" s="91" t="s">
        <v>249</v>
      </c>
      <c r="L155" s="91">
        <v>74.02</v>
      </c>
      <c r="M155" s="92">
        <f t="shared" si="17"/>
        <v>4.5332580144047396E-2</v>
      </c>
      <c r="N155" s="91" t="s">
        <v>249</v>
      </c>
      <c r="O155" s="91">
        <v>185.3</v>
      </c>
      <c r="P155" s="92">
        <f t="shared" si="18"/>
        <v>4.4061302681992487E-2</v>
      </c>
      <c r="Q155" s="91" t="s">
        <v>249</v>
      </c>
      <c r="R155" s="91">
        <v>47.27</v>
      </c>
      <c r="S155" s="92">
        <f t="shared" si="19"/>
        <v>9.6751740139211284E-2</v>
      </c>
      <c r="T155" s="91" t="s">
        <v>249</v>
      </c>
      <c r="U155" s="93">
        <v>3961.63</v>
      </c>
      <c r="V155" s="6">
        <f t="shared" si="20"/>
        <v>2.5489495646051408E-2</v>
      </c>
    </row>
    <row r="156" spans="2:22" ht="14.4">
      <c r="B156" s="90">
        <v>44841</v>
      </c>
      <c r="C156" s="91">
        <v>65.86</v>
      </c>
      <c r="D156" s="92">
        <f t="shared" si="14"/>
        <v>-1.730826618919723E-2</v>
      </c>
      <c r="E156" s="90">
        <v>44841</v>
      </c>
      <c r="F156" s="91">
        <v>147.94999999999999</v>
      </c>
      <c r="G156" s="92">
        <f t="shared" si="15"/>
        <v>-7.3459418837675483E-2</v>
      </c>
      <c r="H156" s="90">
        <v>44841</v>
      </c>
      <c r="I156" s="91">
        <v>240.69</v>
      </c>
      <c r="J156" s="92">
        <f t="shared" si="16"/>
        <v>-7.9957136380497396E-3</v>
      </c>
      <c r="K156" s="90">
        <v>44841</v>
      </c>
      <c r="L156" s="91">
        <v>70.81</v>
      </c>
      <c r="M156" s="92">
        <f t="shared" si="17"/>
        <v>-2.9999999999999916E-2</v>
      </c>
      <c r="N156" s="90">
        <v>44841</v>
      </c>
      <c r="O156" s="91">
        <v>177.48</v>
      </c>
      <c r="P156" s="92">
        <f t="shared" si="18"/>
        <v>-6.4378883726138314E-3</v>
      </c>
      <c r="Q156" s="90">
        <v>44841</v>
      </c>
      <c r="R156" s="91">
        <v>43.1</v>
      </c>
      <c r="S156" s="92">
        <f t="shared" si="19"/>
        <v>-5.5445978522901673E-2</v>
      </c>
      <c r="T156" s="90">
        <v>44841</v>
      </c>
      <c r="U156" s="93">
        <v>3863.16</v>
      </c>
      <c r="V156" s="6">
        <f t="shared" si="20"/>
        <v>-9.2886561453360272E-3</v>
      </c>
    </row>
    <row r="157" spans="2:22" ht="14.4">
      <c r="B157" s="90">
        <v>44627</v>
      </c>
      <c r="C157" s="91">
        <v>67.02</v>
      </c>
      <c r="D157" s="92">
        <f t="shared" si="14"/>
        <v>-1.484639129795684E-2</v>
      </c>
      <c r="E157" s="90">
        <v>44627</v>
      </c>
      <c r="F157" s="91">
        <v>159.68</v>
      </c>
      <c r="G157" s="92">
        <f t="shared" si="15"/>
        <v>0.1048225281948385</v>
      </c>
      <c r="H157" s="90">
        <v>44627</v>
      </c>
      <c r="I157" s="91">
        <v>242.63</v>
      </c>
      <c r="J157" s="92">
        <f t="shared" si="16"/>
        <v>-6.7545439659407736E-3</v>
      </c>
      <c r="K157" s="90">
        <v>44627</v>
      </c>
      <c r="L157" s="91">
        <v>73</v>
      </c>
      <c r="M157" s="92">
        <f t="shared" si="17"/>
        <v>3.005503033723711E-2</v>
      </c>
      <c r="N157" s="90">
        <v>44627</v>
      </c>
      <c r="O157" s="91">
        <v>178.63</v>
      </c>
      <c r="P157" s="92">
        <f t="shared" si="18"/>
        <v>4.5781862888589542E-2</v>
      </c>
      <c r="Q157" s="90">
        <v>44627</v>
      </c>
      <c r="R157" s="91">
        <v>45.63</v>
      </c>
      <c r="S157" s="92">
        <f t="shared" si="19"/>
        <v>9.5295247239558512E-2</v>
      </c>
      <c r="T157" s="90">
        <v>44627</v>
      </c>
      <c r="U157" s="93">
        <v>3899.38</v>
      </c>
      <c r="V157" s="6">
        <f t="shared" si="20"/>
        <v>1.9357807038869801E-2</v>
      </c>
    </row>
    <row r="158" spans="2:22" ht="14.4">
      <c r="B158" s="91" t="s">
        <v>250</v>
      </c>
      <c r="C158" s="91">
        <v>68.03</v>
      </c>
      <c r="D158" s="92">
        <f t="shared" si="14"/>
        <v>-3.1739254198690614E-2</v>
      </c>
      <c r="E158" s="91" t="s">
        <v>250</v>
      </c>
      <c r="F158" s="91">
        <v>144.53</v>
      </c>
      <c r="G158" s="92">
        <f t="shared" si="15"/>
        <v>-4.6195472843661323E-2</v>
      </c>
      <c r="H158" s="91" t="s">
        <v>250</v>
      </c>
      <c r="I158" s="91">
        <v>244.28</v>
      </c>
      <c r="J158" s="92">
        <f t="shared" si="16"/>
        <v>-2.7896056349237863E-2</v>
      </c>
      <c r="K158" s="91" t="s">
        <v>250</v>
      </c>
      <c r="L158" s="91">
        <v>70.87</v>
      </c>
      <c r="M158" s="92">
        <f t="shared" si="17"/>
        <v>-1.4090460758066081E-3</v>
      </c>
      <c r="N158" s="91" t="s">
        <v>250</v>
      </c>
      <c r="O158" s="91">
        <v>170.81</v>
      </c>
      <c r="P158" s="92">
        <f t="shared" si="18"/>
        <v>9.0978909434631383E-3</v>
      </c>
      <c r="Q158" s="91" t="s">
        <v>250</v>
      </c>
      <c r="R158" s="91">
        <v>41.66</v>
      </c>
      <c r="S158" s="92">
        <f t="shared" si="19"/>
        <v>-0.15821378056172974</v>
      </c>
      <c r="T158" s="91" t="s">
        <v>250</v>
      </c>
      <c r="U158" s="93">
        <v>3825.33</v>
      </c>
      <c r="V158" s="6">
        <f t="shared" si="20"/>
        <v>-2.2089913951336193E-2</v>
      </c>
    </row>
    <row r="159" spans="2:22" ht="14.4">
      <c r="B159" s="91" t="s">
        <v>251</v>
      </c>
      <c r="C159" s="91">
        <v>70.260000000000005</v>
      </c>
      <c r="D159" s="92">
        <f t="shared" si="14"/>
        <v>5.654135338345867E-2</v>
      </c>
      <c r="E159" s="91" t="s">
        <v>251</v>
      </c>
      <c r="F159" s="91">
        <v>151.53</v>
      </c>
      <c r="G159" s="92">
        <f t="shared" si="15"/>
        <v>0.26930809180767312</v>
      </c>
      <c r="H159" s="91" t="s">
        <v>251</v>
      </c>
      <c r="I159" s="91">
        <v>251.29</v>
      </c>
      <c r="J159" s="92">
        <f t="shared" si="16"/>
        <v>9.099986975209462E-2</v>
      </c>
      <c r="K159" s="91" t="s">
        <v>251</v>
      </c>
      <c r="L159" s="91">
        <v>70.97</v>
      </c>
      <c r="M159" s="92">
        <f t="shared" si="17"/>
        <v>7.5792026678793478E-2</v>
      </c>
      <c r="N159" s="91" t="s">
        <v>251</v>
      </c>
      <c r="O159" s="91">
        <v>169.27</v>
      </c>
      <c r="P159" s="92">
        <f t="shared" si="18"/>
        <v>7.4457280690618299E-2</v>
      </c>
      <c r="Q159" s="91" t="s">
        <v>251</v>
      </c>
      <c r="R159" s="91">
        <v>49.49</v>
      </c>
      <c r="S159" s="92">
        <f t="shared" si="19"/>
        <v>6.8898488120950452E-2</v>
      </c>
      <c r="T159" s="91" t="s">
        <v>251</v>
      </c>
      <c r="U159" s="93">
        <v>3911.74</v>
      </c>
      <c r="V159" s="6">
        <f t="shared" si="20"/>
        <v>6.4465391690522456E-2</v>
      </c>
    </row>
    <row r="160" spans="2:22" ht="14.4">
      <c r="B160" s="90">
        <v>44901</v>
      </c>
      <c r="C160" s="91">
        <v>66.5</v>
      </c>
      <c r="D160" s="92">
        <f t="shared" si="14"/>
        <v>-4.8776998998712573E-2</v>
      </c>
      <c r="E160" s="90">
        <v>44901</v>
      </c>
      <c r="F160" s="91">
        <v>119.38</v>
      </c>
      <c r="G160" s="92">
        <f t="shared" si="15"/>
        <v>-2.4832543702009491E-2</v>
      </c>
      <c r="H160" s="90">
        <v>44901</v>
      </c>
      <c r="I160" s="91">
        <v>230.33</v>
      </c>
      <c r="J160" s="92">
        <f t="shared" si="16"/>
        <v>-6.9899854627685221E-2</v>
      </c>
      <c r="K160" s="90">
        <v>44901</v>
      </c>
      <c r="L160" s="91">
        <v>65.97</v>
      </c>
      <c r="M160" s="92">
        <f t="shared" si="17"/>
        <v>-6.7693612210288356E-2</v>
      </c>
      <c r="N160" s="90">
        <v>44901</v>
      </c>
      <c r="O160" s="91">
        <v>157.54</v>
      </c>
      <c r="P160" s="92">
        <f t="shared" si="18"/>
        <v>-6.8361916026020153E-2</v>
      </c>
      <c r="Q160" s="90">
        <v>44901</v>
      </c>
      <c r="R160" s="91">
        <v>46.3</v>
      </c>
      <c r="S160" s="92">
        <f t="shared" si="19"/>
        <v>-6.0280089303836104E-2</v>
      </c>
      <c r="T160" s="90">
        <v>44901</v>
      </c>
      <c r="U160" s="93">
        <v>3674.84</v>
      </c>
      <c r="V160" s="6">
        <f t="shared" si="20"/>
        <v>-5.7941069405208045E-2</v>
      </c>
    </row>
    <row r="161" spans="2:22" ht="14.4">
      <c r="B161" s="90">
        <v>44687</v>
      </c>
      <c r="C161" s="91">
        <v>69.91</v>
      </c>
      <c r="D161" s="92">
        <f t="shared" si="14"/>
        <v>-4.9619358346927767E-2</v>
      </c>
      <c r="E161" s="90">
        <v>44687</v>
      </c>
      <c r="F161" s="91">
        <v>122.42</v>
      </c>
      <c r="G161" s="92">
        <f t="shared" si="15"/>
        <v>-5.7002002773070326E-2</v>
      </c>
      <c r="H161" s="90">
        <v>44687</v>
      </c>
      <c r="I161" s="91">
        <v>247.64</v>
      </c>
      <c r="J161" s="92">
        <f t="shared" si="16"/>
        <v>-7.1779302072791484E-2</v>
      </c>
      <c r="K161" s="90">
        <v>44687</v>
      </c>
      <c r="L161" s="91">
        <v>70.760000000000005</v>
      </c>
      <c r="M161" s="92">
        <f t="shared" si="17"/>
        <v>-2.7086484256840349E-2</v>
      </c>
      <c r="N161" s="90">
        <v>44687</v>
      </c>
      <c r="O161" s="91">
        <v>169.1</v>
      </c>
      <c r="P161" s="92">
        <f t="shared" si="18"/>
        <v>-4.8396173325830016E-2</v>
      </c>
      <c r="Q161" s="90">
        <v>44687</v>
      </c>
      <c r="R161" s="91">
        <v>49.27</v>
      </c>
      <c r="S161" s="92">
        <f t="shared" si="19"/>
        <v>-3.6754643206255988E-2</v>
      </c>
      <c r="T161" s="90">
        <v>44687</v>
      </c>
      <c r="U161" s="93">
        <v>3900.86</v>
      </c>
      <c r="V161" s="6">
        <f t="shared" si="20"/>
        <v>-5.054836998057699E-2</v>
      </c>
    </row>
    <row r="162" spans="2:22" ht="14.4">
      <c r="B162" s="91" t="s">
        <v>252</v>
      </c>
      <c r="C162" s="91">
        <v>73.56</v>
      </c>
      <c r="D162" s="92">
        <f t="shared" si="14"/>
        <v>-1.5656362906463328E-2</v>
      </c>
      <c r="E162" s="91" t="s">
        <v>252</v>
      </c>
      <c r="F162" s="91">
        <v>129.82</v>
      </c>
      <c r="G162" s="92">
        <f t="shared" si="15"/>
        <v>-6.9278731429456286E-4</v>
      </c>
      <c r="H162" s="91" t="s">
        <v>252</v>
      </c>
      <c r="I162" s="91">
        <v>266.79000000000002</v>
      </c>
      <c r="J162" s="92">
        <f t="shared" si="16"/>
        <v>7.5021568701028052E-4</v>
      </c>
      <c r="K162" s="91" t="s">
        <v>252</v>
      </c>
      <c r="L162" s="91">
        <v>72.73</v>
      </c>
      <c r="M162" s="92">
        <f t="shared" si="17"/>
        <v>-3.2845744680850997E-2</v>
      </c>
      <c r="N162" s="91" t="s">
        <v>252</v>
      </c>
      <c r="O162" s="91">
        <v>177.7</v>
      </c>
      <c r="P162" s="92">
        <f t="shared" si="18"/>
        <v>7.8266787658802794E-3</v>
      </c>
      <c r="Q162" s="91" t="s">
        <v>252</v>
      </c>
      <c r="R162" s="91">
        <v>51.15</v>
      </c>
      <c r="S162" s="92">
        <f t="shared" si="19"/>
        <v>-2.5528672128024454E-2</v>
      </c>
      <c r="T162" s="91" t="s">
        <v>252</v>
      </c>
      <c r="U162" s="93">
        <v>4108.54</v>
      </c>
      <c r="V162" s="6">
        <f t="shared" si="20"/>
        <v>-1.1952172072799971E-2</v>
      </c>
    </row>
    <row r="163" spans="2:22" ht="14.4">
      <c r="B163" s="91" t="s">
        <v>253</v>
      </c>
      <c r="C163" s="91">
        <v>74.73</v>
      </c>
      <c r="D163" s="92">
        <f t="shared" si="14"/>
        <v>5.5061414654807406E-2</v>
      </c>
      <c r="E163" s="91" t="s">
        <v>253</v>
      </c>
      <c r="F163" s="91">
        <v>129.91</v>
      </c>
      <c r="G163" s="92">
        <f t="shared" si="15"/>
        <v>-8.1843239804933243E-2</v>
      </c>
      <c r="H163" s="91" t="s">
        <v>253</v>
      </c>
      <c r="I163" s="91">
        <v>266.58999999999997</v>
      </c>
      <c r="J163" s="92">
        <f t="shared" si="16"/>
        <v>6.6189409694448864E-2</v>
      </c>
      <c r="K163" s="91" t="s">
        <v>253</v>
      </c>
      <c r="L163" s="91">
        <v>75.2</v>
      </c>
      <c r="M163" s="92">
        <f t="shared" si="17"/>
        <v>5.5734943141934501E-2</v>
      </c>
      <c r="N163" s="91" t="s">
        <v>253</v>
      </c>
      <c r="O163" s="91">
        <v>176.32</v>
      </c>
      <c r="P163" s="92">
        <f t="shared" si="18"/>
        <v>6.4991543851171674E-2</v>
      </c>
      <c r="Q163" s="91" t="s">
        <v>253</v>
      </c>
      <c r="R163" s="91">
        <v>52.49</v>
      </c>
      <c r="S163" s="92">
        <f t="shared" si="19"/>
        <v>-2.8495440729483512E-3</v>
      </c>
      <c r="T163" s="91" t="s">
        <v>253</v>
      </c>
      <c r="U163" s="93">
        <v>4158.24</v>
      </c>
      <c r="V163" s="6">
        <f t="shared" si="20"/>
        <v>6.5843705784649265E-2</v>
      </c>
    </row>
    <row r="164" spans="2:22" ht="14.4">
      <c r="B164" s="91" t="s">
        <v>254</v>
      </c>
      <c r="C164" s="91">
        <v>70.83</v>
      </c>
      <c r="D164" s="92">
        <f t="shared" si="14"/>
        <v>-3.4750613246116058E-2</v>
      </c>
      <c r="E164" s="91" t="s">
        <v>254</v>
      </c>
      <c r="F164" s="91">
        <v>141.49</v>
      </c>
      <c r="G164" s="92">
        <f t="shared" si="15"/>
        <v>-0.10652942662288456</v>
      </c>
      <c r="H164" s="91" t="s">
        <v>254</v>
      </c>
      <c r="I164" s="91">
        <v>250.04</v>
      </c>
      <c r="J164" s="92">
        <f t="shared" si="16"/>
        <v>-2.1446462116468501E-2</v>
      </c>
      <c r="K164" s="91" t="s">
        <v>254</v>
      </c>
      <c r="L164" s="91">
        <v>71.23</v>
      </c>
      <c r="M164" s="92">
        <f t="shared" si="17"/>
        <v>-1.0419560989163634E-2</v>
      </c>
      <c r="N164" s="91" t="s">
        <v>254</v>
      </c>
      <c r="O164" s="91">
        <v>165.56</v>
      </c>
      <c r="P164" s="92">
        <f t="shared" si="18"/>
        <v>2.7254557567681914E-3</v>
      </c>
      <c r="Q164" s="91" t="s">
        <v>254</v>
      </c>
      <c r="R164" s="91">
        <v>52.64</v>
      </c>
      <c r="S164" s="92">
        <f t="shared" si="19"/>
        <v>1.3867488443759513E-2</v>
      </c>
      <c r="T164" s="91" t="s">
        <v>254</v>
      </c>
      <c r="U164" s="93">
        <v>3901.36</v>
      </c>
      <c r="V164" s="6">
        <f t="shared" si="20"/>
        <v>-3.0450633590878406E-2</v>
      </c>
    </row>
    <row r="165" spans="2:22" ht="14.4">
      <c r="B165" s="90">
        <v>44778</v>
      </c>
      <c r="C165" s="91">
        <v>73.38</v>
      </c>
      <c r="D165" s="92">
        <f t="shared" si="14"/>
        <v>-2.8336864406779627E-2</v>
      </c>
      <c r="E165" s="90">
        <v>44778</v>
      </c>
      <c r="F165" s="91">
        <v>158.36000000000001</v>
      </c>
      <c r="G165" s="92">
        <f t="shared" si="15"/>
        <v>1.9900817930057269E-2</v>
      </c>
      <c r="H165" s="90">
        <v>44778</v>
      </c>
      <c r="I165" s="91">
        <v>255.52</v>
      </c>
      <c r="J165" s="92">
        <f t="shared" si="16"/>
        <v>1.0719512677504817E-2</v>
      </c>
      <c r="K165" s="90">
        <v>44778</v>
      </c>
      <c r="L165" s="91">
        <v>71.98</v>
      </c>
      <c r="M165" s="92">
        <f t="shared" si="17"/>
        <v>-6.4951935567679864E-2</v>
      </c>
      <c r="N165" s="90">
        <v>44778</v>
      </c>
      <c r="O165" s="91">
        <v>165.11</v>
      </c>
      <c r="P165" s="92">
        <f t="shared" si="18"/>
        <v>-4.0337111304853179E-2</v>
      </c>
      <c r="Q165" s="90">
        <v>44778</v>
      </c>
      <c r="R165" s="91">
        <v>51.92</v>
      </c>
      <c r="S165" s="92">
        <f t="shared" si="19"/>
        <v>6.1324611610793056E-2</v>
      </c>
      <c r="T165" s="90">
        <v>44778</v>
      </c>
      <c r="U165" s="93">
        <v>4023.89</v>
      </c>
      <c r="V165" s="6">
        <f t="shared" si="20"/>
        <v>-2.4118796897660721E-2</v>
      </c>
    </row>
    <row r="166" spans="2:22" ht="14.4">
      <c r="B166" s="90">
        <v>44566</v>
      </c>
      <c r="C166" s="91">
        <v>75.52</v>
      </c>
      <c r="D166" s="92">
        <f t="shared" si="14"/>
        <v>-6.6501854140914807E-2</v>
      </c>
      <c r="E166" s="90">
        <v>44566</v>
      </c>
      <c r="F166" s="91">
        <v>155.27000000000001</v>
      </c>
      <c r="G166" s="92">
        <f t="shared" si="15"/>
        <v>-9.4318712085860845E-2</v>
      </c>
      <c r="H166" s="90">
        <v>44566</v>
      </c>
      <c r="I166" s="91">
        <v>252.81</v>
      </c>
      <c r="J166" s="92">
        <f t="shared" si="16"/>
        <v>-0.12989158492514197</v>
      </c>
      <c r="K166" s="90">
        <v>44566</v>
      </c>
      <c r="L166" s="91">
        <v>76.98</v>
      </c>
      <c r="M166" s="92">
        <f t="shared" si="17"/>
        <v>-4.7395124365796293E-2</v>
      </c>
      <c r="N166" s="90">
        <v>44566</v>
      </c>
      <c r="O166" s="91">
        <v>172.05</v>
      </c>
      <c r="P166" s="92">
        <f t="shared" si="18"/>
        <v>-3.7159326207398258E-2</v>
      </c>
      <c r="Q166" s="90">
        <v>44566</v>
      </c>
      <c r="R166" s="91">
        <v>48.92</v>
      </c>
      <c r="S166" s="92">
        <f t="shared" si="19"/>
        <v>-0.16972165648336723</v>
      </c>
      <c r="T166" s="90">
        <v>44566</v>
      </c>
      <c r="U166" s="93">
        <v>4123.34</v>
      </c>
      <c r="V166" s="6">
        <f t="shared" si="20"/>
        <v>-2.0789316372736844E-3</v>
      </c>
    </row>
    <row r="167" spans="2:22" ht="14.4">
      <c r="B167" s="91" t="s">
        <v>255</v>
      </c>
      <c r="C167" s="91">
        <v>80.900000000000006</v>
      </c>
      <c r="D167" s="92">
        <f t="shared" si="14"/>
        <v>-2.7176527176527077E-2</v>
      </c>
      <c r="E167" s="91" t="s">
        <v>255</v>
      </c>
      <c r="F167" s="91">
        <v>171.44</v>
      </c>
      <c r="G167" s="92">
        <f t="shared" si="15"/>
        <v>-1.3578826237054198E-2</v>
      </c>
      <c r="H167" s="91" t="s">
        <v>255</v>
      </c>
      <c r="I167" s="91">
        <v>290.55</v>
      </c>
      <c r="J167" s="92">
        <f t="shared" si="16"/>
        <v>-9.4773804247774152E-3</v>
      </c>
      <c r="K167" s="91" t="s">
        <v>255</v>
      </c>
      <c r="L167" s="91">
        <v>80.81</v>
      </c>
      <c r="M167" s="92">
        <f t="shared" si="17"/>
        <v>-3.4181905103382371E-2</v>
      </c>
      <c r="N167" s="91" t="s">
        <v>255</v>
      </c>
      <c r="O167" s="91">
        <v>178.69</v>
      </c>
      <c r="P167" s="92">
        <f t="shared" si="18"/>
        <v>-0.13194073354384261</v>
      </c>
      <c r="Q167" s="91" t="s">
        <v>255</v>
      </c>
      <c r="R167" s="91">
        <v>58.92</v>
      </c>
      <c r="S167" s="92">
        <f t="shared" si="19"/>
        <v>-8.7483176312247446E-3</v>
      </c>
      <c r="T167" s="91" t="s">
        <v>255</v>
      </c>
      <c r="U167" s="93">
        <v>4131.93</v>
      </c>
      <c r="V167" s="6">
        <f t="shared" si="20"/>
        <v>-3.2738109172288699E-2</v>
      </c>
    </row>
    <row r="168" spans="2:22" ht="14.4">
      <c r="B168" s="91" t="s">
        <v>256</v>
      </c>
      <c r="C168" s="91">
        <v>83.16</v>
      </c>
      <c r="D168" s="92">
        <f t="shared" si="14"/>
        <v>-1.8645267878215743E-2</v>
      </c>
      <c r="E168" s="91" t="s">
        <v>256</v>
      </c>
      <c r="F168" s="91">
        <v>173.8</v>
      </c>
      <c r="G168" s="92">
        <f t="shared" si="15"/>
        <v>-0.12500629310778832</v>
      </c>
      <c r="H168" s="91" t="s">
        <v>256</v>
      </c>
      <c r="I168" s="91">
        <v>293.33</v>
      </c>
      <c r="J168" s="92">
        <f t="shared" si="16"/>
        <v>-1.6001341831600291E-2</v>
      </c>
      <c r="K168" s="91" t="s">
        <v>256</v>
      </c>
      <c r="L168" s="91">
        <v>83.67</v>
      </c>
      <c r="M168" s="92">
        <f t="shared" si="17"/>
        <v>-3.2045349375289134E-2</v>
      </c>
      <c r="N168" s="91" t="s">
        <v>256</v>
      </c>
      <c r="O168" s="91">
        <v>205.85</v>
      </c>
      <c r="P168" s="92">
        <f t="shared" si="18"/>
        <v>-4.4336118848653738E-2</v>
      </c>
      <c r="Q168" s="91" t="s">
        <v>256</v>
      </c>
      <c r="R168" s="91">
        <v>59.44</v>
      </c>
      <c r="S168" s="92">
        <f t="shared" si="19"/>
        <v>-6.5114815979867902E-2</v>
      </c>
      <c r="T168" s="91" t="s">
        <v>256</v>
      </c>
      <c r="U168" s="93">
        <v>4271.78</v>
      </c>
      <c r="V168" s="6">
        <f t="shared" si="20"/>
        <v>-2.7503135963065195E-2</v>
      </c>
    </row>
    <row r="169" spans="2:22" ht="14.4">
      <c r="B169" s="90">
        <v>44838</v>
      </c>
      <c r="C169" s="91">
        <v>84.74</v>
      </c>
      <c r="D169" s="92">
        <f t="shared" si="14"/>
        <v>-4.7437050359712241E-2</v>
      </c>
      <c r="E169" s="90">
        <v>44838</v>
      </c>
      <c r="F169" s="91">
        <v>198.63</v>
      </c>
      <c r="G169" s="92">
        <f t="shared" si="15"/>
        <v>-4.6606508591725104E-2</v>
      </c>
      <c r="H169" s="90">
        <v>44838</v>
      </c>
      <c r="I169" s="91">
        <v>298.10000000000002</v>
      </c>
      <c r="J169" s="92">
        <f t="shared" si="16"/>
        <v>-5.2722904431392603E-3</v>
      </c>
      <c r="K169" s="90">
        <v>44838</v>
      </c>
      <c r="L169" s="91">
        <v>86.44</v>
      </c>
      <c r="M169" s="92">
        <f t="shared" si="17"/>
        <v>4.9283806749210957E-2</v>
      </c>
      <c r="N169" s="90">
        <v>44838</v>
      </c>
      <c r="O169" s="91">
        <v>215.4</v>
      </c>
      <c r="P169" s="92">
        <f t="shared" si="18"/>
        <v>-1.5449309808940437E-2</v>
      </c>
      <c r="Q169" s="90">
        <v>44838</v>
      </c>
      <c r="R169" s="91">
        <v>63.58</v>
      </c>
      <c r="S169" s="92">
        <f t="shared" si="19"/>
        <v>-6.2103555096622021E-2</v>
      </c>
      <c r="T169" s="90">
        <v>44838</v>
      </c>
      <c r="U169" s="93">
        <v>4392.59</v>
      </c>
      <c r="V169" s="6">
        <f t="shared" si="20"/>
        <v>-2.1319971124796E-2</v>
      </c>
    </row>
    <row r="170" spans="2:22" ht="14.4">
      <c r="B170" s="90">
        <v>44624</v>
      </c>
      <c r="C170" s="91">
        <v>88.96</v>
      </c>
      <c r="D170" s="92">
        <f t="shared" si="14"/>
        <v>-1.166537051438743E-2</v>
      </c>
      <c r="E170" s="90">
        <v>44624</v>
      </c>
      <c r="F170" s="91">
        <v>208.34</v>
      </c>
      <c r="G170" s="92">
        <f t="shared" si="15"/>
        <v>-0.11272944082449643</v>
      </c>
      <c r="H170" s="90">
        <v>44624</v>
      </c>
      <c r="I170" s="91">
        <v>299.68</v>
      </c>
      <c r="J170" s="92">
        <f t="shared" si="16"/>
        <v>7.3465571361785997E-4</v>
      </c>
      <c r="K170" s="90">
        <v>44624</v>
      </c>
      <c r="L170" s="91">
        <v>82.38</v>
      </c>
      <c r="M170" s="92">
        <f t="shared" si="17"/>
        <v>-2.7390791027154804E-2</v>
      </c>
      <c r="N170" s="90">
        <v>44624</v>
      </c>
      <c r="O170" s="91">
        <v>218.78</v>
      </c>
      <c r="P170" s="92">
        <f t="shared" si="18"/>
        <v>-2.8809872597327701E-2</v>
      </c>
      <c r="Q170" s="90">
        <v>44624</v>
      </c>
      <c r="R170" s="91">
        <v>67.790000000000006</v>
      </c>
      <c r="S170" s="92">
        <f t="shared" si="19"/>
        <v>-6.2767869487073025E-2</v>
      </c>
      <c r="T170" s="90">
        <v>44624</v>
      </c>
      <c r="U170" s="93">
        <v>4488.28</v>
      </c>
      <c r="V170" s="6">
        <f t="shared" si="20"/>
        <v>-1.266647015086253E-2</v>
      </c>
    </row>
    <row r="171" spans="2:22" ht="14.4">
      <c r="B171" s="91" t="s">
        <v>257</v>
      </c>
      <c r="C171" s="91">
        <v>90.01</v>
      </c>
      <c r="D171" s="92">
        <f t="shared" si="14"/>
        <v>-1.639165118566277E-2</v>
      </c>
      <c r="E171" s="91" t="s">
        <v>257</v>
      </c>
      <c r="F171" s="91">
        <v>234.81</v>
      </c>
      <c r="G171" s="92">
        <f t="shared" si="15"/>
        <v>6.824075337791724E-2</v>
      </c>
      <c r="H171" s="91" t="s">
        <v>257</v>
      </c>
      <c r="I171" s="91">
        <v>299.45999999999998</v>
      </c>
      <c r="J171" s="92">
        <f t="shared" si="16"/>
        <v>1.3675445128968899E-2</v>
      </c>
      <c r="K171" s="91" t="s">
        <v>257</v>
      </c>
      <c r="L171" s="91">
        <v>84.7</v>
      </c>
      <c r="M171" s="92">
        <f t="shared" si="17"/>
        <v>2.2482546444206886E-3</v>
      </c>
      <c r="N171" s="91" t="s">
        <v>257</v>
      </c>
      <c r="O171" s="91">
        <v>225.27</v>
      </c>
      <c r="P171" s="92">
        <f t="shared" si="18"/>
        <v>4.4125144843568886E-2</v>
      </c>
      <c r="Q171" s="91" t="s">
        <v>257</v>
      </c>
      <c r="R171" s="91">
        <v>72.33</v>
      </c>
      <c r="S171" s="92">
        <f t="shared" si="19"/>
        <v>0.10511841100076391</v>
      </c>
      <c r="T171" s="91" t="s">
        <v>257</v>
      </c>
      <c r="U171" s="93">
        <v>4545.8599999999997</v>
      </c>
      <c r="V171" s="6">
        <f t="shared" si="20"/>
        <v>6.1632467984118477E-4</v>
      </c>
    </row>
    <row r="172" spans="2:22" ht="14.4">
      <c r="B172" s="91" t="s">
        <v>258</v>
      </c>
      <c r="C172" s="91">
        <v>91.51</v>
      </c>
      <c r="D172" s="92">
        <f t="shared" si="14"/>
        <v>-2.2895769733972671E-3</v>
      </c>
      <c r="E172" s="91" t="s">
        <v>258</v>
      </c>
      <c r="F172" s="91">
        <v>219.81</v>
      </c>
      <c r="G172" s="92">
        <f t="shared" si="15"/>
        <v>-1.3641462867399534E-2</v>
      </c>
      <c r="H172" s="91" t="s">
        <v>258</v>
      </c>
      <c r="I172" s="91">
        <v>295.42</v>
      </c>
      <c r="J172" s="92">
        <f t="shared" si="16"/>
        <v>-9.8206804089157052E-3</v>
      </c>
      <c r="K172" s="91" t="s">
        <v>258</v>
      </c>
      <c r="L172" s="91">
        <v>84.51</v>
      </c>
      <c r="M172" s="92">
        <f t="shared" si="17"/>
        <v>3.1868131868131755E-2</v>
      </c>
      <c r="N172" s="91" t="s">
        <v>258</v>
      </c>
      <c r="O172" s="91">
        <v>215.75</v>
      </c>
      <c r="P172" s="92">
        <f t="shared" si="18"/>
        <v>-2.2650056625141524E-2</v>
      </c>
      <c r="Q172" s="91" t="s">
        <v>258</v>
      </c>
      <c r="R172" s="91">
        <v>65.45</v>
      </c>
      <c r="S172" s="92">
        <f t="shared" si="19"/>
        <v>-4.8830111902339768E-2</v>
      </c>
      <c r="T172" s="91" t="s">
        <v>258</v>
      </c>
      <c r="U172" s="93">
        <v>4543.0600000000004</v>
      </c>
      <c r="V172" s="6">
        <f t="shared" si="20"/>
        <v>1.7911236982200984E-2</v>
      </c>
    </row>
    <row r="173" spans="2:22" ht="14.4">
      <c r="B173" s="91" t="s">
        <v>259</v>
      </c>
      <c r="C173" s="91">
        <v>91.72</v>
      </c>
      <c r="D173" s="92">
        <f t="shared" si="14"/>
        <v>4.179918218991352E-2</v>
      </c>
      <c r="E173" s="91" t="s">
        <v>259</v>
      </c>
      <c r="F173" s="91">
        <v>222.85</v>
      </c>
      <c r="G173" s="92">
        <f t="shared" si="15"/>
        <v>0.23517348409267269</v>
      </c>
      <c r="H173" s="91" t="s">
        <v>259</v>
      </c>
      <c r="I173" s="91">
        <v>298.35000000000002</v>
      </c>
      <c r="J173" s="92">
        <f t="shared" si="16"/>
        <v>6.6183039702676805E-2</v>
      </c>
      <c r="K173" s="91" t="s">
        <v>259</v>
      </c>
      <c r="L173" s="91">
        <v>81.900000000000006</v>
      </c>
      <c r="M173" s="92">
        <f t="shared" si="17"/>
        <v>4.7180667433832202E-2</v>
      </c>
      <c r="N173" s="91" t="s">
        <v>259</v>
      </c>
      <c r="O173" s="91">
        <v>220.75</v>
      </c>
      <c r="P173" s="92">
        <f t="shared" si="18"/>
        <v>8.1259796238244641E-2</v>
      </c>
      <c r="Q173" s="91" t="s">
        <v>259</v>
      </c>
      <c r="R173" s="91">
        <v>68.81</v>
      </c>
      <c r="S173" s="92">
        <f t="shared" si="19"/>
        <v>0.21144366197183118</v>
      </c>
      <c r="T173" s="91" t="s">
        <v>259</v>
      </c>
      <c r="U173" s="93">
        <v>4463.12</v>
      </c>
      <c r="V173" s="6">
        <f t="shared" si="20"/>
        <v>6.1558258073262762E-2</v>
      </c>
    </row>
    <row r="174" spans="2:22" ht="14.4">
      <c r="B174" s="90">
        <v>44715</v>
      </c>
      <c r="C174" s="91">
        <v>88.04</v>
      </c>
      <c r="D174" s="92">
        <f t="shared" si="14"/>
        <v>-9.4509450945092777E-3</v>
      </c>
      <c r="E174" s="90">
        <v>44715</v>
      </c>
      <c r="F174" s="91">
        <v>180.42</v>
      </c>
      <c r="G174" s="92">
        <f t="shared" si="15"/>
        <v>-0.13942284760314816</v>
      </c>
      <c r="H174" s="90">
        <v>44715</v>
      </c>
      <c r="I174" s="91">
        <v>279.83</v>
      </c>
      <c r="J174" s="92">
        <f t="shared" si="16"/>
        <v>3.7021938926771414E-2</v>
      </c>
      <c r="K174" s="90">
        <v>44715</v>
      </c>
      <c r="L174" s="91">
        <v>78.209999999999994</v>
      </c>
      <c r="M174" s="92">
        <f t="shared" si="17"/>
        <v>-2.8447204968944151E-2</v>
      </c>
      <c r="N174" s="90">
        <v>44715</v>
      </c>
      <c r="O174" s="91">
        <v>204.16</v>
      </c>
      <c r="P174" s="92">
        <f t="shared" si="18"/>
        <v>-6.2927433790792686E-2</v>
      </c>
      <c r="Q174" s="90">
        <v>44715</v>
      </c>
      <c r="R174" s="91">
        <v>56.8</v>
      </c>
      <c r="S174" s="92">
        <f t="shared" si="19"/>
        <v>-0.2492730637060534</v>
      </c>
      <c r="T174" s="90">
        <v>44715</v>
      </c>
      <c r="U174" s="93">
        <v>4204.3100000000004</v>
      </c>
      <c r="V174" s="6">
        <f t="shared" si="20"/>
        <v>-2.8774252865066297E-2</v>
      </c>
    </row>
    <row r="175" spans="2:22" ht="14.4">
      <c r="B175" s="91" t="s">
        <v>260</v>
      </c>
      <c r="C175" s="91">
        <v>88.88</v>
      </c>
      <c r="D175" s="92">
        <f t="shared" si="14"/>
        <v>9.541117673784516E-3</v>
      </c>
      <c r="E175" s="91" t="s">
        <v>260</v>
      </c>
      <c r="F175" s="91">
        <v>209.65</v>
      </c>
      <c r="G175" s="92">
        <f t="shared" si="15"/>
        <v>-0.22184693044317427</v>
      </c>
      <c r="H175" s="91" t="s">
        <v>260</v>
      </c>
      <c r="I175" s="91">
        <v>269.83999999999997</v>
      </c>
      <c r="J175" s="92">
        <f t="shared" si="16"/>
        <v>-5.8281566273469809E-2</v>
      </c>
      <c r="K175" s="91" t="s">
        <v>260</v>
      </c>
      <c r="L175" s="91">
        <v>80.5</v>
      </c>
      <c r="M175" s="92">
        <f t="shared" si="17"/>
        <v>-3.3613445378151252E-2</v>
      </c>
      <c r="N175" s="91" t="s">
        <v>260</v>
      </c>
      <c r="O175" s="91">
        <v>217.87</v>
      </c>
      <c r="P175" s="92">
        <f t="shared" si="18"/>
        <v>1.7181007516690716E-2</v>
      </c>
      <c r="Q175" s="91" t="s">
        <v>260</v>
      </c>
      <c r="R175" s="91">
        <v>75.66</v>
      </c>
      <c r="S175" s="92">
        <f t="shared" si="19"/>
        <v>-9.5300729403324125E-2</v>
      </c>
      <c r="T175" s="91" t="s">
        <v>260</v>
      </c>
      <c r="U175" s="93">
        <v>4328.87</v>
      </c>
      <c r="V175" s="6">
        <f t="shared" si="20"/>
        <v>-1.2721653951854761E-2</v>
      </c>
    </row>
    <row r="176" spans="2:22" ht="14.4">
      <c r="B176" s="91" t="s">
        <v>261</v>
      </c>
      <c r="C176" s="91">
        <v>88.04</v>
      </c>
      <c r="D176" s="92">
        <f t="shared" si="14"/>
        <v>1.9453450671607309E-2</v>
      </c>
      <c r="E176" s="91" t="s">
        <v>261</v>
      </c>
      <c r="F176" s="91">
        <v>269.42</v>
      </c>
      <c r="G176" s="92">
        <f t="shared" si="15"/>
        <v>-1.588925010044917E-2</v>
      </c>
      <c r="H176" s="91" t="s">
        <v>261</v>
      </c>
      <c r="I176" s="91">
        <v>286.54000000000002</v>
      </c>
      <c r="J176" s="92">
        <f t="shared" si="16"/>
        <v>-5.8633730007285889E-3</v>
      </c>
      <c r="K176" s="91" t="s">
        <v>261</v>
      </c>
      <c r="L176" s="91">
        <v>83.3</v>
      </c>
      <c r="M176" s="92">
        <f t="shared" si="17"/>
        <v>-3.8268356852428909E-3</v>
      </c>
      <c r="N176" s="91" t="s">
        <v>261</v>
      </c>
      <c r="O176" s="91">
        <v>214.19</v>
      </c>
      <c r="P176" s="92">
        <f t="shared" si="18"/>
        <v>2.8671597348957745E-2</v>
      </c>
      <c r="Q176" s="91" t="s">
        <v>261</v>
      </c>
      <c r="R176" s="91">
        <v>83.63</v>
      </c>
      <c r="S176" s="92">
        <f t="shared" si="19"/>
        <v>7.1492632927610433E-2</v>
      </c>
      <c r="T176" s="91" t="s">
        <v>261</v>
      </c>
      <c r="U176" s="93">
        <v>4384.6499999999996</v>
      </c>
      <c r="V176" s="6">
        <f t="shared" si="20"/>
        <v>8.2274245953546377E-3</v>
      </c>
    </row>
    <row r="177" spans="2:22" ht="14.4">
      <c r="B177" s="91" t="s">
        <v>262</v>
      </c>
      <c r="C177" s="91">
        <v>86.36</v>
      </c>
      <c r="D177" s="92">
        <f t="shared" si="14"/>
        <v>-1.1220517517746775E-2</v>
      </c>
      <c r="E177" s="91" t="s">
        <v>262</v>
      </c>
      <c r="F177" s="91">
        <v>273.77</v>
      </c>
      <c r="G177" s="92">
        <f t="shared" si="15"/>
        <v>-6.7826619905342445E-2</v>
      </c>
      <c r="H177" s="91" t="s">
        <v>262</v>
      </c>
      <c r="I177" s="91">
        <v>288.23</v>
      </c>
      <c r="J177" s="92">
        <f t="shared" si="16"/>
        <v>-1.8008658008656919E-3</v>
      </c>
      <c r="K177" s="91" t="s">
        <v>262</v>
      </c>
      <c r="L177" s="91">
        <v>83.62</v>
      </c>
      <c r="M177" s="92">
        <f t="shared" si="17"/>
        <v>3.7468982630272984E-2</v>
      </c>
      <c r="N177" s="91" t="s">
        <v>262</v>
      </c>
      <c r="O177" s="91">
        <v>208.22</v>
      </c>
      <c r="P177" s="92">
        <f t="shared" si="18"/>
        <v>-2.8053960696447722E-2</v>
      </c>
      <c r="Q177" s="91" t="s">
        <v>262</v>
      </c>
      <c r="R177" s="91">
        <v>78.05</v>
      </c>
      <c r="S177" s="92">
        <f t="shared" si="19"/>
        <v>2.2935779816513735E-2</v>
      </c>
      <c r="T177" s="91" t="s">
        <v>262</v>
      </c>
      <c r="U177" s="93">
        <v>4348.87</v>
      </c>
      <c r="V177" s="6">
        <f t="shared" si="20"/>
        <v>-1.5789926312168578E-2</v>
      </c>
    </row>
    <row r="178" spans="2:22" ht="14.4">
      <c r="B178" s="90">
        <v>44714</v>
      </c>
      <c r="C178" s="91">
        <v>87.34</v>
      </c>
      <c r="D178" s="92">
        <f t="shared" si="14"/>
        <v>5.9894033632805765E-3</v>
      </c>
      <c r="E178" s="90">
        <v>44714</v>
      </c>
      <c r="F178" s="91">
        <v>293.69</v>
      </c>
      <c r="G178" s="92">
        <f t="shared" si="15"/>
        <v>6.5174815029740207E-2</v>
      </c>
      <c r="H178" s="90">
        <v>44714</v>
      </c>
      <c r="I178" s="91">
        <v>288.75</v>
      </c>
      <c r="J178" s="92">
        <f t="shared" si="16"/>
        <v>-1.9990496877545394E-2</v>
      </c>
      <c r="K178" s="90">
        <v>44714</v>
      </c>
      <c r="L178" s="91">
        <v>80.599999999999994</v>
      </c>
      <c r="M178" s="92">
        <f t="shared" si="17"/>
        <v>5.428384565075195E-2</v>
      </c>
      <c r="N178" s="90">
        <v>44714</v>
      </c>
      <c r="O178" s="91">
        <v>214.23</v>
      </c>
      <c r="P178" s="92">
        <f t="shared" si="18"/>
        <v>-1.9228128004395106E-2</v>
      </c>
      <c r="Q178" s="90">
        <v>44714</v>
      </c>
      <c r="R178" s="91">
        <v>76.3</v>
      </c>
      <c r="S178" s="92">
        <f t="shared" si="19"/>
        <v>4.4633077765607654E-2</v>
      </c>
      <c r="T178" s="90">
        <v>44714</v>
      </c>
      <c r="U178" s="93">
        <v>4418.6400000000003</v>
      </c>
      <c r="V178" s="6">
        <f t="shared" si="20"/>
        <v>-1.8195634736353106E-2</v>
      </c>
    </row>
    <row r="179" spans="2:22" ht="14.4">
      <c r="B179" s="91" t="s">
        <v>263</v>
      </c>
      <c r="C179" s="91">
        <v>86.82</v>
      </c>
      <c r="D179" s="92">
        <f t="shared" si="14"/>
        <v>2.8185693983893811E-2</v>
      </c>
      <c r="E179" s="91" t="s">
        <v>263</v>
      </c>
      <c r="F179" s="91">
        <v>275.72000000000003</v>
      </c>
      <c r="G179" s="92">
        <f t="shared" si="15"/>
        <v>8.756705585358171E-2</v>
      </c>
      <c r="H179" s="91" t="s">
        <v>263</v>
      </c>
      <c r="I179" s="91">
        <v>294.64</v>
      </c>
      <c r="J179" s="92">
        <f t="shared" si="16"/>
        <v>2.4478442280945645E-2</v>
      </c>
      <c r="K179" s="91" t="s">
        <v>263</v>
      </c>
      <c r="L179" s="91">
        <v>76.45</v>
      </c>
      <c r="M179" s="92">
        <f t="shared" si="17"/>
        <v>4.7260273972602684E-2</v>
      </c>
      <c r="N179" s="91" t="s">
        <v>263</v>
      </c>
      <c r="O179" s="91">
        <v>218.43</v>
      </c>
      <c r="P179" s="92">
        <f t="shared" si="18"/>
        <v>3.2326669502339422E-2</v>
      </c>
      <c r="Q179" s="91" t="s">
        <v>263</v>
      </c>
      <c r="R179" s="91">
        <v>73.040000000000006</v>
      </c>
      <c r="S179" s="92">
        <f t="shared" si="19"/>
        <v>0.14842767295597481</v>
      </c>
      <c r="T179" s="91" t="s">
        <v>263</v>
      </c>
      <c r="U179" s="93">
        <v>4500.53</v>
      </c>
      <c r="V179" s="6">
        <f t="shared" si="20"/>
        <v>1.5496914381127436E-2</v>
      </c>
    </row>
    <row r="180" spans="2:22" ht="14.4">
      <c r="B180" s="91" t="s">
        <v>264</v>
      </c>
      <c r="C180" s="91">
        <v>84.44</v>
      </c>
      <c r="D180" s="92">
        <f t="shared" si="14"/>
        <v>2.136244956088218E-3</v>
      </c>
      <c r="E180" s="91" t="s">
        <v>264</v>
      </c>
      <c r="F180" s="91">
        <v>253.52</v>
      </c>
      <c r="G180" s="92">
        <f t="shared" si="15"/>
        <v>-5.2474211391837278E-2</v>
      </c>
      <c r="H180" s="91" t="s">
        <v>264</v>
      </c>
      <c r="I180" s="91">
        <v>287.60000000000002</v>
      </c>
      <c r="J180" s="92">
        <f t="shared" si="16"/>
        <v>4.551403228151818E-2</v>
      </c>
      <c r="K180" s="91" t="s">
        <v>264</v>
      </c>
      <c r="L180" s="91">
        <v>73</v>
      </c>
      <c r="M180" s="92">
        <f t="shared" si="17"/>
        <v>1.727982162764774E-2</v>
      </c>
      <c r="N180" s="91" t="s">
        <v>264</v>
      </c>
      <c r="O180" s="91">
        <v>211.59</v>
      </c>
      <c r="P180" s="92">
        <f t="shared" si="18"/>
        <v>-2.5559546836142477E-2</v>
      </c>
      <c r="Q180" s="91" t="s">
        <v>264</v>
      </c>
      <c r="R180" s="91">
        <v>63.6</v>
      </c>
      <c r="S180" s="92">
        <f t="shared" si="19"/>
        <v>6.9806560134566764E-2</v>
      </c>
      <c r="T180" s="91" t="s">
        <v>264</v>
      </c>
      <c r="U180" s="93">
        <v>4431.8500000000004</v>
      </c>
      <c r="V180" s="6">
        <f t="shared" si="20"/>
        <v>7.7104280640483136E-3</v>
      </c>
    </row>
    <row r="181" spans="2:22" ht="14.4">
      <c r="B181" s="91" t="s">
        <v>265</v>
      </c>
      <c r="C181" s="91">
        <v>84.26</v>
      </c>
      <c r="D181" s="92">
        <f t="shared" si="14"/>
        <v>-3.371559633027521E-2</v>
      </c>
      <c r="E181" s="91" t="s">
        <v>265</v>
      </c>
      <c r="F181" s="91">
        <v>267.56</v>
      </c>
      <c r="G181" s="92">
        <f t="shared" si="15"/>
        <v>-7.6073068821437162E-2</v>
      </c>
      <c r="H181" s="91" t="s">
        <v>265</v>
      </c>
      <c r="I181" s="91">
        <v>275.08</v>
      </c>
      <c r="J181" s="92">
        <f t="shared" si="16"/>
        <v>-3.8215447012342252E-2</v>
      </c>
      <c r="K181" s="91" t="s">
        <v>265</v>
      </c>
      <c r="L181" s="91">
        <v>71.760000000000005</v>
      </c>
      <c r="M181" s="92">
        <f t="shared" si="17"/>
        <v>-6.5259867135599725E-2</v>
      </c>
      <c r="N181" s="91" t="s">
        <v>265</v>
      </c>
      <c r="O181" s="91">
        <v>217.14</v>
      </c>
      <c r="P181" s="92">
        <f t="shared" si="18"/>
        <v>-4.1239844577887652E-2</v>
      </c>
      <c r="Q181" s="91" t="s">
        <v>265</v>
      </c>
      <c r="R181" s="91">
        <v>59.45</v>
      </c>
      <c r="S181" s="92">
        <f t="shared" si="19"/>
        <v>-0.21226977606996156</v>
      </c>
      <c r="T181" s="91" t="s">
        <v>265</v>
      </c>
      <c r="U181" s="93">
        <v>4397.9399999999996</v>
      </c>
      <c r="V181" s="6">
        <f t="shared" si="20"/>
        <v>-5.6812893402104048E-2</v>
      </c>
    </row>
    <row r="182" spans="2:22" ht="14.4">
      <c r="B182" s="90">
        <v>44805</v>
      </c>
      <c r="C182" s="91">
        <v>87.2</v>
      </c>
      <c r="D182" s="92">
        <f t="shared" si="14"/>
        <v>-2.5165865934568821E-3</v>
      </c>
      <c r="E182" s="90">
        <v>44805</v>
      </c>
      <c r="F182" s="91">
        <v>289.58999999999997</v>
      </c>
      <c r="G182" s="92">
        <f t="shared" si="15"/>
        <v>-3.3669247197010255E-2</v>
      </c>
      <c r="H182" s="90">
        <v>44805</v>
      </c>
      <c r="I182" s="91">
        <v>286.01</v>
      </c>
      <c r="J182" s="92">
        <f t="shared" si="16"/>
        <v>-4.4690871438591739E-2</v>
      </c>
      <c r="K182" s="90">
        <v>44805</v>
      </c>
      <c r="L182" s="91">
        <v>76.77</v>
      </c>
      <c r="M182" s="92">
        <f t="shared" si="17"/>
        <v>-6.5087216870607367E-4</v>
      </c>
      <c r="N182" s="90">
        <v>44805</v>
      </c>
      <c r="O182" s="91">
        <v>226.48</v>
      </c>
      <c r="P182" s="92">
        <f t="shared" si="18"/>
        <v>-4.7242438265112985E-2</v>
      </c>
      <c r="Q182" s="90">
        <v>44805</v>
      </c>
      <c r="R182" s="91">
        <v>75.47</v>
      </c>
      <c r="S182" s="92">
        <f t="shared" si="19"/>
        <v>-4.3957436027362573E-2</v>
      </c>
      <c r="T182" s="90">
        <v>44805</v>
      </c>
      <c r="U182" s="93">
        <v>4662.8500000000004</v>
      </c>
      <c r="V182" s="6">
        <f t="shared" si="20"/>
        <v>-3.0318385813217219E-3</v>
      </c>
    </row>
    <row r="183" spans="2:22" ht="14.4">
      <c r="B183" s="90">
        <v>44593</v>
      </c>
      <c r="C183" s="91">
        <v>87.42</v>
      </c>
      <c r="D183" s="92">
        <f t="shared" si="14"/>
        <v>-1.4652840396753852E-2</v>
      </c>
      <c r="E183" s="90">
        <v>44593</v>
      </c>
      <c r="F183" s="91">
        <v>299.68</v>
      </c>
      <c r="G183" s="92">
        <f t="shared" si="15"/>
        <v>-0.11533579335793354</v>
      </c>
      <c r="H183" s="90">
        <v>44593</v>
      </c>
      <c r="I183" s="91">
        <v>299.39</v>
      </c>
      <c r="J183" s="92">
        <f t="shared" si="16"/>
        <v>-0.10448073701842553</v>
      </c>
      <c r="K183" s="90">
        <v>44593</v>
      </c>
      <c r="L183" s="91">
        <v>76.819999999999993</v>
      </c>
      <c r="M183" s="92">
        <f t="shared" si="17"/>
        <v>-9.4744284704218806E-2</v>
      </c>
      <c r="N183" s="90">
        <v>44593</v>
      </c>
      <c r="O183" s="91">
        <v>237.71</v>
      </c>
      <c r="P183" s="92">
        <f t="shared" si="18"/>
        <v>-6.3470175715073629E-2</v>
      </c>
      <c r="Q183" s="90">
        <v>44593</v>
      </c>
      <c r="R183" s="91">
        <v>78.94</v>
      </c>
      <c r="S183" s="92">
        <f t="shared" si="19"/>
        <v>-0.13858577040593634</v>
      </c>
      <c r="T183" s="90">
        <v>44593</v>
      </c>
      <c r="U183" s="93">
        <v>4677.03</v>
      </c>
      <c r="V183" s="6">
        <f t="shared" si="20"/>
        <v>-1.8704706914132618E-2</v>
      </c>
    </row>
    <row r="184" spans="2:22" ht="14.4">
      <c r="B184" s="91" t="s">
        <v>266</v>
      </c>
      <c r="C184" s="91">
        <v>88.72</v>
      </c>
      <c r="D184" s="92">
        <f t="shared" si="14"/>
        <v>2.8160852937767933E-2</v>
      </c>
      <c r="E184" s="91" t="s">
        <v>266</v>
      </c>
      <c r="F184" s="91">
        <v>338.75</v>
      </c>
      <c r="G184" s="92">
        <f t="shared" si="15"/>
        <v>-2.9981100738789346E-2</v>
      </c>
      <c r="H184" s="91" t="s">
        <v>266</v>
      </c>
      <c r="I184" s="91">
        <v>334.32</v>
      </c>
      <c r="J184" s="92">
        <f t="shared" si="16"/>
        <v>2.7002119620311626E-2</v>
      </c>
      <c r="K184" s="91" t="s">
        <v>266</v>
      </c>
      <c r="L184" s="91">
        <v>84.86</v>
      </c>
      <c r="M184" s="92">
        <f t="shared" si="17"/>
        <v>0.11657894736842112</v>
      </c>
      <c r="N184" s="91" t="s">
        <v>266</v>
      </c>
      <c r="O184" s="91">
        <v>253.82</v>
      </c>
      <c r="P184" s="92">
        <f t="shared" si="18"/>
        <v>1.6744111520589744E-2</v>
      </c>
      <c r="Q184" s="91" t="s">
        <v>266</v>
      </c>
      <c r="R184" s="91">
        <v>91.64</v>
      </c>
      <c r="S184" s="92">
        <f t="shared" si="19"/>
        <v>-4.5913586673607454E-2</v>
      </c>
      <c r="T184" s="91" t="s">
        <v>266</v>
      </c>
      <c r="U184" s="93">
        <v>4766.18</v>
      </c>
      <c r="V184" s="6">
        <f t="shared" si="20"/>
        <v>8.5467191728791914E-3</v>
      </c>
    </row>
    <row r="185" spans="2:22" ht="14.4">
      <c r="B185" s="91" t="s">
        <v>267</v>
      </c>
      <c r="C185" s="91">
        <v>86.29</v>
      </c>
      <c r="D185" s="92">
        <f t="shared" si="14"/>
        <v>1.7330818203254106E-2</v>
      </c>
      <c r="E185" s="91" t="s">
        <v>267</v>
      </c>
      <c r="F185" s="91">
        <v>349.22</v>
      </c>
      <c r="G185" s="92">
        <f t="shared" si="15"/>
        <v>5.0822977161255611E-2</v>
      </c>
      <c r="H185" s="91" t="s">
        <v>267</v>
      </c>
      <c r="I185" s="91">
        <v>325.52999999999997</v>
      </c>
      <c r="J185" s="92">
        <f t="shared" si="16"/>
        <v>1.705876839441367E-2</v>
      </c>
      <c r="K185" s="91" t="s">
        <v>267</v>
      </c>
      <c r="L185" s="91">
        <v>76</v>
      </c>
      <c r="M185" s="92">
        <f t="shared" si="17"/>
        <v>5.9381098410928423E-2</v>
      </c>
      <c r="N185" s="91" t="s">
        <v>267</v>
      </c>
      <c r="O185" s="91">
        <v>249.64</v>
      </c>
      <c r="P185" s="92">
        <f t="shared" si="18"/>
        <v>3.1101565404155096E-2</v>
      </c>
      <c r="Q185" s="91" t="s">
        <v>267</v>
      </c>
      <c r="R185" s="91">
        <v>96.05</v>
      </c>
      <c r="S185" s="92">
        <f t="shared" si="19"/>
        <v>6.7340815646182994E-2</v>
      </c>
      <c r="T185" s="91" t="s">
        <v>267</v>
      </c>
      <c r="U185" s="93">
        <v>4725.79</v>
      </c>
      <c r="V185" s="6">
        <f t="shared" si="20"/>
        <v>2.2756587831988639E-2</v>
      </c>
    </row>
    <row r="186" spans="2:22" ht="14.4">
      <c r="B186" s="90">
        <v>44542</v>
      </c>
      <c r="C186" s="91">
        <v>84.82</v>
      </c>
      <c r="D186" s="92">
        <f t="shared" si="14"/>
        <v>3.3130328867235104E-2</v>
      </c>
      <c r="E186" s="90">
        <v>44542</v>
      </c>
      <c r="F186" s="91">
        <v>332.33</v>
      </c>
      <c r="G186" s="92">
        <f t="shared" si="15"/>
        <v>-0.10481090399741411</v>
      </c>
      <c r="H186" s="90">
        <v>44542</v>
      </c>
      <c r="I186" s="91">
        <v>320.07</v>
      </c>
      <c r="J186" s="92">
        <f t="shared" si="16"/>
        <v>-5.9629181030467215E-3</v>
      </c>
      <c r="K186" s="90">
        <v>44542</v>
      </c>
      <c r="L186" s="91">
        <v>71.739999999999995</v>
      </c>
      <c r="M186" s="92">
        <f t="shared" si="17"/>
        <v>4.7619047619045229E-3</v>
      </c>
      <c r="N186" s="90">
        <v>44542</v>
      </c>
      <c r="O186" s="91">
        <v>242.11</v>
      </c>
      <c r="P186" s="92">
        <f t="shared" si="18"/>
        <v>-1.0584389047813558E-2</v>
      </c>
      <c r="Q186" s="90">
        <v>44542</v>
      </c>
      <c r="R186" s="91">
        <v>89.99</v>
      </c>
      <c r="S186" s="92">
        <f t="shared" si="19"/>
        <v>-4.3270253029980887E-2</v>
      </c>
      <c r="T186" s="90">
        <v>44542</v>
      </c>
      <c r="U186" s="93">
        <v>4620.6400000000003</v>
      </c>
      <c r="V186" s="6">
        <f t="shared" si="20"/>
        <v>-1.9392956736176914E-2</v>
      </c>
    </row>
    <row r="187" spans="2:22" ht="14.4">
      <c r="B187" s="90">
        <v>44328</v>
      </c>
      <c r="C187" s="91">
        <v>82.1</v>
      </c>
      <c r="D187" s="92">
        <f t="shared" si="14"/>
        <v>4.5593479368313705E-2</v>
      </c>
      <c r="E187" s="90">
        <v>44328</v>
      </c>
      <c r="F187" s="91">
        <v>371.24</v>
      </c>
      <c r="G187" s="92">
        <f t="shared" si="15"/>
        <v>7.5714989423661949E-2</v>
      </c>
      <c r="H187" s="90">
        <v>44328</v>
      </c>
      <c r="I187" s="91">
        <v>321.99</v>
      </c>
      <c r="J187" s="92">
        <f t="shared" si="16"/>
        <v>4.0691661279896651E-2</v>
      </c>
      <c r="K187" s="90">
        <v>44328</v>
      </c>
      <c r="L187" s="91">
        <v>71.400000000000006</v>
      </c>
      <c r="M187" s="92">
        <f t="shared" si="17"/>
        <v>3.2239410148908521E-2</v>
      </c>
      <c r="N187" s="90">
        <v>44328</v>
      </c>
      <c r="O187" s="91">
        <v>244.7</v>
      </c>
      <c r="P187" s="92">
        <f t="shared" si="18"/>
        <v>2.5522819663886587E-2</v>
      </c>
      <c r="Q187" s="90">
        <v>44328</v>
      </c>
      <c r="R187" s="91">
        <v>94.06</v>
      </c>
      <c r="S187" s="92">
        <f t="shared" si="19"/>
        <v>5.0832309239191131E-2</v>
      </c>
      <c r="T187" s="90">
        <v>44328</v>
      </c>
      <c r="U187" s="93">
        <v>4712.0200000000004</v>
      </c>
      <c r="V187" s="6">
        <f t="shared" si="20"/>
        <v>3.8248909865305825E-2</v>
      </c>
    </row>
    <row r="188" spans="2:22" ht="14.4">
      <c r="B188" s="91" t="s">
        <v>268</v>
      </c>
      <c r="C188" s="91">
        <v>78.52</v>
      </c>
      <c r="D188" s="92">
        <f t="shared" si="14"/>
        <v>1.530612244897922E-3</v>
      </c>
      <c r="E188" s="91" t="s">
        <v>268</v>
      </c>
      <c r="F188" s="91">
        <v>345.11</v>
      </c>
      <c r="G188" s="92">
        <f t="shared" si="15"/>
        <v>-4.8234969663541127E-2</v>
      </c>
      <c r="H188" s="91" t="s">
        <v>268</v>
      </c>
      <c r="I188" s="91">
        <v>309.39999999999998</v>
      </c>
      <c r="J188" s="92">
        <f t="shared" si="16"/>
        <v>-3.679721063445629E-2</v>
      </c>
      <c r="K188" s="91" t="s">
        <v>268</v>
      </c>
      <c r="L188" s="91">
        <v>69.17</v>
      </c>
      <c r="M188" s="92">
        <f t="shared" si="17"/>
        <v>3.5634076957628213E-2</v>
      </c>
      <c r="N188" s="91" t="s">
        <v>268</v>
      </c>
      <c r="O188" s="91">
        <v>238.61</v>
      </c>
      <c r="P188" s="92">
        <f t="shared" si="18"/>
        <v>-9.9991701933449528E-3</v>
      </c>
      <c r="Q188" s="91" t="s">
        <v>268</v>
      </c>
      <c r="R188" s="91">
        <v>89.51</v>
      </c>
      <c r="S188" s="92">
        <f t="shared" si="19"/>
        <v>-0.13916137718792077</v>
      </c>
      <c r="T188" s="91" t="s">
        <v>268</v>
      </c>
      <c r="U188" s="93">
        <v>4538.43</v>
      </c>
      <c r="V188" s="6">
        <f t="shared" si="20"/>
        <v>-1.2229520613238898E-2</v>
      </c>
    </row>
    <row r="189" spans="2:22" ht="14.4">
      <c r="B189" s="91" t="s">
        <v>269</v>
      </c>
      <c r="C189" s="91">
        <v>78.400000000000006</v>
      </c>
      <c r="D189" s="92">
        <f t="shared" si="14"/>
        <v>-4.3785827539943756E-2</v>
      </c>
      <c r="E189" s="91" t="s">
        <v>269</v>
      </c>
      <c r="F189" s="91">
        <v>362.6</v>
      </c>
      <c r="G189" s="92">
        <f t="shared" si="15"/>
        <v>-7.5353818691827001E-2</v>
      </c>
      <c r="H189" s="91" t="s">
        <v>269</v>
      </c>
      <c r="I189" s="91">
        <v>321.22000000000003</v>
      </c>
      <c r="J189" s="92">
        <f t="shared" si="16"/>
        <v>-3.9844567329248237E-2</v>
      </c>
      <c r="K189" s="91" t="s">
        <v>269</v>
      </c>
      <c r="L189" s="91">
        <v>66.790000000000006</v>
      </c>
      <c r="M189" s="92">
        <f t="shared" si="17"/>
        <v>-6.3385219464310749E-2</v>
      </c>
      <c r="N189" s="91" t="s">
        <v>269</v>
      </c>
      <c r="O189" s="91">
        <v>241.02</v>
      </c>
      <c r="P189" s="92">
        <f t="shared" si="18"/>
        <v>-1.904761904761898E-2</v>
      </c>
      <c r="Q189" s="91" t="s">
        <v>269</v>
      </c>
      <c r="R189" s="91">
        <v>103.98</v>
      </c>
      <c r="S189" s="92">
        <f t="shared" si="19"/>
        <v>-3.5346507097133384E-2</v>
      </c>
      <c r="T189" s="91" t="s">
        <v>269</v>
      </c>
      <c r="U189" s="93">
        <v>4594.62</v>
      </c>
      <c r="V189" s="6">
        <f t="shared" si="20"/>
        <v>-2.1996781581792968E-2</v>
      </c>
    </row>
    <row r="190" spans="2:22" ht="14.4">
      <c r="B190" s="91" t="s">
        <v>270</v>
      </c>
      <c r="C190" s="91">
        <v>81.99</v>
      </c>
      <c r="D190" s="92">
        <f t="shared" si="14"/>
        <v>1.2198097096849381E-4</v>
      </c>
      <c r="E190" s="91" t="s">
        <v>270</v>
      </c>
      <c r="F190" s="91">
        <v>392.15</v>
      </c>
      <c r="G190" s="92">
        <f t="shared" si="15"/>
        <v>1.4618369987063229E-2</v>
      </c>
      <c r="H190" s="91" t="s">
        <v>270</v>
      </c>
      <c r="I190" s="91">
        <v>334.55</v>
      </c>
      <c r="J190" s="92">
        <f t="shared" si="16"/>
        <v>7.5593302011804919E-3</v>
      </c>
      <c r="K190" s="91" t="s">
        <v>270</v>
      </c>
      <c r="L190" s="91">
        <v>71.31</v>
      </c>
      <c r="M190" s="92">
        <f t="shared" si="17"/>
        <v>5.0739957716701145E-3</v>
      </c>
      <c r="N190" s="91" t="s">
        <v>270</v>
      </c>
      <c r="O190" s="91">
        <v>245.7</v>
      </c>
      <c r="P190" s="92">
        <f t="shared" si="18"/>
        <v>4.088116924380425E-2</v>
      </c>
      <c r="Q190" s="91" t="s">
        <v>270</v>
      </c>
      <c r="R190" s="91">
        <v>107.79</v>
      </c>
      <c r="S190" s="92">
        <f t="shared" si="19"/>
        <v>7.4354629721917753E-2</v>
      </c>
      <c r="T190" s="91" t="s">
        <v>270</v>
      </c>
      <c r="U190" s="93">
        <v>4697.96</v>
      </c>
      <c r="V190" s="6">
        <f t="shared" si="20"/>
        <v>3.2266675208472151E-3</v>
      </c>
    </row>
    <row r="191" spans="2:22" ht="14.4">
      <c r="B191" s="90">
        <v>44388</v>
      </c>
      <c r="C191" s="91">
        <v>81.98</v>
      </c>
      <c r="D191" s="92">
        <f t="shared" si="14"/>
        <v>2.5904142159929977E-2</v>
      </c>
      <c r="E191" s="90">
        <v>44388</v>
      </c>
      <c r="F191" s="91">
        <v>386.5</v>
      </c>
      <c r="G191" s="92">
        <f t="shared" si="15"/>
        <v>5.9484649122806932E-2</v>
      </c>
      <c r="H191" s="90">
        <v>44388</v>
      </c>
      <c r="I191" s="91">
        <v>332.04</v>
      </c>
      <c r="J191" s="92">
        <f t="shared" si="16"/>
        <v>1.7498340674593216E-3</v>
      </c>
      <c r="K191" s="90">
        <v>44388</v>
      </c>
      <c r="L191" s="91">
        <v>70.95</v>
      </c>
      <c r="M191" s="92">
        <f t="shared" si="17"/>
        <v>-2.5144270403957059E-2</v>
      </c>
      <c r="N191" s="90">
        <v>44388</v>
      </c>
      <c r="O191" s="91">
        <v>236.05</v>
      </c>
      <c r="P191" s="92">
        <f t="shared" si="18"/>
        <v>1.4570618069285723E-2</v>
      </c>
      <c r="Q191" s="90">
        <v>44388</v>
      </c>
      <c r="R191" s="91">
        <v>100.33</v>
      </c>
      <c r="S191" s="92">
        <f t="shared" si="19"/>
        <v>0.46360320933625099</v>
      </c>
      <c r="T191" s="90">
        <v>44388</v>
      </c>
      <c r="U191" s="93">
        <v>4682.8500000000004</v>
      </c>
      <c r="V191" s="6">
        <f t="shared" si="20"/>
        <v>-3.1250465670255023E-3</v>
      </c>
    </row>
    <row r="192" spans="2:22" ht="14.4">
      <c r="B192" s="91" t="s">
        <v>271</v>
      </c>
      <c r="C192" s="91">
        <v>79.91</v>
      </c>
      <c r="D192" s="92">
        <f t="shared" si="14"/>
        <v>2.3306441285695811E-2</v>
      </c>
      <c r="E192" s="91" t="s">
        <v>271</v>
      </c>
      <c r="F192" s="91">
        <v>364.8</v>
      </c>
      <c r="G192" s="92">
        <f t="shared" si="15"/>
        <v>3.0974451729595343E-2</v>
      </c>
      <c r="H192" s="91" t="s">
        <v>271</v>
      </c>
      <c r="I192" s="91">
        <v>331.46</v>
      </c>
      <c r="J192" s="92">
        <f t="shared" si="16"/>
        <v>-1.3557892199693722E-3</v>
      </c>
      <c r="K192" s="91" t="s">
        <v>271</v>
      </c>
      <c r="L192" s="91">
        <v>72.78</v>
      </c>
      <c r="M192" s="92">
        <f t="shared" si="17"/>
        <v>5.2190255891282344E-2</v>
      </c>
      <c r="N192" s="91" t="s">
        <v>271</v>
      </c>
      <c r="O192" s="91">
        <v>232.66</v>
      </c>
      <c r="P192" s="92">
        <f t="shared" si="18"/>
        <v>4.4864597835361897E-2</v>
      </c>
      <c r="Q192" s="91" t="s">
        <v>271</v>
      </c>
      <c r="R192" s="91">
        <v>68.55</v>
      </c>
      <c r="S192" s="92">
        <f t="shared" si="19"/>
        <v>-8.4901882258710426E-2</v>
      </c>
      <c r="T192" s="91" t="s">
        <v>271</v>
      </c>
      <c r="U192" s="93">
        <v>4697.53</v>
      </c>
      <c r="V192" s="6">
        <f t="shared" si="20"/>
        <v>2.0009206623557541E-2</v>
      </c>
    </row>
    <row r="193" spans="2:22" ht="14.4">
      <c r="B193" s="91" t="s">
        <v>272</v>
      </c>
      <c r="C193" s="91">
        <v>78.09</v>
      </c>
      <c r="D193" s="92">
        <f t="shared" si="14"/>
        <v>-1.1518987341772147E-2</v>
      </c>
      <c r="E193" s="91" t="s">
        <v>272</v>
      </c>
      <c r="F193" s="91">
        <v>353.84</v>
      </c>
      <c r="G193" s="92">
        <f t="shared" si="15"/>
        <v>4.1379716287009316E-2</v>
      </c>
      <c r="H193" s="91" t="s">
        <v>272</v>
      </c>
      <c r="I193" s="91">
        <v>331.91</v>
      </c>
      <c r="J193" s="92">
        <f t="shared" si="16"/>
        <v>2.2803611599026219E-2</v>
      </c>
      <c r="K193" s="91" t="s">
        <v>272</v>
      </c>
      <c r="L193" s="91">
        <v>69.17</v>
      </c>
      <c r="M193" s="92">
        <f t="shared" si="17"/>
        <v>-3.17048566075806E-3</v>
      </c>
      <c r="N193" s="91" t="s">
        <v>272</v>
      </c>
      <c r="O193" s="91">
        <v>222.67</v>
      </c>
      <c r="P193" s="92">
        <f t="shared" si="18"/>
        <v>1.7919999999999936E-2</v>
      </c>
      <c r="Q193" s="91" t="s">
        <v>272</v>
      </c>
      <c r="R193" s="91">
        <v>74.91</v>
      </c>
      <c r="S193" s="92">
        <f t="shared" si="19"/>
        <v>1.28447809626826E-2</v>
      </c>
      <c r="T193" s="91" t="s">
        <v>272</v>
      </c>
      <c r="U193" s="93">
        <v>4605.38</v>
      </c>
      <c r="V193" s="6">
        <f t="shared" si="20"/>
        <v>1.3307223481264785E-2</v>
      </c>
    </row>
    <row r="194" spans="2:22" ht="14.4">
      <c r="B194" s="91" t="s">
        <v>273</v>
      </c>
      <c r="C194" s="91">
        <v>79</v>
      </c>
      <c r="D194" s="92">
        <f t="shared" si="14"/>
        <v>2.1565393885576434E-3</v>
      </c>
      <c r="E194" s="91" t="s">
        <v>273</v>
      </c>
      <c r="F194" s="91">
        <v>339.78</v>
      </c>
      <c r="G194" s="92">
        <f t="shared" si="15"/>
        <v>1.8616782084719841E-2</v>
      </c>
      <c r="H194" s="91" t="s">
        <v>273</v>
      </c>
      <c r="I194" s="91">
        <v>324.51</v>
      </c>
      <c r="J194" s="92">
        <f t="shared" si="16"/>
        <v>4.2501927525057992E-2</v>
      </c>
      <c r="K194" s="91" t="s">
        <v>273</v>
      </c>
      <c r="L194" s="91">
        <v>69.39</v>
      </c>
      <c r="M194" s="92">
        <f t="shared" si="17"/>
        <v>-5.7314801547500016E-3</v>
      </c>
      <c r="N194" s="91" t="s">
        <v>273</v>
      </c>
      <c r="O194" s="91">
        <v>218.75</v>
      </c>
      <c r="P194" s="92">
        <f t="shared" si="18"/>
        <v>1.9956171026250802E-2</v>
      </c>
      <c r="Q194" s="91" t="s">
        <v>273</v>
      </c>
      <c r="R194" s="91">
        <v>73.959999999999994</v>
      </c>
      <c r="S194" s="92">
        <f t="shared" si="19"/>
        <v>-5.7354065765995443E-2</v>
      </c>
      <c r="T194" s="91" t="s">
        <v>273</v>
      </c>
      <c r="U194" s="93">
        <v>4544.8999999999996</v>
      </c>
      <c r="V194" s="6">
        <f t="shared" si="20"/>
        <v>1.6444624354504223E-2</v>
      </c>
    </row>
    <row r="195" spans="2:22" ht="14.4">
      <c r="B195" s="90">
        <v>44479</v>
      </c>
      <c r="C195" s="91">
        <v>78.83</v>
      </c>
      <c r="D195" s="92">
        <f t="shared" si="14"/>
        <v>4.4244270764339788E-2</v>
      </c>
      <c r="E195" s="90">
        <v>44479</v>
      </c>
      <c r="F195" s="91">
        <v>333.57</v>
      </c>
      <c r="G195" s="92">
        <f t="shared" si="15"/>
        <v>6.3951263077315579E-2</v>
      </c>
      <c r="H195" s="90">
        <v>44479</v>
      </c>
      <c r="I195" s="91">
        <v>311.27999999999997</v>
      </c>
      <c r="J195" s="92">
        <f t="shared" si="16"/>
        <v>2.3610654390003205E-2</v>
      </c>
      <c r="K195" s="90">
        <v>44479</v>
      </c>
      <c r="L195" s="91">
        <v>69.790000000000006</v>
      </c>
      <c r="M195" s="92">
        <f t="shared" si="17"/>
        <v>-3.1424082273960874E-3</v>
      </c>
      <c r="N195" s="90">
        <v>44479</v>
      </c>
      <c r="O195" s="91">
        <v>214.47</v>
      </c>
      <c r="P195" s="92">
        <f t="shared" si="18"/>
        <v>4.1419831018743247E-2</v>
      </c>
      <c r="Q195" s="90">
        <v>44479</v>
      </c>
      <c r="R195" s="91">
        <v>78.459999999999994</v>
      </c>
      <c r="S195" s="92">
        <f t="shared" si="19"/>
        <v>0.10507042253521126</v>
      </c>
      <c r="T195" s="90">
        <v>44479</v>
      </c>
      <c r="U195" s="93">
        <v>4471.37</v>
      </c>
      <c r="V195" s="6">
        <f t="shared" si="20"/>
        <v>1.8224505504014665E-2</v>
      </c>
    </row>
    <row r="196" spans="2:22" ht="14.4">
      <c r="B196" s="90">
        <v>44265</v>
      </c>
      <c r="C196" s="91">
        <v>75.489999999999995</v>
      </c>
      <c r="D196" s="92">
        <f t="shared" si="14"/>
        <v>2.9228112129666695E-3</v>
      </c>
      <c r="E196" s="90">
        <v>44265</v>
      </c>
      <c r="F196" s="91">
        <v>313.52</v>
      </c>
      <c r="G196" s="92">
        <f t="shared" si="15"/>
        <v>3.2266561306466324E-2</v>
      </c>
      <c r="H196" s="90">
        <v>44265</v>
      </c>
      <c r="I196" s="91">
        <v>304.10000000000002</v>
      </c>
      <c r="J196" s="92">
        <f t="shared" si="16"/>
        <v>-6.8582625734813218E-3</v>
      </c>
      <c r="K196" s="90">
        <v>44265</v>
      </c>
      <c r="L196" s="91">
        <v>70.010000000000005</v>
      </c>
      <c r="M196" s="92">
        <f t="shared" si="17"/>
        <v>-2.3570432357043258E-2</v>
      </c>
      <c r="N196" s="90">
        <v>44265</v>
      </c>
      <c r="O196" s="91">
        <v>205.94</v>
      </c>
      <c r="P196" s="92">
        <f t="shared" si="18"/>
        <v>-3.5804141668279721E-3</v>
      </c>
      <c r="Q196" s="90">
        <v>44265</v>
      </c>
      <c r="R196" s="91">
        <v>71</v>
      </c>
      <c r="S196" s="92">
        <f t="shared" si="19"/>
        <v>8.2362965066742344E-3</v>
      </c>
      <c r="T196" s="90">
        <v>44265</v>
      </c>
      <c r="U196" s="93">
        <v>4391.34</v>
      </c>
      <c r="V196" s="6">
        <f t="shared" si="20"/>
        <v>7.8723169858436748E-3</v>
      </c>
    </row>
    <row r="197" spans="2:22" ht="14.4">
      <c r="B197" s="91" t="s">
        <v>274</v>
      </c>
      <c r="C197" s="91">
        <v>75.27</v>
      </c>
      <c r="D197" s="92">
        <f t="shared" si="14"/>
        <v>-3.0275702138624183E-2</v>
      </c>
      <c r="E197" s="91" t="s">
        <v>274</v>
      </c>
      <c r="F197" s="91">
        <v>303.72000000000003</v>
      </c>
      <c r="G197" s="92">
        <f t="shared" si="15"/>
        <v>-4.0288178974310362E-2</v>
      </c>
      <c r="H197" s="91" t="s">
        <v>274</v>
      </c>
      <c r="I197" s="91">
        <v>306.2</v>
      </c>
      <c r="J197" s="92">
        <f t="shared" si="16"/>
        <v>-5.694662601250422E-2</v>
      </c>
      <c r="K197" s="91" t="s">
        <v>274</v>
      </c>
      <c r="L197" s="91">
        <v>71.7</v>
      </c>
      <c r="M197" s="92">
        <f t="shared" si="17"/>
        <v>8.1552305961754001E-3</v>
      </c>
      <c r="N197" s="91" t="s">
        <v>274</v>
      </c>
      <c r="O197" s="91">
        <v>206.68</v>
      </c>
      <c r="P197" s="92">
        <f t="shared" si="18"/>
        <v>-5.0925288148046088E-2</v>
      </c>
      <c r="Q197" s="91" t="s">
        <v>274</v>
      </c>
      <c r="R197" s="91">
        <v>70.42</v>
      </c>
      <c r="S197" s="92">
        <f t="shared" si="19"/>
        <v>-7.8995553230447157E-2</v>
      </c>
      <c r="T197" s="91" t="s">
        <v>274</v>
      </c>
      <c r="U197" s="93">
        <v>4357.04</v>
      </c>
      <c r="V197" s="6">
        <f t="shared" si="20"/>
        <v>-2.2094140249759753E-2</v>
      </c>
    </row>
    <row r="198" spans="2:22" ht="14.4">
      <c r="B198" s="91" t="s">
        <v>275</v>
      </c>
      <c r="C198" s="91">
        <v>77.62</v>
      </c>
      <c r="D198" s="92">
        <f t="shared" si="14"/>
        <v>2.8351881293057879E-2</v>
      </c>
      <c r="E198" s="91" t="s">
        <v>275</v>
      </c>
      <c r="F198" s="91">
        <v>316.47000000000003</v>
      </c>
      <c r="G198" s="92">
        <f t="shared" si="15"/>
        <v>-1.9609665427509193E-2</v>
      </c>
      <c r="H198" s="91" t="s">
        <v>275</v>
      </c>
      <c r="I198" s="91">
        <v>324.69</v>
      </c>
      <c r="J198" s="92">
        <f t="shared" si="16"/>
        <v>4.627332194760414E-2</v>
      </c>
      <c r="K198" s="91" t="s">
        <v>275</v>
      </c>
      <c r="L198" s="91">
        <v>71.12</v>
      </c>
      <c r="M198" s="92">
        <f t="shared" si="17"/>
        <v>-1.7815218892418105E-2</v>
      </c>
      <c r="N198" s="91" t="s">
        <v>275</v>
      </c>
      <c r="O198" s="91">
        <v>217.77</v>
      </c>
      <c r="P198" s="92">
        <f t="shared" si="18"/>
        <v>-4.5710106504548431E-3</v>
      </c>
      <c r="Q198" s="91" t="s">
        <v>275</v>
      </c>
      <c r="R198" s="91">
        <v>76.459999999999994</v>
      </c>
      <c r="S198" s="92">
        <f t="shared" si="19"/>
        <v>5.3458252962248487E-2</v>
      </c>
      <c r="T198" s="91" t="s">
        <v>275</v>
      </c>
      <c r="U198" s="93">
        <v>4455.4799999999996</v>
      </c>
      <c r="V198" s="6">
        <f t="shared" si="20"/>
        <v>5.0733252274424157E-3</v>
      </c>
    </row>
    <row r="199" spans="2:22" ht="14.4">
      <c r="B199" s="90">
        <v>44539</v>
      </c>
      <c r="C199" s="91">
        <v>75.48</v>
      </c>
      <c r="D199" s="92">
        <f t="shared" si="14"/>
        <v>-1.0228166797797034E-2</v>
      </c>
      <c r="E199" s="90">
        <v>44539</v>
      </c>
      <c r="F199" s="91">
        <v>322.8</v>
      </c>
      <c r="G199" s="92">
        <f t="shared" si="15"/>
        <v>1.3373516669805907E-2</v>
      </c>
      <c r="H199" s="90">
        <v>44539</v>
      </c>
      <c r="I199" s="91">
        <v>310.33</v>
      </c>
      <c r="J199" s="92">
        <f t="shared" si="16"/>
        <v>-1.061659121341596E-2</v>
      </c>
      <c r="K199" s="90">
        <v>44539</v>
      </c>
      <c r="L199" s="91">
        <v>72.41</v>
      </c>
      <c r="M199" s="92">
        <f t="shared" si="17"/>
        <v>-3.7740863787375512E-2</v>
      </c>
      <c r="N199" s="90">
        <v>44539</v>
      </c>
      <c r="O199" s="91">
        <v>218.77</v>
      </c>
      <c r="P199" s="92">
        <f t="shared" si="18"/>
        <v>-1.0851381290409967E-2</v>
      </c>
      <c r="Q199" s="90">
        <v>44539</v>
      </c>
      <c r="R199" s="91">
        <v>72.58</v>
      </c>
      <c r="S199" s="92">
        <f t="shared" si="19"/>
        <v>-2.7480076944216281E-3</v>
      </c>
      <c r="T199" s="90">
        <v>44539</v>
      </c>
      <c r="U199" s="93">
        <v>4432.99</v>
      </c>
      <c r="V199" s="6">
        <f t="shared" si="20"/>
        <v>-5.7394955344527432E-3</v>
      </c>
    </row>
    <row r="200" spans="2:22" ht="14.4">
      <c r="B200" s="90">
        <v>44325</v>
      </c>
      <c r="C200" s="91">
        <v>76.260000000000005</v>
      </c>
      <c r="D200" s="92">
        <f t="shared" si="14"/>
        <v>-3.7883736120182254E-3</v>
      </c>
      <c r="E200" s="90">
        <v>44325</v>
      </c>
      <c r="F200" s="91">
        <v>318.54000000000002</v>
      </c>
      <c r="G200" s="92">
        <f t="shared" si="15"/>
        <v>2.7548387096774318E-2</v>
      </c>
      <c r="H200" s="90">
        <v>44325</v>
      </c>
      <c r="I200" s="91">
        <v>313.66000000000003</v>
      </c>
      <c r="J200" s="92">
        <f t="shared" si="16"/>
        <v>9.8930907930427914E-4</v>
      </c>
      <c r="K200" s="90">
        <v>44325</v>
      </c>
      <c r="L200" s="91">
        <v>75.25</v>
      </c>
      <c r="M200" s="92">
        <f t="shared" si="17"/>
        <v>3.868729989327635E-3</v>
      </c>
      <c r="N200" s="90">
        <v>44325</v>
      </c>
      <c r="O200" s="91">
        <v>221.17</v>
      </c>
      <c r="P200" s="92">
        <f t="shared" si="18"/>
        <v>4.2682649956862218E-3</v>
      </c>
      <c r="Q200" s="90">
        <v>44325</v>
      </c>
      <c r="R200" s="91">
        <v>72.78</v>
      </c>
      <c r="S200" s="92">
        <f t="shared" si="19"/>
        <v>-6.9309462915601028E-2</v>
      </c>
      <c r="T200" s="90">
        <v>44325</v>
      </c>
      <c r="U200" s="93">
        <v>4458.58</v>
      </c>
      <c r="V200" s="6">
        <f t="shared" si="20"/>
        <v>-1.6944369111638879E-2</v>
      </c>
    </row>
    <row r="201" spans="2:22" ht="14.4">
      <c r="B201" s="91" t="s">
        <v>276</v>
      </c>
      <c r="C201" s="91">
        <v>76.55</v>
      </c>
      <c r="D201" s="92">
        <f t="shared" si="14"/>
        <v>-8.9331952356291877E-3</v>
      </c>
      <c r="E201" s="91" t="s">
        <v>276</v>
      </c>
      <c r="F201" s="91">
        <v>310</v>
      </c>
      <c r="G201" s="92">
        <f t="shared" si="15"/>
        <v>4.1281784286722134E-2</v>
      </c>
      <c r="H201" s="91" t="s">
        <v>276</v>
      </c>
      <c r="I201" s="91">
        <v>313.35000000000002</v>
      </c>
      <c r="J201" s="92">
        <f t="shared" si="16"/>
        <v>1.8031189083820731E-2</v>
      </c>
      <c r="K201" s="91" t="s">
        <v>276</v>
      </c>
      <c r="L201" s="91">
        <v>74.959999999999994</v>
      </c>
      <c r="M201" s="92">
        <f t="shared" si="17"/>
        <v>1.1332973556394954E-2</v>
      </c>
      <c r="N201" s="91" t="s">
        <v>276</v>
      </c>
      <c r="O201" s="91">
        <v>220.23</v>
      </c>
      <c r="P201" s="92">
        <f t="shared" si="18"/>
        <v>2.5948010807788968E-2</v>
      </c>
      <c r="Q201" s="91" t="s">
        <v>276</v>
      </c>
      <c r="R201" s="91">
        <v>78.2</v>
      </c>
      <c r="S201" s="92">
        <f t="shared" si="19"/>
        <v>-2.9535864978902926E-2</v>
      </c>
      <c r="T201" s="91" t="s">
        <v>276</v>
      </c>
      <c r="U201" s="93">
        <v>4535.43</v>
      </c>
      <c r="V201" s="6">
        <f t="shared" si="20"/>
        <v>5.7790777869193288E-3</v>
      </c>
    </row>
    <row r="202" spans="2:22" ht="14.4">
      <c r="B202" s="91" t="s">
        <v>277</v>
      </c>
      <c r="C202" s="91">
        <v>77.239999999999995</v>
      </c>
      <c r="D202" s="92">
        <f t="shared" si="14"/>
        <v>7.040417209908556E-3</v>
      </c>
      <c r="E202" s="91" t="s">
        <v>277</v>
      </c>
      <c r="F202" s="91">
        <v>297.70999999999998</v>
      </c>
      <c r="G202" s="92">
        <f t="shared" si="15"/>
        <v>0.11639854501818703</v>
      </c>
      <c r="H202" s="91" t="s">
        <v>277</v>
      </c>
      <c r="I202" s="91">
        <v>307.8</v>
      </c>
      <c r="J202" s="92">
        <f t="shared" si="16"/>
        <v>1.7857142857143016E-2</v>
      </c>
      <c r="K202" s="91" t="s">
        <v>277</v>
      </c>
      <c r="L202" s="91">
        <v>74.12</v>
      </c>
      <c r="M202" s="92">
        <f t="shared" si="17"/>
        <v>5.1944365597502262E-2</v>
      </c>
      <c r="N202" s="91" t="s">
        <v>277</v>
      </c>
      <c r="O202" s="91">
        <v>214.66</v>
      </c>
      <c r="P202" s="92">
        <f t="shared" si="18"/>
        <v>7.6042057829515119E-3</v>
      </c>
      <c r="Q202" s="91" t="s">
        <v>277</v>
      </c>
      <c r="R202" s="91">
        <v>80.58</v>
      </c>
      <c r="S202" s="92">
        <f t="shared" si="19"/>
        <v>4.4052863436123246E-2</v>
      </c>
      <c r="T202" s="91" t="s">
        <v>277</v>
      </c>
      <c r="U202" s="93">
        <v>4509.37</v>
      </c>
      <c r="V202" s="6">
        <f t="shared" si="20"/>
        <v>1.5242014827756112E-2</v>
      </c>
    </row>
    <row r="203" spans="2:22" ht="14.4">
      <c r="B203" s="91" t="s">
        <v>278</v>
      </c>
      <c r="C203" s="91">
        <v>76.7</v>
      </c>
      <c r="D203" s="92">
        <f t="shared" si="14"/>
        <v>-1.1979904676027164E-2</v>
      </c>
      <c r="E203" s="91" t="s">
        <v>278</v>
      </c>
      <c r="F203" s="91">
        <v>266.67</v>
      </c>
      <c r="G203" s="92">
        <f t="shared" si="15"/>
        <v>-8.5242864983534505E-2</v>
      </c>
      <c r="H203" s="91" t="s">
        <v>278</v>
      </c>
      <c r="I203" s="91">
        <v>302.39999999999998</v>
      </c>
      <c r="J203" s="92">
        <f t="shared" si="16"/>
        <v>-8.1018138878867774E-3</v>
      </c>
      <c r="K203" s="91" t="s">
        <v>278</v>
      </c>
      <c r="L203" s="91">
        <v>70.459999999999994</v>
      </c>
      <c r="M203" s="92">
        <f t="shared" si="17"/>
        <v>-1.1781206171108005E-2</v>
      </c>
      <c r="N203" s="91" t="s">
        <v>278</v>
      </c>
      <c r="O203" s="91">
        <v>213.04</v>
      </c>
      <c r="P203" s="92">
        <f t="shared" si="18"/>
        <v>1.7188693659281773E-2</v>
      </c>
      <c r="Q203" s="91" t="s">
        <v>278</v>
      </c>
      <c r="R203" s="91">
        <v>77.180000000000007</v>
      </c>
      <c r="S203" s="92">
        <f t="shared" si="19"/>
        <v>-4.6100605611172796E-2</v>
      </c>
      <c r="T203" s="91" t="s">
        <v>278</v>
      </c>
      <c r="U203" s="93">
        <v>4441.67</v>
      </c>
      <c r="V203" s="6">
        <f t="shared" si="20"/>
        <v>-5.8930170098477896E-3</v>
      </c>
    </row>
    <row r="204" spans="2:22" ht="14.4">
      <c r="B204" s="90">
        <v>44416</v>
      </c>
      <c r="C204" s="91">
        <v>77.63</v>
      </c>
      <c r="D204" s="92">
        <f t="shared" si="14"/>
        <v>6.3424657534246531E-2</v>
      </c>
      <c r="E204" s="90">
        <v>44416</v>
      </c>
      <c r="F204" s="91">
        <v>291.52</v>
      </c>
      <c r="G204" s="92">
        <f t="shared" si="15"/>
        <v>5.0598241314689263E-2</v>
      </c>
      <c r="H204" s="90">
        <v>44416</v>
      </c>
      <c r="I204" s="91">
        <v>304.87</v>
      </c>
      <c r="J204" s="92">
        <f t="shared" si="16"/>
        <v>4.0938268232723285E-2</v>
      </c>
      <c r="K204" s="90">
        <v>44416</v>
      </c>
      <c r="L204" s="91">
        <v>71.3</v>
      </c>
      <c r="M204" s="92">
        <f t="shared" si="17"/>
        <v>-4.0508450900964554E-3</v>
      </c>
      <c r="N204" s="90">
        <v>44416</v>
      </c>
      <c r="O204" s="91">
        <v>209.44</v>
      </c>
      <c r="P204" s="92">
        <f t="shared" si="18"/>
        <v>-2.0896638773315823E-2</v>
      </c>
      <c r="Q204" s="90">
        <v>44416</v>
      </c>
      <c r="R204" s="91">
        <v>80.91</v>
      </c>
      <c r="S204" s="92">
        <f t="shared" si="19"/>
        <v>-3.7244169443122477E-2</v>
      </c>
      <c r="T204" s="90">
        <v>44416</v>
      </c>
      <c r="U204" s="93">
        <v>4468</v>
      </c>
      <c r="V204" s="6">
        <f t="shared" si="20"/>
        <v>7.0956515467077708E-3</v>
      </c>
    </row>
    <row r="205" spans="2:22" ht="14.4">
      <c r="B205" s="90">
        <v>44204</v>
      </c>
      <c r="C205" s="91">
        <v>73</v>
      </c>
      <c r="D205" s="92">
        <f t="shared" si="14"/>
        <v>-7.2079423364612705E-3</v>
      </c>
      <c r="E205" s="90">
        <v>44204</v>
      </c>
      <c r="F205" s="91">
        <v>277.48</v>
      </c>
      <c r="G205" s="92">
        <f t="shared" si="15"/>
        <v>4.4257112750263339E-2</v>
      </c>
      <c r="H205" s="90">
        <v>44204</v>
      </c>
      <c r="I205" s="91">
        <v>292.88</v>
      </c>
      <c r="J205" s="92">
        <f t="shared" si="16"/>
        <v>0.10633475616666033</v>
      </c>
      <c r="K205" s="90">
        <v>44204</v>
      </c>
      <c r="L205" s="91">
        <v>71.59</v>
      </c>
      <c r="M205" s="92">
        <f t="shared" si="17"/>
        <v>-0.14621347644603444</v>
      </c>
      <c r="N205" s="90">
        <v>44204</v>
      </c>
      <c r="O205" s="91">
        <v>213.91</v>
      </c>
      <c r="P205" s="92">
        <f t="shared" si="18"/>
        <v>-1.1369413504644821E-2</v>
      </c>
      <c r="Q205" s="90">
        <v>44204</v>
      </c>
      <c r="R205" s="91">
        <v>84.04</v>
      </c>
      <c r="S205" s="92">
        <f t="shared" si="19"/>
        <v>2.600415089732655E-2</v>
      </c>
      <c r="T205" s="90">
        <v>44204</v>
      </c>
      <c r="U205" s="93">
        <v>4436.5200000000004</v>
      </c>
      <c r="V205" s="6">
        <f t="shared" si="20"/>
        <v>9.3873855016541885E-3</v>
      </c>
    </row>
    <row r="206" spans="2:22" ht="14.4">
      <c r="B206" s="91" t="s">
        <v>279</v>
      </c>
      <c r="C206" s="91">
        <v>73.53</v>
      </c>
      <c r="D206" s="92">
        <f t="shared" si="14"/>
        <v>6.1192091210852784E-2</v>
      </c>
      <c r="E206" s="91" t="s">
        <v>279</v>
      </c>
      <c r="F206" s="91">
        <v>265.72000000000003</v>
      </c>
      <c r="G206" s="92">
        <f t="shared" si="15"/>
        <v>3.0197795560924501E-3</v>
      </c>
      <c r="H206" s="91" t="s">
        <v>279</v>
      </c>
      <c r="I206" s="91">
        <v>264.73</v>
      </c>
      <c r="J206" s="92">
        <f t="shared" si="16"/>
        <v>1.5809063351367891E-2</v>
      </c>
      <c r="K206" s="91" t="s">
        <v>279</v>
      </c>
      <c r="L206" s="91">
        <v>83.85</v>
      </c>
      <c r="M206" s="92">
        <f t="shared" si="17"/>
        <v>-2.6471612678509282E-2</v>
      </c>
      <c r="N206" s="91" t="s">
        <v>279</v>
      </c>
      <c r="O206" s="91">
        <v>216.37</v>
      </c>
      <c r="P206" s="92">
        <f t="shared" si="18"/>
        <v>-2.772535274557375E-2</v>
      </c>
      <c r="Q206" s="91" t="s">
        <v>279</v>
      </c>
      <c r="R206" s="91">
        <v>81.91</v>
      </c>
      <c r="S206" s="92">
        <f t="shared" si="19"/>
        <v>9.3653727664817499E-3</v>
      </c>
      <c r="T206" s="91" t="s">
        <v>279</v>
      </c>
      <c r="U206" s="93">
        <v>4395.26</v>
      </c>
      <c r="V206" s="6">
        <f t="shared" si="20"/>
        <v>-3.7467785184697178E-3</v>
      </c>
    </row>
    <row r="207" spans="2:22" ht="14.4">
      <c r="B207" s="91" t="s">
        <v>280</v>
      </c>
      <c r="C207" s="91">
        <v>69.290000000000006</v>
      </c>
      <c r="D207" s="92">
        <f t="shared" si="14"/>
        <v>1.538686987104354E-2</v>
      </c>
      <c r="E207" s="91" t="s">
        <v>280</v>
      </c>
      <c r="F207" s="91">
        <v>264.92</v>
      </c>
      <c r="G207" s="92">
        <f t="shared" si="15"/>
        <v>5.621561279004883E-2</v>
      </c>
      <c r="H207" s="91" t="s">
        <v>280</v>
      </c>
      <c r="I207" s="91">
        <v>260.61</v>
      </c>
      <c r="J207" s="92">
        <f t="shared" si="16"/>
        <v>2.861540890432579E-2</v>
      </c>
      <c r="K207" s="91" t="s">
        <v>280</v>
      </c>
      <c r="L207" s="91">
        <v>86.13</v>
      </c>
      <c r="M207" s="92">
        <f t="shared" si="17"/>
        <v>1.3174920597576634E-2</v>
      </c>
      <c r="N207" s="91" t="s">
        <v>280</v>
      </c>
      <c r="O207" s="91">
        <v>222.54</v>
      </c>
      <c r="P207" s="92">
        <f t="shared" si="18"/>
        <v>-3.133977539827637E-2</v>
      </c>
      <c r="Q207" s="91" t="s">
        <v>280</v>
      </c>
      <c r="R207" s="91">
        <v>81.150000000000006</v>
      </c>
      <c r="S207" s="92">
        <f t="shared" si="19"/>
        <v>0.14910790144435015</v>
      </c>
      <c r="T207" s="91" t="s">
        <v>280</v>
      </c>
      <c r="U207" s="93">
        <v>4411.79</v>
      </c>
      <c r="V207" s="6">
        <f t="shared" si="20"/>
        <v>1.9557862431710538E-2</v>
      </c>
    </row>
    <row r="208" spans="2:22" ht="14.4">
      <c r="B208" s="90">
        <v>44507</v>
      </c>
      <c r="C208" s="91">
        <v>68.239999999999995</v>
      </c>
      <c r="D208" s="92">
        <f t="shared" si="14"/>
        <v>-1.3017066820943057E-2</v>
      </c>
      <c r="E208" s="90">
        <v>44507</v>
      </c>
      <c r="F208" s="91">
        <v>250.82</v>
      </c>
      <c r="G208" s="92">
        <f t="shared" si="15"/>
        <v>-6.9279008497532435E-2</v>
      </c>
      <c r="H208" s="90">
        <v>44507</v>
      </c>
      <c r="I208" s="91">
        <v>253.36</v>
      </c>
      <c r="J208" s="92">
        <f t="shared" si="16"/>
        <v>-1.3664499552302645E-2</v>
      </c>
      <c r="K208" s="90">
        <v>44507</v>
      </c>
      <c r="L208" s="91">
        <v>85.01</v>
      </c>
      <c r="M208" s="92">
        <f t="shared" si="17"/>
        <v>-2.7679286286171778E-2</v>
      </c>
      <c r="N208" s="90">
        <v>44507</v>
      </c>
      <c r="O208" s="91">
        <v>229.74</v>
      </c>
      <c r="P208" s="92">
        <f t="shared" si="18"/>
        <v>-1.4118353860018029E-2</v>
      </c>
      <c r="Q208" s="90">
        <v>44507</v>
      </c>
      <c r="R208" s="91">
        <v>70.62</v>
      </c>
      <c r="S208" s="92">
        <f t="shared" si="19"/>
        <v>-9.4034637588197523E-2</v>
      </c>
      <c r="T208" s="90">
        <v>44507</v>
      </c>
      <c r="U208" s="93">
        <v>4327.16</v>
      </c>
      <c r="V208" s="6">
        <f t="shared" si="20"/>
        <v>-9.7012278152213138E-3</v>
      </c>
    </row>
    <row r="209" spans="2:22" ht="14.4">
      <c r="B209" s="90">
        <v>44293</v>
      </c>
      <c r="C209" s="91">
        <v>69.14</v>
      </c>
      <c r="D209" s="92">
        <f t="shared" si="14"/>
        <v>-6.7519034621462692E-3</v>
      </c>
      <c r="E209" s="90">
        <v>44293</v>
      </c>
      <c r="F209" s="91">
        <v>269.49</v>
      </c>
      <c r="G209" s="92">
        <f t="shared" si="15"/>
        <v>0.13593829033889726</v>
      </c>
      <c r="H209" s="90">
        <v>44293</v>
      </c>
      <c r="I209" s="91">
        <v>256.87</v>
      </c>
      <c r="J209" s="92">
        <f t="shared" si="16"/>
        <v>1.2534983641452113E-2</v>
      </c>
      <c r="K209" s="90">
        <v>44293</v>
      </c>
      <c r="L209" s="91">
        <v>87.43</v>
      </c>
      <c r="M209" s="92">
        <f t="shared" si="17"/>
        <v>-1.8853102906519981E-2</v>
      </c>
      <c r="N209" s="90">
        <v>44293</v>
      </c>
      <c r="O209" s="91">
        <v>233.03</v>
      </c>
      <c r="P209" s="92">
        <f t="shared" si="18"/>
        <v>7.3488090606492751E-3</v>
      </c>
      <c r="Q209" s="90">
        <v>44293</v>
      </c>
      <c r="R209" s="91">
        <v>77.95</v>
      </c>
      <c r="S209" s="92">
        <f t="shared" si="19"/>
        <v>1.7358392064735106E-2</v>
      </c>
      <c r="T209" s="90">
        <v>44293</v>
      </c>
      <c r="U209" s="93">
        <v>4369.55</v>
      </c>
      <c r="V209" s="6">
        <f t="shared" si="20"/>
        <v>3.954194755005469E-3</v>
      </c>
    </row>
    <row r="210" spans="2:22" ht="14.4">
      <c r="B210" s="91" t="s">
        <v>281</v>
      </c>
      <c r="C210" s="91">
        <v>69.61</v>
      </c>
      <c r="D210" s="92">
        <f t="shared" si="14"/>
        <v>-1.2484040289402643E-2</v>
      </c>
      <c r="E210" s="91" t="s">
        <v>281</v>
      </c>
      <c r="F210" s="91">
        <v>237.24</v>
      </c>
      <c r="G210" s="92">
        <f t="shared" si="15"/>
        <v>-3.9864017159739307E-2</v>
      </c>
      <c r="H210" s="91" t="s">
        <v>281</v>
      </c>
      <c r="I210" s="91">
        <v>253.69</v>
      </c>
      <c r="J210" s="92">
        <f t="shared" si="16"/>
        <v>4.8522421988014042E-2</v>
      </c>
      <c r="K210" s="91" t="s">
        <v>281</v>
      </c>
      <c r="L210" s="91">
        <v>89.11</v>
      </c>
      <c r="M210" s="92">
        <f t="shared" si="17"/>
        <v>2.5549545402232754E-2</v>
      </c>
      <c r="N210" s="91" t="s">
        <v>281</v>
      </c>
      <c r="O210" s="91">
        <v>231.33</v>
      </c>
      <c r="P210" s="92">
        <f t="shared" si="18"/>
        <v>1.580819391384547E-2</v>
      </c>
      <c r="Q210" s="91" t="s">
        <v>281</v>
      </c>
      <c r="R210" s="91">
        <v>76.62</v>
      </c>
      <c r="S210" s="92">
        <f t="shared" si="19"/>
        <v>7.8926598263615588E-3</v>
      </c>
      <c r="T210" s="91" t="s">
        <v>281</v>
      </c>
      <c r="U210" s="93">
        <v>4352.34</v>
      </c>
      <c r="V210" s="6">
        <f t="shared" si="20"/>
        <v>1.6735580629336333E-2</v>
      </c>
    </row>
    <row r="211" spans="2:22" ht="14.4">
      <c r="B211" s="91" t="s">
        <v>282</v>
      </c>
      <c r="C211" s="91">
        <v>70.489999999999995</v>
      </c>
      <c r="D211" s="92">
        <f t="shared" si="14"/>
        <v>3.1762295081967151E-2</v>
      </c>
      <c r="E211" s="91" t="s">
        <v>282</v>
      </c>
      <c r="F211" s="91">
        <v>247.09</v>
      </c>
      <c r="G211" s="92">
        <f t="shared" si="15"/>
        <v>-9.2622293504410758E-3</v>
      </c>
      <c r="H211" s="91" t="s">
        <v>282</v>
      </c>
      <c r="I211" s="91">
        <v>241.95</v>
      </c>
      <c r="J211" s="92">
        <f t="shared" si="16"/>
        <v>3.8412017167381851E-2</v>
      </c>
      <c r="K211" s="91" t="s">
        <v>282</v>
      </c>
      <c r="L211" s="91">
        <v>86.89</v>
      </c>
      <c r="M211" s="92">
        <f t="shared" si="17"/>
        <v>1.4951524354631429E-2</v>
      </c>
      <c r="N211" s="91" t="s">
        <v>282</v>
      </c>
      <c r="O211" s="91">
        <v>227.73</v>
      </c>
      <c r="P211" s="92">
        <f t="shared" si="18"/>
        <v>2.0432853878209478E-2</v>
      </c>
      <c r="Q211" s="91" t="s">
        <v>282</v>
      </c>
      <c r="R211" s="91">
        <v>76.02</v>
      </c>
      <c r="S211" s="92">
        <f t="shared" si="19"/>
        <v>0.24868593955321927</v>
      </c>
      <c r="T211" s="91" t="s">
        <v>282</v>
      </c>
      <c r="U211" s="93">
        <v>4280.7</v>
      </c>
      <c r="V211" s="6">
        <f t="shared" si="20"/>
        <v>2.7421425914147646E-2</v>
      </c>
    </row>
    <row r="212" spans="2:22" ht="14.4">
      <c r="B212" s="91" t="s">
        <v>283</v>
      </c>
      <c r="C212" s="91">
        <v>68.319999999999993</v>
      </c>
      <c r="D212" s="92">
        <f t="shared" si="14"/>
        <v>-4.1122807017544005E-2</v>
      </c>
      <c r="E212" s="91" t="s">
        <v>283</v>
      </c>
      <c r="F212" s="91">
        <v>249.4</v>
      </c>
      <c r="G212" s="92">
        <f t="shared" si="15"/>
        <v>3.657522859517881E-2</v>
      </c>
      <c r="H212" s="91" t="s">
        <v>283</v>
      </c>
      <c r="I212" s="91">
        <v>233</v>
      </c>
      <c r="J212" s="92">
        <f t="shared" si="16"/>
        <v>4.2920297008475217E-5</v>
      </c>
      <c r="K212" s="91" t="s">
        <v>283</v>
      </c>
      <c r="L212" s="91">
        <v>85.61</v>
      </c>
      <c r="M212" s="92">
        <f t="shared" si="17"/>
        <v>3.418700169122979E-2</v>
      </c>
      <c r="N212" s="91" t="s">
        <v>283</v>
      </c>
      <c r="O212" s="91">
        <v>223.17</v>
      </c>
      <c r="P212" s="92">
        <f t="shared" si="18"/>
        <v>9.8190045248869318E-3</v>
      </c>
      <c r="Q212" s="91" t="s">
        <v>283</v>
      </c>
      <c r="R212" s="91">
        <v>60.88</v>
      </c>
      <c r="S212" s="92">
        <f t="shared" si="19"/>
        <v>1.5005001667222517E-2</v>
      </c>
      <c r="T212" s="91" t="s">
        <v>283</v>
      </c>
      <c r="U212" s="93">
        <v>4166.45</v>
      </c>
      <c r="V212" s="6">
        <f t="shared" si="20"/>
        <v>-1.9067956227751259E-2</v>
      </c>
    </row>
    <row r="213" spans="2:22" ht="14.4">
      <c r="B213" s="90">
        <v>44353</v>
      </c>
      <c r="C213" s="91">
        <v>71.25</v>
      </c>
      <c r="D213" s="92">
        <f t="shared" si="14"/>
        <v>-3.4965034965035446E-3</v>
      </c>
      <c r="E213" s="90">
        <v>44353</v>
      </c>
      <c r="F213" s="91">
        <v>240.6</v>
      </c>
      <c r="G213" s="92">
        <f t="shared" si="15"/>
        <v>-8.080474934036963E-3</v>
      </c>
      <c r="H213" s="90">
        <v>44353</v>
      </c>
      <c r="I213" s="91">
        <v>232.99</v>
      </c>
      <c r="J213" s="92">
        <f t="shared" si="16"/>
        <v>-6.0577620408684973E-3</v>
      </c>
      <c r="K213" s="90">
        <v>44353</v>
      </c>
      <c r="L213" s="91">
        <v>82.78</v>
      </c>
      <c r="M213" s="92">
        <f t="shared" si="17"/>
        <v>2.4124706173450416E-2</v>
      </c>
      <c r="N213" s="90">
        <v>44353</v>
      </c>
      <c r="O213" s="91">
        <v>221</v>
      </c>
      <c r="P213" s="92">
        <f t="shared" si="18"/>
        <v>7.9357840007296954E-3</v>
      </c>
      <c r="Q213" s="90">
        <v>44353</v>
      </c>
      <c r="R213" s="91">
        <v>59.98</v>
      </c>
      <c r="S213" s="92">
        <f t="shared" si="19"/>
        <v>4.3674960849138689E-2</v>
      </c>
      <c r="T213" s="90">
        <v>44353</v>
      </c>
      <c r="U213" s="93">
        <v>4247.4399999999996</v>
      </c>
      <c r="V213" s="6">
        <f t="shared" si="20"/>
        <v>4.1490440649754046E-3</v>
      </c>
    </row>
    <row r="214" spans="2:22" ht="14.4">
      <c r="B214" s="91" t="s">
        <v>284</v>
      </c>
      <c r="C214" s="91">
        <v>71.5</v>
      </c>
      <c r="D214" s="92">
        <f t="shared" ref="D214:D228" si="21">(C214/C215)-1</f>
        <v>-8.3845723868081201E-4</v>
      </c>
      <c r="E214" s="91" t="s">
        <v>284</v>
      </c>
      <c r="F214" s="91">
        <v>242.56</v>
      </c>
      <c r="G214" s="92">
        <f t="shared" ref="G214:G228" si="22">(F214/F215)-1</f>
        <v>1.9031214552787556E-2</v>
      </c>
      <c r="H214" s="91" t="s">
        <v>284</v>
      </c>
      <c r="I214" s="91">
        <v>234.41</v>
      </c>
      <c r="J214" s="92">
        <f t="shared" ref="J214:J228" si="23">(I214/I215)-1</f>
        <v>1.1085231193926903E-2</v>
      </c>
      <c r="K214" s="91" t="s">
        <v>284</v>
      </c>
      <c r="L214" s="91">
        <v>80.83</v>
      </c>
      <c r="M214" s="92">
        <f t="shared" ref="M214:M228" si="24">(L214/L215)-1</f>
        <v>-1.6057312252963918E-3</v>
      </c>
      <c r="N214" s="91" t="s">
        <v>284</v>
      </c>
      <c r="O214" s="91">
        <v>219.26</v>
      </c>
      <c r="P214" s="92">
        <f t="shared" ref="P214:P228" si="25">(O214/O215)-1</f>
        <v>-3.0010913059294042E-3</v>
      </c>
      <c r="Q214" s="91" t="s">
        <v>284</v>
      </c>
      <c r="R214" s="91">
        <v>57.47</v>
      </c>
      <c r="S214" s="92">
        <f t="shared" ref="S214:S228" si="26">(R214/R215)-1</f>
        <v>-2.2785240605339263E-2</v>
      </c>
      <c r="T214" s="91" t="s">
        <v>284</v>
      </c>
      <c r="U214" s="93">
        <v>4229.8900000000003</v>
      </c>
      <c r="V214" s="6">
        <f t="shared" ref="V214:V228" si="27">(U214/U215)-1</f>
        <v>6.1320945455758391E-3</v>
      </c>
    </row>
    <row r="215" spans="2:22" ht="14.4">
      <c r="B215" s="91" t="s">
        <v>285</v>
      </c>
      <c r="C215" s="91">
        <v>71.56</v>
      </c>
      <c r="D215" s="92">
        <f t="shared" si="21"/>
        <v>4.4918585064570582E-3</v>
      </c>
      <c r="E215" s="91" t="s">
        <v>285</v>
      </c>
      <c r="F215" s="91">
        <v>238.03</v>
      </c>
      <c r="G215" s="92">
        <f t="shared" si="22"/>
        <v>1.9880886070525738E-2</v>
      </c>
      <c r="H215" s="91" t="s">
        <v>285</v>
      </c>
      <c r="I215" s="91">
        <v>231.84</v>
      </c>
      <c r="J215" s="92">
        <f t="shared" si="23"/>
        <v>-4.7424013796071307E-4</v>
      </c>
      <c r="K215" s="91" t="s">
        <v>285</v>
      </c>
      <c r="L215" s="91">
        <v>80.959999999999994</v>
      </c>
      <c r="M215" s="92">
        <f t="shared" si="24"/>
        <v>2.3773394031360695E-2</v>
      </c>
      <c r="N215" s="91" t="s">
        <v>285</v>
      </c>
      <c r="O215" s="91">
        <v>219.92</v>
      </c>
      <c r="P215" s="92">
        <f t="shared" si="25"/>
        <v>-6.6398662992908086E-3</v>
      </c>
      <c r="Q215" s="91" t="s">
        <v>285</v>
      </c>
      <c r="R215" s="91">
        <v>58.81</v>
      </c>
      <c r="S215" s="92">
        <f t="shared" si="26"/>
        <v>8.9679451547155953E-2</v>
      </c>
      <c r="T215" s="91" t="s">
        <v>285</v>
      </c>
      <c r="U215" s="93">
        <v>4204.1099999999997</v>
      </c>
      <c r="V215" s="6">
        <f t="shared" si="27"/>
        <v>1.1610111986448013E-2</v>
      </c>
    </row>
    <row r="216" spans="2:22" ht="14.4">
      <c r="B216" s="91" t="s">
        <v>286</v>
      </c>
      <c r="C216" s="91">
        <v>71.239999999999995</v>
      </c>
      <c r="D216" s="92">
        <f t="shared" si="21"/>
        <v>3.2389804252921373E-3</v>
      </c>
      <c r="E216" s="91" t="s">
        <v>286</v>
      </c>
      <c r="F216" s="91">
        <v>233.39</v>
      </c>
      <c r="G216" s="92">
        <f t="shared" si="22"/>
        <v>0.11143387780370473</v>
      </c>
      <c r="H216" s="91" t="s">
        <v>286</v>
      </c>
      <c r="I216" s="91">
        <v>231.95</v>
      </c>
      <c r="J216" s="92">
        <f t="shared" si="23"/>
        <v>3.6780614452618376E-3</v>
      </c>
      <c r="K216" s="91" t="s">
        <v>286</v>
      </c>
      <c r="L216" s="91">
        <v>79.08</v>
      </c>
      <c r="M216" s="92">
        <f t="shared" si="24"/>
        <v>-3.1001102806028635E-2</v>
      </c>
      <c r="N216" s="91" t="s">
        <v>286</v>
      </c>
      <c r="O216" s="91">
        <v>221.39</v>
      </c>
      <c r="P216" s="92">
        <f t="shared" si="25"/>
        <v>2.1274669563642323E-3</v>
      </c>
      <c r="Q216" s="91" t="s">
        <v>286</v>
      </c>
      <c r="R216" s="91">
        <v>53.97</v>
      </c>
      <c r="S216" s="92">
        <f t="shared" si="26"/>
        <v>4.2898550724637552E-2</v>
      </c>
      <c r="T216" s="91" t="s">
        <v>286</v>
      </c>
      <c r="U216" s="93">
        <v>4155.8599999999997</v>
      </c>
      <c r="V216" s="6">
        <f t="shared" si="27"/>
        <v>-4.3101692681818404E-3</v>
      </c>
    </row>
    <row r="217" spans="2:22" ht="14.4">
      <c r="B217" s="90">
        <v>44444</v>
      </c>
      <c r="C217" s="91">
        <v>71.010000000000005</v>
      </c>
      <c r="D217" s="92">
        <f t="shared" si="21"/>
        <v>-5.0922213311948572E-2</v>
      </c>
      <c r="E217" s="90">
        <v>44444</v>
      </c>
      <c r="F217" s="91">
        <v>209.99</v>
      </c>
      <c r="G217" s="92">
        <f t="shared" si="22"/>
        <v>1.9171034750534055E-2</v>
      </c>
      <c r="H217" s="90">
        <v>44444</v>
      </c>
      <c r="I217" s="91">
        <v>231.1</v>
      </c>
      <c r="J217" s="92">
        <f t="shared" si="23"/>
        <v>-1.239316239316246E-2</v>
      </c>
      <c r="K217" s="90">
        <v>44444</v>
      </c>
      <c r="L217" s="91">
        <v>81.61</v>
      </c>
      <c r="M217" s="92">
        <f t="shared" si="24"/>
        <v>6.7850974586725066E-3</v>
      </c>
      <c r="N217" s="90">
        <v>44444</v>
      </c>
      <c r="O217" s="91">
        <v>220.92</v>
      </c>
      <c r="P217" s="92">
        <f t="shared" si="25"/>
        <v>-8.838440486338528E-3</v>
      </c>
      <c r="Q217" s="90">
        <v>44444</v>
      </c>
      <c r="R217" s="91">
        <v>51.75</v>
      </c>
      <c r="S217" s="92">
        <f t="shared" si="26"/>
        <v>-0.21756879346840041</v>
      </c>
      <c r="T217" s="90">
        <v>44444</v>
      </c>
      <c r="U217" s="93">
        <v>4173.8500000000004</v>
      </c>
      <c r="V217" s="6">
        <f t="shared" si="27"/>
        <v>-1.388035722723624E-2</v>
      </c>
    </row>
    <row r="218" spans="2:22" ht="14.4">
      <c r="B218" s="90">
        <v>44232</v>
      </c>
      <c r="C218" s="91">
        <v>74.819999999999993</v>
      </c>
      <c r="D218" s="92">
        <f t="shared" si="21"/>
        <v>-6.9402985074627055E-2</v>
      </c>
      <c r="E218" s="90">
        <v>44232</v>
      </c>
      <c r="F218" s="91">
        <v>206.04</v>
      </c>
      <c r="G218" s="92">
        <f t="shared" si="22"/>
        <v>-0.11032427997754657</v>
      </c>
      <c r="H218" s="90">
        <v>44232</v>
      </c>
      <c r="I218" s="91">
        <v>234</v>
      </c>
      <c r="J218" s="92">
        <f t="shared" si="23"/>
        <v>0.19460894425158259</v>
      </c>
      <c r="K218" s="90">
        <v>44232</v>
      </c>
      <c r="L218" s="91">
        <v>81.06</v>
      </c>
      <c r="M218" s="92">
        <f t="shared" si="24"/>
        <v>-6.6344160331720747E-2</v>
      </c>
      <c r="N218" s="90">
        <v>44232</v>
      </c>
      <c r="O218" s="91">
        <v>222.89</v>
      </c>
      <c r="P218" s="92">
        <f t="shared" si="25"/>
        <v>1.8832563879873643E-2</v>
      </c>
      <c r="Q218" s="90">
        <v>44232</v>
      </c>
      <c r="R218" s="91">
        <v>66.14</v>
      </c>
      <c r="S218" s="92">
        <f t="shared" si="26"/>
        <v>-9.3102975455916726E-2</v>
      </c>
      <c r="T218" s="90">
        <v>44232</v>
      </c>
      <c r="U218" s="93">
        <v>4232.6000000000004</v>
      </c>
      <c r="V218" s="6">
        <f t="shared" si="27"/>
        <v>1.2300384820516763E-2</v>
      </c>
    </row>
    <row r="219" spans="2:22" ht="14.4">
      <c r="B219" s="91" t="s">
        <v>287</v>
      </c>
      <c r="C219" s="91">
        <v>80.400000000000006</v>
      </c>
      <c r="D219" s="92">
        <f t="shared" si="21"/>
        <v>2.1730842546702434E-2</v>
      </c>
      <c r="E219" s="91" t="s">
        <v>287</v>
      </c>
      <c r="F219" s="91">
        <v>231.59</v>
      </c>
      <c r="G219" s="92">
        <f t="shared" si="22"/>
        <v>-1.7187234764895587E-2</v>
      </c>
      <c r="H219" s="91" t="s">
        <v>287</v>
      </c>
      <c r="I219" s="91">
        <v>195.88</v>
      </c>
      <c r="J219" s="92">
        <f t="shared" si="23"/>
        <v>-1.7751479289940808E-2</v>
      </c>
      <c r="K219" s="91" t="s">
        <v>287</v>
      </c>
      <c r="L219" s="91">
        <v>86.82</v>
      </c>
      <c r="M219" s="92">
        <f t="shared" si="24"/>
        <v>2.27353045117209E-2</v>
      </c>
      <c r="N219" s="91" t="s">
        <v>287</v>
      </c>
      <c r="O219" s="91">
        <v>218.77</v>
      </c>
      <c r="P219" s="92">
        <f t="shared" si="25"/>
        <v>3.4520262921454714E-2</v>
      </c>
      <c r="Q219" s="91" t="s">
        <v>287</v>
      </c>
      <c r="R219" s="91">
        <v>72.930000000000007</v>
      </c>
      <c r="S219" s="92">
        <f t="shared" si="26"/>
        <v>3.8540949759118259E-3</v>
      </c>
      <c r="T219" s="91" t="s">
        <v>287</v>
      </c>
      <c r="U219" s="93">
        <v>4181.17</v>
      </c>
      <c r="V219" s="6">
        <f t="shared" si="27"/>
        <v>2.3922472052562149E-4</v>
      </c>
    </row>
    <row r="220" spans="2:22" ht="14.4">
      <c r="B220" s="91" t="s">
        <v>288</v>
      </c>
      <c r="C220" s="91">
        <v>78.69</v>
      </c>
      <c r="D220" s="92">
        <f t="shared" si="21"/>
        <v>-2.3939469114363732E-2</v>
      </c>
      <c r="E220" s="91" t="s">
        <v>288</v>
      </c>
      <c r="F220" s="91">
        <v>235.64</v>
      </c>
      <c r="G220" s="92">
        <f t="shared" si="22"/>
        <v>1.2460256079745546E-2</v>
      </c>
      <c r="H220" s="91" t="s">
        <v>288</v>
      </c>
      <c r="I220" s="91">
        <v>199.42</v>
      </c>
      <c r="J220" s="92">
        <f t="shared" si="23"/>
        <v>3.8754036878841491E-2</v>
      </c>
      <c r="K220" s="91" t="s">
        <v>288</v>
      </c>
      <c r="L220" s="91">
        <v>84.89</v>
      </c>
      <c r="M220" s="92">
        <f t="shared" si="24"/>
        <v>-1.9745958429561172E-2</v>
      </c>
      <c r="N220" s="91" t="s">
        <v>288</v>
      </c>
      <c r="O220" s="91">
        <v>211.47</v>
      </c>
      <c r="P220" s="92">
        <f t="shared" si="25"/>
        <v>1.5901229823212848E-2</v>
      </c>
      <c r="Q220" s="91" t="s">
        <v>288</v>
      </c>
      <c r="R220" s="91">
        <v>72.650000000000006</v>
      </c>
      <c r="S220" s="92">
        <f t="shared" si="26"/>
        <v>1.0571706774238576E-2</v>
      </c>
      <c r="T220" s="91" t="s">
        <v>288</v>
      </c>
      <c r="U220" s="93">
        <v>4180.17</v>
      </c>
      <c r="V220" s="6">
        <f t="shared" si="27"/>
        <v>-1.266285506765108E-3</v>
      </c>
    </row>
    <row r="221" spans="2:22" ht="14.4">
      <c r="B221" s="90">
        <v>44504</v>
      </c>
      <c r="C221" s="91">
        <v>80.62</v>
      </c>
      <c r="D221" s="92">
        <f t="shared" si="21"/>
        <v>8.6902545003120224E-4</v>
      </c>
      <c r="E221" s="90">
        <v>44504</v>
      </c>
      <c r="F221" s="91">
        <v>232.74</v>
      </c>
      <c r="G221" s="92">
        <f t="shared" si="22"/>
        <v>2.5783419278064379E-2</v>
      </c>
      <c r="H221" s="90">
        <v>44504</v>
      </c>
      <c r="I221" s="91">
        <v>191.98</v>
      </c>
      <c r="J221" s="92">
        <f t="shared" si="23"/>
        <v>2.0139221000053054E-2</v>
      </c>
      <c r="K221" s="90">
        <v>44504</v>
      </c>
      <c r="L221" s="91">
        <v>86.6</v>
      </c>
      <c r="M221" s="92">
        <f t="shared" si="24"/>
        <v>1.2983974733886905E-2</v>
      </c>
      <c r="N221" s="90">
        <v>44504</v>
      </c>
      <c r="O221" s="91">
        <v>208.16</v>
      </c>
      <c r="P221" s="92">
        <f t="shared" si="25"/>
        <v>1.3930832927423253E-2</v>
      </c>
      <c r="Q221" s="90">
        <v>44504</v>
      </c>
      <c r="R221" s="91">
        <v>71.89</v>
      </c>
      <c r="S221" s="92">
        <f t="shared" si="26"/>
        <v>3.797285590528432E-2</v>
      </c>
      <c r="T221" s="90">
        <v>44504</v>
      </c>
      <c r="U221" s="93">
        <v>4185.47</v>
      </c>
      <c r="V221" s="6">
        <f t="shared" si="27"/>
        <v>1.3725537686494871E-2</v>
      </c>
    </row>
    <row r="222" spans="2:22" ht="14.4">
      <c r="B222" s="90">
        <v>44290</v>
      </c>
      <c r="C222" s="91">
        <v>80.55</v>
      </c>
      <c r="D222" s="92">
        <f t="shared" si="21"/>
        <v>2.1171399594320572E-2</v>
      </c>
      <c r="E222" s="90">
        <v>44290</v>
      </c>
      <c r="F222" s="91">
        <v>226.89</v>
      </c>
      <c r="G222" s="92">
        <f t="shared" si="22"/>
        <v>-4.1809198023565197E-2</v>
      </c>
      <c r="H222" s="90">
        <v>44290</v>
      </c>
      <c r="I222" s="91">
        <v>188.19</v>
      </c>
      <c r="J222" s="92">
        <f t="shared" si="23"/>
        <v>4.9126929032945466E-3</v>
      </c>
      <c r="K222" s="90">
        <v>44290</v>
      </c>
      <c r="L222" s="91">
        <v>85.49</v>
      </c>
      <c r="M222" s="92">
        <f t="shared" si="24"/>
        <v>6.5827203590574701E-2</v>
      </c>
      <c r="N222" s="90">
        <v>44290</v>
      </c>
      <c r="O222" s="91">
        <v>205.3</v>
      </c>
      <c r="P222" s="92">
        <f t="shared" si="25"/>
        <v>1.6840019811787954E-2</v>
      </c>
      <c r="Q222" s="90">
        <v>44290</v>
      </c>
      <c r="R222" s="91">
        <v>69.260000000000005</v>
      </c>
      <c r="S222" s="92">
        <f t="shared" si="26"/>
        <v>5.1305403764420277E-2</v>
      </c>
      <c r="T222" s="90">
        <v>44290</v>
      </c>
      <c r="U222" s="93">
        <v>4128.8</v>
      </c>
      <c r="V222" s="6">
        <f t="shared" si="27"/>
        <v>2.7097891225338122E-2</v>
      </c>
    </row>
    <row r="223" spans="2:22" ht="14.4">
      <c r="B223" s="91" t="s">
        <v>289</v>
      </c>
      <c r="C223" s="91">
        <v>78.88</v>
      </c>
      <c r="D223" s="92">
        <f t="shared" si="21"/>
        <v>-4.5431600201918387E-3</v>
      </c>
      <c r="E223" s="91" t="s">
        <v>289</v>
      </c>
      <c r="F223" s="91">
        <v>236.79</v>
      </c>
      <c r="G223" s="92">
        <f t="shared" si="22"/>
        <v>7.6170212765958034E-3</v>
      </c>
      <c r="H223" s="91" t="s">
        <v>289</v>
      </c>
      <c r="I223" s="91">
        <v>187.27</v>
      </c>
      <c r="J223" s="92">
        <f t="shared" si="23"/>
        <v>7.6947912182523392E-3</v>
      </c>
      <c r="K223" s="91" t="s">
        <v>289</v>
      </c>
      <c r="L223" s="91">
        <v>80.209999999999994</v>
      </c>
      <c r="M223" s="92">
        <f t="shared" si="24"/>
        <v>3.9797770287788303E-2</v>
      </c>
      <c r="N223" s="91" t="s">
        <v>289</v>
      </c>
      <c r="O223" s="91">
        <v>201.9</v>
      </c>
      <c r="P223" s="92">
        <f t="shared" si="25"/>
        <v>1.1117788461538547E-2</v>
      </c>
      <c r="Q223" s="91" t="s">
        <v>289</v>
      </c>
      <c r="R223" s="91">
        <v>65.88</v>
      </c>
      <c r="S223" s="92">
        <f t="shared" si="26"/>
        <v>-1.8474374255065706E-2</v>
      </c>
      <c r="T223" s="91" t="s">
        <v>289</v>
      </c>
      <c r="U223" s="93">
        <v>4019.87</v>
      </c>
      <c r="V223" s="6">
        <f t="shared" si="27"/>
        <v>1.140509341961593E-2</v>
      </c>
    </row>
    <row r="224" spans="2:22" ht="14.4">
      <c r="B224" s="91" t="s">
        <v>290</v>
      </c>
      <c r="C224" s="91">
        <v>79.239999999999995</v>
      </c>
      <c r="D224" s="92">
        <f t="shared" si="21"/>
        <v>3.5140431090790347E-2</v>
      </c>
      <c r="E224" s="91" t="s">
        <v>290</v>
      </c>
      <c r="F224" s="91">
        <v>235</v>
      </c>
      <c r="G224" s="92">
        <f t="shared" si="22"/>
        <v>6.4215197898741083E-2</v>
      </c>
      <c r="H224" s="91" t="s">
        <v>290</v>
      </c>
      <c r="I224" s="91">
        <v>185.84</v>
      </c>
      <c r="J224" s="92">
        <f t="shared" si="23"/>
        <v>1.6352201257861632E-2</v>
      </c>
      <c r="K224" s="91" t="s">
        <v>290</v>
      </c>
      <c r="L224" s="91">
        <v>77.14</v>
      </c>
      <c r="M224" s="92">
        <f t="shared" si="24"/>
        <v>5.3537284894837445E-2</v>
      </c>
      <c r="N224" s="91" t="s">
        <v>290</v>
      </c>
      <c r="O224" s="91">
        <v>199.68</v>
      </c>
      <c r="P224" s="92">
        <f t="shared" si="25"/>
        <v>3.9729237177818177E-2</v>
      </c>
      <c r="Q224" s="91" t="s">
        <v>290</v>
      </c>
      <c r="R224" s="91">
        <v>67.12</v>
      </c>
      <c r="S224" s="92">
        <f t="shared" si="26"/>
        <v>-8.456082924168018E-2</v>
      </c>
      <c r="T224" s="91" t="s">
        <v>290</v>
      </c>
      <c r="U224" s="93">
        <v>3974.54</v>
      </c>
      <c r="V224" s="6">
        <f t="shared" si="27"/>
        <v>1.570110653957224E-2</v>
      </c>
    </row>
    <row r="225" spans="2:22" ht="14.4">
      <c r="B225" s="91" t="s">
        <v>291</v>
      </c>
      <c r="C225" s="91">
        <v>76.55</v>
      </c>
      <c r="D225" s="92">
        <f t="shared" si="21"/>
        <v>-1.5687283014015674E-2</v>
      </c>
      <c r="E225" s="91" t="s">
        <v>291</v>
      </c>
      <c r="F225" s="91">
        <v>220.82</v>
      </c>
      <c r="G225" s="92">
        <f t="shared" si="22"/>
        <v>-3.9913043478260857E-2</v>
      </c>
      <c r="H225" s="91" t="s">
        <v>291</v>
      </c>
      <c r="I225" s="91">
        <v>182.85</v>
      </c>
      <c r="J225" s="92">
        <f t="shared" si="23"/>
        <v>-2.1250401455946921E-2</v>
      </c>
      <c r="K225" s="91" t="s">
        <v>291</v>
      </c>
      <c r="L225" s="91">
        <v>73.22</v>
      </c>
      <c r="M225" s="92">
        <f t="shared" si="24"/>
        <v>1.1186300234774293E-2</v>
      </c>
      <c r="N225" s="91" t="s">
        <v>291</v>
      </c>
      <c r="O225" s="91">
        <v>192.05</v>
      </c>
      <c r="P225" s="92">
        <f t="shared" si="25"/>
        <v>2.0999468367889573E-2</v>
      </c>
      <c r="Q225" s="91" t="s">
        <v>291</v>
      </c>
      <c r="R225" s="91">
        <v>73.319999999999993</v>
      </c>
      <c r="S225" s="92">
        <f t="shared" si="26"/>
        <v>-2.396166134185318E-2</v>
      </c>
      <c r="T225" s="91" t="s">
        <v>291</v>
      </c>
      <c r="U225" s="93">
        <v>3913.1</v>
      </c>
      <c r="V225" s="6">
        <f t="shared" si="27"/>
        <v>-7.6686260885442392E-3</v>
      </c>
    </row>
    <row r="226" spans="2:22" ht="14.4">
      <c r="B226" s="90">
        <v>44380</v>
      </c>
      <c r="C226" s="91">
        <v>77.77</v>
      </c>
      <c r="D226" s="92">
        <f t="shared" si="21"/>
        <v>5.5080721747388539E-2</v>
      </c>
      <c r="E226" s="90">
        <v>44380</v>
      </c>
      <c r="F226" s="91">
        <v>230</v>
      </c>
      <c r="G226" s="92">
        <f t="shared" si="22"/>
        <v>-4.0587327410002927E-2</v>
      </c>
      <c r="H226" s="90">
        <v>44380</v>
      </c>
      <c r="I226" s="91">
        <v>186.82</v>
      </c>
      <c r="J226" s="92">
        <f t="shared" si="23"/>
        <v>1.8259115931759995E-2</v>
      </c>
      <c r="K226" s="90">
        <v>44380</v>
      </c>
      <c r="L226" s="91">
        <v>72.41</v>
      </c>
      <c r="M226" s="92">
        <f t="shared" si="24"/>
        <v>-4.3461030383091237E-2</v>
      </c>
      <c r="N226" s="90">
        <v>44380</v>
      </c>
      <c r="O226" s="91">
        <v>188.1</v>
      </c>
      <c r="P226" s="92">
        <f t="shared" si="25"/>
        <v>-2.9261495587552311E-2</v>
      </c>
      <c r="Q226" s="90">
        <v>44380</v>
      </c>
      <c r="R226" s="91">
        <v>75.12</v>
      </c>
      <c r="S226" s="92">
        <f t="shared" si="26"/>
        <v>0.14827269948028121</v>
      </c>
      <c r="T226" s="90">
        <v>44380</v>
      </c>
      <c r="U226" s="93">
        <v>3943.34</v>
      </c>
      <c r="V226" s="6">
        <f t="shared" si="27"/>
        <v>2.6392916078856077E-2</v>
      </c>
    </row>
    <row r="227" spans="2:22" ht="14.4">
      <c r="B227" s="91" t="s">
        <v>292</v>
      </c>
      <c r="C227" s="91">
        <v>73.709999999999994</v>
      </c>
      <c r="D227" s="92">
        <f t="shared" si="21"/>
        <v>3.1301034295045937E-3</v>
      </c>
      <c r="E227" s="91" t="s">
        <v>292</v>
      </c>
      <c r="F227" s="91">
        <v>239.73</v>
      </c>
      <c r="G227" s="92">
        <f t="shared" si="22"/>
        <v>-7.6327348385605398E-2</v>
      </c>
      <c r="H227" s="91" t="s">
        <v>292</v>
      </c>
      <c r="I227" s="91">
        <v>183.47</v>
      </c>
      <c r="J227" s="92">
        <f t="shared" si="23"/>
        <v>2.4743074173369184E-2</v>
      </c>
      <c r="K227" s="91" t="s">
        <v>292</v>
      </c>
      <c r="L227" s="91">
        <v>75.7</v>
      </c>
      <c r="M227" s="92">
        <f t="shared" si="24"/>
        <v>-6.6814595660749543E-2</v>
      </c>
      <c r="N227" s="91" t="s">
        <v>292</v>
      </c>
      <c r="O227" s="91">
        <v>193.77</v>
      </c>
      <c r="P227" s="92">
        <f t="shared" si="25"/>
        <v>-1.3399989692315373E-3</v>
      </c>
      <c r="Q227" s="91" t="s">
        <v>292</v>
      </c>
      <c r="R227" s="91">
        <v>65.42</v>
      </c>
      <c r="S227" s="92">
        <f t="shared" si="26"/>
        <v>-0.18773280357586297</v>
      </c>
      <c r="T227" s="91" t="s">
        <v>292</v>
      </c>
      <c r="U227" s="93">
        <v>3841.94</v>
      </c>
      <c r="V227" s="6">
        <f t="shared" si="27"/>
        <v>8.0789263083320684E-3</v>
      </c>
    </row>
    <row r="228" spans="2:22" ht="14.4">
      <c r="B228" s="91" t="s">
        <v>293</v>
      </c>
      <c r="C228" s="91">
        <v>73.48</v>
      </c>
      <c r="D228" s="92">
        <f t="shared" si="21"/>
        <v>-2.1727322107549796E-3</v>
      </c>
      <c r="E228" s="91" t="s">
        <v>293</v>
      </c>
      <c r="F228" s="91">
        <v>259.54000000000002</v>
      </c>
      <c r="G228" s="92">
        <f t="shared" si="22"/>
        <v>-0.1050344827586206</v>
      </c>
      <c r="H228" s="91" t="s">
        <v>293</v>
      </c>
      <c r="I228" s="91">
        <v>179.04</v>
      </c>
      <c r="J228" s="92">
        <f t="shared" si="23"/>
        <v>-2.6692035879315013E-2</v>
      </c>
      <c r="K228" s="91" t="s">
        <v>293</v>
      </c>
      <c r="L228" s="91">
        <v>81.12</v>
      </c>
      <c r="M228" s="92">
        <f t="shared" si="24"/>
        <v>-4.1248079423235939E-2</v>
      </c>
      <c r="N228" s="91" t="s">
        <v>293</v>
      </c>
      <c r="O228" s="91">
        <v>194.03</v>
      </c>
      <c r="P228" s="92">
        <f t="shared" si="25"/>
        <v>-1.9802980550644E-2</v>
      </c>
      <c r="Q228" s="91" t="s">
        <v>293</v>
      </c>
      <c r="R228" s="91">
        <v>80.540000000000006</v>
      </c>
      <c r="S228" s="92">
        <f t="shared" si="26"/>
        <v>-0.10838038303996445</v>
      </c>
      <c r="T228" s="91" t="s">
        <v>293</v>
      </c>
      <c r="U228" s="93">
        <v>3811.15</v>
      </c>
      <c r="V228" s="6">
        <f t="shared" si="27"/>
        <v>-2.4460479533930046E-2</v>
      </c>
    </row>
    <row r="229" spans="2:22" ht="14.4">
      <c r="B229" s="91" t="s">
        <v>294</v>
      </c>
      <c r="C229" s="91">
        <v>73.64</v>
      </c>
      <c r="D229" s="92"/>
      <c r="E229" s="91" t="s">
        <v>294</v>
      </c>
      <c r="F229" s="91">
        <v>290</v>
      </c>
      <c r="G229" s="92"/>
      <c r="H229" s="91" t="s">
        <v>294</v>
      </c>
      <c r="I229" s="91">
        <v>183.95</v>
      </c>
      <c r="J229" s="92"/>
      <c r="K229" s="91" t="s">
        <v>294</v>
      </c>
      <c r="L229" s="91">
        <v>84.61</v>
      </c>
      <c r="M229" s="92"/>
      <c r="N229" s="91" t="s">
        <v>294</v>
      </c>
      <c r="O229" s="91">
        <v>197.95</v>
      </c>
      <c r="P229" s="92"/>
      <c r="Q229" s="91" t="s">
        <v>294</v>
      </c>
      <c r="R229" s="91">
        <v>90.33</v>
      </c>
      <c r="S229" s="92"/>
      <c r="T229" s="91" t="s">
        <v>294</v>
      </c>
      <c r="U229" s="93">
        <v>3906.71</v>
      </c>
      <c r="V229" s="6"/>
    </row>
  </sheetData>
  <mergeCells count="17">
    <mergeCell ref="K19:M19"/>
    <mergeCell ref="N19:P19"/>
    <mergeCell ref="Q19:S19"/>
    <mergeCell ref="B17:E17"/>
    <mergeCell ref="T19:V19"/>
    <mergeCell ref="H19:J19"/>
    <mergeCell ref="B5:F5"/>
    <mergeCell ref="E6:F6"/>
    <mergeCell ref="B6:C6"/>
    <mergeCell ref="B11:F11"/>
    <mergeCell ref="B12:E12"/>
    <mergeCell ref="B13:E13"/>
    <mergeCell ref="B14:E14"/>
    <mergeCell ref="B15:E15"/>
    <mergeCell ref="B16:E16"/>
    <mergeCell ref="B19:D19"/>
    <mergeCell ref="E19:G19"/>
  </mergeCells>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FDEF6-42C0-4286-AA71-AE704247B32B}">
  <sheetPr>
    <tabColor theme="8" tint="0.79998168889431442"/>
  </sheetPr>
  <dimension ref="B5:J17"/>
  <sheetViews>
    <sheetView showGridLines="0" showRowColHeaders="0" workbookViewId="0">
      <selection activeCell="I6" sqref="I6"/>
    </sheetView>
  </sheetViews>
  <sheetFormatPr defaultRowHeight="13.8"/>
  <cols>
    <col min="1" max="1" width="1.8984375" customWidth="1"/>
    <col min="2" max="2" width="11" customWidth="1"/>
    <col min="3" max="3" width="12.09765625" customWidth="1"/>
    <col min="9" max="9" width="8.8984375" customWidth="1"/>
    <col min="10" max="10" width="16.69921875" customWidth="1"/>
  </cols>
  <sheetData>
    <row r="5" spans="2:10" ht="17.399999999999999">
      <c r="B5" s="184" t="s">
        <v>323</v>
      </c>
      <c r="C5" s="184"/>
      <c r="D5" s="184"/>
      <c r="E5" s="184"/>
      <c r="F5" s="110" t="s">
        <v>310</v>
      </c>
      <c r="G5" s="110" t="s">
        <v>315</v>
      </c>
      <c r="H5" s="110" t="s">
        <v>141</v>
      </c>
      <c r="I5" s="110" t="s">
        <v>316</v>
      </c>
      <c r="J5" s="110" t="s">
        <v>322</v>
      </c>
    </row>
    <row r="6" spans="2:10" ht="18">
      <c r="B6" s="179" t="s">
        <v>162</v>
      </c>
      <c r="C6" s="179"/>
      <c r="D6" s="179"/>
      <c r="E6" s="179"/>
      <c r="F6" s="86">
        <f>'Regression Beta'!F13</f>
        <v>1.6169715171092518</v>
      </c>
      <c r="G6" s="58">
        <f>'WACC Calculation'!H7</f>
        <v>4.6717369550313779E-3</v>
      </c>
      <c r="H6" s="58">
        <f>'WACC Calculation'!I7</f>
        <v>0.99532826304496858</v>
      </c>
      <c r="I6" s="104">
        <f>1+(G6/H6)*(1-$C$12)</f>
        <v>1.0037079949716128</v>
      </c>
      <c r="J6" s="105">
        <f>F6/I6</f>
        <v>1.6109979448305416</v>
      </c>
    </row>
    <row r="7" spans="2:10" ht="18">
      <c r="B7" s="179" t="s">
        <v>307</v>
      </c>
      <c r="C7" s="179"/>
      <c r="D7" s="179"/>
      <c r="E7" s="179"/>
      <c r="F7" s="86">
        <f>'Regression Beta'!F14</f>
        <v>1.1009519345269214</v>
      </c>
      <c r="G7" s="58">
        <f>'WACC Calculation'!H8</f>
        <v>4.3450926264931387E-3</v>
      </c>
      <c r="H7" s="58">
        <f>'WACC Calculation'!I8</f>
        <v>0.99565490737350693</v>
      </c>
      <c r="I7" s="104">
        <f t="shared" ref="I7:I10" si="0">1+(G7/H7)*(1-$C$12)</f>
        <v>1.0034476033307411</v>
      </c>
      <c r="J7" s="105">
        <f t="shared" ref="J7:J10" si="1">F7/I7</f>
        <v>1.097169329890803</v>
      </c>
    </row>
    <row r="8" spans="2:10" ht="18">
      <c r="B8" s="179" t="s">
        <v>306</v>
      </c>
      <c r="C8" s="179"/>
      <c r="D8" s="179"/>
      <c r="E8" s="179"/>
      <c r="F8" s="86">
        <f>'Regression Beta'!F15</f>
        <v>1.1648443800945114</v>
      </c>
      <c r="G8" s="58">
        <f>'WACC Calculation'!H9</f>
        <v>7.0837613295431825E-2</v>
      </c>
      <c r="H8" s="58">
        <f>'WACC Calculation'!I9</f>
        <v>0.92916238670456819</v>
      </c>
      <c r="I8" s="104">
        <f t="shared" si="0"/>
        <v>1.0602281315991158</v>
      </c>
      <c r="J8" s="105">
        <f t="shared" si="1"/>
        <v>1.098673337725538</v>
      </c>
    </row>
    <row r="9" spans="2:10" ht="18">
      <c r="B9" s="179" t="s">
        <v>320</v>
      </c>
      <c r="C9" s="179"/>
      <c r="D9" s="179"/>
      <c r="E9" s="179"/>
      <c r="F9" s="86">
        <f>'Regression Beta'!F16</f>
        <v>0.92684749419708057</v>
      </c>
      <c r="G9" s="58">
        <f>'WACC Calculation'!H10</f>
        <v>0.11965326583126229</v>
      </c>
      <c r="H9" s="58">
        <f>'WACC Calculation'!I10</f>
        <v>0.88034673416873777</v>
      </c>
      <c r="I9" s="104">
        <f t="shared" si="0"/>
        <v>1.1073736930437448</v>
      </c>
      <c r="J9" s="105">
        <f t="shared" si="1"/>
        <v>0.83697806803549124</v>
      </c>
    </row>
    <row r="10" spans="2:10" ht="18">
      <c r="B10" s="179" t="s">
        <v>153</v>
      </c>
      <c r="C10" s="179"/>
      <c r="D10" s="179"/>
      <c r="E10" s="179"/>
      <c r="F10" s="86">
        <f>'Regression Beta'!F17</f>
        <v>1.9874040071223971</v>
      </c>
      <c r="G10" s="58">
        <f>'WACC Calculation'!H11</f>
        <v>7.5673655086965386E-2</v>
      </c>
      <c r="H10" s="58">
        <f>'WACC Calculation'!I11</f>
        <v>0.92432634491303456</v>
      </c>
      <c r="I10" s="104">
        <f t="shared" si="0"/>
        <v>1.0646764942357314</v>
      </c>
      <c r="J10" s="105">
        <f t="shared" si="1"/>
        <v>1.8666740722486199</v>
      </c>
    </row>
    <row r="11" spans="2:10" ht="14.4">
      <c r="H11" s="183" t="s">
        <v>321</v>
      </c>
      <c r="I11" s="183"/>
      <c r="J11" s="106">
        <f>AVERAGE(J6:J10)</f>
        <v>1.3020985505461988</v>
      </c>
    </row>
    <row r="12" spans="2:10">
      <c r="B12" t="s">
        <v>317</v>
      </c>
      <c r="C12" s="103">
        <f>'WACC Calculation'!C17</f>
        <v>0.21</v>
      </c>
    </row>
    <row r="13" spans="2:10" ht="20.399999999999999">
      <c r="B13" s="181" t="s">
        <v>8</v>
      </c>
      <c r="C13" s="181"/>
    </row>
    <row r="14" spans="2:10">
      <c r="B14" s="83" t="s">
        <v>318</v>
      </c>
      <c r="C14" s="107">
        <f>'WACC Calculation'!H12</f>
        <v>7.0837613295431825E-2</v>
      </c>
    </row>
    <row r="15" spans="2:10">
      <c r="B15" s="83" t="s">
        <v>141</v>
      </c>
      <c r="C15" s="107">
        <f>'WACC Calculation'!I12</f>
        <v>0.92916238670456819</v>
      </c>
    </row>
    <row r="16" spans="2:10">
      <c r="B16" s="83" t="s">
        <v>316</v>
      </c>
      <c r="C16" s="108">
        <f>1+(C14/C15)*(1-C12)</f>
        <v>1.0602281315991158</v>
      </c>
    </row>
    <row r="17" spans="2:3" ht="27.6">
      <c r="B17" s="109" t="s">
        <v>319</v>
      </c>
      <c r="C17" s="138">
        <f>C16*J11</f>
        <v>1.3805215134035131</v>
      </c>
    </row>
  </sheetData>
  <mergeCells count="8">
    <mergeCell ref="B10:E10"/>
    <mergeCell ref="B13:C13"/>
    <mergeCell ref="H11:I11"/>
    <mergeCell ref="B5:E5"/>
    <mergeCell ref="B6:E6"/>
    <mergeCell ref="B7:E7"/>
    <mergeCell ref="B8:E8"/>
    <mergeCell ref="B9:E9"/>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187D8-501E-4F98-8867-976D7181A769}">
  <sheetPr>
    <tabColor rgb="FF002060"/>
  </sheetPr>
  <dimension ref="B5:Q63"/>
  <sheetViews>
    <sheetView showGridLines="0" showRowColHeaders="0" topLeftCell="A28" workbookViewId="0">
      <selection activeCell="I51" sqref="I51"/>
    </sheetView>
  </sheetViews>
  <sheetFormatPr defaultRowHeight="13.8"/>
  <cols>
    <col min="1" max="1" width="1.5" customWidth="1"/>
    <col min="2" max="2" width="19" customWidth="1"/>
    <col min="3" max="3" width="17.09765625" customWidth="1"/>
    <col min="4" max="4" width="10.3984375" bestFit="1" customWidth="1"/>
    <col min="5" max="5" width="15.59765625" customWidth="1"/>
    <col min="6" max="7" width="10.3984375" bestFit="1" customWidth="1"/>
    <col min="8" max="8" width="13.09765625" customWidth="1"/>
    <col min="11" max="11" width="9" bestFit="1" customWidth="1"/>
    <col min="12" max="12" width="10" bestFit="1" customWidth="1"/>
  </cols>
  <sheetData>
    <row r="5" spans="2:8" ht="1.2" customHeight="1">
      <c r="H5" s="118" t="s">
        <v>295</v>
      </c>
    </row>
    <row r="6" spans="2:8">
      <c r="B6" t="s">
        <v>328</v>
      </c>
      <c r="C6" s="135">
        <f>DATE(2025,2,11)</f>
        <v>45699</v>
      </c>
      <c r="H6" s="118" t="s">
        <v>332</v>
      </c>
    </row>
    <row r="7" spans="2:8">
      <c r="B7" t="s">
        <v>329</v>
      </c>
      <c r="C7" s="135">
        <f>DATE(2025,12,31)</f>
        <v>46022</v>
      </c>
      <c r="H7" s="118"/>
    </row>
    <row r="8" spans="2:8">
      <c r="H8" s="118" t="s">
        <v>333</v>
      </c>
    </row>
    <row r="9" spans="2:8">
      <c r="B9" t="s">
        <v>330</v>
      </c>
      <c r="C9" s="124" t="s">
        <v>295</v>
      </c>
      <c r="H9" s="118" t="s">
        <v>334</v>
      </c>
    </row>
    <row r="10" spans="2:8">
      <c r="B10" t="s">
        <v>331</v>
      </c>
      <c r="C10" s="124" t="s">
        <v>334</v>
      </c>
    </row>
    <row r="12" spans="2:8">
      <c r="B12" s="37" t="s">
        <v>313</v>
      </c>
      <c r="C12" s="120">
        <f>'WACC Calculation'!B22</f>
        <v>8.4813346859481026E-2</v>
      </c>
      <c r="D12" s="37" t="s">
        <v>343</v>
      </c>
      <c r="E12" s="120">
        <f>'Gdp Forecast'!C10</f>
        <v>2.5950000000000001E-2</v>
      </c>
    </row>
    <row r="13" spans="2:8" ht="3" customHeight="1"/>
    <row r="14" spans="2:8">
      <c r="B14" t="s">
        <v>335</v>
      </c>
      <c r="C14" s="59">
        <f>IF(C10="Year End Convention",(C7-C6)/365,(C7-C6)*(1/2)/365)</f>
        <v>0.44246575342465755</v>
      </c>
      <c r="D14" s="59">
        <f>C14+1</f>
        <v>1.4424657534246577</v>
      </c>
      <c r="E14" s="59">
        <f t="shared" ref="E14:G14" si="0">D14+1</f>
        <v>2.4424657534246577</v>
      </c>
      <c r="F14" s="59">
        <f t="shared" si="0"/>
        <v>3.4424657534246577</v>
      </c>
      <c r="G14" s="59">
        <f t="shared" si="0"/>
        <v>4.4424657534246581</v>
      </c>
    </row>
    <row r="15" spans="2:8" ht="4.2" customHeight="1"/>
    <row r="16" spans="2:8" ht="15">
      <c r="B16" s="137" t="s">
        <v>76</v>
      </c>
      <c r="C16" s="137">
        <v>2025</v>
      </c>
      <c r="D16" s="137">
        <v>2026</v>
      </c>
      <c r="E16" s="137">
        <v>2027</v>
      </c>
      <c r="F16" s="137">
        <v>2028</v>
      </c>
      <c r="G16" s="137">
        <v>2029</v>
      </c>
    </row>
    <row r="17" spans="2:8" ht="5.4" customHeight="1"/>
    <row r="18" spans="2:8">
      <c r="B18" t="s">
        <v>11</v>
      </c>
      <c r="C18" s="121">
        <f>'Income statement'!H13</f>
        <v>2991.3505238695038</v>
      </c>
      <c r="D18" s="121">
        <f>'Income statement'!I13</f>
        <v>3140.9845857721139</v>
      </c>
      <c r="E18" s="121">
        <f>'Income statement'!J13</f>
        <v>3304.4864310887483</v>
      </c>
      <c r="F18" s="121">
        <f>'Income statement'!K13</f>
        <v>3490.4183371883264</v>
      </c>
      <c r="G18" s="121">
        <f>'Income statement'!L13</f>
        <v>3682.3788981536604</v>
      </c>
    </row>
    <row r="19" spans="2:8">
      <c r="B19" t="s">
        <v>336</v>
      </c>
      <c r="C19" s="122">
        <f>'Bottom up Beta'!$C$12</f>
        <v>0.21</v>
      </c>
      <c r="D19" s="122">
        <f>'Bottom up Beta'!$C$12</f>
        <v>0.21</v>
      </c>
      <c r="E19" s="122">
        <f>'Bottom up Beta'!$C$12</f>
        <v>0.21</v>
      </c>
      <c r="F19" s="122">
        <f>'Bottom up Beta'!$C$12</f>
        <v>0.21</v>
      </c>
      <c r="G19" s="122">
        <f>'Bottom up Beta'!$C$12</f>
        <v>0.21</v>
      </c>
    </row>
    <row r="20" spans="2:8">
      <c r="B20" t="s">
        <v>337</v>
      </c>
      <c r="C20" s="24">
        <f>C18*(1-C19)</f>
        <v>2363.1669138569082</v>
      </c>
      <c r="D20" s="24">
        <f t="shared" ref="D20:F20" si="1">D18*(1-D19)</f>
        <v>2481.3778227599701</v>
      </c>
      <c r="E20" s="24">
        <f t="shared" si="1"/>
        <v>2610.5442805601115</v>
      </c>
      <c r="F20" s="24">
        <f t="shared" si="1"/>
        <v>2757.4304863787779</v>
      </c>
      <c r="G20" s="24">
        <f>G18*(1-G19)</f>
        <v>2909.0793295413919</v>
      </c>
    </row>
    <row r="21" spans="2:8">
      <c r="B21" s="117" t="s">
        <v>338</v>
      </c>
      <c r="C21" s="121">
        <f>'Income statement'!H12</f>
        <v>709.44056973624117</v>
      </c>
      <c r="D21" s="121">
        <f>'Income statement'!I12</f>
        <v>729.10531814075171</v>
      </c>
      <c r="E21" s="121">
        <f>'Income statement'!J12</f>
        <v>745.14073088734438</v>
      </c>
      <c r="F21" s="121">
        <f>'Income statement'!K12</f>
        <v>749.63371735392695</v>
      </c>
      <c r="G21" s="121">
        <f>'Income statement'!L12</f>
        <v>759.67680027435426</v>
      </c>
    </row>
    <row r="22" spans="2:8">
      <c r="B22" s="117" t="s">
        <v>339</v>
      </c>
      <c r="C22" s="121">
        <f>'Cash Flow Statement'!C13</f>
        <v>235.15065449754263</v>
      </c>
      <c r="D22" s="121">
        <f>'Cash Flow Statement'!D13</f>
        <v>-39.975683803615937</v>
      </c>
      <c r="E22" s="121">
        <f>'Cash Flow Statement'!E13</f>
        <v>-42.393237414273187</v>
      </c>
      <c r="F22" s="121">
        <f>'Cash Flow Statement'!F13</f>
        <v>-44.964080254036844</v>
      </c>
      <c r="G22" s="121">
        <f>'Cash Flow Statement'!G13</f>
        <v>-47.698113061199535</v>
      </c>
    </row>
    <row r="23" spans="2:8">
      <c r="B23" s="117" t="s">
        <v>340</v>
      </c>
      <c r="C23" s="121">
        <f>'Fixed Assets Schedule'!H7</f>
        <v>717.97546510030315</v>
      </c>
      <c r="D23" s="121">
        <f>'Fixed Assets Schedule'!I7</f>
        <v>573.75771928225072</v>
      </c>
      <c r="E23" s="121">
        <f>'Fixed Assets Schedule'!J7</f>
        <v>601.15874458427402</v>
      </c>
      <c r="F23" s="121">
        <f>'Fixed Assets Schedule'!K7</f>
        <v>630.23074617647967</v>
      </c>
      <c r="G23" s="121">
        <f>'Fixed Assets Schedule'!L7</f>
        <v>661.0800301681802</v>
      </c>
    </row>
    <row r="24" spans="2:8">
      <c r="B24" s="37" t="s">
        <v>341</v>
      </c>
      <c r="C24" s="136">
        <f>C20+C21+C22-C23</f>
        <v>2589.7826729903891</v>
      </c>
      <c r="D24" s="136">
        <f t="shared" ref="D24:G24" si="2">D20+D21+D22-D23</f>
        <v>2596.7497378148555</v>
      </c>
      <c r="E24" s="136">
        <f t="shared" si="2"/>
        <v>2712.1330294489089</v>
      </c>
      <c r="F24" s="136">
        <f t="shared" si="2"/>
        <v>2831.8693773021887</v>
      </c>
      <c r="G24" s="136">
        <f t="shared" si="2"/>
        <v>2959.9779865863666</v>
      </c>
    </row>
    <row r="25" spans="2:8" ht="4.8" customHeight="1"/>
    <row r="26" spans="2:8" ht="3.6" customHeight="1"/>
    <row r="27" spans="2:8">
      <c r="B27" t="s">
        <v>342</v>
      </c>
      <c r="C27" s="59">
        <f>1/(1+$C$12)^C14</f>
        <v>0.96462078263765816</v>
      </c>
      <c r="D27" s="59">
        <f t="shared" ref="D27:G27" si="3">1/(1+$C$12)^D14</f>
        <v>0.88920438288321335</v>
      </c>
      <c r="E27" s="59">
        <f t="shared" si="3"/>
        <v>0.81968422075322656</v>
      </c>
      <c r="F27" s="59">
        <f t="shared" si="3"/>
        <v>0.75559931404439351</v>
      </c>
      <c r="G27" s="59">
        <f t="shared" si="3"/>
        <v>0.69652472126365583</v>
      </c>
    </row>
    <row r="28" spans="2:8" ht="6" customHeight="1"/>
    <row r="29" spans="2:8" ht="6.6" customHeight="1"/>
    <row r="30" spans="2:8">
      <c r="B30" s="37" t="s">
        <v>345</v>
      </c>
      <c r="C30" s="37" t="s">
        <v>346</v>
      </c>
      <c r="D30" s="37" t="s">
        <v>347</v>
      </c>
      <c r="E30" s="37" t="s">
        <v>348</v>
      </c>
      <c r="F30" s="37" t="s">
        <v>349</v>
      </c>
      <c r="G30" s="37" t="s">
        <v>350</v>
      </c>
      <c r="H30" s="37" t="s">
        <v>351</v>
      </c>
    </row>
    <row r="31" spans="2:8">
      <c r="C31" s="24">
        <f>C24*C27</f>
        <v>2498.1581888814353</v>
      </c>
      <c r="D31" s="24">
        <f t="shared" ref="D31:G31" si="4">D24*D27</f>
        <v>2309.0412481158046</v>
      </c>
      <c r="E31" s="24">
        <f t="shared" si="4"/>
        <v>2223.0926488229165</v>
      </c>
      <c r="F31" s="24">
        <f t="shared" si="4"/>
        <v>2139.7585589528576</v>
      </c>
      <c r="G31" s="24">
        <f t="shared" si="4"/>
        <v>2061.6978420536261</v>
      </c>
      <c r="H31" s="24">
        <f>G31*(1+E12)/(C12-E12)</f>
        <v>35934.057676066819</v>
      </c>
    </row>
    <row r="32" spans="2:8">
      <c r="B32" t="s">
        <v>352</v>
      </c>
      <c r="C32" s="24">
        <f>SUM(C31:G31)</f>
        <v>11231.74848682664</v>
      </c>
    </row>
    <row r="33" spans="2:17">
      <c r="B33" t="s">
        <v>353</v>
      </c>
      <c r="C33" s="24">
        <f>H31*G27</f>
        <v>25028.959506694573</v>
      </c>
    </row>
    <row r="34" spans="2:17">
      <c r="B34" s="37" t="s">
        <v>354</v>
      </c>
      <c r="C34" s="169">
        <f>C32+C33</f>
        <v>36260.70799352121</v>
      </c>
    </row>
    <row r="35" spans="2:17" ht="6" customHeight="1"/>
    <row r="36" spans="2:17" ht="20.399999999999999" customHeight="1">
      <c r="I36" t="s">
        <v>409</v>
      </c>
      <c r="J36" s="185" t="s">
        <v>368</v>
      </c>
      <c r="K36" s="185"/>
      <c r="L36" s="185"/>
      <c r="M36" s="185"/>
      <c r="N36" s="185"/>
      <c r="O36" s="185"/>
      <c r="P36" s="185"/>
      <c r="Q36" s="185"/>
    </row>
    <row r="37" spans="2:17" ht="21" thickBot="1">
      <c r="B37" s="185" t="s">
        <v>366</v>
      </c>
      <c r="C37" s="185"/>
      <c r="E37" s="186" t="s">
        <v>367</v>
      </c>
      <c r="F37" s="186"/>
      <c r="I37" s="189" t="s">
        <v>313</v>
      </c>
      <c r="J37" s="59">
        <f>F51</f>
        <v>125.87980686652607</v>
      </c>
      <c r="K37">
        <f>15.8</f>
        <v>15.8</v>
      </c>
      <c r="L37">
        <f>K37+3</f>
        <v>18.8</v>
      </c>
      <c r="M37">
        <f>L37+3</f>
        <v>21.8</v>
      </c>
      <c r="N37">
        <f t="shared" ref="N37:Q37" si="5">M37+3</f>
        <v>24.8</v>
      </c>
      <c r="O37">
        <f t="shared" si="5"/>
        <v>27.8</v>
      </c>
      <c r="P37">
        <f t="shared" si="5"/>
        <v>30.8</v>
      </c>
      <c r="Q37">
        <f t="shared" si="5"/>
        <v>33.799999999999997</v>
      </c>
    </row>
    <row r="38" spans="2:17" ht="14.4" thickTop="1">
      <c r="B38" s="126" t="s">
        <v>354</v>
      </c>
      <c r="C38" s="127">
        <f>C34</f>
        <v>36260.70799352121</v>
      </c>
      <c r="E38" s="126" t="s">
        <v>11</v>
      </c>
      <c r="F38" s="133">
        <f>'Income statement'!G13</f>
        <v>2892</v>
      </c>
      <c r="I38" s="189"/>
      <c r="J38" s="152">
        <f>7.58%</f>
        <v>7.5800000000000006E-2</v>
      </c>
      <c r="K38" s="59">
        <f t="dataTable" ref="K38:Q44" dt2D="1" dtr="1" r1="F39" r2="C12" ca="1"/>
        <v>92.296806117044653</v>
      </c>
      <c r="L38" s="59">
        <v>104.90484335660565</v>
      </c>
      <c r="M38" s="59">
        <v>117.51288059616667</v>
      </c>
      <c r="N38" s="59">
        <v>130.12091783572768</v>
      </c>
      <c r="O38" s="59">
        <v>142.7289550752887</v>
      </c>
      <c r="P38" s="59">
        <v>155.33699231484968</v>
      </c>
      <c r="Q38" s="59">
        <v>167.94502955441067</v>
      </c>
    </row>
    <row r="39" spans="2:17">
      <c r="B39" s="128"/>
      <c r="C39" s="129"/>
      <c r="E39" s="128" t="s">
        <v>368</v>
      </c>
      <c r="F39" s="129">
        <v>24.8</v>
      </c>
      <c r="I39" s="189"/>
      <c r="J39" s="58">
        <f>J38+0.3%</f>
        <v>7.8800000000000009E-2</v>
      </c>
      <c r="K39" s="59">
        <v>91.329308211336766</v>
      </c>
      <c r="L39" s="59">
        <v>103.78233075873986</v>
      </c>
      <c r="M39" s="59">
        <v>116.23535330614297</v>
      </c>
      <c r="N39" s="59">
        <v>128.68837585354606</v>
      </c>
      <c r="O39" s="59">
        <v>141.14139840094916</v>
      </c>
      <c r="P39" s="59">
        <v>153.59442094835225</v>
      </c>
      <c r="Q39" s="59">
        <v>166.04744349575532</v>
      </c>
    </row>
    <row r="40" spans="2:17">
      <c r="B40" s="128"/>
      <c r="C40" s="129"/>
      <c r="E40" s="128" t="s">
        <v>369</v>
      </c>
      <c r="F40" s="129">
        <f>F38*F39</f>
        <v>71721.600000000006</v>
      </c>
      <c r="I40" s="189"/>
      <c r="J40" s="58">
        <f t="shared" ref="J40:J44" si="6">J39+0.3%</f>
        <v>8.1800000000000012E-2</v>
      </c>
      <c r="K40" s="59">
        <v>90.37583345826971</v>
      </c>
      <c r="L40" s="59">
        <v>102.6761697726546</v>
      </c>
      <c r="M40" s="153">
        <v>114.97650608703952</v>
      </c>
      <c r="N40" s="154">
        <v>127.27684240142443</v>
      </c>
      <c r="O40" s="168">
        <v>139.57717871580937</v>
      </c>
      <c r="P40" s="59">
        <v>151.87751503019427</v>
      </c>
      <c r="Q40" s="59">
        <v>164.17785134457915</v>
      </c>
    </row>
    <row r="41" spans="2:17">
      <c r="B41" s="128"/>
      <c r="C41" s="129"/>
      <c r="E41" s="128" t="s">
        <v>370</v>
      </c>
      <c r="F41" s="129">
        <f>F40*G27</f>
        <v>49955.86744858342</v>
      </c>
      <c r="I41" s="189"/>
      <c r="J41" s="58">
        <f t="shared" si="6"/>
        <v>8.4800000000000014E-2</v>
      </c>
      <c r="K41" s="59">
        <v>89.43613754991965</v>
      </c>
      <c r="L41" s="59">
        <v>101.58607480251861</v>
      </c>
      <c r="M41" s="155">
        <v>113.73601205511754</v>
      </c>
      <c r="N41" s="166">
        <v>125.8859493077165</v>
      </c>
      <c r="O41" s="156">
        <v>138.03588656031545</v>
      </c>
      <c r="P41" s="59">
        <v>150.18582381291438</v>
      </c>
      <c r="Q41" s="59">
        <v>162.33576106551331</v>
      </c>
    </row>
    <row r="42" spans="2:17">
      <c r="B42" s="128"/>
      <c r="C42" s="129"/>
      <c r="E42" s="128"/>
      <c r="F42" s="129"/>
      <c r="I42" s="189"/>
      <c r="J42" s="58">
        <f>J41+0.3%</f>
        <v>8.7800000000000017E-2</v>
      </c>
      <c r="K42" s="59">
        <v>88.509981116463948</v>
      </c>
      <c r="L42" s="59">
        <v>100.51176603402807</v>
      </c>
      <c r="M42" s="167">
        <v>112.51355095159219</v>
      </c>
      <c r="N42" s="132">
        <v>124.51533586915632</v>
      </c>
      <c r="O42" s="157">
        <v>136.51712078672045</v>
      </c>
      <c r="P42" s="59">
        <v>148.51890570428458</v>
      </c>
      <c r="Q42" s="59">
        <v>160.52069062184867</v>
      </c>
    </row>
    <row r="43" spans="2:17">
      <c r="B43" s="128" t="s">
        <v>371</v>
      </c>
      <c r="C43" s="130">
        <f>C38</f>
        <v>36260.70799352121</v>
      </c>
      <c r="E43" s="128" t="s">
        <v>371</v>
      </c>
      <c r="F43" s="129">
        <f>F41+C32</f>
        <v>61187.61593541006</v>
      </c>
      <c r="I43" s="189"/>
      <c r="J43" s="58">
        <f t="shared" si="6"/>
        <v>9.080000000000002E-2</v>
      </c>
      <c r="K43" s="59">
        <v>87.597129612870944</v>
      </c>
      <c r="L43" s="59">
        <v>99.452969301605904</v>
      </c>
      <c r="M43" s="59">
        <v>111.30880899034084</v>
      </c>
      <c r="N43" s="59">
        <v>123.16464867907578</v>
      </c>
      <c r="O43" s="59">
        <v>135.02048836781071</v>
      </c>
      <c r="P43" s="59">
        <v>146.87632805654565</v>
      </c>
      <c r="Q43" s="59">
        <v>158.73216774528058</v>
      </c>
    </row>
    <row r="44" spans="2:17">
      <c r="B44" s="128" t="s">
        <v>372</v>
      </c>
      <c r="C44" s="129">
        <v>102</v>
      </c>
      <c r="E44" s="128" t="s">
        <v>372</v>
      </c>
      <c r="F44" s="129">
        <v>102</v>
      </c>
      <c r="I44" s="189"/>
      <c r="J44" s="58">
        <f t="shared" si="6"/>
        <v>9.3800000000000022E-2</v>
      </c>
      <c r="K44" s="59">
        <v>86.697353208495002</v>
      </c>
      <c r="L44" s="59">
        <v>98.409415959007845</v>
      </c>
      <c r="M44" s="59">
        <v>110.1214787095207</v>
      </c>
      <c r="N44" s="59">
        <v>121.83354146003356</v>
      </c>
      <c r="O44" s="59">
        <v>133.5456042105464</v>
      </c>
      <c r="P44" s="59">
        <v>145.25766696105924</v>
      </c>
      <c r="Q44" s="59">
        <v>156.96972971157209</v>
      </c>
    </row>
    <row r="45" spans="2:17">
      <c r="B45" s="128" t="s">
        <v>315</v>
      </c>
      <c r="C45" s="129">
        <f>'Balance Sheet'!G26+'Balance Sheet'!G34</f>
        <v>908</v>
      </c>
      <c r="E45" s="128" t="s">
        <v>315</v>
      </c>
      <c r="F45" s="129">
        <f>C45</f>
        <v>908</v>
      </c>
    </row>
    <row r="46" spans="2:17">
      <c r="B46" s="128" t="s">
        <v>373</v>
      </c>
      <c r="C46" s="129">
        <v>0</v>
      </c>
      <c r="E46" s="128" t="s">
        <v>373</v>
      </c>
      <c r="F46" s="129">
        <v>0</v>
      </c>
    </row>
    <row r="47" spans="2:17">
      <c r="B47" s="128" t="s">
        <v>374</v>
      </c>
      <c r="C47" s="129">
        <f>'Balance Sheet'!G7</f>
        <v>2231</v>
      </c>
      <c r="E47" s="128" t="s">
        <v>374</v>
      </c>
      <c r="F47" s="129">
        <f>C47</f>
        <v>2231</v>
      </c>
    </row>
    <row r="48" spans="2:17">
      <c r="B48" s="128"/>
      <c r="C48" s="129"/>
      <c r="E48" s="128"/>
      <c r="F48" s="129"/>
    </row>
    <row r="49" spans="2:10">
      <c r="B49" s="128" t="s">
        <v>412</v>
      </c>
      <c r="C49" s="129">
        <f>C43+C44-C45-C46+C47</f>
        <v>37685.70799352121</v>
      </c>
      <c r="E49" s="128" t="s">
        <v>412</v>
      </c>
      <c r="F49" s="129">
        <f>F43+F44-F45-F46+F47</f>
        <v>62612.61593541006</v>
      </c>
    </row>
    <row r="50" spans="2:10">
      <c r="B50" s="128" t="s">
        <v>375</v>
      </c>
      <c r="C50" s="129">
        <v>497.4</v>
      </c>
      <c r="E50" s="128" t="s">
        <v>375</v>
      </c>
      <c r="F50" s="129">
        <v>497.4</v>
      </c>
    </row>
    <row r="51" spans="2:10" ht="14.4" thickBot="1">
      <c r="B51" s="131" t="s">
        <v>376</v>
      </c>
      <c r="C51" s="134">
        <f>C49/C50</f>
        <v>75.765396046484142</v>
      </c>
      <c r="E51" s="131" t="s">
        <v>377</v>
      </c>
      <c r="F51" s="134">
        <f>F49/F50</f>
        <v>125.87980686652607</v>
      </c>
    </row>
    <row r="52" spans="2:10" ht="14.4" thickTop="1"/>
    <row r="55" spans="2:10" ht="21" thickBot="1">
      <c r="B55" t="s">
        <v>408</v>
      </c>
      <c r="C55" s="187" t="s">
        <v>313</v>
      </c>
      <c r="D55" s="187"/>
      <c r="E55" s="187"/>
      <c r="F55" s="187"/>
      <c r="G55" s="187"/>
      <c r="H55" s="187"/>
      <c r="I55" s="187"/>
    </row>
    <row r="56" spans="2:10">
      <c r="B56" s="158">
        <f>C51</f>
        <v>75.765396046484142</v>
      </c>
      <c r="C56" s="159">
        <f>7.58%</f>
        <v>7.5800000000000006E-2</v>
      </c>
      <c r="D56" s="159">
        <f>C56+0.3%</f>
        <v>7.8800000000000009E-2</v>
      </c>
      <c r="E56" s="159">
        <f t="shared" ref="E56:I56" si="7">D56+0.3%</f>
        <v>8.1800000000000012E-2</v>
      </c>
      <c r="F56" s="159">
        <f t="shared" si="7"/>
        <v>8.4800000000000014E-2</v>
      </c>
      <c r="G56" s="159">
        <f t="shared" si="7"/>
        <v>8.7800000000000017E-2</v>
      </c>
      <c r="H56" s="159">
        <f t="shared" si="7"/>
        <v>9.080000000000002E-2</v>
      </c>
      <c r="I56" s="160">
        <f t="shared" si="7"/>
        <v>9.3800000000000022E-2</v>
      </c>
      <c r="J56" s="188" t="s">
        <v>343</v>
      </c>
    </row>
    <row r="57" spans="2:10">
      <c r="B57" s="161">
        <f>1.7%</f>
        <v>1.7000000000000001E-2</v>
      </c>
      <c r="C57" s="59">
        <f t="dataTable" ref="C57:I63" dt2D="1" dtr="1" r1="C12" r2="E12"/>
        <v>79.671129579359629</v>
      </c>
      <c r="D57" s="59">
        <v>75.659093631211107</v>
      </c>
      <c r="E57" s="59">
        <v>72.038648050945895</v>
      </c>
      <c r="F57" s="59">
        <v>68.757098376688219</v>
      </c>
      <c r="G57" s="59">
        <v>65.770705925975307</v>
      </c>
      <c r="H57" s="59">
        <v>63.042866644728406</v>
      </c>
      <c r="I57" s="162">
        <v>60.542716821039441</v>
      </c>
      <c r="J57" s="188"/>
    </row>
    <row r="58" spans="2:10">
      <c r="B58" s="161">
        <f>B57+0.3%</f>
        <v>0.02</v>
      </c>
      <c r="C58" s="59">
        <v>82.729509339334811</v>
      </c>
      <c r="D58" s="59">
        <v>78.360569643998318</v>
      </c>
      <c r="E58" s="59">
        <v>74.436894987530707</v>
      </c>
      <c r="F58" s="59">
        <v>70.895894937533797</v>
      </c>
      <c r="G58" s="59">
        <v>67.686082679715042</v>
      </c>
      <c r="H58" s="59">
        <v>64.764721646368727</v>
      </c>
      <c r="I58" s="162">
        <v>62.096046171873056</v>
      </c>
      <c r="J58" s="188"/>
    </row>
    <row r="59" spans="2:10">
      <c r="B59" s="161">
        <f t="shared" ref="B59:B63" si="8">B58+0.3%</f>
        <v>2.3E-2</v>
      </c>
      <c r="C59" s="59">
        <v>86.135432253852599</v>
      </c>
      <c r="D59" s="59">
        <v>81.352526948483046</v>
      </c>
      <c r="E59" s="153">
        <v>77.079860999277216</v>
      </c>
      <c r="F59" s="154">
        <v>73.242341649917776</v>
      </c>
      <c r="G59" s="163">
        <v>69.778809132875125</v>
      </c>
      <c r="H59" s="59">
        <v>66.638953196826776</v>
      </c>
      <c r="I59" s="162">
        <v>63.781013603285778</v>
      </c>
      <c r="J59" s="188"/>
    </row>
    <row r="60" spans="2:10">
      <c r="B60" s="161">
        <f t="shared" si="8"/>
        <v>2.5999999999999999E-2</v>
      </c>
      <c r="C60" s="59">
        <v>89.951707326746046</v>
      </c>
      <c r="D60" s="59">
        <v>84.684479401204698</v>
      </c>
      <c r="E60" s="155">
        <v>80.007016904759922</v>
      </c>
      <c r="F60" s="165">
        <v>75.828221700300105</v>
      </c>
      <c r="G60" s="156">
        <v>72.074712911584712</v>
      </c>
      <c r="H60" s="59">
        <v>68.686724705660566</v>
      </c>
      <c r="I60" s="162">
        <v>65.615093196770445</v>
      </c>
      <c r="J60" s="188"/>
    </row>
    <row r="61" spans="2:10">
      <c r="B61" s="161">
        <f t="shared" si="8"/>
        <v>2.8999999999999998E-2</v>
      </c>
      <c r="C61" s="59">
        <v>94.257248434625822</v>
      </c>
      <c r="D61" s="59">
        <v>88.417871908471099</v>
      </c>
      <c r="E61" s="164">
        <v>83.26680416313836</v>
      </c>
      <c r="F61" s="132">
        <v>78.692153369003151</v>
      </c>
      <c r="G61" s="157">
        <v>74.604892586081021</v>
      </c>
      <c r="H61" s="59">
        <v>70.933308982342311</v>
      </c>
      <c r="I61" s="162">
        <v>67.618994974837008</v>
      </c>
      <c r="J61" s="188"/>
    </row>
    <row r="62" spans="2:10">
      <c r="B62" s="161">
        <f t="shared" si="8"/>
        <v>3.2000000000000001E-2</v>
      </c>
      <c r="C62" s="59">
        <v>99.152589694269992</v>
      </c>
      <c r="D62" s="59">
        <v>92.629904480771671</v>
      </c>
      <c r="E62" s="59">
        <v>86.91933687433351</v>
      </c>
      <c r="F62" s="59">
        <v>81.881531818240632</v>
      </c>
      <c r="G62" s="59">
        <v>77.407134591168301</v>
      </c>
      <c r="H62" s="59">
        <v>73.409136552562984</v>
      </c>
      <c r="I62" s="162">
        <v>69.817450323589654</v>
      </c>
      <c r="J62" s="188"/>
    </row>
    <row r="63" spans="2:10">
      <c r="B63" s="161">
        <f t="shared" si="8"/>
        <v>3.5000000000000003E-2</v>
      </c>
      <c r="C63" s="59">
        <v>104.76783408033236</v>
      </c>
      <c r="D63" s="59">
        <v>97.418927816401094</v>
      </c>
      <c r="E63" s="59">
        <v>91.040143010040822</v>
      </c>
      <c r="F63" s="59">
        <v>85.455172731241646</v>
      </c>
      <c r="G63" s="59">
        <v>80.527813187742794</v>
      </c>
      <c r="H63" s="59">
        <v>76.151182141086963</v>
      </c>
      <c r="I63" s="162">
        <v>72.240237850786428</v>
      </c>
      <c r="J63" s="188"/>
    </row>
  </sheetData>
  <mergeCells count="6">
    <mergeCell ref="B37:C37"/>
    <mergeCell ref="E37:F37"/>
    <mergeCell ref="C55:I55"/>
    <mergeCell ref="J56:J63"/>
    <mergeCell ref="J36:Q36"/>
    <mergeCell ref="I37:I44"/>
  </mergeCells>
  <dataValidations count="2">
    <dataValidation type="list" allowBlank="1" showInputMessage="1" showErrorMessage="1" sqref="C10" xr:uid="{D46232A0-9A3D-472C-BD05-627A9014B9C9}">
      <formula1>$H$8:$H$9</formula1>
    </dataValidation>
    <dataValidation type="list" allowBlank="1" showInputMessage="1" showErrorMessage="1" sqref="C9" xr:uid="{998706D6-292C-4645-9BC6-0A95B4EAD1D4}">
      <formula1>$H$5:$H$6</formula1>
    </dataValidation>
  </dataValidations>
  <pageMargins left="0.7" right="0.7" top="0.75" bottom="0.75" header="0.3" footer="0.3"/>
  <drawing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28949-5AB4-425B-A780-9326BD4E3048}">
  <sheetPr>
    <tabColor theme="2" tint="-9.9978637043366805E-2"/>
  </sheetPr>
  <dimension ref="B5:L19"/>
  <sheetViews>
    <sheetView showGridLines="0" showRowColHeaders="0" workbookViewId="0">
      <selection activeCell="T6" sqref="T6"/>
    </sheetView>
  </sheetViews>
  <sheetFormatPr defaultRowHeight="13.8"/>
  <cols>
    <col min="1" max="1" width="1.8984375" customWidth="1"/>
  </cols>
  <sheetData>
    <row r="5" spans="2:12" ht="15">
      <c r="B5" s="137" t="s">
        <v>363</v>
      </c>
      <c r="C5" s="137" t="s">
        <v>364</v>
      </c>
      <c r="D5" s="137" t="s">
        <v>365</v>
      </c>
    </row>
    <row r="6" spans="2:12">
      <c r="B6" t="s">
        <v>355</v>
      </c>
      <c r="C6" s="58">
        <v>2.12E-2</v>
      </c>
      <c r="D6" t="s">
        <v>362</v>
      </c>
    </row>
    <row r="7" spans="2:12">
      <c r="B7" t="s">
        <v>356</v>
      </c>
      <c r="C7" s="58">
        <v>3.95E-2</v>
      </c>
      <c r="D7" t="s">
        <v>357</v>
      </c>
    </row>
    <row r="8" spans="2:12">
      <c r="B8" t="s">
        <v>359</v>
      </c>
      <c r="C8" s="58">
        <v>2.3E-2</v>
      </c>
      <c r="D8" t="s">
        <v>358</v>
      </c>
    </row>
    <row r="9" spans="2:12">
      <c r="B9" t="s">
        <v>361</v>
      </c>
      <c r="C9" s="58">
        <v>2.01E-2</v>
      </c>
      <c r="D9" t="s">
        <v>360</v>
      </c>
    </row>
    <row r="10" spans="2:12">
      <c r="B10" s="37" t="s">
        <v>378</v>
      </c>
      <c r="C10" s="125">
        <f>AVERAGE(C6:C9)</f>
        <v>2.5950000000000001E-2</v>
      </c>
    </row>
    <row r="14" spans="2:12">
      <c r="C14" s="190" t="s">
        <v>379</v>
      </c>
      <c r="D14" s="190"/>
      <c r="E14" s="190"/>
      <c r="F14" s="190"/>
      <c r="G14" s="190"/>
      <c r="H14" s="190"/>
      <c r="I14" s="190"/>
      <c r="J14" s="190"/>
      <c r="K14" s="190"/>
      <c r="L14" s="190"/>
    </row>
    <row r="15" spans="2:12">
      <c r="C15" s="190"/>
      <c r="D15" s="190"/>
      <c r="E15" s="190"/>
      <c r="F15" s="190"/>
      <c r="G15" s="190"/>
      <c r="H15" s="190"/>
      <c r="I15" s="190"/>
      <c r="J15" s="190"/>
      <c r="K15" s="190"/>
      <c r="L15" s="190"/>
    </row>
    <row r="16" spans="2:12">
      <c r="C16" s="190"/>
      <c r="D16" s="190"/>
      <c r="E16" s="190"/>
      <c r="F16" s="190"/>
      <c r="G16" s="190"/>
      <c r="H16" s="190"/>
      <c r="I16" s="190"/>
      <c r="J16" s="190"/>
      <c r="K16" s="190"/>
      <c r="L16" s="190"/>
    </row>
    <row r="17" spans="3:12">
      <c r="C17" s="190"/>
      <c r="D17" s="190"/>
      <c r="E17" s="190"/>
      <c r="F17" s="190"/>
      <c r="G17" s="190"/>
      <c r="H17" s="190"/>
      <c r="I17" s="190"/>
      <c r="J17" s="190"/>
      <c r="K17" s="190"/>
      <c r="L17" s="190"/>
    </row>
    <row r="18" spans="3:12">
      <c r="C18" s="190"/>
      <c r="D18" s="190"/>
      <c r="E18" s="190"/>
      <c r="F18" s="190"/>
      <c r="G18" s="190"/>
      <c r="H18" s="190"/>
      <c r="I18" s="190"/>
      <c r="J18" s="190"/>
      <c r="K18" s="190"/>
      <c r="L18" s="190"/>
    </row>
    <row r="19" spans="3:12">
      <c r="C19" s="190"/>
      <c r="D19" s="190"/>
      <c r="E19" s="190"/>
      <c r="F19" s="190"/>
      <c r="G19" s="190"/>
      <c r="H19" s="190"/>
      <c r="I19" s="190"/>
      <c r="J19" s="190"/>
      <c r="K19" s="190"/>
      <c r="L19" s="190"/>
    </row>
  </sheetData>
  <mergeCells count="1">
    <mergeCell ref="C14:L19"/>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16F6D-546F-4E16-8989-B2F6E2AB7E86}">
  <dimension ref="B2:H68"/>
  <sheetViews>
    <sheetView showGridLines="0" showRowColHeaders="0" tabSelected="1" zoomScale="80" zoomScaleNormal="80" workbookViewId="0">
      <pane xSplit="2" ySplit="3" topLeftCell="C4" activePane="bottomRight" state="frozen"/>
      <selection pane="topRight" activeCell="C1" sqref="C1"/>
      <selection pane="bottomLeft" activeCell="A4" sqref="A4"/>
      <selection pane="bottomRight" activeCell="K34" sqref="K34"/>
    </sheetView>
  </sheetViews>
  <sheetFormatPr defaultRowHeight="13.8"/>
  <cols>
    <col min="1" max="1" width="2.296875" customWidth="1"/>
    <col min="2" max="2" width="14.8984375" customWidth="1"/>
    <col min="8" max="8" width="18.3984375" customWidth="1"/>
  </cols>
  <sheetData>
    <row r="2" spans="2:8" ht="17.399999999999999">
      <c r="C2" s="185" t="s">
        <v>76</v>
      </c>
      <c r="D2" s="185"/>
      <c r="E2" s="185"/>
      <c r="F2" s="185"/>
      <c r="G2" s="185"/>
    </row>
    <row r="3" spans="2:8" ht="17.399999999999999">
      <c r="C3" s="201">
        <v>2020</v>
      </c>
      <c r="D3" s="201">
        <v>2021</v>
      </c>
      <c r="E3" s="201">
        <v>2022</v>
      </c>
      <c r="F3" s="201">
        <v>2023</v>
      </c>
      <c r="G3" s="201">
        <v>2024</v>
      </c>
      <c r="H3" s="173" t="s">
        <v>419</v>
      </c>
    </row>
    <row r="4" spans="2:8" ht="6" customHeight="1">
      <c r="B4" s="202"/>
      <c r="C4" s="203"/>
      <c r="D4" s="203"/>
      <c r="E4" s="203"/>
      <c r="F4" s="203"/>
      <c r="G4" s="203"/>
      <c r="H4" s="204"/>
    </row>
    <row r="5" spans="2:8">
      <c r="B5" s="205" t="s">
        <v>415</v>
      </c>
      <c r="C5" s="205"/>
      <c r="D5" s="205"/>
      <c r="E5" s="205"/>
      <c r="F5" s="205"/>
      <c r="G5" s="205"/>
      <c r="H5" s="205"/>
    </row>
    <row r="6" spans="2:8" ht="6" customHeight="1"/>
    <row r="7" spans="2:8">
      <c r="B7" t="s">
        <v>413</v>
      </c>
      <c r="C7" s="194">
        <f>'Balance Sheet'!C11</f>
        <v>6851</v>
      </c>
      <c r="D7" s="194">
        <f>'Balance Sheet'!D11</f>
        <v>7342</v>
      </c>
      <c r="E7" s="194">
        <f>'Balance Sheet'!E11</f>
        <v>7266</v>
      </c>
      <c r="F7" s="194">
        <f>'Balance Sheet'!F11</f>
        <v>7506</v>
      </c>
      <c r="G7" s="194">
        <f>'Balance Sheet'!G11</f>
        <v>7504</v>
      </c>
    </row>
    <row r="8" spans="2:8">
      <c r="B8" t="s">
        <v>414</v>
      </c>
      <c r="C8" s="194">
        <f>'Balance Sheet'!C29</f>
        <v>3540</v>
      </c>
      <c r="D8" s="194">
        <f>'Balance Sheet'!D29</f>
        <v>3529</v>
      </c>
      <c r="E8" s="194">
        <f>'Balance Sheet'!E29</f>
        <v>3347</v>
      </c>
      <c r="F8" s="194">
        <f>'Balance Sheet'!F29</f>
        <v>3333</v>
      </c>
      <c r="G8" s="194">
        <f>'Balance Sheet'!G29</f>
        <v>3585</v>
      </c>
    </row>
    <row r="9" spans="2:8" ht="25.2" customHeight="1">
      <c r="B9" s="196" t="s">
        <v>416</v>
      </c>
      <c r="C9" s="197">
        <f>C7/C8</f>
        <v>1.9353107344632767</v>
      </c>
      <c r="D9" s="197">
        <f t="shared" ref="D9:G9" si="0">D7/D8</f>
        <v>2.0804760555398132</v>
      </c>
      <c r="E9" s="197">
        <f t="shared" si="0"/>
        <v>2.1708993128174483</v>
      </c>
      <c r="F9" s="197">
        <f t="shared" si="0"/>
        <v>2.2520252025202518</v>
      </c>
      <c r="G9" s="197">
        <f t="shared" si="0"/>
        <v>2.0931659693165972</v>
      </c>
    </row>
    <row r="11" spans="2:8">
      <c r="B11" s="205" t="s">
        <v>417</v>
      </c>
      <c r="C11" s="205"/>
      <c r="D11" s="205"/>
      <c r="E11" s="205"/>
      <c r="F11" s="205"/>
      <c r="G11" s="205"/>
      <c r="H11" s="205"/>
    </row>
    <row r="12" spans="2:8" ht="6" customHeight="1"/>
    <row r="13" spans="2:8">
      <c r="B13" t="s">
        <v>418</v>
      </c>
      <c r="C13" s="195">
        <f>'Income statement'!C6</f>
        <v>16652</v>
      </c>
      <c r="D13" s="195">
        <f>'Income statement'!D6</f>
        <v>18507</v>
      </c>
      <c r="E13" s="195">
        <f>'Income statement'!E6</f>
        <v>19428</v>
      </c>
      <c r="F13" s="195">
        <f>'Income statement'!F6</f>
        <v>19353</v>
      </c>
      <c r="G13" s="195">
        <f>'Income statement'!G6</f>
        <v>19736</v>
      </c>
    </row>
    <row r="14" spans="2:8">
      <c r="B14" t="s">
        <v>77</v>
      </c>
      <c r="C14" s="194">
        <f>'Balance Sheet'!C9</f>
        <v>3087</v>
      </c>
      <c r="D14" s="194">
        <f>'Balance Sheet'!D9</f>
        <v>3557</v>
      </c>
      <c r="E14" s="194">
        <f>'Balance Sheet'!E9</f>
        <v>3796</v>
      </c>
      <c r="F14" s="194">
        <f>'Balance Sheet'!F9</f>
        <v>3849</v>
      </c>
      <c r="G14" s="194">
        <f>'Balance Sheet'!G9</f>
        <v>4059</v>
      </c>
    </row>
    <row r="15" spans="2:8" ht="25.2" customHeight="1">
      <c r="B15" s="196" t="s">
        <v>78</v>
      </c>
      <c r="C15" s="197">
        <f>C13/C14</f>
        <v>5.3942338840298021</v>
      </c>
      <c r="D15" s="197">
        <f t="shared" ref="D15:G15" si="1">D13/D14</f>
        <v>5.2029800393590104</v>
      </c>
      <c r="E15" s="197">
        <f t="shared" si="1"/>
        <v>5.1180189673340362</v>
      </c>
      <c r="F15" s="197">
        <f t="shared" si="1"/>
        <v>5.0280592361652374</v>
      </c>
      <c r="G15" s="197">
        <f t="shared" si="1"/>
        <v>4.8622813500862279</v>
      </c>
    </row>
    <row r="17" spans="2:8">
      <c r="B17" s="205" t="s">
        <v>420</v>
      </c>
      <c r="C17" s="205"/>
      <c r="D17" s="205"/>
      <c r="E17" s="205"/>
      <c r="F17" s="205"/>
      <c r="G17" s="205"/>
      <c r="H17" s="205"/>
    </row>
    <row r="18" spans="2:8" ht="6" customHeight="1"/>
    <row r="19" spans="2:8">
      <c r="B19" t="s">
        <v>80</v>
      </c>
      <c r="C19" s="195">
        <f>'Income statement'!C7</f>
        <v>10671</v>
      </c>
      <c r="D19" s="195">
        <f>'Income statement'!D7</f>
        <v>11604</v>
      </c>
      <c r="E19" s="195">
        <f>'Income statement'!E7</f>
        <v>12448</v>
      </c>
      <c r="F19" s="195">
        <f>'Income statement'!F7</f>
        <v>12664</v>
      </c>
      <c r="G19" s="195">
        <f>'Income statement'!G7</f>
        <v>12958</v>
      </c>
    </row>
    <row r="20" spans="2:8">
      <c r="B20" t="s">
        <v>421</v>
      </c>
      <c r="C20" s="194">
        <f>'Balance Sheet'!C24</f>
        <v>389</v>
      </c>
      <c r="D20" s="194">
        <f>'Balance Sheet'!D24</f>
        <v>361</v>
      </c>
      <c r="E20" s="194">
        <f>'Balance Sheet'!E24</f>
        <v>360</v>
      </c>
      <c r="F20" s="194">
        <f>'Balance Sheet'!F24</f>
        <v>337</v>
      </c>
      <c r="G20" s="194">
        <f>'Balance Sheet'!G24</f>
        <v>340</v>
      </c>
    </row>
    <row r="21" spans="2:8" ht="27" customHeight="1">
      <c r="B21" s="196" t="s">
        <v>82</v>
      </c>
      <c r="C21" s="197">
        <f>C19/C20</f>
        <v>27.431876606683804</v>
      </c>
      <c r="D21" s="197">
        <f t="shared" ref="D21:G21" si="2">D19/D20</f>
        <v>32.144044321329638</v>
      </c>
      <c r="E21" s="197">
        <f t="shared" si="2"/>
        <v>34.577777777777776</v>
      </c>
      <c r="F21" s="197">
        <f t="shared" si="2"/>
        <v>37.578635014836799</v>
      </c>
      <c r="G21" s="197">
        <f t="shared" si="2"/>
        <v>38.111764705882351</v>
      </c>
    </row>
    <row r="23" spans="2:8">
      <c r="B23" s="205" t="s">
        <v>422</v>
      </c>
      <c r="C23" s="205"/>
      <c r="D23" s="205"/>
      <c r="E23" s="205"/>
      <c r="F23" s="205"/>
      <c r="G23" s="205"/>
      <c r="H23" s="205"/>
    </row>
    <row r="24" spans="2:8" ht="6" customHeight="1"/>
    <row r="25" spans="2:8">
      <c r="B25" t="s">
        <v>418</v>
      </c>
      <c r="C25" s="195">
        <f>C13</f>
        <v>16652</v>
      </c>
      <c r="D25" s="195">
        <f t="shared" ref="D25:G25" si="3">D13</f>
        <v>18507</v>
      </c>
      <c r="E25" s="195">
        <f t="shared" si="3"/>
        <v>19428</v>
      </c>
      <c r="F25" s="195">
        <f t="shared" si="3"/>
        <v>19353</v>
      </c>
      <c r="G25" s="195">
        <f t="shared" si="3"/>
        <v>19736</v>
      </c>
    </row>
    <row r="26" spans="2:8">
      <c r="B26" t="s">
        <v>423</v>
      </c>
      <c r="C26" s="194">
        <f>'Balance Sheet'!C20</f>
        <v>16923</v>
      </c>
      <c r="D26" s="194">
        <f>'Balance Sheet'!D20</f>
        <v>17852</v>
      </c>
      <c r="E26" s="194">
        <f>'Balance Sheet'!E20</f>
        <v>17852</v>
      </c>
      <c r="F26" s="194">
        <f>'Balance Sheet'!F20</f>
        <v>18483</v>
      </c>
      <c r="G26" s="194">
        <f>'Balance Sheet'!G20</f>
        <v>19966</v>
      </c>
    </row>
    <row r="27" spans="2:8" ht="24.6" customHeight="1">
      <c r="B27" s="196" t="s">
        <v>424</v>
      </c>
      <c r="C27" s="196">
        <f>C25/C26</f>
        <v>0.98398629084677658</v>
      </c>
      <c r="D27" s="196">
        <f t="shared" ref="D27:G27" si="4">D25/D26</f>
        <v>1.0366905668832624</v>
      </c>
      <c r="E27" s="196">
        <f t="shared" si="4"/>
        <v>1.0882814250504145</v>
      </c>
      <c r="F27" s="196">
        <f t="shared" si="4"/>
        <v>1.0470702807985717</v>
      </c>
      <c r="G27" s="196">
        <f t="shared" si="4"/>
        <v>0.98848041670840425</v>
      </c>
    </row>
    <row r="29" spans="2:8">
      <c r="B29" s="205" t="s">
        <v>425</v>
      </c>
      <c r="C29" s="205"/>
      <c r="D29" s="205"/>
      <c r="E29" s="205"/>
      <c r="F29" s="205"/>
      <c r="G29" s="205"/>
      <c r="H29" s="205"/>
    </row>
    <row r="30" spans="2:8" ht="6" customHeight="1"/>
    <row r="31" spans="2:8">
      <c r="B31" t="s">
        <v>315</v>
      </c>
      <c r="C31" s="194">
        <f>'Balance Sheet'!C37</f>
        <v>6087</v>
      </c>
      <c r="D31" s="194">
        <f>'Balance Sheet'!D37</f>
        <v>5861</v>
      </c>
      <c r="E31" s="194">
        <f>'Balance Sheet'!E37</f>
        <v>5543</v>
      </c>
      <c r="F31" s="194">
        <f>'Balance Sheet'!F37</f>
        <v>5256</v>
      </c>
      <c r="G31" s="194">
        <f>'Balance Sheet'!G37</f>
        <v>5558</v>
      </c>
    </row>
    <row r="32" spans="2:8">
      <c r="B32" t="s">
        <v>141</v>
      </c>
      <c r="C32" s="194">
        <f>'Balance Sheet'!C45</f>
        <v>10836</v>
      </c>
      <c r="D32" s="194">
        <f>'Balance Sheet'!D45</f>
        <v>11991</v>
      </c>
      <c r="E32" s="194">
        <f>'Balance Sheet'!E45</f>
        <v>12309</v>
      </c>
      <c r="F32" s="194">
        <f>'Balance Sheet'!F45</f>
        <v>13227</v>
      </c>
      <c r="G32" s="194">
        <f>'Balance Sheet'!G45</f>
        <v>14408</v>
      </c>
    </row>
    <row r="33" spans="2:8" ht="25.8" customHeight="1">
      <c r="B33" s="196" t="s">
        <v>426</v>
      </c>
      <c r="C33" s="196">
        <f>C31/C32</f>
        <v>0.56173864894795122</v>
      </c>
      <c r="D33" s="196">
        <f t="shared" ref="D33:G33" si="5">D31/D32</f>
        <v>0.4887832541072471</v>
      </c>
      <c r="E33" s="196">
        <f t="shared" si="5"/>
        <v>0.45032090340401332</v>
      </c>
      <c r="F33" s="196">
        <f t="shared" si="5"/>
        <v>0.3973690179178952</v>
      </c>
      <c r="G33" s="196">
        <f t="shared" si="5"/>
        <v>0.38575791227096057</v>
      </c>
    </row>
    <row r="35" spans="2:8">
      <c r="B35" s="205" t="s">
        <v>427</v>
      </c>
      <c r="C35" s="205"/>
      <c r="D35" s="205"/>
      <c r="E35" s="205"/>
      <c r="F35" s="205"/>
      <c r="G35" s="205"/>
      <c r="H35" s="205"/>
    </row>
    <row r="36" spans="2:8" ht="6" customHeight="1"/>
    <row r="37" spans="2:8">
      <c r="B37" t="s">
        <v>11</v>
      </c>
      <c r="C37" s="195">
        <f>'Income statement'!C13</f>
        <v>2114</v>
      </c>
      <c r="D37" s="195">
        <f>'Income statement'!D13</f>
        <v>2826</v>
      </c>
      <c r="E37" s="195">
        <f>'Income statement'!E13</f>
        <v>2968</v>
      </c>
      <c r="F37" s="195">
        <f>'Income statement'!F13</f>
        <v>2689</v>
      </c>
      <c r="G37" s="195">
        <f>'Income statement'!G13</f>
        <v>2892</v>
      </c>
    </row>
    <row r="38" spans="2:8">
      <c r="B38" t="s">
        <v>428</v>
      </c>
      <c r="C38" s="194">
        <f>'Balance Sheet'!C20-'Balance Sheet'!C29</f>
        <v>13383</v>
      </c>
      <c r="D38" s="194">
        <f>'Balance Sheet'!D20-'Balance Sheet'!D29</f>
        <v>14323</v>
      </c>
      <c r="E38" s="194">
        <f>'Balance Sheet'!E20-'Balance Sheet'!E29</f>
        <v>14505</v>
      </c>
      <c r="F38" s="194">
        <f>'Balance Sheet'!F20-'Balance Sheet'!F29</f>
        <v>15150</v>
      </c>
      <c r="G38" s="194">
        <f>'Balance Sheet'!G20-'Balance Sheet'!G29</f>
        <v>16381</v>
      </c>
    </row>
    <row r="39" spans="2:8" ht="27" customHeight="1">
      <c r="B39" s="198" t="s">
        <v>429</v>
      </c>
      <c r="C39" s="199">
        <f>C37/C38</f>
        <v>0.1579615930658298</v>
      </c>
      <c r="D39" s="199">
        <f t="shared" ref="D39:G39" si="6">D37/D38</f>
        <v>0.19730503386162118</v>
      </c>
      <c r="E39" s="199">
        <f t="shared" si="6"/>
        <v>0.20461909686315063</v>
      </c>
      <c r="F39" s="199">
        <f t="shared" si="6"/>
        <v>0.1774917491749175</v>
      </c>
      <c r="G39" s="199">
        <f t="shared" si="6"/>
        <v>0.17654599841279531</v>
      </c>
    </row>
    <row r="41" spans="2:8">
      <c r="B41" s="205" t="s">
        <v>430</v>
      </c>
      <c r="C41" s="205"/>
      <c r="D41" s="205"/>
      <c r="E41" s="205"/>
      <c r="F41" s="205"/>
      <c r="G41" s="205"/>
      <c r="H41" s="205"/>
    </row>
    <row r="42" spans="2:8" ht="6.6" customHeight="1"/>
    <row r="43" spans="2:8">
      <c r="B43" t="s">
        <v>11</v>
      </c>
      <c r="C43" s="195">
        <f>C37</f>
        <v>2114</v>
      </c>
      <c r="D43" s="195">
        <f t="shared" ref="D43:G43" si="7">D37</f>
        <v>2826</v>
      </c>
      <c r="E43" s="195">
        <f t="shared" si="7"/>
        <v>2968</v>
      </c>
      <c r="F43" s="195">
        <f t="shared" si="7"/>
        <v>2689</v>
      </c>
      <c r="G43" s="195">
        <f t="shared" si="7"/>
        <v>2892</v>
      </c>
    </row>
    <row r="44" spans="2:8">
      <c r="B44" t="s">
        <v>110</v>
      </c>
      <c r="C44" s="195">
        <f>-'Income statement'!C16</f>
        <v>24</v>
      </c>
      <c r="D44" s="195">
        <f>-'Income statement'!D16</f>
        <v>9</v>
      </c>
      <c r="E44" s="195">
        <f>-'Income statement'!E16</f>
        <v>19</v>
      </c>
      <c r="F44" s="195">
        <f>-'Income statement'!F16</f>
        <v>41</v>
      </c>
      <c r="G44" s="195">
        <f>-'Income statement'!G16</f>
        <v>54</v>
      </c>
    </row>
    <row r="45" spans="2:8" ht="26.4" customHeight="1">
      <c r="B45" t="s">
        <v>431</v>
      </c>
      <c r="C45" s="200">
        <f>C43/C44</f>
        <v>88.083333333333329</v>
      </c>
      <c r="D45" s="200">
        <f t="shared" ref="D45:G45" si="8">D43/D44</f>
        <v>314</v>
      </c>
      <c r="E45" s="200">
        <f t="shared" si="8"/>
        <v>156.21052631578948</v>
      </c>
      <c r="F45" s="200">
        <f t="shared" si="8"/>
        <v>65.58536585365853</v>
      </c>
      <c r="G45" s="200">
        <f t="shared" si="8"/>
        <v>53.555555555555557</v>
      </c>
    </row>
    <row r="47" spans="2:8" ht="21">
      <c r="B47" s="212" t="s">
        <v>432</v>
      </c>
      <c r="C47" s="205"/>
      <c r="D47" s="205"/>
      <c r="E47" s="205"/>
      <c r="F47" s="205"/>
      <c r="G47" s="205"/>
      <c r="H47" s="205"/>
    </row>
    <row r="48" spans="2:8" ht="6" customHeight="1"/>
    <row r="49" spans="2:8">
      <c r="B49" s="139" t="s">
        <v>433</v>
      </c>
      <c r="C49" s="139"/>
      <c r="D49" s="139"/>
      <c r="E49" s="139"/>
      <c r="F49" s="139"/>
      <c r="G49" s="139"/>
      <c r="H49" s="139"/>
    </row>
    <row r="50" spans="2:8" ht="6" customHeight="1"/>
    <row r="51" spans="2:8">
      <c r="B51" t="s">
        <v>434</v>
      </c>
      <c r="C51" s="195">
        <f>'Income statement'!C23</f>
        <v>1392</v>
      </c>
      <c r="D51" s="195">
        <f>'Income statement'!D23</f>
        <v>2137</v>
      </c>
      <c r="E51" s="195">
        <f>'Income statement'!E23</f>
        <v>2290</v>
      </c>
      <c r="F51" s="195">
        <f>'Income statement'!F23</f>
        <v>2126</v>
      </c>
      <c r="G51" s="195">
        <f>'Income statement'!G23</f>
        <v>2240</v>
      </c>
    </row>
    <row r="52" spans="2:8">
      <c r="B52" t="s">
        <v>75</v>
      </c>
      <c r="C52" s="195">
        <f>C13</f>
        <v>16652</v>
      </c>
      <c r="D52" s="195">
        <f t="shared" ref="D52:G52" si="9">D13</f>
        <v>18507</v>
      </c>
      <c r="E52" s="195">
        <f t="shared" si="9"/>
        <v>19428</v>
      </c>
      <c r="F52" s="195">
        <f t="shared" si="9"/>
        <v>19353</v>
      </c>
      <c r="G52" s="195">
        <f t="shared" si="9"/>
        <v>19736</v>
      </c>
    </row>
    <row r="53" spans="2:8" ht="26.4" customHeight="1">
      <c r="B53" s="196" t="s">
        <v>435</v>
      </c>
      <c r="C53" s="206">
        <f>C51/C52</f>
        <v>8.3593562334854668E-2</v>
      </c>
      <c r="D53" s="206">
        <f t="shared" ref="D53:G53" si="10">D51/D52</f>
        <v>0.1154698222294267</v>
      </c>
      <c r="E53" s="206">
        <f t="shared" si="10"/>
        <v>0.11787111385628989</v>
      </c>
      <c r="F53" s="206">
        <f t="shared" si="10"/>
        <v>0.10985376944143027</v>
      </c>
      <c r="G53" s="206">
        <f t="shared" si="10"/>
        <v>0.11349817592217268</v>
      </c>
    </row>
    <row r="54" spans="2:8" ht="6" customHeight="1"/>
    <row r="55" spans="2:8">
      <c r="B55" s="139" t="s">
        <v>422</v>
      </c>
      <c r="C55" s="139"/>
      <c r="D55" s="139"/>
      <c r="E55" s="139"/>
      <c r="F55" s="139"/>
      <c r="G55" s="139"/>
      <c r="H55" s="139"/>
    </row>
    <row r="56" spans="2:8" ht="6.6" customHeight="1"/>
    <row r="57" spans="2:8">
      <c r="B57" t="s">
        <v>418</v>
      </c>
      <c r="C57" s="195">
        <f>C52</f>
        <v>16652</v>
      </c>
      <c r="D57" s="195">
        <f t="shared" ref="D57:G57" si="11">D52</f>
        <v>18507</v>
      </c>
      <c r="E57" s="195">
        <f t="shared" si="11"/>
        <v>19428</v>
      </c>
      <c r="F57" s="195">
        <f t="shared" si="11"/>
        <v>19353</v>
      </c>
      <c r="G57" s="195">
        <f t="shared" si="11"/>
        <v>19736</v>
      </c>
    </row>
    <row r="58" spans="2:8">
      <c r="B58" t="s">
        <v>423</v>
      </c>
      <c r="C58" s="194">
        <f>C26</f>
        <v>16923</v>
      </c>
      <c r="D58" s="194">
        <f t="shared" ref="D58:G58" si="12">D26</f>
        <v>17852</v>
      </c>
      <c r="E58" s="194">
        <f t="shared" si="12"/>
        <v>17852</v>
      </c>
      <c r="F58" s="194">
        <f t="shared" si="12"/>
        <v>18483</v>
      </c>
      <c r="G58" s="194">
        <f t="shared" si="12"/>
        <v>19966</v>
      </c>
    </row>
    <row r="59" spans="2:8" ht="24" customHeight="1">
      <c r="B59" s="196" t="s">
        <v>424</v>
      </c>
      <c r="C59" s="197">
        <f>C57/C58</f>
        <v>0.98398629084677658</v>
      </c>
      <c r="D59" s="197">
        <f t="shared" ref="D59:G59" si="13">D57/D58</f>
        <v>1.0366905668832624</v>
      </c>
      <c r="E59" s="197">
        <f t="shared" si="13"/>
        <v>1.0882814250504145</v>
      </c>
      <c r="F59" s="197">
        <f t="shared" si="13"/>
        <v>1.0470702807985717</v>
      </c>
      <c r="G59" s="197">
        <f t="shared" si="13"/>
        <v>0.98848041670840425</v>
      </c>
    </row>
    <row r="60" spans="2:8" ht="6" customHeight="1"/>
    <row r="61" spans="2:8">
      <c r="B61" s="139" t="s">
        <v>436</v>
      </c>
      <c r="C61" s="139"/>
      <c r="D61" s="139"/>
      <c r="E61" s="139"/>
      <c r="F61" s="139"/>
      <c r="G61" s="139"/>
      <c r="H61" s="139"/>
    </row>
    <row r="62" spans="2:8" ht="6" customHeight="1"/>
    <row r="63" spans="2:8">
      <c r="B63" t="s">
        <v>437</v>
      </c>
      <c r="C63" s="194">
        <f>C58</f>
        <v>16923</v>
      </c>
      <c r="D63" s="194">
        <f t="shared" ref="D63:G63" si="14">D58</f>
        <v>17852</v>
      </c>
      <c r="E63" s="194">
        <f t="shared" si="14"/>
        <v>17852</v>
      </c>
      <c r="F63" s="194">
        <f t="shared" si="14"/>
        <v>18483</v>
      </c>
      <c r="G63" s="194">
        <f t="shared" si="14"/>
        <v>19966</v>
      </c>
    </row>
    <row r="64" spans="2:8">
      <c r="B64" t="s">
        <v>141</v>
      </c>
      <c r="C64" s="194">
        <f>'Balance Sheet'!C45</f>
        <v>10836</v>
      </c>
      <c r="D64" s="194">
        <f>'Balance Sheet'!D45</f>
        <v>11991</v>
      </c>
      <c r="E64" s="194">
        <f>'Balance Sheet'!E45</f>
        <v>12309</v>
      </c>
      <c r="F64" s="194">
        <f>'Balance Sheet'!F45</f>
        <v>13227</v>
      </c>
      <c r="G64" s="194">
        <f>'Balance Sheet'!G45</f>
        <v>14408</v>
      </c>
    </row>
    <row r="65" spans="2:8" ht="26.4" customHeight="1">
      <c r="B65" s="196" t="s">
        <v>438</v>
      </c>
      <c r="C65" s="197">
        <f>C63/C64</f>
        <v>1.5617386489479512</v>
      </c>
      <c r="D65" s="197">
        <f t="shared" ref="D65:G65" si="15">D63/D64</f>
        <v>1.4887832541072472</v>
      </c>
      <c r="E65" s="197">
        <f t="shared" si="15"/>
        <v>1.4503209034040134</v>
      </c>
      <c r="F65" s="197">
        <f t="shared" si="15"/>
        <v>1.3973690179178953</v>
      </c>
      <c r="G65" s="197">
        <f t="shared" si="15"/>
        <v>1.3857579122709607</v>
      </c>
    </row>
    <row r="66" spans="2:8" ht="14.4" thickBot="1"/>
    <row r="67" spans="2:8" ht="27.6" customHeight="1" thickBot="1">
      <c r="B67" s="213" t="s">
        <v>439</v>
      </c>
      <c r="C67" s="214">
        <f>C53*C59*C65</f>
        <v>0.12846068660022147</v>
      </c>
      <c r="D67" s="214">
        <f t="shared" ref="D67:G67" si="16">D53*D59*D65</f>
        <v>0.17821699608039365</v>
      </c>
      <c r="E67" s="214">
        <f t="shared" si="16"/>
        <v>0.18604273295962304</v>
      </c>
      <c r="F67" s="214">
        <f t="shared" si="16"/>
        <v>0.16073183639525213</v>
      </c>
      <c r="G67" s="214">
        <f t="shared" si="16"/>
        <v>0.15546918378678512</v>
      </c>
      <c r="H67" s="215"/>
    </row>
    <row r="68" spans="2:8" ht="14.4" thickTop="1"/>
  </sheetData>
  <mergeCells count="1">
    <mergeCell ref="C2:G2"/>
  </mergeCells>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markers="1" high="1" low="1" first="1" last="1" negative="1" xr2:uid="{B535FBBC-1455-4F53-8885-65E3FA90DDF2}">
          <x14:colorSeries rgb="FF002060"/>
          <x14:colorNegative rgb="FFD00000"/>
          <x14:colorAxis rgb="FF000000"/>
          <x14:colorMarkers theme="1"/>
          <x14:colorFirst rgb="FFD00000"/>
          <x14:colorLast rgb="FFD00000"/>
          <x14:colorHigh rgb="FFD00000"/>
          <x14:colorLow rgb="FFD00000"/>
          <x14:sparklines>
            <x14:sparkline>
              <xm:f>'Ratio Analysis'!C67:G67</xm:f>
              <xm:sqref>H67</xm:sqref>
            </x14:sparkline>
          </x14:sparklines>
        </x14:sparklineGroup>
        <x14:sparklineGroup displayEmptyCellsAs="gap" markers="1" high="1" low="1" first="1" last="1" negative="1" xr2:uid="{E871036D-80C6-43F9-9DAF-BA95FDFA5F45}">
          <x14:colorSeries rgb="FF002060"/>
          <x14:colorNegative rgb="FFD00000"/>
          <x14:colorAxis rgb="FF000000"/>
          <x14:colorMarkers theme="1"/>
          <x14:colorFirst rgb="FFD00000"/>
          <x14:colorLast rgb="FFD00000"/>
          <x14:colorHigh rgb="FFD00000"/>
          <x14:colorLow rgb="FFD00000"/>
          <x14:sparklines>
            <x14:sparkline>
              <xm:f>'Ratio Analysis'!C65:G65</xm:f>
              <xm:sqref>H65</xm:sqref>
            </x14:sparkline>
          </x14:sparklines>
        </x14:sparklineGroup>
        <x14:sparklineGroup displayEmptyCellsAs="gap" markers="1" high="1" low="1" first="1" last="1" negative="1" xr2:uid="{ACBB1FC9-C88A-4EED-9231-413566C0C21E}">
          <x14:colorSeries rgb="FF002060"/>
          <x14:colorNegative rgb="FFD00000"/>
          <x14:colorAxis rgb="FF000000"/>
          <x14:colorMarkers theme="1"/>
          <x14:colorFirst rgb="FFD00000"/>
          <x14:colorLast rgb="FFD00000"/>
          <x14:colorHigh rgb="FFD00000"/>
          <x14:colorLow rgb="FFD00000"/>
          <x14:sparklines>
            <x14:sparkline>
              <xm:f>'Ratio Analysis'!C59:G59</xm:f>
              <xm:sqref>H59</xm:sqref>
            </x14:sparkline>
          </x14:sparklines>
        </x14:sparklineGroup>
        <x14:sparklineGroup displayEmptyCellsAs="gap" markers="1" high="1" low="1" first="1" last="1" negative="1" xr2:uid="{9E2E528C-457C-473C-B746-BFAD0776736D}">
          <x14:colorSeries rgb="FF002060"/>
          <x14:colorNegative rgb="FFD00000"/>
          <x14:colorAxis rgb="FF000000"/>
          <x14:colorMarkers theme="1"/>
          <x14:colorFirst rgb="FFD00000"/>
          <x14:colorLast rgb="FFD00000"/>
          <x14:colorHigh rgb="FFD00000"/>
          <x14:colorLow rgb="FFD00000"/>
          <x14:sparklines>
            <x14:sparkline>
              <xm:f>'Ratio Analysis'!C53:G53</xm:f>
              <xm:sqref>H53</xm:sqref>
            </x14:sparkline>
          </x14:sparklines>
        </x14:sparklineGroup>
        <x14:sparklineGroup displayEmptyCellsAs="gap" markers="1" high="1" low="1" first="1" last="1" negative="1" xr2:uid="{1C5FD4E8-079A-4304-80D9-B924EA2EC78C}">
          <x14:colorSeries rgb="FF002060"/>
          <x14:colorNegative rgb="FFD00000"/>
          <x14:colorAxis rgb="FF000000"/>
          <x14:colorMarkers theme="1"/>
          <x14:colorFirst rgb="FFD00000"/>
          <x14:colorLast rgb="FFD00000"/>
          <x14:colorHigh rgb="FFD00000"/>
          <x14:colorLow rgb="FFD00000"/>
          <x14:sparklines>
            <x14:sparkline>
              <xm:f>'Ratio Analysis'!C45:G45</xm:f>
              <xm:sqref>H45</xm:sqref>
            </x14:sparkline>
          </x14:sparklines>
        </x14:sparklineGroup>
        <x14:sparklineGroup displayEmptyCellsAs="gap" markers="1" high="1" low="1" first="1" last="1" negative="1" xr2:uid="{54CF3503-1081-4368-8B1A-07E18F2468B5}">
          <x14:colorSeries rgb="FF002060"/>
          <x14:colorNegative rgb="FFD00000"/>
          <x14:colorAxis rgb="FF000000"/>
          <x14:colorMarkers theme="1"/>
          <x14:colorFirst rgb="FFD00000"/>
          <x14:colorLast rgb="FFD00000"/>
          <x14:colorHigh rgb="FFD00000"/>
          <x14:colorLow rgb="FFD00000"/>
          <x14:sparklines>
            <x14:sparkline>
              <xm:f>'Ratio Analysis'!C39:G39</xm:f>
              <xm:sqref>H39</xm:sqref>
            </x14:sparkline>
          </x14:sparklines>
        </x14:sparklineGroup>
        <x14:sparklineGroup displayEmptyCellsAs="gap" markers="1" high="1" low="1" first="1" last="1" negative="1" xr2:uid="{8E5467B2-045B-4805-B5D4-B337CBF61073}">
          <x14:colorSeries rgb="FF002060"/>
          <x14:colorNegative rgb="FFD00000"/>
          <x14:colorAxis rgb="FF000000"/>
          <x14:colorMarkers theme="1"/>
          <x14:colorFirst rgb="FFD00000"/>
          <x14:colorLast rgb="FFD00000"/>
          <x14:colorHigh rgb="FFD00000"/>
          <x14:colorLow rgb="FFD00000"/>
          <x14:sparklines>
            <x14:sparkline>
              <xm:f>'Ratio Analysis'!C33:G33</xm:f>
              <xm:sqref>H33</xm:sqref>
            </x14:sparkline>
          </x14:sparklines>
        </x14:sparklineGroup>
        <x14:sparklineGroup displayEmptyCellsAs="gap" markers="1" high="1" low="1" first="1" last="1" negative="1" xr2:uid="{FE6865B4-9650-4BF3-A09D-F74F28B12784}">
          <x14:colorSeries rgb="FF002060"/>
          <x14:colorNegative rgb="FFD00000"/>
          <x14:colorAxis rgb="FF000000"/>
          <x14:colorMarkers theme="1"/>
          <x14:colorFirst rgb="FFD00000"/>
          <x14:colorLast rgb="FFD00000"/>
          <x14:colorHigh rgb="FFD00000"/>
          <x14:colorLow rgb="FFD00000"/>
          <x14:sparklines>
            <x14:sparkline>
              <xm:f>'Ratio Analysis'!C27:G27</xm:f>
              <xm:sqref>H27</xm:sqref>
            </x14:sparkline>
          </x14:sparklines>
        </x14:sparklineGroup>
        <x14:sparklineGroup displayEmptyCellsAs="gap" markers="1" high="1" low="1" first="1" last="1" negative="1" xr2:uid="{476D464E-D324-4BD9-8BA5-A0D388A1F1BC}">
          <x14:colorSeries rgb="FF002060"/>
          <x14:colorNegative rgb="FFD00000"/>
          <x14:colorAxis rgb="FF000000"/>
          <x14:colorMarkers theme="1"/>
          <x14:colorFirst rgb="FFD00000"/>
          <x14:colorLast rgb="FFD00000"/>
          <x14:colorHigh rgb="FFD00000"/>
          <x14:colorLow rgb="FFD00000"/>
          <x14:sparklines>
            <x14:sparkline>
              <xm:f>'Ratio Analysis'!C21:G21</xm:f>
              <xm:sqref>H21</xm:sqref>
            </x14:sparkline>
          </x14:sparklines>
        </x14:sparklineGroup>
        <x14:sparklineGroup displayEmptyCellsAs="gap" markers="1" high="1" low="1" first="1" last="1" negative="1" xr2:uid="{E1858046-9DFC-4AC9-999D-91465335E7E6}">
          <x14:colorSeries rgb="FF002060"/>
          <x14:colorNegative rgb="FFD00000"/>
          <x14:colorAxis rgb="FF000000"/>
          <x14:colorMarkers theme="1"/>
          <x14:colorFirst rgb="FFD00000"/>
          <x14:colorLast rgb="FFD00000"/>
          <x14:colorHigh rgb="FFD00000"/>
          <x14:colorLow rgb="FFD00000"/>
          <x14:sparklines>
            <x14:sparkline>
              <xm:f>'Ratio Analysis'!C15:G15</xm:f>
              <xm:sqref>H15</xm:sqref>
            </x14:sparkline>
          </x14:sparklines>
        </x14:sparklineGroup>
        <x14:sparklineGroup displayEmptyCellsAs="gap" markers="1" high="1" low="1" first="1" last="1" negative="1" xr2:uid="{928245B9-60AF-4F2A-B0AA-95989FF62940}">
          <x14:colorSeries rgb="FF0070C0"/>
          <x14:colorNegative rgb="FF000000"/>
          <x14:colorAxis rgb="FF000000"/>
          <x14:colorMarkers rgb="FF000000"/>
          <x14:colorFirst rgb="FF000000"/>
          <x14:colorLast rgb="FF000000"/>
          <x14:colorHigh rgb="FF000000"/>
          <x14:colorLow rgb="FF000000"/>
          <x14:sparklines>
            <x14:sparkline>
              <xm:f>'Ratio Analysis'!C9:G9</xm:f>
              <xm:sqref>H9</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82F3F-4C8D-4272-9AC9-68E0E0ECBFA1}">
  <sheetPr>
    <tabColor theme="9" tint="0.79998168889431442"/>
  </sheetPr>
  <dimension ref="A1"/>
  <sheetViews>
    <sheetView workbookViewId="0">
      <selection activeCell="N28" sqref="N28"/>
    </sheetView>
  </sheetViews>
  <sheetFormatPr defaultRowHeight="13.8"/>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9EF2C-091E-40B1-A8F9-79672AB8AF9A}">
  <dimension ref="A1:M19"/>
  <sheetViews>
    <sheetView showGridLines="0" zoomScale="130" zoomScaleNormal="130" workbookViewId="0">
      <selection activeCell="E6" sqref="E6"/>
    </sheetView>
  </sheetViews>
  <sheetFormatPr defaultRowHeight="13.8"/>
  <cols>
    <col min="2" max="2" width="19.59765625" bestFit="1" customWidth="1"/>
  </cols>
  <sheetData>
    <row r="1" spans="1:13">
      <c r="B1" s="139" t="s">
        <v>380</v>
      </c>
      <c r="C1" s="139"/>
      <c r="D1" s="139"/>
      <c r="E1" s="139"/>
      <c r="F1" s="139"/>
      <c r="G1" s="139"/>
      <c r="H1" s="139"/>
      <c r="I1" s="139"/>
      <c r="J1" s="139"/>
    </row>
    <row r="2" spans="1:13" ht="14.4" thickBot="1">
      <c r="A2" t="s">
        <v>407</v>
      </c>
    </row>
    <row r="3" spans="1:13">
      <c r="E3" s="191" t="s">
        <v>381</v>
      </c>
      <c r="F3" s="191"/>
      <c r="H3" s="191" t="s">
        <v>382</v>
      </c>
      <c r="I3" s="191"/>
      <c r="K3" s="140" t="s">
        <v>383</v>
      </c>
      <c r="L3" s="192" t="s">
        <v>384</v>
      </c>
      <c r="M3" s="193"/>
    </row>
    <row r="4" spans="1:13">
      <c r="D4" t="s">
        <v>385</v>
      </c>
      <c r="E4" s="141" t="s">
        <v>386</v>
      </c>
      <c r="F4" s="141" t="s">
        <v>387</v>
      </c>
      <c r="H4" s="141" t="s">
        <v>386</v>
      </c>
      <c r="I4" s="141" t="s">
        <v>387</v>
      </c>
      <c r="K4" s="67"/>
      <c r="L4" s="141" t="s">
        <v>388</v>
      </c>
      <c r="M4" s="142" t="s">
        <v>389</v>
      </c>
    </row>
    <row r="5" spans="1:13">
      <c r="A5" t="s">
        <v>390</v>
      </c>
      <c r="K5" s="67" t="s">
        <v>390</v>
      </c>
      <c r="L5" t="s">
        <v>391</v>
      </c>
      <c r="M5" s="65" t="s">
        <v>391</v>
      </c>
    </row>
    <row r="6" spans="1:13">
      <c r="B6" t="s">
        <v>392</v>
      </c>
      <c r="E6" s="58">
        <v>2.3E-2</v>
      </c>
      <c r="F6" s="58">
        <v>2.9000000000000001E-2</v>
      </c>
      <c r="H6" s="59">
        <f>'DCF Valuation'!G59</f>
        <v>69.778809132875125</v>
      </c>
      <c r="I6" s="59">
        <f>'DCF Valuation'!E61</f>
        <v>83.26680416313836</v>
      </c>
      <c r="K6" s="67"/>
      <c r="M6" s="65"/>
    </row>
    <row r="7" spans="1:13">
      <c r="B7" t="s">
        <v>367</v>
      </c>
      <c r="E7">
        <v>21.8</v>
      </c>
      <c r="F7">
        <v>27.8</v>
      </c>
      <c r="H7" s="59">
        <f>'DCF Valuation'!M42</f>
        <v>112.51355095159219</v>
      </c>
      <c r="I7" s="59">
        <f>'DCF Valuation'!O40</f>
        <v>139.57717871580937</v>
      </c>
      <c r="K7" s="67"/>
      <c r="M7" s="65"/>
    </row>
    <row r="8" spans="1:13">
      <c r="K8" s="67"/>
      <c r="M8" s="65"/>
    </row>
    <row r="9" spans="1:13">
      <c r="A9" t="s">
        <v>393</v>
      </c>
      <c r="B9" t="s">
        <v>394</v>
      </c>
      <c r="K9" s="67" t="s">
        <v>393</v>
      </c>
      <c r="L9" t="s">
        <v>391</v>
      </c>
      <c r="M9" s="65" t="s">
        <v>391</v>
      </c>
    </row>
    <row r="10" spans="1:13">
      <c r="A10" t="s">
        <v>395</v>
      </c>
      <c r="B10" t="s">
        <v>396</v>
      </c>
      <c r="D10">
        <v>4012</v>
      </c>
      <c r="E10" s="143">
        <v>22.5</v>
      </c>
      <c r="F10" s="143">
        <v>27.5</v>
      </c>
      <c r="H10">
        <v>183.6</v>
      </c>
      <c r="I10">
        <v>223.9</v>
      </c>
      <c r="K10" s="67"/>
      <c r="M10" s="65"/>
    </row>
    <row r="11" spans="1:13">
      <c r="A11" t="s">
        <v>397</v>
      </c>
      <c r="B11" t="s">
        <v>396</v>
      </c>
      <c r="D11">
        <v>4406</v>
      </c>
      <c r="E11">
        <v>20.3</v>
      </c>
      <c r="F11">
        <v>24.8</v>
      </c>
      <c r="H11">
        <v>182</v>
      </c>
      <c r="I11">
        <v>222</v>
      </c>
      <c r="K11" s="67"/>
      <c r="M11" s="65"/>
    </row>
    <row r="12" spans="1:13">
      <c r="K12" s="67"/>
      <c r="M12" s="65"/>
    </row>
    <row r="13" spans="1:13">
      <c r="A13" t="s">
        <v>393</v>
      </c>
      <c r="B13" t="s">
        <v>394</v>
      </c>
      <c r="K13" s="67" t="s">
        <v>398</v>
      </c>
      <c r="M13" s="65"/>
    </row>
    <row r="14" spans="1:13">
      <c r="A14" t="s">
        <v>395</v>
      </c>
      <c r="B14" t="s">
        <v>368</v>
      </c>
      <c r="D14">
        <v>3464</v>
      </c>
      <c r="E14">
        <v>27.3</v>
      </c>
      <c r="F14">
        <v>33.4</v>
      </c>
      <c r="H14">
        <v>192.7</v>
      </c>
      <c r="I14">
        <v>235</v>
      </c>
      <c r="K14" s="67" t="s">
        <v>399</v>
      </c>
      <c r="L14" t="s">
        <v>391</v>
      </c>
      <c r="M14" s="65" t="s">
        <v>391</v>
      </c>
    </row>
    <row r="15" spans="1:13">
      <c r="A15" t="s">
        <v>397</v>
      </c>
      <c r="B15" t="s">
        <v>368</v>
      </c>
      <c r="D15">
        <v>3757</v>
      </c>
      <c r="E15" s="103">
        <v>0.24</v>
      </c>
      <c r="F15" s="103">
        <v>0.29299999999999998</v>
      </c>
      <c r="H15" s="144">
        <v>183.6</v>
      </c>
      <c r="I15" s="144">
        <v>223.9</v>
      </c>
      <c r="K15" s="67" t="s">
        <v>400</v>
      </c>
      <c r="L15" t="s">
        <v>391</v>
      </c>
      <c r="M15" s="65" t="s">
        <v>401</v>
      </c>
    </row>
    <row r="16" spans="1:13">
      <c r="K16" s="67"/>
      <c r="M16" s="65"/>
    </row>
    <row r="17" spans="1:13">
      <c r="A17" t="s">
        <v>402</v>
      </c>
      <c r="E17">
        <v>80</v>
      </c>
      <c r="F17">
        <v>103</v>
      </c>
      <c r="H17">
        <v>58</v>
      </c>
      <c r="I17">
        <v>76</v>
      </c>
      <c r="K17" s="67" t="s">
        <v>402</v>
      </c>
      <c r="L17" t="s">
        <v>391</v>
      </c>
      <c r="M17" s="65" t="s">
        <v>401</v>
      </c>
    </row>
    <row r="18" spans="1:13">
      <c r="K18" s="67"/>
      <c r="M18" s="65"/>
    </row>
    <row r="19" spans="1:13" ht="14.4" thickBot="1">
      <c r="A19" t="s">
        <v>403</v>
      </c>
      <c r="E19">
        <v>63.79</v>
      </c>
      <c r="F19">
        <v>90.82</v>
      </c>
      <c r="H19">
        <v>54.01</v>
      </c>
      <c r="I19">
        <v>65.47</v>
      </c>
      <c r="K19" s="145" t="s">
        <v>403</v>
      </c>
      <c r="L19" s="146" t="s">
        <v>391</v>
      </c>
      <c r="M19" s="147" t="s">
        <v>401</v>
      </c>
    </row>
  </sheetData>
  <mergeCells count="3">
    <mergeCell ref="E3:F3"/>
    <mergeCell ref="H3:I3"/>
    <mergeCell ref="L3:M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D64A6-F2BB-4903-9803-0EDDAB503782}">
  <dimension ref="C2:F10"/>
  <sheetViews>
    <sheetView showGridLines="0" zoomScaleNormal="100" workbookViewId="0">
      <selection activeCell="I21" sqref="I21"/>
    </sheetView>
  </sheetViews>
  <sheetFormatPr defaultRowHeight="13.8"/>
  <cols>
    <col min="3" max="3" width="19.59765625" bestFit="1" customWidth="1"/>
    <col min="4" max="4" width="6.3984375" bestFit="1" customWidth="1"/>
    <col min="5" max="5" width="9.69921875" customWidth="1"/>
    <col min="6" max="6" width="6.3984375" bestFit="1" customWidth="1"/>
  </cols>
  <sheetData>
    <row r="2" spans="3:6">
      <c r="C2" s="148" t="s">
        <v>383</v>
      </c>
      <c r="D2" s="148" t="s">
        <v>386</v>
      </c>
      <c r="E2" s="148" t="s">
        <v>404</v>
      </c>
      <c r="F2" s="148" t="s">
        <v>387</v>
      </c>
    </row>
    <row r="3" spans="3:6">
      <c r="C3" t="str">
        <f>'[1]Input Sheet'!B6</f>
        <v>Perpetual Growth</v>
      </c>
      <c r="D3" s="59">
        <f>'Input Sheet'!H6</f>
        <v>69.778809132875125</v>
      </c>
      <c r="E3" s="144">
        <f>F3-D3</f>
        <v>13.487995030263235</v>
      </c>
      <c r="F3" s="59">
        <f>'Input Sheet'!I6</f>
        <v>83.26680416313836</v>
      </c>
    </row>
    <row r="4" spans="3:6">
      <c r="C4" t="s">
        <v>367</v>
      </c>
      <c r="D4" s="59">
        <f>'Input Sheet'!H7</f>
        <v>112.51355095159219</v>
      </c>
      <c r="E4" s="144">
        <f t="shared" ref="E4:E8" si="0">F4-D4</f>
        <v>27.063627764217173</v>
      </c>
      <c r="F4" s="59">
        <f>'Input Sheet'!I7</f>
        <v>139.57717871580937</v>
      </c>
    </row>
    <row r="5" spans="3:6">
      <c r="C5" t="s">
        <v>410</v>
      </c>
      <c r="D5">
        <f>'Input Sheet'!H11</f>
        <v>182</v>
      </c>
      <c r="E5" s="144">
        <f t="shared" si="0"/>
        <v>40</v>
      </c>
      <c r="F5">
        <f>'Input Sheet'!I11</f>
        <v>222</v>
      </c>
    </row>
    <row r="6" spans="3:6">
      <c r="C6" t="s">
        <v>411</v>
      </c>
      <c r="D6" s="123">
        <f>'Input Sheet'!H15</f>
        <v>183.6</v>
      </c>
      <c r="E6" s="149">
        <f t="shared" si="0"/>
        <v>40.300000000000011</v>
      </c>
      <c r="F6" s="123">
        <f>'Input Sheet'!I15</f>
        <v>223.9</v>
      </c>
    </row>
    <row r="7" spans="3:6">
      <c r="C7" t="str">
        <f>'[1]Input Sheet'!A17</f>
        <v>Market Consensus</v>
      </c>
      <c r="D7">
        <f>'Input Sheet'!E17</f>
        <v>80</v>
      </c>
      <c r="E7" s="144">
        <f t="shared" si="0"/>
        <v>23</v>
      </c>
      <c r="F7">
        <f>'Input Sheet'!F17</f>
        <v>103</v>
      </c>
    </row>
    <row r="8" spans="3:6">
      <c r="C8" t="str">
        <f>'[1]Input Sheet'!A19</f>
        <v>52 week range</v>
      </c>
      <c r="D8" s="123">
        <f>'Input Sheet'!E19</f>
        <v>63.79</v>
      </c>
      <c r="E8" s="144">
        <f t="shared" si="0"/>
        <v>27.029999999999994</v>
      </c>
      <c r="F8" s="123">
        <f>'Input Sheet'!F19</f>
        <v>90.82</v>
      </c>
    </row>
    <row r="9" spans="3:6">
      <c r="C9" s="139" t="s">
        <v>405</v>
      </c>
      <c r="D9" s="150">
        <v>87.87</v>
      </c>
      <c r="E9" s="151"/>
      <c r="F9" s="150">
        <v>87.87</v>
      </c>
    </row>
    <row r="10" spans="3:6">
      <c r="C10" s="139" t="s">
        <v>406</v>
      </c>
      <c r="D10" s="150">
        <f>D8</f>
        <v>63.79</v>
      </c>
      <c r="E10" s="139"/>
      <c r="F10" s="150">
        <f>F6</f>
        <v>223.9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Cognizant&gt;&gt;</vt:lpstr>
      <vt:lpstr>Revenue Segments</vt:lpstr>
      <vt:lpstr>Income statement</vt:lpstr>
      <vt:lpstr>Balance Sheet</vt:lpstr>
      <vt:lpstr>Cash Flow Statement</vt:lpstr>
      <vt:lpstr>Extra Calculations</vt:lpstr>
      <vt:lpstr>Fixed Assets Schedule</vt:lpstr>
      <vt:lpstr>Debt schedule</vt:lpstr>
      <vt:lpstr>WACC Calculation</vt:lpstr>
      <vt:lpstr>Regression Beta</vt:lpstr>
      <vt:lpstr>Bottom up Beta</vt:lpstr>
      <vt:lpstr>DCF Valuation</vt:lpstr>
      <vt:lpstr>Gdp Forecast</vt:lpstr>
      <vt:lpstr>Ratio Analysis</vt:lpstr>
      <vt:lpstr>Football Field Analysis&gt;&gt;</vt:lpstr>
      <vt:lpstr>Input Sheet</vt:lpstr>
      <vt:lpstr>Output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2025-02-20T19:12:24Z</dcterms:created>
  <dcterms:modified xsi:type="dcterms:W3CDTF">2025-04-09T11:28:28Z</dcterms:modified>
</cp:coreProperties>
</file>