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8937be64308e2/Desktop/"/>
    </mc:Choice>
  </mc:AlternateContent>
  <xr:revisionPtr revIDLastSave="95" documentId="8_{DBF43E41-0E7C-4A66-86CC-B25574169B1D}" xr6:coauthVersionLast="47" xr6:coauthVersionMax="47" xr10:uidLastSave="{69260020-F8AF-416A-BEF3-E984D6025CCD}"/>
  <bookViews>
    <workbookView xWindow="-108" yWindow="-108" windowWidth="23256" windowHeight="12456" xr2:uid="{F98947C4-05AA-4944-A7AC-FB16C3A574B7}"/>
  </bookViews>
  <sheets>
    <sheet name="DCF" sheetId="1" r:id="rId1"/>
    <sheet name="WACC" sheetId="4" r:id="rId2"/>
    <sheet name="Income Statement" sheetId="2" r:id="rId3"/>
    <sheet name="Cash Flow" sheetId="3" r:id="rId4"/>
    <sheet name="Balance 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4" i="1" l="1"/>
  <c r="D18" i="1"/>
  <c r="I19" i="1"/>
  <c r="G34" i="1"/>
  <c r="G33" i="1"/>
  <c r="G32" i="1"/>
  <c r="G30" i="1"/>
  <c r="P11" i="4"/>
  <c r="P10" i="4"/>
  <c r="P9" i="4"/>
  <c r="N10" i="4"/>
  <c r="N9" i="4"/>
  <c r="K10" i="4"/>
  <c r="E8" i="4"/>
  <c r="E16" i="4"/>
  <c r="I16" i="1"/>
  <c r="J16" i="1"/>
  <c r="K16" i="1"/>
  <c r="L16" i="1"/>
  <c r="H16" i="1"/>
  <c r="J18" i="3"/>
  <c r="K18" i="3"/>
  <c r="L18" i="3"/>
  <c r="M18" i="3"/>
  <c r="I18" i="3"/>
  <c r="I15" i="1"/>
  <c r="J15" i="1"/>
  <c r="K15" i="1"/>
  <c r="L15" i="1"/>
  <c r="H15" i="1"/>
  <c r="I14" i="3"/>
  <c r="J14" i="3"/>
  <c r="K14" i="3"/>
  <c r="L14" i="3"/>
  <c r="M14" i="3"/>
  <c r="G14" i="3"/>
  <c r="F14" i="3"/>
  <c r="H14" i="3"/>
  <c r="J6" i="3"/>
  <c r="K6" i="3" s="1"/>
  <c r="L6" i="3" s="1"/>
  <c r="M6" i="3" s="1"/>
  <c r="I6" i="3"/>
  <c r="I14" i="1"/>
  <c r="J14" i="1"/>
  <c r="K14" i="1"/>
  <c r="H14" i="1"/>
  <c r="I11" i="1"/>
  <c r="J11" i="1"/>
  <c r="K11" i="1"/>
  <c r="K12" i="1" s="1"/>
  <c r="K13" i="1" s="1"/>
  <c r="K17" i="1" s="1"/>
  <c r="L11" i="1"/>
  <c r="L12" i="1" s="1"/>
  <c r="L13" i="1" s="1"/>
  <c r="H11" i="1"/>
  <c r="H12" i="1" s="1"/>
  <c r="H13" i="1" s="1"/>
  <c r="H17" i="1" s="1"/>
  <c r="I10" i="1"/>
  <c r="I12" i="1" s="1"/>
  <c r="I13" i="1" s="1"/>
  <c r="I17" i="1" s="1"/>
  <c r="J10" i="1"/>
  <c r="K10" i="1"/>
  <c r="L10" i="1"/>
  <c r="H10" i="1"/>
  <c r="K9" i="2"/>
  <c r="L9" i="2"/>
  <c r="M9" i="2"/>
  <c r="N9" i="2"/>
  <c r="J9" i="2"/>
  <c r="K8" i="2"/>
  <c r="L8" i="2" s="1"/>
  <c r="M8" i="2" s="1"/>
  <c r="N8" i="2" s="1"/>
  <c r="J8" i="2"/>
  <c r="J7" i="2"/>
  <c r="K7" i="2" s="1"/>
  <c r="L7" i="2" s="1"/>
  <c r="M7" i="2" s="1"/>
  <c r="N7" i="2" s="1"/>
  <c r="H9" i="2"/>
  <c r="I9" i="2"/>
  <c r="G9" i="2"/>
  <c r="L19" i="1" l="1"/>
  <c r="I20" i="1"/>
  <c r="J13" i="1"/>
  <c r="J17" i="1" s="1"/>
  <c r="J12" i="1"/>
  <c r="H19" i="1"/>
  <c r="H20" i="1" s="1"/>
  <c r="K19" i="1"/>
  <c r="K20" i="1" s="1"/>
  <c r="J19" i="1"/>
  <c r="L14" i="1"/>
  <c r="L17" i="1" s="1"/>
  <c r="L20" i="1" l="1"/>
  <c r="G27" i="1"/>
  <c r="G28" i="1" s="1"/>
  <c r="J20" i="1"/>
  <c r="H22" i="1" l="1"/>
  <c r="G29" i="1" s="1"/>
  <c r="G31" i="1" s="1"/>
  <c r="G35" i="1" s="1"/>
  <c r="G37" i="1" s="1"/>
  <c r="S24" i="1" s="1"/>
</calcChain>
</file>

<file path=xl/sharedStrings.xml><?xml version="1.0" encoding="utf-8"?>
<sst xmlns="http://schemas.openxmlformats.org/spreadsheetml/2006/main" count="91" uniqueCount="69">
  <si>
    <t>Inox Wind DCF</t>
  </si>
  <si>
    <t>Mid Year Discounting</t>
  </si>
  <si>
    <t>12 months</t>
  </si>
  <si>
    <t>Date of cash flows</t>
  </si>
  <si>
    <t>EBIT</t>
  </si>
  <si>
    <t>Tax rate</t>
  </si>
  <si>
    <t>Tax expense</t>
  </si>
  <si>
    <t>NOPAT</t>
  </si>
  <si>
    <t>Add:Depreciation and Amortisation</t>
  </si>
  <si>
    <t>Add/less:(increase)/Decrease in net working capital</t>
  </si>
  <si>
    <t>Less:Capital Expenditure</t>
  </si>
  <si>
    <t>Debt free cash flow(Free cash flow to firm)</t>
  </si>
  <si>
    <t>Discout rate(%)</t>
  </si>
  <si>
    <t>Discounting Factor</t>
  </si>
  <si>
    <t>Present value debt free cash flow</t>
  </si>
  <si>
    <t>Income Statement</t>
  </si>
  <si>
    <t>EBITDA-Normalised</t>
  </si>
  <si>
    <t>Less:D&amp;A Exp</t>
  </si>
  <si>
    <t>EBIT-Normalised</t>
  </si>
  <si>
    <t>Revenue Growth</t>
  </si>
  <si>
    <t>Amortization Growth</t>
  </si>
  <si>
    <t>Tax Rate-Normalised</t>
  </si>
  <si>
    <t>Cash Flow</t>
  </si>
  <si>
    <t>Amortization growth</t>
  </si>
  <si>
    <t>Change in current assets and current liabilities</t>
  </si>
  <si>
    <t>Accounts and notes recievable</t>
  </si>
  <si>
    <t>Inventories</t>
  </si>
  <si>
    <t>Prepaid expenses and other current assets</t>
  </si>
  <si>
    <t>Accounts payable and other current liabilities</t>
  </si>
  <si>
    <t>Net working capital</t>
  </si>
  <si>
    <t>Cash from Investing activities</t>
  </si>
  <si>
    <t>Capital expenditure</t>
  </si>
  <si>
    <t>Cost of debt</t>
  </si>
  <si>
    <t>debt borrowing rate(%)</t>
  </si>
  <si>
    <t>Expected income tax rate</t>
  </si>
  <si>
    <t>After-tax cost of debt</t>
  </si>
  <si>
    <t>Cost of equity</t>
  </si>
  <si>
    <t>Risk-free rate</t>
  </si>
  <si>
    <t>Beta</t>
  </si>
  <si>
    <t>Equity risk premium</t>
  </si>
  <si>
    <t>Cost of equity capital</t>
  </si>
  <si>
    <t>Weighted average cost of capital</t>
  </si>
  <si>
    <t>Debt(%)</t>
  </si>
  <si>
    <t>Equity(%)</t>
  </si>
  <si>
    <t>Cost of debt(%)</t>
  </si>
  <si>
    <t>Cost of equity(%)</t>
  </si>
  <si>
    <t>Value</t>
  </si>
  <si>
    <t>Terminal Value</t>
  </si>
  <si>
    <t>Long term growth rate</t>
  </si>
  <si>
    <t>Gordon growth</t>
  </si>
  <si>
    <t>Present Value of Terminal value</t>
  </si>
  <si>
    <t>Present Value for explicit period</t>
  </si>
  <si>
    <t>DCF Value of Firm</t>
  </si>
  <si>
    <t>Add:Non operating assets</t>
  </si>
  <si>
    <t>Balance Sheet</t>
  </si>
  <si>
    <t>Non operating assets(investments)</t>
  </si>
  <si>
    <t>Total Value of firm</t>
  </si>
  <si>
    <t>Liabilities</t>
  </si>
  <si>
    <t>Short term debt obligations</t>
  </si>
  <si>
    <t>Long term borrowings</t>
  </si>
  <si>
    <t>Less: Gross debt &amp; Debt equivalents</t>
  </si>
  <si>
    <t>Add: Cash</t>
  </si>
  <si>
    <t>Cash</t>
  </si>
  <si>
    <t>Less:Non controlling interest</t>
  </si>
  <si>
    <t>DCF value of Common equity</t>
  </si>
  <si>
    <t>Number of shares -diluted</t>
  </si>
  <si>
    <t>DCF Value per share</t>
  </si>
  <si>
    <t>WACC</t>
  </si>
  <si>
    <t>LTGR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</si>
</sst>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3" formatCode="0.000%"/>
    <numFmt numFmtId="174" formatCode="0.00000%"/>
    <numFmt numFmtId="175" formatCode="0.00000000%"/>
    <numFmt numFmtId="176" formatCode="0.0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0" fontId="2" fillId="0" borderId="0" xfId="0" applyFont="1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E095-967D-49E5-B3BB-32FED0B2B87C}">
  <dimension ref="C1:AB53"/>
  <sheetViews>
    <sheetView tabSelected="1" zoomScale="43" zoomScaleNormal="55" workbookViewId="0">
      <selection activeCell="R29" sqref="R29"/>
    </sheetView>
  </sheetViews>
  <sheetFormatPr defaultRowHeight="14.4" x14ac:dyDescent="0.3"/>
  <cols>
    <col min="4" max="4" width="9" bestFit="1" customWidth="1"/>
    <col min="5" max="5" width="48" customWidth="1"/>
    <col min="7" max="7" width="18.21875" customWidth="1"/>
    <col min="8" max="8" width="11" customWidth="1"/>
    <col min="9" max="9" width="10.21875" customWidth="1"/>
    <col min="10" max="10" width="11.109375" customWidth="1"/>
    <col min="11" max="11" width="9.77734375" customWidth="1"/>
    <col min="12" max="12" width="10.109375" customWidth="1"/>
    <col min="17" max="17" width="9" bestFit="1" customWidth="1"/>
    <col min="18" max="18" width="11.5546875" bestFit="1" customWidth="1"/>
    <col min="19" max="26" width="9" bestFit="1" customWidth="1"/>
  </cols>
  <sheetData>
    <row r="1" spans="3:13" x14ac:dyDescent="0.3">
      <c r="I1" s="1" t="s">
        <v>0</v>
      </c>
      <c r="J1" s="1"/>
      <c r="K1" s="1"/>
      <c r="L1" s="1"/>
      <c r="M1" s="1"/>
    </row>
    <row r="3" spans="3:13" x14ac:dyDescent="0.3">
      <c r="C3" s="1" t="s">
        <v>1</v>
      </c>
      <c r="D3" s="1"/>
      <c r="E3" s="1"/>
      <c r="F3" s="1"/>
    </row>
    <row r="6" spans="3:13" x14ac:dyDescent="0.3">
      <c r="H6">
        <v>0.5</v>
      </c>
      <c r="I6">
        <v>1.5</v>
      </c>
      <c r="J6">
        <v>2.5</v>
      </c>
      <c r="K6">
        <v>3.5</v>
      </c>
      <c r="L6">
        <v>4.5</v>
      </c>
    </row>
    <row r="7" spans="3:13" x14ac:dyDescent="0.3"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3:13" x14ac:dyDescent="0.3">
      <c r="D8" s="1" t="s">
        <v>3</v>
      </c>
      <c r="E8" s="1"/>
      <c r="F8" s="1"/>
      <c r="H8" s="2">
        <v>45688</v>
      </c>
      <c r="I8" s="2">
        <v>46053</v>
      </c>
      <c r="J8" s="2">
        <v>46418</v>
      </c>
      <c r="K8" s="2">
        <v>46783</v>
      </c>
      <c r="L8" s="2">
        <v>47149</v>
      </c>
    </row>
    <row r="10" spans="3:13" x14ac:dyDescent="0.3">
      <c r="E10" t="s">
        <v>4</v>
      </c>
      <c r="H10">
        <f>'Income Statement'!J9</f>
        <v>357.30500000000001</v>
      </c>
      <c r="I10" s="8">
        <f>'Income Statement'!K9</f>
        <v>453.68830000000003</v>
      </c>
      <c r="J10" s="8">
        <f>'Income Statement'!L9</f>
        <v>549.60113000000001</v>
      </c>
      <c r="K10" s="8">
        <f>'Income Statement'!M9</f>
        <v>634.88764300000003</v>
      </c>
      <c r="L10" s="8">
        <f>'Income Statement'!N9</f>
        <v>733.25176729999987</v>
      </c>
    </row>
    <row r="11" spans="3:13" x14ac:dyDescent="0.3">
      <c r="E11" t="s">
        <v>5</v>
      </c>
      <c r="H11" s="12">
        <f>'Income Statement'!J27</f>
        <v>0</v>
      </c>
      <c r="I11" s="12">
        <f>'Income Statement'!K27</f>
        <v>0</v>
      </c>
      <c r="J11" s="12">
        <f>'Income Statement'!L27</f>
        <v>0.22</v>
      </c>
      <c r="K11" s="12">
        <f>'Income Statement'!M27</f>
        <v>0.24</v>
      </c>
      <c r="L11" s="12">
        <f>'Income Statement'!N27</f>
        <v>0.27</v>
      </c>
    </row>
    <row r="12" spans="3:13" x14ac:dyDescent="0.3">
      <c r="E12" t="s">
        <v>6</v>
      </c>
      <c r="H12">
        <f>-H10*H11</f>
        <v>0</v>
      </c>
      <c r="I12" s="8">
        <f t="shared" ref="I12:L12" si="0">-I10*I11</f>
        <v>0</v>
      </c>
      <c r="J12" s="8">
        <f t="shared" si="0"/>
        <v>-120.9122486</v>
      </c>
      <c r="K12" s="8">
        <f t="shared" si="0"/>
        <v>-152.37303431999999</v>
      </c>
      <c r="L12" s="8">
        <f t="shared" si="0"/>
        <v>-197.97797717099996</v>
      </c>
    </row>
    <row r="13" spans="3:13" x14ac:dyDescent="0.3">
      <c r="E13" t="s">
        <v>7</v>
      </c>
      <c r="H13">
        <f>H10+H12</f>
        <v>357.30500000000001</v>
      </c>
      <c r="I13" s="8">
        <f t="shared" ref="I13:L13" si="1">I10+I12</f>
        <v>453.68830000000003</v>
      </c>
      <c r="J13" s="8">
        <f t="shared" si="1"/>
        <v>428.68888140000001</v>
      </c>
      <c r="K13" s="8">
        <f t="shared" si="1"/>
        <v>482.51460868000004</v>
      </c>
      <c r="L13" s="8">
        <f t="shared" si="1"/>
        <v>535.27379012899996</v>
      </c>
    </row>
    <row r="14" spans="3:13" x14ac:dyDescent="0.3">
      <c r="E14" t="s">
        <v>8</v>
      </c>
      <c r="H14">
        <f>'Cash Flow'!F6</f>
        <v>38.47</v>
      </c>
      <c r="I14" s="8">
        <f>'Cash Flow'!G6</f>
        <v>40.43</v>
      </c>
      <c r="J14" s="8">
        <f>'Cash Flow'!H6</f>
        <v>42.77</v>
      </c>
      <c r="K14" s="8">
        <f>'Cash Flow'!I6</f>
        <v>47.047000000000004</v>
      </c>
      <c r="L14" s="8">
        <f>'Cash Flow'!J6</f>
        <v>51.751700000000007</v>
      </c>
    </row>
    <row r="15" spans="3:13" x14ac:dyDescent="0.3">
      <c r="E15" t="s">
        <v>9</v>
      </c>
      <c r="H15">
        <f>'Cash Flow'!I14</f>
        <v>-480</v>
      </c>
      <c r="I15" s="8">
        <f>'Cash Flow'!J14</f>
        <v>-140</v>
      </c>
      <c r="J15" s="8">
        <f>'Cash Flow'!K14</f>
        <v>255</v>
      </c>
      <c r="K15" s="8">
        <f>'Cash Flow'!L14</f>
        <v>625</v>
      </c>
      <c r="L15" s="8">
        <f>'Cash Flow'!M14</f>
        <v>954</v>
      </c>
    </row>
    <row r="16" spans="3:13" x14ac:dyDescent="0.3">
      <c r="E16" t="s">
        <v>10</v>
      </c>
      <c r="H16">
        <f>'Cash Flow'!I18</f>
        <v>92.598000000000013</v>
      </c>
      <c r="I16" s="8">
        <f>'Cash Flow'!J18</f>
        <v>101.85780000000003</v>
      </c>
      <c r="J16" s="8">
        <f>'Cash Flow'!K18</f>
        <v>112.04358000000003</v>
      </c>
      <c r="K16" s="8">
        <f>'Cash Flow'!L18</f>
        <v>123.24793800000005</v>
      </c>
      <c r="L16" s="8">
        <f>'Cash Flow'!M18</f>
        <v>135.57273180000007</v>
      </c>
    </row>
    <row r="17" spans="4:28" x14ac:dyDescent="0.3">
      <c r="D17" s="12">
        <v>0</v>
      </c>
      <c r="E17" t="s">
        <v>11</v>
      </c>
      <c r="H17">
        <f>H13+H14+H15-H16</f>
        <v>-176.82300000000004</v>
      </c>
      <c r="I17" s="8">
        <f t="shared" ref="I17:L17" si="2">I13+I14+I15-I16</f>
        <v>252.26050000000001</v>
      </c>
      <c r="J17" s="8">
        <f t="shared" si="2"/>
        <v>614.41530139999998</v>
      </c>
      <c r="K17" s="8">
        <f t="shared" si="2"/>
        <v>1031.3136706800001</v>
      </c>
      <c r="L17" s="8">
        <f t="shared" si="2"/>
        <v>1405.4527583289998</v>
      </c>
      <c r="S17" s="11"/>
      <c r="T17" s="11"/>
      <c r="U17" s="11"/>
      <c r="W17" s="12"/>
      <c r="X17" s="11"/>
      <c r="Y17" s="12"/>
      <c r="Z17" s="11"/>
      <c r="AA17" s="12"/>
    </row>
    <row r="18" spans="4:28" x14ac:dyDescent="0.3">
      <c r="D18" s="12">
        <f>WACC!P11</f>
        <v>7.1826169999999995E-2</v>
      </c>
      <c r="E18" t="s">
        <v>12</v>
      </c>
      <c r="R18" s="11"/>
      <c r="S18" s="11"/>
      <c r="T18" s="11"/>
      <c r="U18" s="11"/>
      <c r="V18" s="11"/>
      <c r="W18" s="11"/>
      <c r="X18" s="11"/>
      <c r="Y18" s="11"/>
      <c r="Z18" s="11"/>
    </row>
    <row r="19" spans="4:28" x14ac:dyDescent="0.3">
      <c r="E19" t="s">
        <v>13</v>
      </c>
      <c r="H19">
        <f>1/(1+$D$18)^H6</f>
        <v>0.9659125784878132</v>
      </c>
      <c r="I19" s="8">
        <f t="shared" ref="I19:L19" si="3">1/(1+$D$18)^I6</f>
        <v>0.90118398442147873</v>
      </c>
      <c r="J19" s="8">
        <f t="shared" si="3"/>
        <v>0.84079304055570769</v>
      </c>
      <c r="K19" s="8">
        <f t="shared" si="3"/>
        <v>0.78444906841163198</v>
      </c>
      <c r="L19" s="8">
        <f t="shared" si="3"/>
        <v>0.73188086871552316</v>
      </c>
      <c r="Q19" s="11"/>
      <c r="R19" s="11"/>
    </row>
    <row r="20" spans="4:28" x14ac:dyDescent="0.3">
      <c r="E20" t="s">
        <v>14</v>
      </c>
      <c r="H20">
        <f>H17*H19</f>
        <v>-170.79555986595062</v>
      </c>
      <c r="I20" s="8">
        <f t="shared" ref="I20:L20" si="4">I17*I19</f>
        <v>227.33312250215445</v>
      </c>
      <c r="J20" s="8">
        <f t="shared" si="4"/>
        <v>516.5961094280575</v>
      </c>
      <c r="K20" s="8">
        <f t="shared" si="4"/>
        <v>809.01304820510666</v>
      </c>
      <c r="L20" s="8">
        <f t="shared" si="4"/>
        <v>1028.6239857044566</v>
      </c>
      <c r="Q20" s="11"/>
      <c r="R20" s="11"/>
    </row>
    <row r="21" spans="4:28" x14ac:dyDescent="0.3">
      <c r="Q21" s="11"/>
      <c r="R21" s="11"/>
    </row>
    <row r="22" spans="4:28" x14ac:dyDescent="0.3">
      <c r="E22" t="s">
        <v>51</v>
      </c>
      <c r="H22">
        <f>SUM(H20:L20)</f>
        <v>2410.7707059738245</v>
      </c>
      <c r="Q22" s="11"/>
      <c r="R22" s="11"/>
    </row>
    <row r="23" spans="4:28" x14ac:dyDescent="0.3">
      <c r="Q23" s="11"/>
      <c r="R23" s="11"/>
      <c r="X23" s="22" t="s">
        <v>67</v>
      </c>
    </row>
    <row r="24" spans="4:28" x14ac:dyDescent="0.3">
      <c r="Q24" s="11"/>
      <c r="R24" s="11"/>
      <c r="S24">
        <f>G37</f>
        <v>184.55057239080659</v>
      </c>
      <c r="T24" s="11">
        <v>0.05</v>
      </c>
      <c r="U24" s="11">
        <v>5.5E-2</v>
      </c>
      <c r="V24">
        <v>6.05</v>
      </c>
      <c r="W24" s="11">
        <v>6.5000000000000002E-2</v>
      </c>
      <c r="X24" s="11">
        <v>7.0000000000000007E-2</v>
      </c>
      <c r="Y24" s="11">
        <v>7.4999999999999997E-2</v>
      </c>
      <c r="Z24" s="12">
        <v>0.08</v>
      </c>
      <c r="AA24" s="11">
        <v>8.5000000000000006E-2</v>
      </c>
      <c r="AB24" s="12">
        <v>0.09</v>
      </c>
    </row>
    <row r="25" spans="4:28" x14ac:dyDescent="0.3">
      <c r="E25" s="13" t="s">
        <v>47</v>
      </c>
      <c r="G25" t="s">
        <v>49</v>
      </c>
      <c r="Q25" s="11"/>
      <c r="R25" s="11"/>
      <c r="S25" s="11">
        <v>1.4999999999999999E-2</v>
      </c>
      <c r="T25">
        <f t="dataTable" ref="T25:AB33" dt2D="1" dtr="1" r1="D18" r2="G26"/>
        <v>264.32105701488774</v>
      </c>
      <c r="U25">
        <v>227.95076530288298</v>
      </c>
      <c r="V25">
        <v>-6.99650801648556</v>
      </c>
      <c r="W25">
        <v>177.12885134198336</v>
      </c>
      <c r="X25">
        <v>158.6907171224058</v>
      </c>
      <c r="Y25">
        <v>143.35084843744957</v>
      </c>
      <c r="Z25">
        <v>130.39374819401323</v>
      </c>
      <c r="AA25">
        <v>119.30835998382852</v>
      </c>
      <c r="AB25">
        <v>109.71992080122158</v>
      </c>
    </row>
    <row r="26" spans="4:28" x14ac:dyDescent="0.3">
      <c r="E26" t="s">
        <v>48</v>
      </c>
      <c r="G26" s="11">
        <v>2.5000000000000001E-2</v>
      </c>
      <c r="Q26" s="11"/>
      <c r="R26" s="11"/>
      <c r="S26" s="11">
        <v>1.7500000000000002E-2</v>
      </c>
      <c r="T26">
        <v>284.29350653137919</v>
      </c>
      <c r="U26">
        <v>242.84679112161962</v>
      </c>
      <c r="V26">
        <v>-6.9965072208599208</v>
      </c>
      <c r="W26">
        <v>186.23129591281503</v>
      </c>
      <c r="X26">
        <v>166.05584122911503</v>
      </c>
      <c r="Y26">
        <v>149.41537027464443</v>
      </c>
      <c r="Z26">
        <v>135.46095659402582</v>
      </c>
      <c r="AA26">
        <v>123.59522084344576</v>
      </c>
      <c r="AB26">
        <v>113.38559000906388</v>
      </c>
    </row>
    <row r="27" spans="4:28" x14ac:dyDescent="0.3">
      <c r="E27" t="s">
        <v>47</v>
      </c>
      <c r="G27">
        <f>L17*(1+G26)/(D18-G26)</f>
        <v>30764.614686343659</v>
      </c>
      <c r="Q27" s="11"/>
      <c r="S27" s="11">
        <v>0.02</v>
      </c>
      <c r="T27">
        <v>307.59469763395242</v>
      </c>
      <c r="U27">
        <v>259.87082062874697</v>
      </c>
      <c r="V27">
        <v>-6.9965064245745596</v>
      </c>
      <c r="W27">
        <v>196.34512321373904</v>
      </c>
      <c r="X27">
        <v>174.15747774649512</v>
      </c>
      <c r="Y27">
        <v>156.03121227885703</v>
      </c>
      <c r="Z27">
        <v>140.95043236070612</v>
      </c>
      <c r="AA27">
        <v>128.21184023072584</v>
      </c>
      <c r="AB27">
        <v>117.31309273175206</v>
      </c>
    </row>
    <row r="28" spans="4:28" x14ac:dyDescent="0.3">
      <c r="E28" t="s">
        <v>50</v>
      </c>
      <c r="G28">
        <f>G27*L19</f>
        <v>22516.032922339538</v>
      </c>
      <c r="S28" s="11">
        <v>2.2499999999999999E-2</v>
      </c>
      <c r="T28">
        <v>335.13246893699358</v>
      </c>
      <c r="U28">
        <v>279.51393159850954</v>
      </c>
      <c r="V28">
        <v>-6.9965056276286557</v>
      </c>
      <c r="W28" s="21">
        <v>207.64881255006586</v>
      </c>
      <c r="X28" s="21">
        <v>183.11191810780997</v>
      </c>
      <c r="Y28" s="21">
        <v>163.27713447394694</v>
      </c>
      <c r="Z28">
        <v>146.91725384622819</v>
      </c>
      <c r="AA28">
        <v>133.19778916898835</v>
      </c>
      <c r="AB28">
        <v>121.53152158204674</v>
      </c>
    </row>
    <row r="29" spans="4:28" x14ac:dyDescent="0.3">
      <c r="E29" s="13" t="s">
        <v>52</v>
      </c>
      <c r="G29" s="13">
        <f>G28+H22</f>
        <v>24926.803628313362</v>
      </c>
      <c r="R29" s="13" t="s">
        <v>68</v>
      </c>
      <c r="S29" s="11">
        <v>2.5000000000000001E-2</v>
      </c>
      <c r="T29">
        <v>368.1777945006429</v>
      </c>
      <c r="U29">
        <v>302.43089439656575</v>
      </c>
      <c r="V29">
        <v>-6.996504830021383</v>
      </c>
      <c r="W29" s="21">
        <v>220.36546305343356</v>
      </c>
      <c r="X29" s="20">
        <v>193.06129628704869</v>
      </c>
      <c r="Y29" s="21">
        <v>171.24764888854588</v>
      </c>
      <c r="Z29">
        <v>153.4265136486159</v>
      </c>
      <c r="AA29">
        <v>138.59923385210598</v>
      </c>
      <c r="AB29">
        <v>126.07444495928718</v>
      </c>
    </row>
    <row r="30" spans="4:28" x14ac:dyDescent="0.3">
      <c r="E30" t="s">
        <v>53</v>
      </c>
      <c r="G30">
        <f>'Balance Sheet'!E5</f>
        <v>1686.1</v>
      </c>
      <c r="S30" s="11">
        <v>2.75E-2</v>
      </c>
      <c r="T30">
        <v>408.56652574510326</v>
      </c>
      <c r="U30">
        <v>329.51457770335952</v>
      </c>
      <c r="V30">
        <v>-6.9965040317519218</v>
      </c>
      <c r="W30" s="21">
        <v>234.77766695725035</v>
      </c>
      <c r="X30" s="21">
        <v>204.18118954619786</v>
      </c>
      <c r="Y30" s="21">
        <v>180.05716482047103</v>
      </c>
      <c r="Z30">
        <v>160.55570295599293</v>
      </c>
      <c r="AA30">
        <v>144.47036937723391</v>
      </c>
      <c r="AB30">
        <v>130.98080220670687</v>
      </c>
    </row>
    <row r="31" spans="4:28" x14ac:dyDescent="0.3">
      <c r="E31" s="13" t="s">
        <v>56</v>
      </c>
      <c r="G31" s="13">
        <f>G29+G30</f>
        <v>26612.903628313361</v>
      </c>
      <c r="S31" s="11">
        <v>0.03</v>
      </c>
      <c r="T31">
        <v>459.05243980067866</v>
      </c>
      <c r="U31">
        <v>362.01499767151194</v>
      </c>
      <c r="V31">
        <v>-6.996503232819447</v>
      </c>
      <c r="W31">
        <v>251.24875713304087</v>
      </c>
      <c r="X31">
        <v>216.6910694627407</v>
      </c>
      <c r="Y31">
        <v>189.8455158559434</v>
      </c>
      <c r="Z31">
        <v>168.39781119410767</v>
      </c>
      <c r="AA31">
        <v>150.87524449555528</v>
      </c>
      <c r="AB31">
        <v>136.29602255807819</v>
      </c>
    </row>
    <row r="32" spans="4:28" x14ac:dyDescent="0.3">
      <c r="E32" t="s">
        <v>60</v>
      </c>
      <c r="G32">
        <f>'Balance Sheet'!E8+'Balance Sheet'!E9</f>
        <v>2552.1</v>
      </c>
      <c r="S32" s="11">
        <v>3.2500000000000001E-2</v>
      </c>
      <c r="T32">
        <v>523.96290072927547</v>
      </c>
      <c r="U32">
        <v>401.73773318814278</v>
      </c>
      <c r="V32">
        <v>-6.9965024332231307</v>
      </c>
      <c r="W32">
        <v>270.25386118202994</v>
      </c>
      <c r="X32">
        <v>230.86893336815584</v>
      </c>
      <c r="Y32">
        <v>200.78543760147139</v>
      </c>
      <c r="Z32">
        <v>177.06540450991866</v>
      </c>
      <c r="AA32">
        <v>157.89010772038341</v>
      </c>
      <c r="AB32">
        <v>142.0734359834818</v>
      </c>
    </row>
    <row r="33" spans="5:28" x14ac:dyDescent="0.3">
      <c r="E33" s="19" t="s">
        <v>61</v>
      </c>
      <c r="G33">
        <f>'Balance Sheet'!E11</f>
        <v>0.9</v>
      </c>
      <c r="S33" s="11">
        <v>3.5000000000000003E-2</v>
      </c>
      <c r="T33">
        <v>610.51018196740506</v>
      </c>
      <c r="U33">
        <v>451.39115258393133</v>
      </c>
      <c r="V33">
        <v>-6.996501632962147</v>
      </c>
      <c r="W33">
        <v>292.42648257251727</v>
      </c>
      <c r="X33">
        <v>247.07220640291612</v>
      </c>
      <c r="Y33">
        <v>213.09284956519033</v>
      </c>
      <c r="Z33">
        <v>186.69606374970869</v>
      </c>
      <c r="AA33">
        <v>165.6064572676944</v>
      </c>
      <c r="AB33">
        <v>148.37606881119484</v>
      </c>
    </row>
    <row r="34" spans="5:28" x14ac:dyDescent="0.3">
      <c r="E34" t="s">
        <v>63</v>
      </c>
      <c r="G34">
        <f>'Balance Sheet'!E12</f>
        <v>0</v>
      </c>
    </row>
    <row r="35" spans="5:28" x14ac:dyDescent="0.3">
      <c r="E35" s="13" t="s">
        <v>64</v>
      </c>
      <c r="G35" s="13">
        <f>G31-G32+G33-G34</f>
        <v>24061.703628313364</v>
      </c>
    </row>
    <row r="36" spans="5:28" x14ac:dyDescent="0.3">
      <c r="E36" t="s">
        <v>65</v>
      </c>
      <c r="G36">
        <v>130.38</v>
      </c>
    </row>
    <row r="37" spans="5:28" x14ac:dyDescent="0.3">
      <c r="E37" s="13" t="s">
        <v>66</v>
      </c>
      <c r="G37">
        <f>G35/G36</f>
        <v>184.55057239080659</v>
      </c>
    </row>
    <row r="44" spans="5:28" x14ac:dyDescent="0.3">
      <c r="S44" s="8">
        <f>G57</f>
        <v>0</v>
      </c>
      <c r="T44" s="11">
        <v>0.05</v>
      </c>
      <c r="U44" s="11">
        <v>5.5E-2</v>
      </c>
      <c r="V44" s="8">
        <v>6.05</v>
      </c>
      <c r="W44" s="11">
        <v>6.5000000000000002E-2</v>
      </c>
      <c r="X44" s="11">
        <v>7.0000000000000007E-2</v>
      </c>
      <c r="Y44" s="11">
        <v>7.4999999999999997E-2</v>
      </c>
      <c r="Z44" s="12">
        <v>0.08</v>
      </c>
      <c r="AA44" s="11">
        <v>8.5000000000000006E-2</v>
      </c>
      <c r="AB44" s="12">
        <v>0.09</v>
      </c>
    </row>
    <row r="45" spans="5:28" x14ac:dyDescent="0.3">
      <c r="S45" s="11">
        <v>1.4999999999999999E-2</v>
      </c>
      <c r="T45" s="8"/>
      <c r="U45" s="8"/>
      <c r="V45" s="8"/>
      <c r="W45" s="8"/>
      <c r="X45" s="8"/>
      <c r="Y45" s="8"/>
      <c r="Z45" s="8"/>
      <c r="AA45" s="8"/>
      <c r="AB45" s="8"/>
    </row>
    <row r="46" spans="5:28" x14ac:dyDescent="0.3">
      <c r="S46" s="11">
        <v>1.7500000000000002E-2</v>
      </c>
      <c r="T46" s="8"/>
      <c r="U46" s="8"/>
      <c r="V46" s="8"/>
      <c r="W46" s="8"/>
      <c r="X46" s="8"/>
      <c r="Y46" s="8"/>
      <c r="Z46" s="8"/>
      <c r="AA46" s="8"/>
      <c r="AB46" s="8"/>
    </row>
    <row r="47" spans="5:28" x14ac:dyDescent="0.3">
      <c r="S47" s="11">
        <v>0.02</v>
      </c>
      <c r="T47" s="8"/>
      <c r="U47" s="8"/>
      <c r="V47" s="8"/>
      <c r="W47" s="8"/>
      <c r="X47" s="8"/>
      <c r="Y47" s="8"/>
      <c r="Z47" s="8"/>
      <c r="AA47" s="8"/>
      <c r="AB47" s="8"/>
    </row>
    <row r="48" spans="5:28" x14ac:dyDescent="0.3">
      <c r="S48" s="11">
        <v>2.2499999999999999E-2</v>
      </c>
      <c r="T48" s="8"/>
      <c r="U48" s="8"/>
      <c r="V48" s="8"/>
      <c r="W48" s="8"/>
      <c r="X48" s="8"/>
      <c r="Y48" s="8"/>
      <c r="Z48" s="8"/>
      <c r="AA48" s="8"/>
      <c r="AB48" s="8"/>
    </row>
    <row r="49" spans="19:28" x14ac:dyDescent="0.3">
      <c r="S49" s="11">
        <v>2.5000000000000001E-2</v>
      </c>
      <c r="T49" s="8"/>
      <c r="U49" s="8"/>
      <c r="V49" s="8"/>
      <c r="W49" s="8"/>
      <c r="X49" s="8"/>
      <c r="Y49" s="8"/>
      <c r="Z49" s="8"/>
      <c r="AA49" s="8"/>
      <c r="AB49" s="8"/>
    </row>
    <row r="50" spans="19:28" x14ac:dyDescent="0.3">
      <c r="S50" s="11">
        <v>2.75E-2</v>
      </c>
      <c r="T50" s="8"/>
      <c r="U50" s="8"/>
      <c r="V50" s="8"/>
      <c r="W50" s="8"/>
      <c r="X50" s="8"/>
      <c r="Y50" s="8"/>
      <c r="Z50" s="8"/>
      <c r="AA50" s="8"/>
      <c r="AB50" s="8"/>
    </row>
    <row r="51" spans="19:28" x14ac:dyDescent="0.3">
      <c r="S51" s="11">
        <v>0.03</v>
      </c>
      <c r="T51" s="8"/>
      <c r="U51" s="8"/>
      <c r="V51" s="8"/>
      <c r="W51" s="8"/>
      <c r="X51" s="8"/>
      <c r="Y51" s="8"/>
      <c r="Z51" s="8"/>
      <c r="AA51" s="8"/>
      <c r="AB51" s="8"/>
    </row>
    <row r="52" spans="19:28" x14ac:dyDescent="0.3">
      <c r="S52" s="11">
        <v>3.2500000000000001E-2</v>
      </c>
      <c r="T52" s="8"/>
      <c r="U52" s="8"/>
      <c r="V52" s="8"/>
      <c r="W52" s="8"/>
      <c r="X52" s="8"/>
      <c r="Y52" s="8"/>
      <c r="Z52" s="8"/>
      <c r="AA52" s="8"/>
      <c r="AB52" s="8"/>
    </row>
    <row r="53" spans="19:28" x14ac:dyDescent="0.3">
      <c r="S53" s="11">
        <v>3.5000000000000003E-2</v>
      </c>
      <c r="T53" s="8"/>
      <c r="U53" s="8"/>
      <c r="V53" s="8"/>
      <c r="W53" s="8"/>
      <c r="X53" s="8"/>
      <c r="Y53" s="8"/>
      <c r="Z53" s="8"/>
      <c r="AA53" s="8"/>
      <c r="AB53" s="8"/>
    </row>
  </sheetData>
  <mergeCells count="3">
    <mergeCell ref="I1:M1"/>
    <mergeCell ref="C3:F3"/>
    <mergeCell ref="D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E2CC-7928-45A7-B839-685AB2842586}">
  <dimension ref="C4:P16"/>
  <sheetViews>
    <sheetView workbookViewId="0">
      <selection activeCell="P11" sqref="P11"/>
    </sheetView>
  </sheetViews>
  <sheetFormatPr defaultRowHeight="14.4" x14ac:dyDescent="0.3"/>
  <cols>
    <col min="3" max="3" width="22.21875" customWidth="1"/>
    <col min="10" max="10" width="34" customWidth="1"/>
    <col min="13" max="13" width="16.109375" customWidth="1"/>
    <col min="16" max="16" width="12" bestFit="1" customWidth="1"/>
  </cols>
  <sheetData>
    <row r="4" spans="3:16" x14ac:dyDescent="0.3">
      <c r="C4" s="13" t="s">
        <v>32</v>
      </c>
    </row>
    <row r="6" spans="3:16" x14ac:dyDescent="0.3">
      <c r="C6" t="s">
        <v>33</v>
      </c>
      <c r="E6" s="11">
        <v>5.8000000000000003E-2</v>
      </c>
    </row>
    <row r="7" spans="3:16" x14ac:dyDescent="0.3">
      <c r="C7" t="s">
        <v>34</v>
      </c>
      <c r="E7" s="12">
        <v>0.27</v>
      </c>
    </row>
    <row r="8" spans="3:16" x14ac:dyDescent="0.3">
      <c r="C8" t="s">
        <v>35</v>
      </c>
      <c r="E8" s="16">
        <f>E6*(1-E7)</f>
        <v>4.2340000000000003E-2</v>
      </c>
      <c r="J8" s="13" t="s">
        <v>41</v>
      </c>
      <c r="P8" s="13" t="s">
        <v>46</v>
      </c>
    </row>
    <row r="9" spans="3:16" x14ac:dyDescent="0.3">
      <c r="J9" t="s">
        <v>42</v>
      </c>
      <c r="K9" s="11">
        <v>0.45050000000000001</v>
      </c>
      <c r="M9" t="s">
        <v>44</v>
      </c>
      <c r="N9" s="16">
        <f>E8</f>
        <v>4.2340000000000003E-2</v>
      </c>
      <c r="P9" s="17">
        <f>K9*N9</f>
        <v>1.9074170000000001E-2</v>
      </c>
    </row>
    <row r="10" spans="3:16" x14ac:dyDescent="0.3">
      <c r="J10" t="s">
        <v>43</v>
      </c>
      <c r="K10" s="11">
        <f>1-K9</f>
        <v>0.54949999999999999</v>
      </c>
      <c r="M10" t="s">
        <v>45</v>
      </c>
      <c r="N10" s="15">
        <f>E16</f>
        <v>9.6000000000000002E-2</v>
      </c>
      <c r="P10" s="18">
        <f>K10*N10</f>
        <v>5.2752E-2</v>
      </c>
    </row>
    <row r="11" spans="3:16" x14ac:dyDescent="0.3">
      <c r="C11" s="13" t="s">
        <v>36</v>
      </c>
      <c r="P11" s="17">
        <f>P9+P10</f>
        <v>7.1826169999999995E-2</v>
      </c>
    </row>
    <row r="13" spans="3:16" x14ac:dyDescent="0.3">
      <c r="C13" t="s">
        <v>37</v>
      </c>
      <c r="E13" s="12">
        <v>0.06</v>
      </c>
    </row>
    <row r="14" spans="3:16" x14ac:dyDescent="0.3">
      <c r="C14" t="s">
        <v>38</v>
      </c>
      <c r="E14">
        <v>0.6</v>
      </c>
    </row>
    <row r="15" spans="3:16" x14ac:dyDescent="0.3">
      <c r="C15" t="s">
        <v>39</v>
      </c>
      <c r="E15" s="12">
        <v>0.06</v>
      </c>
    </row>
    <row r="16" spans="3:16" x14ac:dyDescent="0.3">
      <c r="C16" t="s">
        <v>40</v>
      </c>
      <c r="E16" s="15">
        <f>E13+E14*E15</f>
        <v>9.6000000000000002E-2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8FF6-1789-4D54-A960-ACBD6BD32442}">
  <dimension ref="C4:N27"/>
  <sheetViews>
    <sheetView topLeftCell="D1" workbookViewId="0">
      <selection activeCell="J22" sqref="J22"/>
    </sheetView>
  </sheetViews>
  <sheetFormatPr defaultRowHeight="14.4" x14ac:dyDescent="0.3"/>
  <cols>
    <col min="5" max="5" width="38.6640625" customWidth="1"/>
    <col min="7" max="7" width="13.44140625" customWidth="1"/>
    <col min="8" max="8" width="12.109375" customWidth="1"/>
    <col min="9" max="9" width="11.109375" customWidth="1"/>
    <col min="10" max="11" width="12.33203125" customWidth="1"/>
    <col min="12" max="12" width="13.109375" customWidth="1"/>
    <col min="13" max="13" width="12.33203125" customWidth="1"/>
    <col min="14" max="14" width="12.21875" customWidth="1"/>
  </cols>
  <sheetData>
    <row r="4" spans="3:14" x14ac:dyDescent="0.3">
      <c r="C4" s="1" t="s">
        <v>15</v>
      </c>
      <c r="D4" s="1"/>
      <c r="E4" s="1"/>
      <c r="G4" t="s">
        <v>2</v>
      </c>
      <c r="H4" t="s">
        <v>2</v>
      </c>
      <c r="I4" s="3" t="s">
        <v>2</v>
      </c>
      <c r="J4" s="4" t="s">
        <v>2</v>
      </c>
      <c r="K4" s="5" t="s">
        <v>2</v>
      </c>
      <c r="L4" s="6" t="s">
        <v>2</v>
      </c>
      <c r="M4" s="7" t="s">
        <v>2</v>
      </c>
      <c r="N4" s="8" t="s">
        <v>2</v>
      </c>
    </row>
    <row r="5" spans="3:14" x14ac:dyDescent="0.3">
      <c r="G5" s="2">
        <v>44592</v>
      </c>
      <c r="H5" s="9">
        <v>44957</v>
      </c>
      <c r="I5" s="9">
        <v>45322</v>
      </c>
      <c r="J5" s="9">
        <v>45688</v>
      </c>
      <c r="K5" s="9">
        <v>46053</v>
      </c>
      <c r="L5" s="9">
        <v>46418</v>
      </c>
      <c r="M5" s="9">
        <v>46783</v>
      </c>
      <c r="N5" s="9">
        <v>47149</v>
      </c>
    </row>
    <row r="7" spans="3:14" x14ac:dyDescent="0.3">
      <c r="E7" t="s">
        <v>16</v>
      </c>
      <c r="G7">
        <v>-288.85000000000002</v>
      </c>
      <c r="H7">
        <v>-242.32</v>
      </c>
      <c r="I7" s="8">
        <v>311.04000000000002</v>
      </c>
      <c r="J7">
        <f>I7*(1+J22)</f>
        <v>404.35200000000003</v>
      </c>
      <c r="K7" s="8">
        <f t="shared" ref="K7:N7" si="0">J7*(1+K22)</f>
        <v>505.44000000000005</v>
      </c>
      <c r="L7" s="8">
        <f t="shared" si="0"/>
        <v>606.52800000000002</v>
      </c>
      <c r="M7" s="8">
        <f t="shared" si="0"/>
        <v>697.50720000000001</v>
      </c>
      <c r="N7" s="8">
        <f t="shared" si="0"/>
        <v>802.1332799999999</v>
      </c>
    </row>
    <row r="8" spans="3:14" x14ac:dyDescent="0.3">
      <c r="E8" t="s">
        <v>17</v>
      </c>
      <c r="G8">
        <v>38.47</v>
      </c>
      <c r="H8">
        <v>40.43</v>
      </c>
      <c r="I8">
        <v>42.77</v>
      </c>
      <c r="J8">
        <f>I8*(1+J23)</f>
        <v>47.047000000000004</v>
      </c>
      <c r="K8" s="8">
        <f t="shared" ref="K8:N8" si="1">J8*(1+K23)</f>
        <v>51.751700000000007</v>
      </c>
      <c r="L8" s="8">
        <f t="shared" si="1"/>
        <v>56.926870000000015</v>
      </c>
      <c r="M8" s="8">
        <f t="shared" si="1"/>
        <v>62.619557000000022</v>
      </c>
      <c r="N8" s="8">
        <f t="shared" si="1"/>
        <v>68.88151270000003</v>
      </c>
    </row>
    <row r="9" spans="3:14" x14ac:dyDescent="0.3">
      <c r="E9" t="s">
        <v>18</v>
      </c>
      <c r="G9">
        <f>G7-G8</f>
        <v>-327.32000000000005</v>
      </c>
      <c r="H9" s="8">
        <f t="shared" ref="H9:I9" si="2">H7-H8</f>
        <v>-282.75</v>
      </c>
      <c r="I9" s="8">
        <f t="shared" si="2"/>
        <v>268.27000000000004</v>
      </c>
      <c r="J9">
        <f>J7-J8</f>
        <v>357.30500000000001</v>
      </c>
      <c r="K9" s="8">
        <f t="shared" ref="K9:N9" si="3">K7-K8</f>
        <v>453.68830000000003</v>
      </c>
      <c r="L9" s="8">
        <f t="shared" si="3"/>
        <v>549.60113000000001</v>
      </c>
      <c r="M9" s="8">
        <f t="shared" si="3"/>
        <v>634.88764300000003</v>
      </c>
      <c r="N9" s="8">
        <f t="shared" si="3"/>
        <v>733.25176729999987</v>
      </c>
    </row>
    <row r="22" spans="5:14" x14ac:dyDescent="0.3">
      <c r="E22" s="10" t="s">
        <v>19</v>
      </c>
      <c r="G22" s="11">
        <v>-0.1212</v>
      </c>
      <c r="H22" s="11">
        <v>0.1799</v>
      </c>
      <c r="I22" s="11">
        <v>1.3653999999999999</v>
      </c>
      <c r="J22" s="12">
        <v>0.3</v>
      </c>
      <c r="K22" s="12">
        <v>0.25</v>
      </c>
      <c r="L22" s="12">
        <v>0.2</v>
      </c>
      <c r="M22" s="12">
        <v>0.15</v>
      </c>
      <c r="N22" s="12">
        <v>0.15</v>
      </c>
    </row>
    <row r="23" spans="5:14" x14ac:dyDescent="0.3">
      <c r="E23" t="s">
        <v>20</v>
      </c>
      <c r="J23" s="12">
        <v>0.1</v>
      </c>
      <c r="K23" s="12">
        <v>0.1</v>
      </c>
      <c r="L23" s="12">
        <v>0.1</v>
      </c>
      <c r="M23" s="12">
        <v>0.1</v>
      </c>
      <c r="N23" s="12">
        <v>0.1</v>
      </c>
    </row>
    <row r="27" spans="5:14" x14ac:dyDescent="0.3">
      <c r="E27" t="s">
        <v>21</v>
      </c>
      <c r="G27" s="12">
        <v>0.35</v>
      </c>
      <c r="H27" s="12">
        <v>0</v>
      </c>
      <c r="I27" s="12">
        <v>0</v>
      </c>
      <c r="J27" s="12">
        <v>0</v>
      </c>
      <c r="K27" s="12">
        <v>0</v>
      </c>
      <c r="L27" s="12">
        <v>0.22</v>
      </c>
      <c r="M27" s="12">
        <v>0.24</v>
      </c>
      <c r="N27" s="12">
        <v>0.27</v>
      </c>
    </row>
  </sheetData>
  <mergeCells count="1"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5F5F-DBEC-40F7-BAE3-F294904ECBFA}">
  <dimension ref="B3:M24"/>
  <sheetViews>
    <sheetView topLeftCell="B3" zoomScale="81" workbookViewId="0">
      <selection activeCell="F23" sqref="F23"/>
    </sheetView>
  </sheetViews>
  <sheetFormatPr defaultRowHeight="14.4" x14ac:dyDescent="0.3"/>
  <cols>
    <col min="4" max="4" width="46.21875" customWidth="1"/>
    <col min="6" max="6" width="13.44140625" customWidth="1"/>
    <col min="7" max="7" width="10.44140625" customWidth="1"/>
    <col min="8" max="8" width="11" customWidth="1"/>
    <col min="9" max="9" width="10.44140625" customWidth="1"/>
    <col min="10" max="10" width="10.6640625" customWidth="1"/>
    <col min="11" max="11" width="9.5546875" customWidth="1"/>
    <col min="12" max="12" width="10.21875" customWidth="1"/>
    <col min="13" max="13" width="10.33203125" customWidth="1"/>
  </cols>
  <sheetData>
    <row r="3" spans="2:13" x14ac:dyDescent="0.3">
      <c r="B3" s="14" t="s">
        <v>22</v>
      </c>
      <c r="C3" s="14"/>
      <c r="D3" s="14"/>
      <c r="E3" s="8"/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</row>
    <row r="4" spans="2:13" x14ac:dyDescent="0.3">
      <c r="B4" s="8"/>
      <c r="C4" s="8"/>
      <c r="D4" s="8"/>
      <c r="E4" s="8"/>
      <c r="F4" s="9">
        <v>44592</v>
      </c>
      <c r="G4" s="9">
        <v>44957</v>
      </c>
      <c r="H4" s="9">
        <v>45322</v>
      </c>
      <c r="I4" s="9">
        <v>45688</v>
      </c>
      <c r="J4" s="9">
        <v>46053</v>
      </c>
      <c r="K4" s="9">
        <v>46418</v>
      </c>
      <c r="L4" s="9">
        <v>46783</v>
      </c>
      <c r="M4" s="9">
        <v>47149</v>
      </c>
    </row>
    <row r="6" spans="2:13" x14ac:dyDescent="0.3">
      <c r="D6" s="8" t="s">
        <v>17</v>
      </c>
      <c r="E6" s="8"/>
      <c r="F6" s="8">
        <v>38.47</v>
      </c>
      <c r="G6" s="8">
        <v>40.43</v>
      </c>
      <c r="H6" s="8">
        <v>42.77</v>
      </c>
      <c r="I6" s="8">
        <f>H6*(1+I24)</f>
        <v>47.047000000000004</v>
      </c>
      <c r="J6" s="8">
        <f t="shared" ref="J6:M6" si="0">I6*(1+J24)</f>
        <v>51.751700000000007</v>
      </c>
      <c r="K6" s="8">
        <f t="shared" si="0"/>
        <v>56.926870000000015</v>
      </c>
      <c r="L6" s="8">
        <f t="shared" si="0"/>
        <v>62.619557000000022</v>
      </c>
      <c r="M6" s="8">
        <f t="shared" si="0"/>
        <v>68.88151270000003</v>
      </c>
    </row>
    <row r="8" spans="2:13" x14ac:dyDescent="0.3">
      <c r="D8" s="13" t="s">
        <v>24</v>
      </c>
    </row>
    <row r="9" spans="2:13" x14ac:dyDescent="0.3">
      <c r="D9" t="s">
        <v>25</v>
      </c>
      <c r="F9">
        <v>1308.3900000000001</v>
      </c>
      <c r="G9">
        <v>1177.1400000000001</v>
      </c>
      <c r="H9">
        <v>1383.26</v>
      </c>
      <c r="I9">
        <v>1400</v>
      </c>
      <c r="J9">
        <v>1480</v>
      </c>
      <c r="K9">
        <v>1550</v>
      </c>
      <c r="L9">
        <v>1610</v>
      </c>
      <c r="M9">
        <v>1700</v>
      </c>
    </row>
    <row r="10" spans="2:13" x14ac:dyDescent="0.3">
      <c r="D10" t="s">
        <v>26</v>
      </c>
      <c r="F10">
        <v>571.28</v>
      </c>
      <c r="G10">
        <v>694.05</v>
      </c>
      <c r="H10" s="8">
        <v>828.61</v>
      </c>
      <c r="I10">
        <v>920</v>
      </c>
      <c r="J10">
        <v>980</v>
      </c>
      <c r="K10">
        <v>1100</v>
      </c>
      <c r="L10">
        <v>1220</v>
      </c>
      <c r="M10">
        <v>1300</v>
      </c>
    </row>
    <row r="11" spans="2:13" x14ac:dyDescent="0.3">
      <c r="D11" t="s">
        <v>27</v>
      </c>
      <c r="F11">
        <v>512.61</v>
      </c>
      <c r="G11">
        <v>558.61</v>
      </c>
      <c r="H11" s="8">
        <v>357.95</v>
      </c>
      <c r="I11">
        <v>400</v>
      </c>
      <c r="J11">
        <v>440</v>
      </c>
      <c r="K11">
        <v>475</v>
      </c>
      <c r="L11">
        <v>515</v>
      </c>
      <c r="M11">
        <v>567</v>
      </c>
    </row>
    <row r="12" spans="2:13" x14ac:dyDescent="0.3">
      <c r="D12" t="s">
        <v>28</v>
      </c>
      <c r="F12">
        <v>2115.65</v>
      </c>
      <c r="G12">
        <v>2218.6999999999998</v>
      </c>
      <c r="H12" s="8">
        <v>3175</v>
      </c>
      <c r="I12">
        <v>3200</v>
      </c>
      <c r="J12">
        <v>3040</v>
      </c>
      <c r="K12">
        <v>2870</v>
      </c>
      <c r="L12">
        <v>2720</v>
      </c>
      <c r="M12">
        <v>2613</v>
      </c>
    </row>
    <row r="14" spans="2:13" x14ac:dyDescent="0.3">
      <c r="D14" s="13" t="s">
        <v>29</v>
      </c>
      <c r="F14" s="8">
        <f>F9+F10+F11-F12</f>
        <v>276.63000000000011</v>
      </c>
      <c r="G14" s="8">
        <f t="shared" ref="G14:H14" si="1">G9+G10+G11-G12</f>
        <v>211.10000000000036</v>
      </c>
      <c r="H14">
        <f>H9+H10+H11-H12</f>
        <v>-605.18000000000029</v>
      </c>
      <c r="I14" s="8">
        <f t="shared" ref="I14:M14" si="2">I9+I10+I11-I12</f>
        <v>-480</v>
      </c>
      <c r="J14" s="8">
        <f t="shared" si="2"/>
        <v>-140</v>
      </c>
      <c r="K14" s="8">
        <f t="shared" si="2"/>
        <v>255</v>
      </c>
      <c r="L14" s="8">
        <f t="shared" si="2"/>
        <v>625</v>
      </c>
      <c r="M14" s="8">
        <f t="shared" si="2"/>
        <v>954</v>
      </c>
    </row>
    <row r="17" spans="4:13" x14ac:dyDescent="0.3">
      <c r="D17" s="13" t="s">
        <v>30</v>
      </c>
    </row>
    <row r="18" spans="4:13" x14ac:dyDescent="0.3">
      <c r="D18" t="s">
        <v>31</v>
      </c>
      <c r="F18">
        <v>19.14</v>
      </c>
      <c r="G18">
        <v>78.16</v>
      </c>
      <c r="H18">
        <v>84.18</v>
      </c>
      <c r="I18">
        <f>H18*(1+I24)</f>
        <v>92.598000000000013</v>
      </c>
      <c r="J18" s="8">
        <f t="shared" ref="J18:M18" si="3">I18*(1+J24)</f>
        <v>101.85780000000003</v>
      </c>
      <c r="K18" s="8">
        <f t="shared" si="3"/>
        <v>112.04358000000003</v>
      </c>
      <c r="L18" s="8">
        <f t="shared" si="3"/>
        <v>123.24793800000005</v>
      </c>
      <c r="M18" s="8">
        <f t="shared" si="3"/>
        <v>135.57273180000007</v>
      </c>
    </row>
    <row r="24" spans="4:13" x14ac:dyDescent="0.3">
      <c r="D24" t="s">
        <v>23</v>
      </c>
      <c r="I24" s="12">
        <v>0.1</v>
      </c>
      <c r="J24" s="12">
        <v>0.1</v>
      </c>
      <c r="K24" s="12">
        <v>0.1</v>
      </c>
      <c r="L24" s="12">
        <v>0.1</v>
      </c>
      <c r="M24" s="12">
        <v>0.1</v>
      </c>
    </row>
  </sheetData>
  <mergeCells count="1"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996F-6F8A-43E6-AF63-B23DD8D9D406}">
  <dimension ref="C3:E11"/>
  <sheetViews>
    <sheetView workbookViewId="0">
      <selection activeCell="E11" sqref="E11"/>
    </sheetView>
  </sheetViews>
  <sheetFormatPr defaultRowHeight="14.4" x14ac:dyDescent="0.3"/>
  <cols>
    <col min="3" max="3" width="29.5546875" customWidth="1"/>
    <col min="5" max="5" width="11.77734375" customWidth="1"/>
  </cols>
  <sheetData>
    <row r="3" spans="3:5" x14ac:dyDescent="0.3">
      <c r="C3" s="13" t="s">
        <v>54</v>
      </c>
    </row>
    <row r="4" spans="3:5" x14ac:dyDescent="0.3">
      <c r="E4" s="9">
        <v>45322</v>
      </c>
    </row>
    <row r="5" spans="3:5" x14ac:dyDescent="0.3">
      <c r="C5" t="s">
        <v>55</v>
      </c>
      <c r="E5">
        <v>1686.1</v>
      </c>
    </row>
    <row r="7" spans="3:5" x14ac:dyDescent="0.3">
      <c r="C7" t="s">
        <v>57</v>
      </c>
    </row>
    <row r="8" spans="3:5" x14ac:dyDescent="0.3">
      <c r="C8" t="s">
        <v>58</v>
      </c>
      <c r="E8">
        <v>2545.9299999999998</v>
      </c>
    </row>
    <row r="9" spans="3:5" x14ac:dyDescent="0.3">
      <c r="C9" t="s">
        <v>59</v>
      </c>
      <c r="E9">
        <v>6.17</v>
      </c>
    </row>
    <row r="11" spans="3:5" x14ac:dyDescent="0.3">
      <c r="C11" t="s">
        <v>62</v>
      </c>
      <c r="E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</vt:lpstr>
      <vt:lpstr>WACC</vt:lpstr>
      <vt:lpstr>Income Statement</vt:lpstr>
      <vt:lpstr>Cash Flow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U2341952 Sarvagna</dc:creator>
  <cp:lastModifiedBy>U2341952 Sarvagna</cp:lastModifiedBy>
  <dcterms:created xsi:type="dcterms:W3CDTF">2025-01-29T17:25:56Z</dcterms:created>
  <dcterms:modified xsi:type="dcterms:W3CDTF">2025-01-31T06:44:46Z</dcterms:modified>
</cp:coreProperties>
</file>