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anders.kolstad\Documents\Github\IBECA_NINA\data\"/>
    </mc:Choice>
  </mc:AlternateContent>
  <xr:revisionPtr revIDLastSave="0" documentId="8_{382C8FB2-AD44-4AA1-8501-89C487219ADD}" xr6:coauthVersionLast="46" xr6:coauthVersionMax="46" xr10:uidLastSave="{00000000-0000-0000-0000-000000000000}"/>
  <bookViews>
    <workbookView xWindow="-120" yWindow="-120" windowWidth="29040" windowHeight="17640" tabRatio="221" firstSheet="2" activeTab="2" xr2:uid="{A05AB4A5-F042-4A3B-B327-AB3EF47021FE}"/>
  </bookViews>
  <sheets>
    <sheet name="bestand" sheetId="1" r:id="rId1"/>
    <sheet name="bestandsmål" sheetId="2" r:id="rId2"/>
    <sheet name="ref &amp; GØT" sheetId="3" r:id="rId3"/>
    <sheet name="skaleringsfunk"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3" i="3" l="1"/>
  <c r="J14" i="3"/>
  <c r="J15" i="3"/>
  <c r="J16" i="3"/>
  <c r="J17" i="3"/>
  <c r="J18" i="3"/>
  <c r="J19" i="3"/>
  <c r="J20" i="3"/>
  <c r="J21" i="3"/>
  <c r="J22" i="3"/>
  <c r="J23" i="3"/>
  <c r="J24" i="3"/>
  <c r="J25" i="3"/>
  <c r="J26" i="3"/>
  <c r="J27" i="3"/>
  <c r="J28" i="3"/>
  <c r="J29" i="3"/>
  <c r="J30" i="3"/>
  <c r="J31" i="3"/>
  <c r="J32" i="3"/>
  <c r="J33" i="3"/>
  <c r="J34" i="3"/>
  <c r="J35" i="3"/>
  <c r="J38" i="3"/>
  <c r="J39" i="3"/>
  <c r="J40" i="3"/>
  <c r="J41" i="3"/>
  <c r="J42" i="3"/>
  <c r="J43" i="3"/>
  <c r="J45" i="3"/>
  <c r="J46" i="3"/>
  <c r="J47" i="3"/>
  <c r="J48" i="3"/>
  <c r="J49" i="3"/>
  <c r="J50" i="3"/>
  <c r="J52" i="3"/>
  <c r="J53" i="3"/>
  <c r="J12" i="3"/>
  <c r="K58" i="1"/>
  <c r="K59" i="1"/>
  <c r="K60" i="1"/>
  <c r="K61" i="1"/>
  <c r="K62" i="1"/>
  <c r="K64" i="1"/>
  <c r="K65" i="1"/>
  <c r="K66" i="1"/>
  <c r="K67" i="1"/>
  <c r="K68" i="1"/>
  <c r="K69" i="1"/>
  <c r="K57" i="1"/>
  <c r="J58" i="1"/>
  <c r="J59" i="1"/>
  <c r="J60" i="1"/>
  <c r="J61" i="1"/>
  <c r="J62" i="1"/>
  <c r="J64" i="1"/>
  <c r="J65" i="1"/>
  <c r="J66" i="1"/>
  <c r="J67" i="1"/>
  <c r="J68" i="1"/>
  <c r="J69" i="1"/>
  <c r="J57" i="1"/>
  <c r="U9" i="2"/>
  <c r="V9" i="2"/>
  <c r="U10" i="2"/>
  <c r="V10" i="2" s="1"/>
  <c r="U11" i="2"/>
  <c r="V11" i="2" s="1"/>
  <c r="U12" i="2"/>
  <c r="V12" i="2"/>
  <c r="U13" i="2"/>
  <c r="V13" i="2"/>
  <c r="U14" i="2"/>
  <c r="V14" i="2" s="1"/>
  <c r="U15" i="2"/>
  <c r="V15" i="2" s="1"/>
  <c r="U16" i="2"/>
  <c r="V16" i="2"/>
  <c r="U17" i="2"/>
  <c r="V17" i="2"/>
  <c r="U18" i="2"/>
  <c r="V18" i="2" s="1"/>
  <c r="U19" i="2"/>
  <c r="V19" i="2" s="1"/>
  <c r="U20" i="2"/>
  <c r="V20" i="2"/>
  <c r="U21" i="2"/>
  <c r="V21" i="2"/>
  <c r="U22" i="2"/>
  <c r="V22" i="2" s="1"/>
  <c r="U23" i="2"/>
  <c r="V23" i="2" s="1"/>
  <c r="U24" i="2"/>
  <c r="V24" i="2"/>
  <c r="U25" i="2"/>
  <c r="V25" i="2"/>
  <c r="U26" i="2"/>
  <c r="V26" i="2" s="1"/>
  <c r="U27" i="2"/>
  <c r="V27" i="2" s="1"/>
  <c r="U28" i="2"/>
  <c r="V28" i="2"/>
  <c r="U29" i="2"/>
  <c r="V29" i="2"/>
  <c r="U30" i="2"/>
  <c r="V30" i="2" s="1"/>
  <c r="U31" i="2"/>
  <c r="V31" i="2" s="1"/>
  <c r="V8" i="2"/>
  <c r="U8" i="2"/>
  <c r="S9" i="2"/>
  <c r="T9" i="2"/>
  <c r="S10" i="2"/>
  <c r="T10" i="2" s="1"/>
  <c r="S11" i="2"/>
  <c r="T11" i="2" s="1"/>
  <c r="S12" i="2"/>
  <c r="T12" i="2"/>
  <c r="S13" i="2"/>
  <c r="T13" i="2"/>
  <c r="S14" i="2"/>
  <c r="T14" i="2" s="1"/>
  <c r="S15" i="2"/>
  <c r="T15" i="2" s="1"/>
  <c r="S16" i="2"/>
  <c r="T16" i="2"/>
  <c r="S17" i="2"/>
  <c r="T17" i="2"/>
  <c r="S18" i="2"/>
  <c r="T18" i="2" s="1"/>
  <c r="S19" i="2"/>
  <c r="T19" i="2" s="1"/>
  <c r="S20" i="2"/>
  <c r="T20" i="2"/>
  <c r="S21" i="2"/>
  <c r="T21" i="2"/>
  <c r="S22" i="2"/>
  <c r="T22" i="2" s="1"/>
  <c r="S23" i="2"/>
  <c r="T23" i="2" s="1"/>
  <c r="S24" i="2"/>
  <c r="T24" i="2"/>
  <c r="S25" i="2"/>
  <c r="T25" i="2"/>
  <c r="S26" i="2"/>
  <c r="T26" i="2" s="1"/>
  <c r="S27" i="2"/>
  <c r="T27" i="2" s="1"/>
  <c r="S28" i="2"/>
  <c r="T28" i="2"/>
  <c r="S29" i="2"/>
  <c r="T29" i="2"/>
  <c r="S30" i="2"/>
  <c r="T30" i="2" s="1"/>
  <c r="S31" i="2"/>
  <c r="T31" i="2" s="1"/>
  <c r="T8" i="2"/>
  <c r="S8" i="2"/>
  <c r="AA40" i="2"/>
  <c r="Y40" i="2"/>
  <c r="I13" i="3"/>
  <c r="I14" i="3"/>
  <c r="I15" i="3"/>
  <c r="I16" i="3"/>
  <c r="I17" i="3"/>
  <c r="I18" i="3"/>
  <c r="I19" i="3"/>
  <c r="I20" i="3"/>
  <c r="I21" i="3"/>
  <c r="I22" i="3"/>
  <c r="I23" i="3"/>
  <c r="I24" i="3"/>
  <c r="I25" i="3"/>
  <c r="I26" i="3"/>
  <c r="I27" i="3"/>
  <c r="I28" i="3"/>
  <c r="I29" i="3"/>
  <c r="I30" i="3"/>
  <c r="I31" i="3"/>
  <c r="I32" i="3"/>
  <c r="I33" i="3"/>
  <c r="I34" i="3"/>
  <c r="I35" i="3"/>
  <c r="I38" i="3"/>
  <c r="I39" i="3"/>
  <c r="I40" i="3"/>
  <c r="I41" i="3"/>
  <c r="I42" i="3"/>
  <c r="I43" i="3"/>
  <c r="I45" i="3"/>
  <c r="I46" i="3"/>
  <c r="I47" i="3"/>
  <c r="I48" i="3"/>
  <c r="I49" i="3"/>
  <c r="I50" i="3"/>
  <c r="I52" i="3"/>
  <c r="I53" i="3"/>
  <c r="I12" i="3"/>
  <c r="Y41" i="2"/>
  <c r="Z39" i="2"/>
  <c r="E70" i="1"/>
  <c r="H58" i="1" s="1"/>
  <c r="F12" i="3"/>
  <c r="AA36" i="1"/>
  <c r="AA37" i="1"/>
  <c r="AA38" i="1"/>
  <c r="AA39" i="1"/>
  <c r="AA42" i="1"/>
  <c r="AA43" i="1"/>
  <c r="AA44" i="1"/>
  <c r="AA45" i="1"/>
  <c r="AA46" i="1"/>
  <c r="AA47" i="1"/>
  <c r="AA35" i="1"/>
  <c r="F58" i="1"/>
  <c r="G58" i="1"/>
  <c r="F59" i="1"/>
  <c r="G59" i="1"/>
  <c r="F60" i="1"/>
  <c r="G60" i="1"/>
  <c r="F61" i="1"/>
  <c r="G61" i="1"/>
  <c r="F63" i="1"/>
  <c r="G63" i="1"/>
  <c r="F64" i="1"/>
  <c r="G64" i="1"/>
  <c r="F65" i="1"/>
  <c r="G65" i="1"/>
  <c r="F66" i="1"/>
  <c r="G66" i="1"/>
  <c r="F67" i="1"/>
  <c r="G67" i="1"/>
  <c r="F68" i="1"/>
  <c r="G68" i="1"/>
  <c r="F69" i="1"/>
  <c r="G69" i="1"/>
  <c r="G57" i="1"/>
  <c r="F57" i="1"/>
  <c r="E63" i="1"/>
  <c r="H65" i="1" l="1"/>
  <c r="H64" i="1"/>
  <c r="H61" i="1"/>
  <c r="H67" i="1"/>
  <c r="H66" i="1"/>
  <c r="H57" i="1"/>
  <c r="H60" i="1"/>
  <c r="H69" i="1"/>
  <c r="H59" i="1"/>
  <c r="H68" i="1"/>
  <c r="L13" i="3"/>
  <c r="K18" i="3"/>
  <c r="L18" i="3"/>
  <c r="K19" i="3"/>
  <c r="L21" i="3"/>
  <c r="K26" i="3"/>
  <c r="L26" i="3"/>
  <c r="L34" i="3"/>
  <c r="K42" i="3"/>
  <c r="L42" i="3"/>
  <c r="K43" i="3"/>
  <c r="L45" i="3"/>
  <c r="K48" i="3"/>
  <c r="K50" i="3"/>
  <c r="L50" i="3"/>
  <c r="L53" i="3"/>
  <c r="M53" i="3" s="1"/>
  <c r="K13" i="3"/>
  <c r="L17" i="3"/>
  <c r="K21" i="3"/>
  <c r="L25" i="3"/>
  <c r="K29" i="3"/>
  <c r="L29" i="3"/>
  <c r="L33" i="3"/>
  <c r="L41" i="3"/>
  <c r="L49" i="3"/>
  <c r="K52" i="3"/>
  <c r="D55" i="3"/>
  <c r="D56" i="3" s="1"/>
  <c r="E55" i="3"/>
  <c r="G55" i="3" s="1"/>
  <c r="C55" i="3"/>
  <c r="L30" i="3"/>
  <c r="K14" i="3"/>
  <c r="K15" i="3"/>
  <c r="K17" i="3"/>
  <c r="L19" i="3"/>
  <c r="K20" i="3"/>
  <c r="K22" i="3"/>
  <c r="L22" i="3"/>
  <c r="K23" i="3"/>
  <c r="K25" i="3"/>
  <c r="K27" i="3"/>
  <c r="L27" i="3"/>
  <c r="K28" i="3"/>
  <c r="K30" i="3"/>
  <c r="K31" i="3"/>
  <c r="K33" i="3"/>
  <c r="K34" i="3"/>
  <c r="K35" i="3"/>
  <c r="L35" i="3"/>
  <c r="K38" i="3"/>
  <c r="L38" i="3"/>
  <c r="K39" i="3"/>
  <c r="K41" i="3"/>
  <c r="K45" i="3"/>
  <c r="K46" i="3"/>
  <c r="L46" i="3"/>
  <c r="K47" i="3"/>
  <c r="K49" i="3"/>
  <c r="K53" i="3"/>
  <c r="K12" i="3"/>
  <c r="F13" i="3"/>
  <c r="F14" i="3"/>
  <c r="F15" i="3"/>
  <c r="F16" i="3"/>
  <c r="F17" i="3"/>
  <c r="F18" i="3"/>
  <c r="F19" i="3"/>
  <c r="M19" i="3" s="1"/>
  <c r="F20" i="3"/>
  <c r="F21" i="3"/>
  <c r="M21" i="3" s="1"/>
  <c r="F22" i="3"/>
  <c r="M22" i="3" s="1"/>
  <c r="F23" i="3"/>
  <c r="F24" i="3"/>
  <c r="F25" i="3"/>
  <c r="F26" i="3"/>
  <c r="F27" i="3"/>
  <c r="M27" i="3" s="1"/>
  <c r="F28" i="3"/>
  <c r="F29" i="3"/>
  <c r="F30" i="3"/>
  <c r="F31" i="3"/>
  <c r="F32" i="3"/>
  <c r="F33" i="3"/>
  <c r="M33" i="3" s="1"/>
  <c r="F34" i="3"/>
  <c r="F35" i="3"/>
  <c r="M35" i="3" s="1"/>
  <c r="F38" i="3"/>
  <c r="F39" i="3"/>
  <c r="F40" i="3"/>
  <c r="F41" i="3"/>
  <c r="F42" i="3"/>
  <c r="F43" i="3"/>
  <c r="F45" i="3"/>
  <c r="F46" i="3"/>
  <c r="M46" i="3" s="1"/>
  <c r="F47" i="3"/>
  <c r="F48" i="3"/>
  <c r="F49" i="3"/>
  <c r="F50" i="3"/>
  <c r="G50" i="3"/>
  <c r="G49" i="3"/>
  <c r="G48" i="3"/>
  <c r="G47" i="3"/>
  <c r="G46" i="3"/>
  <c r="G45" i="3"/>
  <c r="G43" i="3"/>
  <c r="G42" i="3"/>
  <c r="G41" i="3"/>
  <c r="G40" i="3"/>
  <c r="G39" i="3"/>
  <c r="G38" i="3"/>
  <c r="G13" i="3"/>
  <c r="G14" i="3"/>
  <c r="G15" i="3"/>
  <c r="G16" i="3"/>
  <c r="G17" i="3"/>
  <c r="G18" i="3"/>
  <c r="G19" i="3"/>
  <c r="G20" i="3"/>
  <c r="G21" i="3"/>
  <c r="G22" i="3"/>
  <c r="G23" i="3"/>
  <c r="G24" i="3"/>
  <c r="G25" i="3"/>
  <c r="G26" i="3"/>
  <c r="G27" i="3"/>
  <c r="G28" i="3"/>
  <c r="G29" i="3"/>
  <c r="G30" i="3"/>
  <c r="G31" i="3"/>
  <c r="G32" i="3"/>
  <c r="G33" i="3"/>
  <c r="G34" i="3"/>
  <c r="G35" i="3"/>
  <c r="G12" i="3"/>
  <c r="R9" i="2"/>
  <c r="R10" i="2"/>
  <c r="R11" i="2"/>
  <c r="R12" i="2"/>
  <c r="R13" i="2"/>
  <c r="R14" i="2"/>
  <c r="R15" i="2"/>
  <c r="R16" i="2"/>
  <c r="R17" i="2"/>
  <c r="R18" i="2"/>
  <c r="R19" i="2"/>
  <c r="R20" i="2"/>
  <c r="R21" i="2"/>
  <c r="R22" i="2"/>
  <c r="R23" i="2"/>
  <c r="R24" i="2"/>
  <c r="R25" i="2"/>
  <c r="R26" i="2"/>
  <c r="R27" i="2"/>
  <c r="R28" i="2"/>
  <c r="R29" i="2"/>
  <c r="R30" i="2"/>
  <c r="R31" i="2"/>
  <c r="R8" i="2"/>
  <c r="N31" i="2"/>
  <c r="F31" i="2"/>
  <c r="N30" i="2"/>
  <c r="F30" i="2"/>
  <c r="N29" i="2"/>
  <c r="F29" i="2"/>
  <c r="N28" i="2"/>
  <c r="F28" i="2"/>
  <c r="N27" i="2"/>
  <c r="F27" i="2"/>
  <c r="N26" i="2"/>
  <c r="F26" i="2"/>
  <c r="N25" i="2"/>
  <c r="F25" i="2"/>
  <c r="N24" i="2"/>
  <c r="F24" i="2"/>
  <c r="N23" i="2"/>
  <c r="F23" i="2"/>
  <c r="N22" i="2"/>
  <c r="F22" i="2"/>
  <c r="N21" i="2"/>
  <c r="F21" i="2"/>
  <c r="N20" i="2"/>
  <c r="F20" i="2"/>
  <c r="N19" i="2"/>
  <c r="F19" i="2"/>
  <c r="N18" i="2"/>
  <c r="F18" i="2"/>
  <c r="N17" i="2"/>
  <c r="F17" i="2"/>
  <c r="N16" i="2"/>
  <c r="F16" i="2"/>
  <c r="N15" i="2"/>
  <c r="F15" i="2"/>
  <c r="N14" i="2"/>
  <c r="F14" i="2"/>
  <c r="N13" i="2"/>
  <c r="F13" i="2"/>
  <c r="N12" i="2"/>
  <c r="F12" i="2"/>
  <c r="N11" i="2"/>
  <c r="F11" i="2"/>
  <c r="N10" i="2"/>
  <c r="F10" i="2"/>
  <c r="N9" i="2"/>
  <c r="F9" i="2"/>
  <c r="N8" i="2"/>
  <c r="F8" i="2"/>
  <c r="L52" i="1"/>
  <c r="N52" i="1" s="1"/>
  <c r="K52" i="1"/>
  <c r="E52" i="1"/>
  <c r="F52" i="1" s="1"/>
  <c r="M50" i="3" l="1"/>
  <c r="M30" i="3"/>
  <c r="M41" i="3"/>
  <c r="M29" i="3"/>
  <c r="M13" i="3"/>
  <c r="M38" i="3"/>
  <c r="M34" i="3"/>
  <c r="M26" i="3"/>
  <c r="M25" i="3"/>
  <c r="M17" i="3"/>
  <c r="M45" i="3"/>
  <c r="M18" i="3"/>
  <c r="M42" i="3"/>
  <c r="M16" i="3"/>
  <c r="M49" i="3"/>
  <c r="L20" i="3"/>
  <c r="M20" i="3" s="1"/>
  <c r="L40" i="3"/>
  <c r="M40" i="3" s="1"/>
  <c r="L32" i="3"/>
  <c r="M32" i="3" s="1"/>
  <c r="L24" i="3"/>
  <c r="M24" i="3" s="1"/>
  <c r="L16" i="3"/>
  <c r="L28" i="3"/>
  <c r="M28" i="3" s="1"/>
  <c r="L39" i="3"/>
  <c r="M39" i="3" s="1"/>
  <c r="L31" i="3"/>
  <c r="M31" i="3" s="1"/>
  <c r="L23" i="3"/>
  <c r="M23" i="3" s="1"/>
  <c r="L15" i="3"/>
  <c r="M15" i="3" s="1"/>
  <c r="L48" i="3"/>
  <c r="M48" i="3" s="1"/>
  <c r="L43" i="3"/>
  <c r="M43" i="3" s="1"/>
  <c r="L14" i="3"/>
  <c r="M14" i="3" s="1"/>
  <c r="L47" i="3"/>
  <c r="M47" i="3" s="1"/>
  <c r="K24" i="3"/>
  <c r="K16" i="3"/>
  <c r="K40" i="3"/>
  <c r="K32" i="3"/>
  <c r="L12" i="3"/>
  <c r="M12" i="3" s="1"/>
  <c r="F55" i="3"/>
  <c r="F56" i="3" s="1"/>
  <c r="BC36" i="1"/>
  <c r="BD36" i="1"/>
  <c r="BE36" i="1"/>
  <c r="BB36" i="1"/>
  <c r="H36" i="1"/>
  <c r="H37" i="1"/>
  <c r="H38" i="1"/>
  <c r="H39" i="1"/>
  <c r="H42" i="1"/>
  <c r="H43" i="1"/>
  <c r="H44" i="1"/>
  <c r="H45" i="1"/>
  <c r="H46" i="1"/>
  <c r="H47" i="1"/>
  <c r="H35" i="1"/>
  <c r="BE12" i="1"/>
  <c r="BE11" i="1"/>
  <c r="BD11" i="1"/>
  <c r="BC10" i="1"/>
  <c r="BD10" i="1"/>
  <c r="BE10" i="1"/>
  <c r="BC9" i="1"/>
  <c r="BD9" i="1"/>
  <c r="BE9" i="1"/>
  <c r="BB9" i="1"/>
  <c r="BB6" i="1"/>
  <c r="BC6" i="1"/>
  <c r="BD6" i="1"/>
  <c r="BE6" i="1"/>
  <c r="BA6" i="1"/>
  <c r="L60" i="3" l="1"/>
  <c r="L59" i="3"/>
  <c r="F60" i="3"/>
  <c r="G60" i="3" s="1"/>
  <c r="I60" i="3" s="1"/>
  <c r="F59" i="3"/>
  <c r="K55" i="3"/>
  <c r="L52" i="3"/>
  <c r="M52" i="3" s="1"/>
  <c r="AA52" i="1"/>
  <c r="AA53" i="1" s="1"/>
  <c r="Z52" i="1"/>
  <c r="Z53" i="1" s="1"/>
  <c r="AN4" i="1"/>
  <c r="AN5" i="1" s="1"/>
  <c r="AM4" i="1"/>
  <c r="AM5" i="1" s="1"/>
  <c r="N47" i="1"/>
  <c r="G47" i="1" s="1"/>
  <c r="N46" i="1"/>
  <c r="G46" i="1" s="1"/>
  <c r="N43" i="1"/>
  <c r="G43" i="1" s="1"/>
  <c r="N42" i="1"/>
  <c r="G42" i="1" s="1"/>
  <c r="F42" i="1"/>
  <c r="F35" i="1"/>
  <c r="C47" i="1"/>
  <c r="F47" i="1" s="1"/>
  <c r="C46" i="1"/>
  <c r="F46" i="1" s="1"/>
  <c r="C45" i="1"/>
  <c r="F45" i="1" s="1"/>
  <c r="C44" i="1"/>
  <c r="F44" i="1" s="1"/>
  <c r="C43" i="1"/>
  <c r="C40" i="1"/>
  <c r="C39" i="1"/>
  <c r="F39" i="1" s="1"/>
  <c r="C38" i="1"/>
  <c r="F38" i="1" s="1"/>
  <c r="C37" i="1"/>
  <c r="F37" i="1" s="1"/>
  <c r="C36" i="1"/>
  <c r="F36" i="1" s="1"/>
  <c r="N9" i="1"/>
  <c r="G9" i="1" s="1"/>
  <c r="N10" i="1"/>
  <c r="G10" i="1" s="1"/>
  <c r="N11" i="1"/>
  <c r="G11" i="1" s="1"/>
  <c r="N12" i="1"/>
  <c r="G12" i="1" s="1"/>
  <c r="N13" i="1"/>
  <c r="G13" i="1" s="1"/>
  <c r="N14" i="1"/>
  <c r="G14" i="1" s="1"/>
  <c r="N15" i="1"/>
  <c r="G15" i="1" s="1"/>
  <c r="N16" i="1"/>
  <c r="G16" i="1" s="1"/>
  <c r="N17" i="1"/>
  <c r="G17" i="1" s="1"/>
  <c r="N18" i="1"/>
  <c r="G18" i="1" s="1"/>
  <c r="N19" i="1"/>
  <c r="G19" i="1" s="1"/>
  <c r="N20" i="1"/>
  <c r="G20" i="1" s="1"/>
  <c r="N21" i="1"/>
  <c r="G21" i="1" s="1"/>
  <c r="N22" i="1"/>
  <c r="G22" i="1" s="1"/>
  <c r="N23" i="1"/>
  <c r="G23" i="1" s="1"/>
  <c r="N24" i="1"/>
  <c r="G24" i="1" s="1"/>
  <c r="N25" i="1"/>
  <c r="G25" i="1" s="1"/>
  <c r="N26" i="1"/>
  <c r="G26" i="1" s="1"/>
  <c r="N27" i="1"/>
  <c r="G27" i="1" s="1"/>
  <c r="N28" i="1"/>
  <c r="G28" i="1" s="1"/>
  <c r="N29" i="1"/>
  <c r="G29" i="1" s="1"/>
  <c r="N30" i="1"/>
  <c r="G30" i="1" s="1"/>
  <c r="N31" i="1"/>
  <c r="G31" i="1" s="1"/>
  <c r="N35" i="1"/>
  <c r="G35" i="1" s="1"/>
  <c r="N36" i="1"/>
  <c r="G36" i="1" s="1"/>
  <c r="N37" i="1"/>
  <c r="G37" i="1" s="1"/>
  <c r="N38" i="1"/>
  <c r="G38" i="1" s="1"/>
  <c r="N39" i="1"/>
  <c r="G39" i="1" s="1"/>
  <c r="N40" i="1"/>
  <c r="N44" i="1"/>
  <c r="G44" i="1" s="1"/>
  <c r="N45" i="1"/>
  <c r="G45" i="1" s="1"/>
  <c r="N8" i="1"/>
  <c r="G8" i="1" s="1"/>
  <c r="F31" i="1"/>
  <c r="F30" i="1"/>
  <c r="F29" i="1"/>
  <c r="F28" i="1"/>
  <c r="F27" i="1"/>
  <c r="F26" i="1"/>
  <c r="F25" i="1"/>
  <c r="F24" i="1"/>
  <c r="F23" i="1"/>
  <c r="F22" i="1"/>
  <c r="F21" i="1"/>
  <c r="F20" i="1"/>
  <c r="F19" i="1"/>
  <c r="F18" i="1"/>
  <c r="F17" i="1"/>
  <c r="F16" i="1"/>
  <c r="F15" i="1"/>
  <c r="F14" i="1"/>
  <c r="F13" i="1"/>
  <c r="F12" i="1"/>
  <c r="F11" i="1"/>
  <c r="F10" i="1"/>
  <c r="F9" i="1"/>
  <c r="F8" i="1"/>
  <c r="G59" i="3" l="1"/>
  <c r="L55" i="3"/>
  <c r="F43" i="1"/>
  <c r="J55" i="3" l="1"/>
  <c r="N14" i="3"/>
  <c r="N15" i="3"/>
  <c r="N23" i="3"/>
  <c r="N31" i="3"/>
  <c r="N41" i="3"/>
  <c r="N50" i="3"/>
  <c r="N27" i="3"/>
  <c r="N20" i="3"/>
  <c r="N13" i="3"/>
  <c r="N22" i="3"/>
  <c r="N16" i="3"/>
  <c r="N24" i="3"/>
  <c r="N32" i="3"/>
  <c r="N42" i="3"/>
  <c r="N52" i="3"/>
  <c r="N34" i="3"/>
  <c r="N12" i="3"/>
  <c r="N35" i="3"/>
  <c r="N28" i="3"/>
  <c r="N47" i="3"/>
  <c r="N21" i="3"/>
  <c r="N48" i="3"/>
  <c r="N30" i="3"/>
  <c r="N17" i="3"/>
  <c r="N25" i="3"/>
  <c r="N33" i="3"/>
  <c r="N43" i="3"/>
  <c r="N53" i="3"/>
  <c r="N26" i="3"/>
  <c r="N45" i="3"/>
  <c r="N19" i="3"/>
  <c r="N46" i="3"/>
  <c r="N38" i="3"/>
  <c r="N39" i="3"/>
  <c r="N40" i="3"/>
  <c r="N18" i="3"/>
  <c r="N29" i="3"/>
  <c r="N49" i="3"/>
</calcChain>
</file>

<file path=xl/sharedStrings.xml><?xml version="1.0" encoding="utf-8"?>
<sst xmlns="http://schemas.openxmlformats.org/spreadsheetml/2006/main" count="455" uniqueCount="196">
  <si>
    <t xml:space="preserve">Totalareal (km2) </t>
  </si>
  <si>
    <t xml:space="preserve">Mål vinter-stamme </t>
  </si>
  <si>
    <t xml:space="preserve">Vinter-stamme </t>
  </si>
  <si>
    <t>ant/km2</t>
  </si>
  <si>
    <t xml:space="preserve">Setesdal - Ryfylke </t>
  </si>
  <si>
    <t xml:space="preserve">Setesdal - Austhei </t>
  </si>
  <si>
    <t xml:space="preserve">Skaulen - Etnefjella </t>
  </si>
  <si>
    <t xml:space="preserve">Våmur - Roan </t>
  </si>
  <si>
    <t xml:space="preserve">Brattefjell - Vindeggen </t>
  </si>
  <si>
    <t xml:space="preserve">Blefjell </t>
  </si>
  <si>
    <t xml:space="preserve">Hardangervidda </t>
  </si>
  <si>
    <t xml:space="preserve">Norefjell - Reinsjøfjell </t>
  </si>
  <si>
    <t xml:space="preserve">Oksenhalvøya </t>
  </si>
  <si>
    <t xml:space="preserve">Fjellheimen </t>
  </si>
  <si>
    <t xml:space="preserve">Nordfjella </t>
  </si>
  <si>
    <t xml:space="preserve">Lærdal - Årdal </t>
  </si>
  <si>
    <t xml:space="preserve">Vest - Jotunheimen </t>
  </si>
  <si>
    <t xml:space="preserve">Sunnfjord </t>
  </si>
  <si>
    <t xml:space="preserve">Førdefjella </t>
  </si>
  <si>
    <t xml:space="preserve">Svartebotnen </t>
  </si>
  <si>
    <t xml:space="preserve">Reinheimen - Breheimen </t>
  </si>
  <si>
    <t xml:space="preserve">Snøhetta </t>
  </si>
  <si>
    <t xml:space="preserve">Rondane </t>
  </si>
  <si>
    <t xml:space="preserve">Sølnkletten </t>
  </si>
  <si>
    <t xml:space="preserve">Tolga Østfjell </t>
  </si>
  <si>
    <t xml:space="preserve">Forollhogna </t>
  </si>
  <si>
    <t xml:space="preserve">Knutshø </t>
  </si>
  <si>
    <t>Raudafjell</t>
  </si>
  <si>
    <t>Tall for villrein og tamrein - bestander og områder, samt ymse kaakteristika for områdene</t>
  </si>
  <si>
    <t>Arealtall dels fra NINA Rapp 1400, avlest  fra kart (tamrein), og GIS</t>
  </si>
  <si>
    <t>Område karalteristikk dels fra NINA Rapp 1400, reinbase.no og GIS</t>
  </si>
  <si>
    <t>Tamreinområder</t>
  </si>
  <si>
    <t>Villreinområder</t>
  </si>
  <si>
    <t>tall fra NINA Rapp 1400</t>
  </si>
  <si>
    <t>Beiter totalt (%)</t>
  </si>
  <si>
    <t>Vinter-beiter (%)</t>
  </si>
  <si>
    <t>Barmarks-beiter (%)</t>
  </si>
  <si>
    <t>tall fra GIS</t>
  </si>
  <si>
    <t>Totalreal (km2)</t>
  </si>
  <si>
    <t>Fjellareal (km2)</t>
  </si>
  <si>
    <t>Annet areal (km2)</t>
  </si>
  <si>
    <t>Trollheimen</t>
  </si>
  <si>
    <t>Nordland</t>
  </si>
  <si>
    <t>Troms</t>
  </si>
  <si>
    <t>Nord-Trøndelag</t>
  </si>
  <si>
    <t>Bestandstall fra hhv NINA Rapp 1400 og reinbase.no (anslått for Raudafjell); snitt for mål vinterstamme med rødt; anlag for bestand Tolga-Østfjell med rødt)</t>
  </si>
  <si>
    <t>TRI-mean</t>
  </si>
  <si>
    <t>TRI-SD</t>
  </si>
  <si>
    <t>ISI-mean</t>
  </si>
  <si>
    <t>ISI-SD</t>
  </si>
  <si>
    <t>NDVI-mean</t>
  </si>
  <si>
    <t>NDVI-SD</t>
  </si>
  <si>
    <t>andel fjell</t>
  </si>
  <si>
    <t>Fjell uten rein - sør</t>
  </si>
  <si>
    <t>Fjell uten rein - nord</t>
  </si>
  <si>
    <t>Øst-Finnmark</t>
  </si>
  <si>
    <t>Vest-Finnmark</t>
  </si>
  <si>
    <t>Sør-Trøndelag/Hedmark</t>
  </si>
  <si>
    <t>Lom Tamreinlag</t>
  </si>
  <si>
    <t>Vågå Tamreinlag</t>
  </si>
  <si>
    <t>Fram Reinlag</t>
  </si>
  <si>
    <t>Filefjell Reinlag</t>
  </si>
  <si>
    <t>Rendal Renselskap</t>
  </si>
  <si>
    <t>Bestand  i fjell</t>
  </si>
  <si>
    <t>R2</t>
  </si>
  <si>
    <t>p</t>
  </si>
  <si>
    <t>signifikansnivåer (df=22)</t>
  </si>
  <si>
    <t>røde=samiske</t>
  </si>
  <si>
    <t>blå=tamreinlag</t>
  </si>
  <si>
    <t>signifikansnivåer (df=9)</t>
  </si>
  <si>
    <t>region</t>
  </si>
  <si>
    <t>S</t>
  </si>
  <si>
    <t>V</t>
  </si>
  <si>
    <t>Ø</t>
  </si>
  <si>
    <t>N</t>
  </si>
  <si>
    <t>område</t>
  </si>
  <si>
    <t>Korrelasjoner mellom tetthet og ymse karakteristika ved områdene</t>
  </si>
  <si>
    <t>beiteandel</t>
  </si>
  <si>
    <t>fjellandel</t>
  </si>
  <si>
    <t>NDVI</t>
  </si>
  <si>
    <t>TRI</t>
  </si>
  <si>
    <t>ISI</t>
  </si>
  <si>
    <t>r</t>
  </si>
  <si>
    <t>TRI, ISI, NDVI er her beregnet for hele området, ikke bare fjell</t>
  </si>
  <si>
    <t>signifikante korrelasjoner markert med gult</t>
  </si>
  <si>
    <t>Korrelasjon  medllom tetthet  og</t>
  </si>
  <si>
    <t>Rendalen</t>
  </si>
  <si>
    <t>Lom</t>
  </si>
  <si>
    <t>Vågå</t>
  </si>
  <si>
    <t>Fram</t>
  </si>
  <si>
    <t>Filefjell</t>
  </si>
  <si>
    <t>ST-He</t>
  </si>
  <si>
    <t>NT</t>
  </si>
  <si>
    <t>No</t>
  </si>
  <si>
    <t>Tr</t>
  </si>
  <si>
    <t>V-Fi</t>
  </si>
  <si>
    <t>Ø-Fi</t>
  </si>
  <si>
    <t>total reinbestand i reinområdene</t>
  </si>
  <si>
    <t>mål/km2</t>
  </si>
  <si>
    <t>andel beiter (%)</t>
  </si>
  <si>
    <t>Forsøk på beregning av referanseverdier</t>
  </si>
  <si>
    <t>Sammenheng med tetthet for bestandsmål</t>
  </si>
  <si>
    <t>bestand</t>
  </si>
  <si>
    <t>Villreinområde</t>
  </si>
  <si>
    <t>fjellareal</t>
  </si>
  <si>
    <t>Totalreal</t>
  </si>
  <si>
    <t>km2</t>
  </si>
  <si>
    <t>antall</t>
  </si>
  <si>
    <t>Tamreinområde</t>
  </si>
  <si>
    <t>fjellbestand</t>
  </si>
  <si>
    <t>obs tetthet</t>
  </si>
  <si>
    <t>totalt</t>
  </si>
  <si>
    <t>andel</t>
  </si>
  <si>
    <t xml:space="preserve"> - Det antas at tettheten i fjell er den samme som i skog etc, dvs at fjellbestanden utgjør samme andel av totalbestanden som andelen fjellareal i området.</t>
  </si>
  <si>
    <t xml:space="preserve"> - Det antas at bestandsmålet er satt for å optmalisere jaktuttak med vedlikehold av beitene. I referansetilstanden vil effekten av store rovdyr komme i tillegg. Dette tilsier en lavere ref.bestand enn bestandsmålet, kanskje 50-75% av bestandsmålet.</t>
  </si>
  <si>
    <t xml:space="preserve"> - Ut fra ref.tettheten og fjellarealet i området beregnes en forventet fjellbestand under ref.tilstanden</t>
  </si>
  <si>
    <t>TRI-fjell</t>
  </si>
  <si>
    <t>NB Disse sammenhengene er vist for hele bestanden og hele omrpdet, ikke bare fjell</t>
  </si>
  <si>
    <t>Sammenhenger mellom andelen av bestandsmlået for fjelldelen av områdene</t>
  </si>
  <si>
    <t xml:space="preserve"> - Fjelldelen av bestanden er antatt å utgjøre samme andel av totalbestanden som fjellarelaet utgjør av totalarealet, dvs at tettheten i fjell og annet areal er likt totaltetteten</t>
  </si>
  <si>
    <t xml:space="preserve"> - Egenskapene for områdene er beregnet for fjelldelen av områdene</t>
  </si>
  <si>
    <t>av hele området</t>
  </si>
  <si>
    <t>ISI-fjell</t>
  </si>
  <si>
    <t>NDVI-fjell</t>
  </si>
  <si>
    <t>TRI, ISI, NDVI gjelder bare fjelldelen av området</t>
  </si>
  <si>
    <t>Vinter-stamme snitt 16-20</t>
  </si>
  <si>
    <t/>
  </si>
  <si>
    <t>Sør-Trøndelag og Hedmark</t>
  </si>
  <si>
    <t>Tamreinlag</t>
  </si>
  <si>
    <t>snitt 16-20</t>
  </si>
  <si>
    <t>max</t>
  </si>
  <si>
    <t>areal</t>
  </si>
  <si>
    <t>snitt tetthet</t>
  </si>
  <si>
    <t>max tetthet</t>
  </si>
  <si>
    <t>ant/km2 snitt 16-20</t>
  </si>
  <si>
    <t xml:space="preserve"> - Fot tamrein er dagens bestand (og tetthet) gjennomsnitt for  2016-2020. For villrein er det bestandstall fra NINA Rapp 1400.</t>
  </si>
  <si>
    <t>arealandel</t>
  </si>
  <si>
    <t>kun sum for områder med rein</t>
  </si>
  <si>
    <t>max tetthet fra TRI-funksjonen</t>
  </si>
  <si>
    <t>lineær</t>
  </si>
  <si>
    <t>eksponent</t>
  </si>
  <si>
    <t>power</t>
  </si>
  <si>
    <t>min tetthet</t>
  </si>
  <si>
    <t>TRI v/min</t>
  </si>
  <si>
    <t>TRI v/max</t>
  </si>
  <si>
    <t>&gt;0</t>
  </si>
  <si>
    <t>uendelig</t>
  </si>
  <si>
    <t>Ulike tetthetsfunksjoner av TRI</t>
  </si>
  <si>
    <t>100 mill.</t>
  </si>
  <si>
    <t>Ved å fjerne Skaulen-Etnefjell blir sammenhengen mye bedre:</t>
  </si>
  <si>
    <t>tetthet = 1,0759*EXP(-0,001*TRI) (R2=0,70016)</t>
  </si>
  <si>
    <t>Imidlertid har Skaulen-Entefjell (rød ring) svært lav tetthet for sin TRI-verdi,</t>
  </si>
  <si>
    <t>Vi velger å bruke denne samemnhengen for å beregne ref.verdien</t>
  </si>
  <si>
    <t>Sammenheng mellom bestandsmåltetthet og TRI</t>
  </si>
  <si>
    <t>ref.tetthet 0,5</t>
  </si>
  <si>
    <t>ref. fjell-best 0,5</t>
  </si>
  <si>
    <t xml:space="preserve"> - For å kunne beregne en ref.verdi også for arealer som ikke har fastsatt bestandsmål, legger vi til grunn at TRI er den viktigste prediktoren for områdenes bæreevne (jf sammenhengene på foregående sider), dvs at forventet tetthet = K*1,0759*exp(-0,001*TRI), der faktoren K nedjusterer ref.tettheten ift tetthet basert på bestandsmålet for å ta hensyn til effekten av store rovdyr</t>
  </si>
  <si>
    <t xml:space="preserve"> - Her er TRI-verdien for fjelldelen av områdene lagt til grunn</t>
  </si>
  <si>
    <t>kvadsumavvik</t>
  </si>
  <si>
    <t>original ref tett</t>
  </si>
  <si>
    <t>For gitte data: tetthet = 1,0111*EXP(-0,001*TRI) (R2=0,5275)</t>
  </si>
  <si>
    <t>justert ref tetthet</t>
  </si>
  <si>
    <t>ref.tetthet</t>
  </si>
  <si>
    <t>snitt/ref</t>
  </si>
  <si>
    <t>max/ref</t>
  </si>
  <si>
    <t>målt</t>
  </si>
  <si>
    <t>skalert</t>
  </si>
  <si>
    <t>diff bestand-ref</t>
  </si>
  <si>
    <t>sum for bestand &lt; ref</t>
  </si>
  <si>
    <t>sum for bestand &gt; ref</t>
  </si>
  <si>
    <t>sum ref.bestand</t>
  </si>
  <si>
    <t>sum obs.bestand</t>
  </si>
  <si>
    <t>grense GØT</t>
  </si>
  <si>
    <t>andel ref.bestand</t>
  </si>
  <si>
    <t>skalert verdi</t>
  </si>
  <si>
    <t>alt fjellareal i hele landet</t>
  </si>
  <si>
    <t xml:space="preserve"> - Foreløpig er bare beregnet skalerte verdier for hele landet basert på dagens fjellbestand (obs) og ref.bestand for områder der hhv obs/ref&lt;1 og obs/ref&gt;1</t>
  </si>
  <si>
    <t>ref.tetthet 0,75</t>
  </si>
  <si>
    <t>ref. fjell-best 0,75</t>
  </si>
  <si>
    <t>andel ref-best 0,75</t>
  </si>
  <si>
    <t>Midt</t>
  </si>
  <si>
    <t>Øst</t>
  </si>
  <si>
    <t>Nord</t>
  </si>
  <si>
    <t>Øst, Sør, Vest, Midt</t>
  </si>
  <si>
    <t>Midt (+liten bit i Nord)</t>
  </si>
  <si>
    <t>Nord (+liten bit i Midt)</t>
  </si>
  <si>
    <t>Midt, Øst (ca 20%)</t>
  </si>
  <si>
    <t>Øst, Vest (ca 20%)</t>
  </si>
  <si>
    <t>fordeling av områder på regioner (hele arealet, ikke bare fjell)</t>
  </si>
  <si>
    <t>Sør</t>
  </si>
  <si>
    <t>Øst, Sør, Vest</t>
  </si>
  <si>
    <t>Vest</t>
  </si>
  <si>
    <t>Øst, Vest</t>
  </si>
  <si>
    <t>Øst, Vest, Midt</t>
  </si>
  <si>
    <t>Øst, Midt</t>
  </si>
  <si>
    <t>Sør, Vest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</si>
</sst>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b/>
      <sz val="11"/>
      <color rgb="FF000000"/>
      <name val="Calibri"/>
      <family val="2"/>
    </font>
    <font>
      <sz val="11"/>
      <color rgb="FF000000"/>
      <name val="Calibri"/>
      <family val="2"/>
    </font>
    <font>
      <sz val="11"/>
      <color rgb="FFFF0000"/>
      <name val="Calibri"/>
      <family val="2"/>
    </font>
    <font>
      <sz val="11"/>
      <color rgb="FFC00000"/>
      <name val="Calibri"/>
      <family val="2"/>
    </font>
    <font>
      <b/>
      <sz val="14"/>
      <color theme="1"/>
      <name val="Calibri"/>
      <family val="2"/>
      <scheme val="minor"/>
    </font>
    <font>
      <sz val="11"/>
      <color rgb="FFC00000"/>
      <name val="Calibri"/>
      <family val="2"/>
      <scheme val="minor"/>
    </font>
    <font>
      <b/>
      <sz val="11"/>
      <color rgb="FFFF0000"/>
      <name val="Calibri"/>
      <family val="2"/>
    </font>
    <font>
      <sz val="11"/>
      <name val="Calibri"/>
      <family val="2"/>
      <scheme val="minor"/>
    </font>
    <font>
      <sz val="11"/>
      <name val="Calibri"/>
      <family val="2"/>
    </font>
    <font>
      <b/>
      <sz val="11"/>
      <color rgb="FFFF0000"/>
      <name val="Calibri"/>
      <family val="2"/>
      <scheme val="minor"/>
    </font>
    <font>
      <b/>
      <sz val="11"/>
      <name val="Calibri"/>
      <family val="2"/>
      <scheme val="minor"/>
    </font>
    <font>
      <b/>
      <sz val="11"/>
      <color rgb="FF00000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7" tint="0.59999389629810485"/>
        <bgColor indexed="64"/>
      </patternFill>
    </fill>
    <fill>
      <patternFill patternType="solid">
        <fgColor rgb="FF92D050"/>
        <bgColor indexed="64"/>
      </patternFill>
    </fill>
    <fill>
      <patternFill patternType="solid">
        <fgColor rgb="FF0070C0"/>
        <bgColor indexed="64"/>
      </patternFill>
    </fill>
    <fill>
      <patternFill patternType="solid">
        <fgColor rgb="FFFFC000"/>
        <bgColor indexed="64"/>
      </patternFill>
    </fill>
    <fill>
      <patternFill patternType="solid">
        <fgColor theme="5" tint="-0.249977111117893"/>
        <bgColor indexed="64"/>
      </patternFill>
    </fill>
    <fill>
      <patternFill patternType="solid">
        <fgColor theme="0"/>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14">
    <xf numFmtId="0" fontId="0" fillId="0" borderId="0" xfId="0"/>
    <xf numFmtId="0" fontId="3" fillId="0" borderId="0" xfId="0" applyFont="1" applyAlignment="1">
      <alignment wrapText="1"/>
    </xf>
    <xf numFmtId="0" fontId="3" fillId="0" borderId="0" xfId="0" applyFont="1" applyAlignment="1">
      <alignment horizontal="right" wrapText="1"/>
    </xf>
    <xf numFmtId="0" fontId="4" fillId="0" borderId="0" xfId="0" applyFont="1" applyAlignment="1">
      <alignment vertical="top" wrapText="1"/>
    </xf>
    <xf numFmtId="2" fontId="4" fillId="0" borderId="0" xfId="0" applyNumberFormat="1" applyFont="1" applyAlignment="1">
      <alignment horizontal="right" vertical="top" wrapText="1"/>
    </xf>
    <xf numFmtId="0" fontId="6" fillId="0" borderId="0" xfId="0" applyFont="1" applyAlignment="1">
      <alignment vertical="top" wrapText="1"/>
    </xf>
    <xf numFmtId="2" fontId="6" fillId="0" borderId="0" xfId="0" applyNumberFormat="1" applyFont="1" applyAlignment="1">
      <alignment horizontal="right" vertical="top" wrapText="1"/>
    </xf>
    <xf numFmtId="0" fontId="7" fillId="0" borderId="0" xfId="0" applyFont="1"/>
    <xf numFmtId="0" fontId="3" fillId="0" borderId="0" xfId="0" applyFont="1" applyAlignment="1">
      <alignment vertical="top" wrapText="1"/>
    </xf>
    <xf numFmtId="0" fontId="0" fillId="2" borderId="0" xfId="0" applyFill="1"/>
    <xf numFmtId="0" fontId="0" fillId="0" borderId="0" xfId="0" applyAlignment="1">
      <alignment horizontal="right"/>
    </xf>
    <xf numFmtId="0" fontId="2" fillId="0" borderId="0" xfId="0" applyFont="1" applyAlignment="1">
      <alignment horizontal="right" wrapText="1"/>
    </xf>
    <xf numFmtId="164" fontId="0" fillId="0" borderId="0" xfId="0" applyNumberFormat="1"/>
    <xf numFmtId="164" fontId="2" fillId="0" borderId="0" xfId="0" applyNumberFormat="1" applyFont="1" applyAlignment="1">
      <alignment horizontal="right" wrapText="1"/>
    </xf>
    <xf numFmtId="164" fontId="8" fillId="0" borderId="0" xfId="0" applyNumberFormat="1" applyFont="1"/>
    <xf numFmtId="0" fontId="2" fillId="0" borderId="0" xfId="0" applyFont="1" applyAlignment="1">
      <alignment horizontal="right"/>
    </xf>
    <xf numFmtId="0" fontId="0" fillId="3" borderId="0" xfId="0" applyFill="1"/>
    <xf numFmtId="3" fontId="0" fillId="0" borderId="0" xfId="0" applyNumberFormat="1"/>
    <xf numFmtId="0" fontId="2" fillId="3" borderId="0" xfId="0" applyFont="1" applyFill="1"/>
    <xf numFmtId="4" fontId="0" fillId="0" borderId="0" xfId="0" applyNumberFormat="1"/>
    <xf numFmtId="165" fontId="0" fillId="0" borderId="0" xfId="0" applyNumberFormat="1"/>
    <xf numFmtId="0" fontId="0" fillId="0" borderId="0" xfId="0" applyFill="1"/>
    <xf numFmtId="4" fontId="2" fillId="0" borderId="0" xfId="0" applyNumberFormat="1" applyFont="1" applyAlignment="1">
      <alignment horizontal="right" wrapText="1"/>
    </xf>
    <xf numFmtId="3" fontId="4" fillId="0" borderId="0" xfId="0" applyNumberFormat="1" applyFont="1" applyAlignment="1">
      <alignment horizontal="right" vertical="top" wrapText="1"/>
    </xf>
    <xf numFmtId="0" fontId="9" fillId="0" borderId="0" xfId="0" applyFont="1" applyAlignment="1">
      <alignment horizontal="right" wrapText="1"/>
    </xf>
    <xf numFmtId="3" fontId="5" fillId="0" borderId="0" xfId="0" applyNumberFormat="1" applyFont="1" applyAlignment="1">
      <alignment horizontal="right" vertical="top" wrapText="1"/>
    </xf>
    <xf numFmtId="3" fontId="0" fillId="0" borderId="0" xfId="0" applyNumberFormat="1" applyFill="1"/>
    <xf numFmtId="2" fontId="0" fillId="0" borderId="0" xfId="0" applyNumberFormat="1"/>
    <xf numFmtId="0" fontId="10" fillId="0" borderId="0" xfId="0" applyFont="1"/>
    <xf numFmtId="3" fontId="10" fillId="0" borderId="0" xfId="0" applyNumberFormat="1" applyFont="1"/>
    <xf numFmtId="3" fontId="0" fillId="2" borderId="0" xfId="0" applyNumberFormat="1" applyFill="1"/>
    <xf numFmtId="3" fontId="2" fillId="2" borderId="0" xfId="0" applyNumberFormat="1" applyFont="1" applyFill="1"/>
    <xf numFmtId="3" fontId="3" fillId="0" borderId="0" xfId="0" applyNumberFormat="1" applyFont="1" applyAlignment="1">
      <alignment horizontal="right" wrapText="1"/>
    </xf>
    <xf numFmtId="3" fontId="6" fillId="0" borderId="0" xfId="0" applyNumberFormat="1" applyFont="1" applyAlignment="1">
      <alignment horizontal="right" vertical="top" wrapText="1"/>
    </xf>
    <xf numFmtId="1" fontId="1" fillId="0" borderId="0" xfId="0" applyNumberFormat="1" applyFont="1"/>
    <xf numFmtId="165" fontId="0" fillId="0" borderId="0" xfId="0" applyNumberFormat="1" applyFill="1"/>
    <xf numFmtId="2" fontId="2" fillId="0" borderId="0" xfId="0" applyNumberFormat="1" applyFont="1" applyAlignment="1">
      <alignment horizontal="right"/>
    </xf>
    <xf numFmtId="2" fontId="2" fillId="0" borderId="0" xfId="0" applyNumberFormat="1" applyFont="1" applyAlignment="1">
      <alignment horizontal="right" wrapText="1"/>
    </xf>
    <xf numFmtId="2" fontId="10" fillId="0" borderId="0" xfId="0" applyNumberFormat="1" applyFont="1"/>
    <xf numFmtId="0" fontId="4" fillId="0" borderId="0" xfId="0" applyFont="1" applyAlignment="1">
      <alignment horizontal="center" vertical="top" wrapText="1"/>
    </xf>
    <xf numFmtId="0" fontId="6" fillId="0" borderId="0" xfId="0" applyFont="1" applyAlignment="1">
      <alignment horizontal="center" vertical="top" wrapText="1"/>
    </xf>
    <xf numFmtId="0" fontId="2" fillId="0" borderId="0" xfId="0" applyFont="1" applyAlignment="1">
      <alignment horizontal="left"/>
    </xf>
    <xf numFmtId="0" fontId="4" fillId="5" borderId="0" xfId="0" applyFont="1" applyFill="1" applyAlignment="1">
      <alignment horizontal="center" vertical="top" wrapText="1"/>
    </xf>
    <xf numFmtId="0" fontId="4" fillId="6" borderId="0" xfId="0" applyFont="1" applyFill="1" applyAlignment="1">
      <alignment horizontal="center" vertical="top" wrapText="1"/>
    </xf>
    <xf numFmtId="0" fontId="4" fillId="4" borderId="0" xfId="0" applyFont="1" applyFill="1" applyAlignment="1">
      <alignment horizontal="center" vertical="top" wrapText="1"/>
    </xf>
    <xf numFmtId="0" fontId="4" fillId="7" borderId="0" xfId="0" applyFont="1" applyFill="1" applyAlignment="1">
      <alignment horizontal="center" vertical="top" wrapText="1"/>
    </xf>
    <xf numFmtId="0" fontId="11" fillId="7" borderId="0" xfId="0" applyFont="1" applyFill="1" applyAlignment="1">
      <alignment horizontal="center" vertical="top" wrapText="1"/>
    </xf>
    <xf numFmtId="165" fontId="0" fillId="8" borderId="0" xfId="0" applyNumberFormat="1" applyFill="1"/>
    <xf numFmtId="0" fontId="2" fillId="0" borderId="0" xfId="0" applyFont="1"/>
    <xf numFmtId="165" fontId="0" fillId="2" borderId="0" xfId="0" applyNumberFormat="1" applyFill="1"/>
    <xf numFmtId="0" fontId="4" fillId="0" borderId="0" xfId="0" applyFont="1" applyFill="1" applyAlignment="1">
      <alignment horizontal="center" vertical="top" wrapText="1"/>
    </xf>
    <xf numFmtId="0" fontId="4" fillId="0" borderId="0" xfId="0" applyFont="1" applyFill="1" applyAlignment="1">
      <alignment vertical="top" wrapText="1"/>
    </xf>
    <xf numFmtId="3" fontId="4" fillId="0" borderId="0" xfId="0" applyNumberFormat="1" applyFont="1" applyFill="1" applyAlignment="1">
      <alignment horizontal="right" vertical="top" wrapText="1"/>
    </xf>
    <xf numFmtId="2" fontId="4" fillId="0" borderId="0" xfId="0" applyNumberFormat="1" applyFont="1" applyFill="1" applyAlignment="1">
      <alignment horizontal="right" vertical="top" wrapText="1"/>
    </xf>
    <xf numFmtId="164" fontId="0" fillId="0" borderId="0" xfId="0" applyNumberFormat="1" applyFill="1"/>
    <xf numFmtId="4" fontId="0" fillId="0" borderId="0" xfId="0" applyNumberFormat="1" applyFill="1"/>
    <xf numFmtId="2" fontId="0" fillId="0" borderId="0" xfId="0" applyNumberFormat="1" applyFill="1"/>
    <xf numFmtId="3" fontId="5" fillId="0" borderId="0" xfId="0" applyNumberFormat="1" applyFont="1" applyFill="1" applyAlignment="1">
      <alignment horizontal="right" vertical="top" wrapText="1"/>
    </xf>
    <xf numFmtId="0" fontId="6" fillId="0" borderId="0" xfId="0" applyFont="1" applyFill="1" applyAlignment="1">
      <alignment horizontal="center" vertical="top" wrapText="1"/>
    </xf>
    <xf numFmtId="0" fontId="6" fillId="0" borderId="0" xfId="0" applyFont="1" applyFill="1" applyAlignment="1">
      <alignment vertical="top" wrapText="1"/>
    </xf>
    <xf numFmtId="3" fontId="6" fillId="0" borderId="0" xfId="0" applyNumberFormat="1" applyFont="1" applyFill="1" applyAlignment="1">
      <alignment horizontal="right" vertical="top" wrapText="1"/>
    </xf>
    <xf numFmtId="2" fontId="6" fillId="0" borderId="0" xfId="0" applyNumberFormat="1" applyFont="1" applyFill="1" applyAlignment="1">
      <alignment horizontal="right" vertical="top" wrapText="1"/>
    </xf>
    <xf numFmtId="164" fontId="8" fillId="0" borderId="0" xfId="0" applyNumberFormat="1" applyFont="1" applyFill="1"/>
    <xf numFmtId="0" fontId="0" fillId="0" borderId="0" xfId="0" applyAlignment="1">
      <alignment wrapText="1"/>
    </xf>
    <xf numFmtId="0" fontId="10" fillId="0" borderId="0" xfId="0" applyFont="1" applyFill="1" applyAlignment="1">
      <alignment horizontal="right" wrapText="1"/>
    </xf>
    <xf numFmtId="0" fontId="0" fillId="0" borderId="0" xfId="0" applyAlignment="1">
      <alignment horizontal="right" wrapText="1"/>
    </xf>
    <xf numFmtId="0" fontId="10" fillId="0" borderId="0" xfId="0" applyFont="1" applyFill="1" applyAlignment="1"/>
    <xf numFmtId="0" fontId="2" fillId="2" borderId="0" xfId="0" applyFont="1" applyFill="1" applyAlignment="1">
      <alignment horizontal="right" wrapText="1"/>
    </xf>
    <xf numFmtId="2" fontId="0" fillId="2" borderId="0" xfId="0" applyNumberFormat="1" applyFill="1"/>
    <xf numFmtId="0" fontId="3" fillId="0" borderId="0" xfId="0" applyFont="1" applyFill="1" applyAlignment="1">
      <alignment vertical="top" wrapText="1"/>
    </xf>
    <xf numFmtId="0" fontId="2" fillId="0" borderId="0" xfId="0" applyFont="1" applyAlignment="1">
      <alignment horizontal="left" wrapText="1"/>
    </xf>
    <xf numFmtId="3" fontId="2" fillId="0" borderId="0" xfId="0" applyNumberFormat="1" applyFont="1"/>
    <xf numFmtId="4" fontId="2" fillId="0" borderId="0" xfId="0" applyNumberFormat="1" applyFont="1"/>
    <xf numFmtId="0" fontId="1" fillId="0" borderId="0" xfId="0" applyFont="1"/>
    <xf numFmtId="0" fontId="1" fillId="0" borderId="0" xfId="0" applyFont="1" applyAlignment="1">
      <alignment horizontal="right"/>
    </xf>
    <xf numFmtId="3" fontId="1" fillId="0" borderId="0" xfId="0" applyNumberFormat="1" applyFont="1"/>
    <xf numFmtId="3" fontId="12" fillId="0" borderId="0" xfId="0" applyNumberFormat="1" applyFont="1"/>
    <xf numFmtId="0" fontId="12" fillId="3" borderId="0" xfId="0" applyFont="1" applyFill="1"/>
    <xf numFmtId="0" fontId="13" fillId="0" borderId="0" xfId="0" applyFont="1" applyAlignment="1">
      <alignment horizontal="right"/>
    </xf>
    <xf numFmtId="165" fontId="10" fillId="0" borderId="0" xfId="0" applyNumberFormat="1" applyFont="1" applyFill="1"/>
    <xf numFmtId="0" fontId="13" fillId="0" borderId="0" xfId="0" applyFont="1" applyAlignment="1">
      <alignment horizontal="right" wrapText="1"/>
    </xf>
    <xf numFmtId="3" fontId="10" fillId="0" borderId="0" xfId="0" applyNumberFormat="1" applyFont="1" applyFill="1"/>
    <xf numFmtId="0" fontId="1" fillId="0" borderId="0" xfId="0" applyFont="1" applyFill="1"/>
    <xf numFmtId="0" fontId="14" fillId="0" borderId="0" xfId="0" applyFont="1" applyAlignment="1">
      <alignment horizontal="right"/>
    </xf>
    <xf numFmtId="3" fontId="2" fillId="0" borderId="0" xfId="0" applyNumberFormat="1" applyFont="1" applyAlignment="1">
      <alignment horizontal="right"/>
    </xf>
    <xf numFmtId="3" fontId="0" fillId="0" borderId="0" xfId="0" applyNumberFormat="1" applyAlignment="1">
      <alignment horizontal="right"/>
    </xf>
    <xf numFmtId="0" fontId="0" fillId="0" borderId="0" xfId="0" applyFill="1" applyAlignment="1">
      <alignment horizontal="right"/>
    </xf>
    <xf numFmtId="0" fontId="2" fillId="0" borderId="0" xfId="0" applyFont="1" applyFill="1" applyAlignment="1">
      <alignment horizontal="right"/>
    </xf>
    <xf numFmtId="2" fontId="1" fillId="0" borderId="0" xfId="0" applyNumberFormat="1" applyFont="1"/>
    <xf numFmtId="1" fontId="0" fillId="0" borderId="0" xfId="0" applyNumberFormat="1"/>
    <xf numFmtId="0" fontId="0" fillId="0" borderId="0" xfId="0" applyFont="1"/>
    <xf numFmtId="0" fontId="0" fillId="0" borderId="0" xfId="0" applyFont="1" applyAlignment="1">
      <alignment horizontal="right"/>
    </xf>
    <xf numFmtId="166" fontId="0" fillId="0" borderId="0" xfId="0" applyNumberFormat="1"/>
    <xf numFmtId="0" fontId="2" fillId="2" borderId="0" xfId="0" applyFont="1" applyFill="1"/>
    <xf numFmtId="0" fontId="1" fillId="2" borderId="0" xfId="0" applyFont="1" applyFill="1"/>
    <xf numFmtId="0" fontId="2" fillId="9" borderId="0" xfId="0" applyFont="1" applyFill="1" applyAlignment="1">
      <alignment horizontal="right" wrapText="1"/>
    </xf>
    <xf numFmtId="0" fontId="2" fillId="10" borderId="0" xfId="0" applyFont="1" applyFill="1" applyAlignment="1">
      <alignment horizontal="right" wrapText="1"/>
    </xf>
    <xf numFmtId="2" fontId="0" fillId="10" borderId="0" xfId="0" applyNumberFormat="1" applyFill="1"/>
    <xf numFmtId="0" fontId="0" fillId="10" borderId="0" xfId="0" applyFill="1"/>
    <xf numFmtId="3" fontId="4" fillId="10" borderId="0" xfId="0" applyNumberFormat="1" applyFont="1" applyFill="1" applyAlignment="1">
      <alignment horizontal="right" vertical="top" wrapText="1"/>
    </xf>
    <xf numFmtId="4" fontId="0" fillId="2" borderId="0" xfId="0" applyNumberFormat="1" applyFill="1"/>
    <xf numFmtId="0" fontId="12" fillId="0" borderId="0" xfId="0" applyFont="1"/>
    <xf numFmtId="0" fontId="2" fillId="2" borderId="0" xfId="0" applyFont="1" applyFill="1" applyAlignment="1">
      <alignment horizontal="right"/>
    </xf>
    <xf numFmtId="0" fontId="2" fillId="0" borderId="0" xfId="0" applyFont="1" applyFill="1" applyAlignment="1">
      <alignment horizontal="left"/>
    </xf>
    <xf numFmtId="0" fontId="2" fillId="0" borderId="0" xfId="0" applyFont="1" applyFill="1" applyAlignment="1">
      <alignment horizontal="center"/>
    </xf>
    <xf numFmtId="0" fontId="2" fillId="0" borderId="0" xfId="0" applyFont="1" applyFill="1" applyAlignment="1">
      <alignment horizontal="right" wrapText="1"/>
    </xf>
    <xf numFmtId="0" fontId="0" fillId="0" borderId="0" xfId="0" applyFill="1" applyAlignment="1">
      <alignment horizontal="right" wrapText="1"/>
    </xf>
    <xf numFmtId="2" fontId="2" fillId="0" borderId="0" xfId="0" applyNumberFormat="1" applyFont="1" applyFill="1"/>
    <xf numFmtId="2" fontId="2" fillId="0" borderId="0" xfId="0" applyNumberFormat="1" applyFont="1" applyFill="1" applyAlignment="1">
      <alignment horizontal="right"/>
    </xf>
    <xf numFmtId="2" fontId="0" fillId="0" borderId="0" xfId="0" applyNumberFormat="1" applyFont="1" applyFill="1"/>
    <xf numFmtId="0" fontId="12" fillId="2" borderId="0" xfId="0" applyFont="1" applyFill="1" applyAlignment="1">
      <alignment horizontal="center"/>
    </xf>
    <xf numFmtId="0" fontId="12" fillId="3" borderId="0" xfId="0" applyFont="1" applyFill="1" applyAlignment="1">
      <alignment horizontal="center" wrapText="1"/>
    </xf>
    <xf numFmtId="0" fontId="12" fillId="3" borderId="0" xfId="0" applyFont="1" applyFill="1" applyAlignment="1">
      <alignment horizontal="center"/>
    </xf>
    <xf numFmtId="0" fontId="2" fillId="0"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beite %-&gt;ant/km2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bestand!$AA$7</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685942694663167"/>
                  <c:y val="-0.1404232283464566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bestand!$V$8:$V$31</c:f>
              <c:numCache>
                <c:formatCode>0.0</c:formatCode>
                <c:ptCount val="24"/>
                <c:pt idx="0">
                  <c:v>80.400000000000006</c:v>
                </c:pt>
                <c:pt idx="1">
                  <c:v>90.9</c:v>
                </c:pt>
                <c:pt idx="2">
                  <c:v>79.8</c:v>
                </c:pt>
                <c:pt idx="3">
                  <c:v>91.1</c:v>
                </c:pt>
                <c:pt idx="4">
                  <c:v>94.6</c:v>
                </c:pt>
                <c:pt idx="5">
                  <c:v>98.4</c:v>
                </c:pt>
                <c:pt idx="6">
                  <c:v>82</c:v>
                </c:pt>
                <c:pt idx="7">
                  <c:v>96.7</c:v>
                </c:pt>
                <c:pt idx="8">
                  <c:v>97.9</c:v>
                </c:pt>
                <c:pt idx="9">
                  <c:v>78.599999999999994</c:v>
                </c:pt>
                <c:pt idx="10">
                  <c:v>71.5</c:v>
                </c:pt>
                <c:pt idx="11">
                  <c:v>77.5</c:v>
                </c:pt>
                <c:pt idx="12">
                  <c:v>73.400000000000006</c:v>
                </c:pt>
                <c:pt idx="13">
                  <c:v>84.3</c:v>
                </c:pt>
                <c:pt idx="14">
                  <c:v>65.400000000000006</c:v>
                </c:pt>
                <c:pt idx="15">
                  <c:v>62.400000000000006</c:v>
                </c:pt>
                <c:pt idx="16">
                  <c:v>55.599999999999994</c:v>
                </c:pt>
                <c:pt idx="17">
                  <c:v>65.7</c:v>
                </c:pt>
                <c:pt idx="18">
                  <c:v>94.700000000000017</c:v>
                </c:pt>
                <c:pt idx="19">
                  <c:v>96.8</c:v>
                </c:pt>
                <c:pt idx="20">
                  <c:v>98.6</c:v>
                </c:pt>
                <c:pt idx="21">
                  <c:v>97.5</c:v>
                </c:pt>
                <c:pt idx="22">
                  <c:v>96</c:v>
                </c:pt>
                <c:pt idx="23">
                  <c:v>90</c:v>
                </c:pt>
              </c:numCache>
            </c:numRef>
          </c:xVal>
          <c:yVal>
            <c:numRef>
              <c:f>bestand!$AA$8:$AA$31</c:f>
              <c:numCache>
                <c:formatCode>0.00</c:formatCode>
                <c:ptCount val="24"/>
                <c:pt idx="0">
                  <c:v>0.50093029912695008</c:v>
                </c:pt>
                <c:pt idx="1">
                  <c:v>0.82610491532424613</c:v>
                </c:pt>
                <c:pt idx="2">
                  <c:v>9.2165898617511524E-2</c:v>
                </c:pt>
                <c:pt idx="3">
                  <c:v>0.5357142857142857</c:v>
                </c:pt>
                <c:pt idx="4">
                  <c:v>1.2468827930174564</c:v>
                </c:pt>
                <c:pt idx="5">
                  <c:v>0.53639846743295017</c:v>
                </c:pt>
                <c:pt idx="6">
                  <c:v>1.2137325164720842</c:v>
                </c:pt>
                <c:pt idx="7">
                  <c:v>1.2048192771084338</c:v>
                </c:pt>
                <c:pt idx="8">
                  <c:v>0.1348314606741573</c:v>
                </c:pt>
                <c:pt idx="9">
                  <c:v>0.24872809496890899</c:v>
                </c:pt>
                <c:pt idx="10">
                  <c:v>0.65359477124183007</c:v>
                </c:pt>
                <c:pt idx="11">
                  <c:v>0.21543985637342908</c:v>
                </c:pt>
                <c:pt idx="12">
                  <c:v>0.39408866995073893</c:v>
                </c:pt>
                <c:pt idx="13">
                  <c:v>0.13950892857142858</c:v>
                </c:pt>
                <c:pt idx="14">
                  <c:v>0.15974440894568689</c:v>
                </c:pt>
                <c:pt idx="15">
                  <c:v>0.16717325227963525</c:v>
                </c:pt>
                <c:pt idx="16">
                  <c:v>0.49700085689802914</c:v>
                </c:pt>
                <c:pt idx="17">
                  <c:v>0.7254164427727029</c:v>
                </c:pt>
                <c:pt idx="18">
                  <c:v>0.72358900144717797</c:v>
                </c:pt>
                <c:pt idx="19">
                  <c:v>0.53547523427041499</c:v>
                </c:pt>
                <c:pt idx="20">
                  <c:v>0.86705202312138729</c:v>
                </c:pt>
                <c:pt idx="21">
                  <c:v>0.85543199315654406</c:v>
                </c:pt>
                <c:pt idx="22">
                  <c:v>0.72568940493468792</c:v>
                </c:pt>
                <c:pt idx="23">
                  <c:v>0.11538461538461539</c:v>
                </c:pt>
              </c:numCache>
            </c:numRef>
          </c:yVal>
          <c:smooth val="0"/>
          <c:extLst>
            <c:ext xmlns:c16="http://schemas.microsoft.com/office/drawing/2014/chart" uri="{C3380CC4-5D6E-409C-BE32-E72D297353CC}">
              <c16:uniqueId val="{00000000-62C7-43EB-805D-0CDC545B0756}"/>
            </c:ext>
          </c:extLst>
        </c:ser>
        <c:dLbls>
          <c:showLegendKey val="0"/>
          <c:showVal val="0"/>
          <c:showCatName val="0"/>
          <c:showSerName val="0"/>
          <c:showPercent val="0"/>
          <c:showBubbleSize val="0"/>
        </c:dLbls>
        <c:axId val="1245462047"/>
        <c:axId val="1245461215"/>
      </c:scatterChart>
      <c:valAx>
        <c:axId val="1245462047"/>
        <c:scaling>
          <c:orientation val="minMax"/>
          <c:max val="100"/>
          <c:min val="50"/>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5461215"/>
        <c:crosses val="autoZero"/>
        <c:crossBetween val="midCat"/>
      </c:valAx>
      <c:valAx>
        <c:axId val="12454612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5462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totalareal-&gt;ant/km2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bestand!$F$7</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rgbClr val="FFC000"/>
                </a:solidFill>
                <a:ln w="9525">
                  <a:noFill/>
                </a:ln>
                <a:effectLst/>
              </c:spPr>
            </c:marker>
            <c:bubble3D val="0"/>
            <c:extLst>
              <c:ext xmlns:c16="http://schemas.microsoft.com/office/drawing/2014/chart" uri="{C3380CC4-5D6E-409C-BE32-E72D297353CC}">
                <c16:uniqueId val="{0000000A-1DBF-4999-9A3D-39E589BC20D6}"/>
              </c:ext>
            </c:extLst>
          </c:dPt>
          <c:dPt>
            <c:idx val="1"/>
            <c:marker>
              <c:symbol val="circle"/>
              <c:size val="5"/>
              <c:spPr>
                <a:solidFill>
                  <a:srgbClr val="FFC000"/>
                </a:solidFill>
                <a:ln w="9525">
                  <a:noFill/>
                </a:ln>
                <a:effectLst/>
              </c:spPr>
            </c:marker>
            <c:bubble3D val="0"/>
            <c:extLst>
              <c:ext xmlns:c16="http://schemas.microsoft.com/office/drawing/2014/chart" uri="{C3380CC4-5D6E-409C-BE32-E72D297353CC}">
                <c16:uniqueId val="{0000000C-1DBF-4999-9A3D-39E589BC20D6}"/>
              </c:ext>
            </c:extLst>
          </c:dPt>
          <c:dPt>
            <c:idx val="2"/>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3-1DBF-4999-9A3D-39E589BC20D6}"/>
              </c:ext>
            </c:extLst>
          </c:dPt>
          <c:dPt>
            <c:idx val="3"/>
            <c:marker>
              <c:symbol val="circle"/>
              <c:size val="5"/>
              <c:spPr>
                <a:solidFill>
                  <a:srgbClr val="92D050"/>
                </a:solidFill>
                <a:ln w="9525">
                  <a:noFill/>
                </a:ln>
                <a:effectLst/>
              </c:spPr>
            </c:marker>
            <c:bubble3D val="0"/>
            <c:extLst>
              <c:ext xmlns:c16="http://schemas.microsoft.com/office/drawing/2014/chart" uri="{C3380CC4-5D6E-409C-BE32-E72D297353CC}">
                <c16:uniqueId val="{0000000E-1DBF-4999-9A3D-39E589BC20D6}"/>
              </c:ext>
            </c:extLst>
          </c:dPt>
          <c:dPt>
            <c:idx val="4"/>
            <c:marker>
              <c:symbol val="circle"/>
              <c:size val="5"/>
              <c:spPr>
                <a:solidFill>
                  <a:srgbClr val="92D050"/>
                </a:solidFill>
                <a:ln w="9525">
                  <a:noFill/>
                </a:ln>
                <a:effectLst/>
              </c:spPr>
            </c:marker>
            <c:bubble3D val="0"/>
            <c:extLst>
              <c:ext xmlns:c16="http://schemas.microsoft.com/office/drawing/2014/chart" uri="{C3380CC4-5D6E-409C-BE32-E72D297353CC}">
                <c16:uniqueId val="{00000012-1DBF-4999-9A3D-39E589BC20D6}"/>
              </c:ext>
            </c:extLst>
          </c:dPt>
          <c:dPt>
            <c:idx val="5"/>
            <c:marker>
              <c:symbol val="circle"/>
              <c:size val="5"/>
              <c:spPr>
                <a:solidFill>
                  <a:srgbClr val="92D050"/>
                </a:solidFill>
                <a:ln w="9525">
                  <a:noFill/>
                </a:ln>
                <a:effectLst/>
              </c:spPr>
            </c:marker>
            <c:bubble3D val="0"/>
            <c:extLst>
              <c:ext xmlns:c16="http://schemas.microsoft.com/office/drawing/2014/chart" uri="{C3380CC4-5D6E-409C-BE32-E72D297353CC}">
                <c16:uniqueId val="{0000000F-1DBF-4999-9A3D-39E589BC20D6}"/>
              </c:ext>
            </c:extLst>
          </c:dPt>
          <c:dPt>
            <c:idx val="6"/>
            <c:marker>
              <c:symbol val="circle"/>
              <c:size val="5"/>
              <c:spPr>
                <a:solidFill>
                  <a:srgbClr val="FFC000"/>
                </a:solidFill>
                <a:ln w="9525">
                  <a:noFill/>
                </a:ln>
                <a:effectLst/>
              </c:spPr>
            </c:marker>
            <c:bubble3D val="0"/>
            <c:extLst>
              <c:ext xmlns:c16="http://schemas.microsoft.com/office/drawing/2014/chart" uri="{C3380CC4-5D6E-409C-BE32-E72D297353CC}">
                <c16:uniqueId val="{0000000B-1DBF-4999-9A3D-39E589BC20D6}"/>
              </c:ext>
            </c:extLst>
          </c:dPt>
          <c:dPt>
            <c:idx val="7"/>
            <c:marker>
              <c:symbol val="circle"/>
              <c:size val="5"/>
              <c:spPr>
                <a:solidFill>
                  <a:srgbClr val="92D050"/>
                </a:solidFill>
                <a:ln w="9525">
                  <a:noFill/>
                </a:ln>
                <a:effectLst/>
              </c:spPr>
            </c:marker>
            <c:bubble3D val="0"/>
            <c:extLst>
              <c:ext xmlns:c16="http://schemas.microsoft.com/office/drawing/2014/chart" uri="{C3380CC4-5D6E-409C-BE32-E72D297353CC}">
                <c16:uniqueId val="{00000011-1DBF-4999-9A3D-39E589BC20D6}"/>
              </c:ext>
            </c:extLst>
          </c:dPt>
          <c:dPt>
            <c:idx val="8"/>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2-1DBF-4999-9A3D-39E589BC20D6}"/>
              </c:ext>
            </c:extLst>
          </c:dPt>
          <c:dPt>
            <c:idx val="9"/>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8-1DBF-4999-9A3D-39E589BC20D6}"/>
              </c:ext>
            </c:extLst>
          </c:dPt>
          <c:dPt>
            <c:idx val="10"/>
            <c:marker>
              <c:symbol val="circle"/>
              <c:size val="5"/>
              <c:spPr>
                <a:solidFill>
                  <a:srgbClr val="FFC000"/>
                </a:solidFill>
                <a:ln w="9525">
                  <a:noFill/>
                </a:ln>
                <a:effectLst/>
              </c:spPr>
            </c:marker>
            <c:bubble3D val="0"/>
            <c:extLst>
              <c:ext xmlns:c16="http://schemas.microsoft.com/office/drawing/2014/chart" uri="{C3380CC4-5D6E-409C-BE32-E72D297353CC}">
                <c16:uniqueId val="{0000000D-1DBF-4999-9A3D-39E589BC20D6}"/>
              </c:ext>
            </c:extLst>
          </c:dPt>
          <c:dPt>
            <c:idx val="11"/>
            <c:marker>
              <c:symbol val="circle"/>
              <c:size val="5"/>
              <c:spPr>
                <a:solidFill>
                  <a:srgbClr val="FFC000"/>
                </a:solidFill>
                <a:ln w="9525">
                  <a:noFill/>
                </a:ln>
                <a:effectLst/>
              </c:spPr>
            </c:marker>
            <c:bubble3D val="0"/>
            <c:extLst>
              <c:ext xmlns:c16="http://schemas.microsoft.com/office/drawing/2014/chart" uri="{C3380CC4-5D6E-409C-BE32-E72D297353CC}">
                <c16:uniqueId val="{00000009-1DBF-4999-9A3D-39E589BC20D6}"/>
              </c:ext>
            </c:extLst>
          </c:dPt>
          <c:dPt>
            <c:idx val="13"/>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4-1DBF-4999-9A3D-39E589BC20D6}"/>
              </c:ext>
            </c:extLst>
          </c:dPt>
          <c:dPt>
            <c:idx val="14"/>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7-1DBF-4999-9A3D-39E589BC20D6}"/>
              </c:ext>
            </c:extLst>
          </c:dPt>
          <c:dPt>
            <c:idx val="15"/>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6-1DBF-4999-9A3D-39E589BC20D6}"/>
              </c:ext>
            </c:extLst>
          </c:dPt>
          <c:dPt>
            <c:idx val="20"/>
            <c:marker>
              <c:symbol val="circle"/>
              <c:size val="5"/>
              <c:spPr>
                <a:solidFill>
                  <a:srgbClr val="92D050"/>
                </a:solidFill>
                <a:ln w="9525">
                  <a:noFill/>
                </a:ln>
                <a:effectLst/>
              </c:spPr>
            </c:marker>
            <c:bubble3D val="0"/>
            <c:extLst>
              <c:ext xmlns:c16="http://schemas.microsoft.com/office/drawing/2014/chart" uri="{C3380CC4-5D6E-409C-BE32-E72D297353CC}">
                <c16:uniqueId val="{00000013-1DBF-4999-9A3D-39E589BC20D6}"/>
              </c:ext>
            </c:extLst>
          </c:dPt>
          <c:dPt>
            <c:idx val="23"/>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5-1DBF-4999-9A3D-39E589BC20D6}"/>
              </c:ext>
            </c:extLst>
          </c:dPt>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6.7719378827646545E-2"/>
                  <c:y val="-8.4338363954505682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bestand!$C$8:$C$31</c:f>
              <c:numCache>
                <c:formatCode>#,##0</c:formatCode>
                <c:ptCount val="24"/>
                <c:pt idx="0">
                  <c:v>6987</c:v>
                </c:pt>
                <c:pt idx="1">
                  <c:v>2421</c:v>
                </c:pt>
                <c:pt idx="2">
                  <c:v>651</c:v>
                </c:pt>
                <c:pt idx="3">
                  <c:v>448</c:v>
                </c:pt>
                <c:pt idx="4">
                  <c:v>401</c:v>
                </c:pt>
                <c:pt idx="5">
                  <c:v>261</c:v>
                </c:pt>
                <c:pt idx="6">
                  <c:v>8651</c:v>
                </c:pt>
                <c:pt idx="7">
                  <c:v>581</c:v>
                </c:pt>
                <c:pt idx="8">
                  <c:v>89</c:v>
                </c:pt>
                <c:pt idx="9">
                  <c:v>1769</c:v>
                </c:pt>
                <c:pt idx="10">
                  <c:v>3213</c:v>
                </c:pt>
                <c:pt idx="11">
                  <c:v>557</c:v>
                </c:pt>
                <c:pt idx="12">
                  <c:v>1015</c:v>
                </c:pt>
                <c:pt idx="13">
                  <c:v>896</c:v>
                </c:pt>
                <c:pt idx="14">
                  <c:v>626</c:v>
                </c:pt>
                <c:pt idx="15">
                  <c:v>329</c:v>
                </c:pt>
                <c:pt idx="16">
                  <c:v>5835</c:v>
                </c:pt>
                <c:pt idx="17">
                  <c:v>3722</c:v>
                </c:pt>
                <c:pt idx="18">
                  <c:v>4837</c:v>
                </c:pt>
                <c:pt idx="19">
                  <c:v>1494</c:v>
                </c:pt>
                <c:pt idx="20">
                  <c:v>346</c:v>
                </c:pt>
                <c:pt idx="21">
                  <c:v>2338</c:v>
                </c:pt>
                <c:pt idx="22">
                  <c:v>2067</c:v>
                </c:pt>
                <c:pt idx="23">
                  <c:v>546</c:v>
                </c:pt>
              </c:numCache>
            </c:numRef>
          </c:xVal>
          <c:yVal>
            <c:numRef>
              <c:f>bestand!$F$8:$F$31</c:f>
              <c:numCache>
                <c:formatCode>0.00</c:formatCode>
                <c:ptCount val="24"/>
                <c:pt idx="0">
                  <c:v>0.50093029912695008</c:v>
                </c:pt>
                <c:pt idx="1">
                  <c:v>0.82610491532424613</c:v>
                </c:pt>
                <c:pt idx="2">
                  <c:v>9.2165898617511524E-2</c:v>
                </c:pt>
                <c:pt idx="3">
                  <c:v>0.5357142857142857</c:v>
                </c:pt>
                <c:pt idx="4">
                  <c:v>1.2468827930174564</c:v>
                </c:pt>
                <c:pt idx="5">
                  <c:v>0.53639846743295017</c:v>
                </c:pt>
                <c:pt idx="6">
                  <c:v>1.2137325164720842</c:v>
                </c:pt>
                <c:pt idx="7">
                  <c:v>1.2048192771084338</c:v>
                </c:pt>
                <c:pt idx="8">
                  <c:v>0.1348314606741573</c:v>
                </c:pt>
                <c:pt idx="9">
                  <c:v>0.24872809496890899</c:v>
                </c:pt>
                <c:pt idx="10">
                  <c:v>0.65359477124183007</c:v>
                </c:pt>
                <c:pt idx="11">
                  <c:v>0.21543985637342908</c:v>
                </c:pt>
                <c:pt idx="12">
                  <c:v>0.39408866995073893</c:v>
                </c:pt>
                <c:pt idx="13">
                  <c:v>0.13950892857142858</c:v>
                </c:pt>
                <c:pt idx="14">
                  <c:v>0.15974440894568689</c:v>
                </c:pt>
                <c:pt idx="15">
                  <c:v>0.16717325227963525</c:v>
                </c:pt>
                <c:pt idx="16">
                  <c:v>0.49700085689802914</c:v>
                </c:pt>
                <c:pt idx="17">
                  <c:v>0.7254164427727029</c:v>
                </c:pt>
                <c:pt idx="18">
                  <c:v>0.72358900144717797</c:v>
                </c:pt>
                <c:pt idx="19">
                  <c:v>0.53547523427041499</c:v>
                </c:pt>
                <c:pt idx="20">
                  <c:v>0.86705202312138729</c:v>
                </c:pt>
                <c:pt idx="21">
                  <c:v>0.85543199315654406</c:v>
                </c:pt>
                <c:pt idx="22">
                  <c:v>0.72568940493468792</c:v>
                </c:pt>
                <c:pt idx="23">
                  <c:v>0.11538461538461539</c:v>
                </c:pt>
              </c:numCache>
            </c:numRef>
          </c:yVal>
          <c:smooth val="0"/>
          <c:extLst>
            <c:ext xmlns:c16="http://schemas.microsoft.com/office/drawing/2014/chart" uri="{C3380CC4-5D6E-409C-BE32-E72D297353CC}">
              <c16:uniqueId val="{00000000-1DBF-4999-9A3D-39E589BC20D6}"/>
            </c:ext>
          </c:extLst>
        </c:ser>
        <c:dLbls>
          <c:showLegendKey val="0"/>
          <c:showVal val="0"/>
          <c:showCatName val="0"/>
          <c:showSerName val="0"/>
          <c:showPercent val="0"/>
          <c:showBubbleSize val="0"/>
        </c:dLbls>
        <c:axId val="819877615"/>
        <c:axId val="819861391"/>
      </c:scatterChart>
      <c:valAx>
        <c:axId val="8198776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19861391"/>
        <c:crosses val="autoZero"/>
        <c:crossBetween val="midCat"/>
      </c:valAx>
      <c:valAx>
        <c:axId val="8198613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8198776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beite</a:t>
            </a:r>
            <a:r>
              <a:rPr lang="nb-NO" baseline="0"/>
              <a:t> %-&gt;</a:t>
            </a:r>
            <a:r>
              <a:rPr lang="nb-NO"/>
              <a:t>mål/km2 rapp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bestandsmål!$R$7</c:f>
              <c:strCache>
                <c:ptCount val="1"/>
                <c:pt idx="0">
                  <c:v>mål/km2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7.6558836395450566E-2"/>
                  <c:y val="-0.124197287839020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bestandsmål!$M$8:$M$31</c:f>
              <c:numCache>
                <c:formatCode>#,##0</c:formatCode>
                <c:ptCount val="24"/>
                <c:pt idx="0">
                  <c:v>80.400000000000006</c:v>
                </c:pt>
                <c:pt idx="1">
                  <c:v>90.9</c:v>
                </c:pt>
                <c:pt idx="2">
                  <c:v>79.8</c:v>
                </c:pt>
                <c:pt idx="3">
                  <c:v>91.1</c:v>
                </c:pt>
                <c:pt idx="4">
                  <c:v>94.6</c:v>
                </c:pt>
                <c:pt idx="5">
                  <c:v>98.4</c:v>
                </c:pt>
                <c:pt idx="6">
                  <c:v>82</c:v>
                </c:pt>
                <c:pt idx="7">
                  <c:v>96.7</c:v>
                </c:pt>
                <c:pt idx="8">
                  <c:v>97.9</c:v>
                </c:pt>
                <c:pt idx="9">
                  <c:v>78.599999999999994</c:v>
                </c:pt>
                <c:pt idx="10">
                  <c:v>71.5</c:v>
                </c:pt>
                <c:pt idx="11">
                  <c:v>77.5</c:v>
                </c:pt>
                <c:pt idx="12">
                  <c:v>73.400000000000006</c:v>
                </c:pt>
                <c:pt idx="13">
                  <c:v>84.3</c:v>
                </c:pt>
                <c:pt idx="14">
                  <c:v>65.400000000000006</c:v>
                </c:pt>
                <c:pt idx="15">
                  <c:v>62.400000000000006</c:v>
                </c:pt>
                <c:pt idx="16">
                  <c:v>55.599999999999994</c:v>
                </c:pt>
                <c:pt idx="17">
                  <c:v>65.7</c:v>
                </c:pt>
                <c:pt idx="18">
                  <c:v>94.700000000000017</c:v>
                </c:pt>
                <c:pt idx="19">
                  <c:v>96.8</c:v>
                </c:pt>
                <c:pt idx="20">
                  <c:v>98.6</c:v>
                </c:pt>
                <c:pt idx="21">
                  <c:v>97.5</c:v>
                </c:pt>
                <c:pt idx="22">
                  <c:v>96</c:v>
                </c:pt>
                <c:pt idx="23">
                  <c:v>90</c:v>
                </c:pt>
              </c:numCache>
            </c:numRef>
          </c:xVal>
          <c:yVal>
            <c:numRef>
              <c:f>bestandsmål!$R$8:$R$31</c:f>
              <c:numCache>
                <c:formatCode>0.00</c:formatCode>
                <c:ptCount val="24"/>
                <c:pt idx="0">
                  <c:v>0.50093029912695008</c:v>
                </c:pt>
                <c:pt idx="1">
                  <c:v>0.61957868649318459</c:v>
                </c:pt>
                <c:pt idx="2">
                  <c:v>9.2165898617511524E-2</c:v>
                </c:pt>
                <c:pt idx="3">
                  <c:v>0.5357142857142857</c:v>
                </c:pt>
                <c:pt idx="4">
                  <c:v>1.3092269326683292</c:v>
                </c:pt>
                <c:pt idx="5">
                  <c:v>0.57471264367816088</c:v>
                </c:pt>
                <c:pt idx="6">
                  <c:v>1.3871228759680962</c:v>
                </c:pt>
                <c:pt idx="7">
                  <c:v>0.98106712564543885</c:v>
                </c:pt>
                <c:pt idx="8">
                  <c:v>0.33707865168539325</c:v>
                </c:pt>
                <c:pt idx="9">
                  <c:v>0.28264556246466932</c:v>
                </c:pt>
                <c:pt idx="10">
                  <c:v>0.7469654528478058</c:v>
                </c:pt>
                <c:pt idx="11">
                  <c:v>0.80789946140035906</c:v>
                </c:pt>
                <c:pt idx="12">
                  <c:v>0.39408866995073893</c:v>
                </c:pt>
                <c:pt idx="13">
                  <c:v>0.16741071428571427</c:v>
                </c:pt>
                <c:pt idx="14">
                  <c:v>0.15974440894568689</c:v>
                </c:pt>
                <c:pt idx="15">
                  <c:v>0.18237082066869301</c:v>
                </c:pt>
                <c:pt idx="16">
                  <c:v>0.46272493573264784</c:v>
                </c:pt>
                <c:pt idx="17">
                  <c:v>0.80601826974744761</c:v>
                </c:pt>
                <c:pt idx="18">
                  <c:v>0.80628488732685544</c:v>
                </c:pt>
                <c:pt idx="19">
                  <c:v>0.53547523427041499</c:v>
                </c:pt>
                <c:pt idx="20">
                  <c:v>0.86705202312138729</c:v>
                </c:pt>
                <c:pt idx="21">
                  <c:v>0.85543199315654406</c:v>
                </c:pt>
                <c:pt idx="22">
                  <c:v>0.72568940493468792</c:v>
                </c:pt>
                <c:pt idx="23">
                  <c:v>0.36630036630036628</c:v>
                </c:pt>
              </c:numCache>
            </c:numRef>
          </c:yVal>
          <c:smooth val="0"/>
          <c:extLst>
            <c:ext xmlns:c16="http://schemas.microsoft.com/office/drawing/2014/chart" uri="{C3380CC4-5D6E-409C-BE32-E72D297353CC}">
              <c16:uniqueId val="{00000000-3129-4608-B40E-E412CFDD648A}"/>
            </c:ext>
          </c:extLst>
        </c:ser>
        <c:dLbls>
          <c:showLegendKey val="0"/>
          <c:showVal val="0"/>
          <c:showCatName val="0"/>
          <c:showSerName val="0"/>
          <c:showPercent val="0"/>
          <c:showBubbleSize val="0"/>
        </c:dLbls>
        <c:axId val="475392911"/>
        <c:axId val="475393327"/>
      </c:scatterChart>
      <c:valAx>
        <c:axId val="475392911"/>
        <c:scaling>
          <c:orientation val="minMax"/>
          <c:max val="100"/>
          <c:min val="5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75393327"/>
        <c:crosses val="autoZero"/>
        <c:crossBetween val="midCat"/>
      </c:valAx>
      <c:valAx>
        <c:axId val="47539332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475392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andel fjell-&gt;mål/km2 rapp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bestandsmål!$R$7</c:f>
              <c:strCache>
                <c:ptCount val="1"/>
                <c:pt idx="0">
                  <c:v>mål/km2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5.0602362204724409E-2"/>
                  <c:y val="-0.2285662729658792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bestandsmål!$N$8:$N$31</c:f>
              <c:numCache>
                <c:formatCode>#,##0.00</c:formatCode>
                <c:ptCount val="24"/>
                <c:pt idx="0">
                  <c:v>0.72434634344410931</c:v>
                </c:pt>
                <c:pt idx="1">
                  <c:v>0.27119555841961029</c:v>
                </c:pt>
                <c:pt idx="2">
                  <c:v>0.92235867466031018</c:v>
                </c:pt>
                <c:pt idx="3">
                  <c:v>0.11408172735212159</c:v>
                </c:pt>
                <c:pt idx="4">
                  <c:v>0.51052466636886484</c:v>
                </c:pt>
                <c:pt idx="5">
                  <c:v>0.24344240003308451</c:v>
                </c:pt>
                <c:pt idx="6">
                  <c:v>0.84454330031913749</c:v>
                </c:pt>
                <c:pt idx="7">
                  <c:v>0.50224350823896013</c:v>
                </c:pt>
                <c:pt idx="8">
                  <c:v>0.43526578276028827</c:v>
                </c:pt>
                <c:pt idx="9">
                  <c:v>0.86195544194581353</c:v>
                </c:pt>
                <c:pt idx="10">
                  <c:v>0.88672825381071707</c:v>
                </c:pt>
                <c:pt idx="11">
                  <c:v>0.83262697462823831</c:v>
                </c:pt>
                <c:pt idx="12">
                  <c:v>0.85631386176913427</c:v>
                </c:pt>
                <c:pt idx="13">
                  <c:v>0.4006634402456471</c:v>
                </c:pt>
                <c:pt idx="14">
                  <c:v>0.71919340574349155</c:v>
                </c:pt>
                <c:pt idx="15">
                  <c:v>0.47080303016854097</c:v>
                </c:pt>
                <c:pt idx="16">
                  <c:v>0.8709760546604538</c:v>
                </c:pt>
                <c:pt idx="17">
                  <c:v>0.87798358218914629</c:v>
                </c:pt>
                <c:pt idx="18">
                  <c:v>0.44260794329848974</c:v>
                </c:pt>
                <c:pt idx="19">
                  <c:v>0.42376740115882833</c:v>
                </c:pt>
                <c:pt idx="20">
                  <c:v>0.6836759852333002</c:v>
                </c:pt>
                <c:pt idx="21">
                  <c:v>0.62965640110649224</c:v>
                </c:pt>
                <c:pt idx="22">
                  <c:v>0.68008257839865238</c:v>
                </c:pt>
                <c:pt idx="23">
                  <c:v>0.87826105743728033</c:v>
                </c:pt>
              </c:numCache>
            </c:numRef>
          </c:xVal>
          <c:yVal>
            <c:numRef>
              <c:f>bestandsmål!$R$8:$R$31</c:f>
              <c:numCache>
                <c:formatCode>0.00</c:formatCode>
                <c:ptCount val="24"/>
                <c:pt idx="0">
                  <c:v>0.50093029912695008</c:v>
                </c:pt>
                <c:pt idx="1">
                  <c:v>0.61957868649318459</c:v>
                </c:pt>
                <c:pt idx="2">
                  <c:v>9.2165898617511524E-2</c:v>
                </c:pt>
                <c:pt idx="3">
                  <c:v>0.5357142857142857</c:v>
                </c:pt>
                <c:pt idx="4">
                  <c:v>1.3092269326683292</c:v>
                </c:pt>
                <c:pt idx="5">
                  <c:v>0.57471264367816088</c:v>
                </c:pt>
                <c:pt idx="6">
                  <c:v>1.3871228759680962</c:v>
                </c:pt>
                <c:pt idx="7">
                  <c:v>0.98106712564543885</c:v>
                </c:pt>
                <c:pt idx="8">
                  <c:v>0.33707865168539325</c:v>
                </c:pt>
                <c:pt idx="9">
                  <c:v>0.28264556246466932</c:v>
                </c:pt>
                <c:pt idx="10">
                  <c:v>0.7469654528478058</c:v>
                </c:pt>
                <c:pt idx="11">
                  <c:v>0.80789946140035906</c:v>
                </c:pt>
                <c:pt idx="12">
                  <c:v>0.39408866995073893</c:v>
                </c:pt>
                <c:pt idx="13">
                  <c:v>0.16741071428571427</c:v>
                </c:pt>
                <c:pt idx="14">
                  <c:v>0.15974440894568689</c:v>
                </c:pt>
                <c:pt idx="15">
                  <c:v>0.18237082066869301</c:v>
                </c:pt>
                <c:pt idx="16">
                  <c:v>0.46272493573264784</c:v>
                </c:pt>
                <c:pt idx="17">
                  <c:v>0.80601826974744761</c:v>
                </c:pt>
                <c:pt idx="18">
                  <c:v>0.80628488732685544</c:v>
                </c:pt>
                <c:pt idx="19">
                  <c:v>0.53547523427041499</c:v>
                </c:pt>
                <c:pt idx="20">
                  <c:v>0.86705202312138729</c:v>
                </c:pt>
                <c:pt idx="21">
                  <c:v>0.85543199315654406</c:v>
                </c:pt>
                <c:pt idx="22">
                  <c:v>0.72568940493468792</c:v>
                </c:pt>
                <c:pt idx="23">
                  <c:v>0.36630036630036628</c:v>
                </c:pt>
              </c:numCache>
            </c:numRef>
          </c:yVal>
          <c:smooth val="0"/>
          <c:extLst>
            <c:ext xmlns:c16="http://schemas.microsoft.com/office/drawing/2014/chart" uri="{C3380CC4-5D6E-409C-BE32-E72D297353CC}">
              <c16:uniqueId val="{00000000-2E18-49C0-A565-4AAA1848B57F}"/>
            </c:ext>
          </c:extLst>
        </c:ser>
        <c:dLbls>
          <c:showLegendKey val="0"/>
          <c:showVal val="0"/>
          <c:showCatName val="0"/>
          <c:showSerName val="0"/>
          <c:showPercent val="0"/>
          <c:showBubbleSize val="0"/>
        </c:dLbls>
        <c:axId val="696010623"/>
        <c:axId val="696017695"/>
      </c:scatterChart>
      <c:valAx>
        <c:axId val="6960106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96017695"/>
        <c:crosses val="autoZero"/>
        <c:crossBetween val="midCat"/>
      </c:valAx>
      <c:valAx>
        <c:axId val="6960176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960106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TRI-&gt;mål/km2 rapp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bestandsmål!$R$7</c:f>
              <c:strCache>
                <c:ptCount val="1"/>
                <c:pt idx="0">
                  <c:v>mål/km2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9.1410104986876642E-2"/>
                  <c:y val="-0.29267133275007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trendline>
            <c:spPr>
              <a:ln w="19050" cap="rnd">
                <a:solidFill>
                  <a:schemeClr val="accent1"/>
                </a:solidFill>
                <a:prstDash val="sysDot"/>
              </a:ln>
              <a:effectLst/>
            </c:spPr>
            <c:trendlineType val="exp"/>
            <c:dispRSqr val="1"/>
            <c:dispEq val="1"/>
            <c:trendlineLbl>
              <c:layout>
                <c:manualLayout>
                  <c:x val="5.8965660542432193E-2"/>
                  <c:y val="-0.4448501749781277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trendline>
            <c:spPr>
              <a:ln w="19050" cap="rnd">
                <a:solidFill>
                  <a:schemeClr val="accent1"/>
                </a:solidFill>
                <a:prstDash val="sysDot"/>
              </a:ln>
              <a:effectLst/>
            </c:spPr>
            <c:trendlineType val="power"/>
            <c:dispRSqr val="1"/>
            <c:dispEq val="1"/>
            <c:trendlineLbl>
              <c:layout>
                <c:manualLayout>
                  <c:x val="7.7910104986876644E-2"/>
                  <c:y val="-0.545050670749489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bestandsmål!$O$8:$O$31</c:f>
              <c:numCache>
                <c:formatCode>#,##0</c:formatCode>
                <c:ptCount val="24"/>
                <c:pt idx="0">
                  <c:v>363.54312199999998</c:v>
                </c:pt>
                <c:pt idx="1">
                  <c:v>437.05674599999998</c:v>
                </c:pt>
                <c:pt idx="2">
                  <c:v>573.36805600000002</c:v>
                </c:pt>
                <c:pt idx="3">
                  <c:v>381.67135500000001</c:v>
                </c:pt>
                <c:pt idx="4">
                  <c:v>325.63697500000001</c:v>
                </c:pt>
                <c:pt idx="5">
                  <c:v>324.18023699999998</c:v>
                </c:pt>
                <c:pt idx="6">
                  <c:v>232.00149300000001</c:v>
                </c:pt>
                <c:pt idx="7">
                  <c:v>221.16261600000001</c:v>
                </c:pt>
                <c:pt idx="8">
                  <c:v>859.62930500000004</c:v>
                </c:pt>
                <c:pt idx="9">
                  <c:v>769.22404200000005</c:v>
                </c:pt>
                <c:pt idx="10">
                  <c:v>364.60710899999998</c:v>
                </c:pt>
                <c:pt idx="11">
                  <c:v>534.38448400000004</c:v>
                </c:pt>
                <c:pt idx="12">
                  <c:v>817.85456699999997</c:v>
                </c:pt>
                <c:pt idx="13">
                  <c:v>1064.0448160000001</c:v>
                </c:pt>
                <c:pt idx="14">
                  <c:v>1071.4572209999999</c:v>
                </c:pt>
                <c:pt idx="15">
                  <c:v>1733.076114</c:v>
                </c:pt>
                <c:pt idx="16">
                  <c:v>682.63787200000002</c:v>
                </c:pt>
                <c:pt idx="17">
                  <c:v>595.942722</c:v>
                </c:pt>
                <c:pt idx="18">
                  <c:v>248.22278600000001</c:v>
                </c:pt>
                <c:pt idx="19">
                  <c:v>178.404864</c:v>
                </c:pt>
                <c:pt idx="20">
                  <c:v>130.20733100000001</c:v>
                </c:pt>
                <c:pt idx="21">
                  <c:v>93.15558</c:v>
                </c:pt>
                <c:pt idx="22">
                  <c:v>168.539669</c:v>
                </c:pt>
                <c:pt idx="23">
                  <c:v>772.27919099999997</c:v>
                </c:pt>
              </c:numCache>
            </c:numRef>
          </c:xVal>
          <c:yVal>
            <c:numRef>
              <c:f>bestandsmål!$R$8:$R$31</c:f>
              <c:numCache>
                <c:formatCode>0.00</c:formatCode>
                <c:ptCount val="24"/>
                <c:pt idx="0">
                  <c:v>0.50093029912695008</c:v>
                </c:pt>
                <c:pt idx="1">
                  <c:v>0.61957868649318459</c:v>
                </c:pt>
                <c:pt idx="2">
                  <c:v>9.2165898617511524E-2</c:v>
                </c:pt>
                <c:pt idx="3">
                  <c:v>0.5357142857142857</c:v>
                </c:pt>
                <c:pt idx="4">
                  <c:v>1.3092269326683292</c:v>
                </c:pt>
                <c:pt idx="5">
                  <c:v>0.57471264367816088</c:v>
                </c:pt>
                <c:pt idx="6">
                  <c:v>1.3871228759680962</c:v>
                </c:pt>
                <c:pt idx="7">
                  <c:v>0.98106712564543885</c:v>
                </c:pt>
                <c:pt idx="8">
                  <c:v>0.33707865168539325</c:v>
                </c:pt>
                <c:pt idx="9">
                  <c:v>0.28264556246466932</c:v>
                </c:pt>
                <c:pt idx="10">
                  <c:v>0.7469654528478058</c:v>
                </c:pt>
                <c:pt idx="11">
                  <c:v>0.80789946140035906</c:v>
                </c:pt>
                <c:pt idx="12">
                  <c:v>0.39408866995073893</c:v>
                </c:pt>
                <c:pt idx="13">
                  <c:v>0.16741071428571427</c:v>
                </c:pt>
                <c:pt idx="14">
                  <c:v>0.15974440894568689</c:v>
                </c:pt>
                <c:pt idx="15">
                  <c:v>0.18237082066869301</c:v>
                </c:pt>
                <c:pt idx="16">
                  <c:v>0.46272493573264784</c:v>
                </c:pt>
                <c:pt idx="17">
                  <c:v>0.80601826974744761</c:v>
                </c:pt>
                <c:pt idx="18">
                  <c:v>0.80628488732685544</c:v>
                </c:pt>
                <c:pt idx="19">
                  <c:v>0.53547523427041499</c:v>
                </c:pt>
                <c:pt idx="20">
                  <c:v>0.86705202312138729</c:v>
                </c:pt>
                <c:pt idx="21">
                  <c:v>0.85543199315654406</c:v>
                </c:pt>
                <c:pt idx="22">
                  <c:v>0.72568940493468792</c:v>
                </c:pt>
                <c:pt idx="23">
                  <c:v>0.36630036630036628</c:v>
                </c:pt>
              </c:numCache>
            </c:numRef>
          </c:yVal>
          <c:smooth val="0"/>
          <c:extLst>
            <c:ext xmlns:c16="http://schemas.microsoft.com/office/drawing/2014/chart" uri="{C3380CC4-5D6E-409C-BE32-E72D297353CC}">
              <c16:uniqueId val="{00000000-452B-455C-B434-73312847D87C}"/>
            </c:ext>
          </c:extLst>
        </c:ser>
        <c:dLbls>
          <c:showLegendKey val="0"/>
          <c:showVal val="0"/>
          <c:showCatName val="0"/>
          <c:showSerName val="0"/>
          <c:showPercent val="0"/>
          <c:showBubbleSize val="0"/>
        </c:dLbls>
        <c:axId val="696015199"/>
        <c:axId val="695993567"/>
      </c:scatterChart>
      <c:valAx>
        <c:axId val="6960151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95993567"/>
        <c:crosses val="autoZero"/>
        <c:crossBetween val="midCat"/>
      </c:valAx>
      <c:valAx>
        <c:axId val="69599356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960151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ISI-&gt;mål/km2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bestandsmål!$R$7</c:f>
              <c:strCache>
                <c:ptCount val="1"/>
                <c:pt idx="0">
                  <c:v>mål/km2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2.9008311461067367E-2"/>
                  <c:y val="-0.1963440507436570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bestandsmål!$P$8:$P$31</c:f>
              <c:numCache>
                <c:formatCode>0.000</c:formatCode>
                <c:ptCount val="24"/>
                <c:pt idx="0">
                  <c:v>0.49355399999999999</c:v>
                </c:pt>
                <c:pt idx="1">
                  <c:v>0.22640199999999999</c:v>
                </c:pt>
                <c:pt idx="2">
                  <c:v>0.36322100000000002</c:v>
                </c:pt>
                <c:pt idx="3">
                  <c:v>8.9997999999999995E-2</c:v>
                </c:pt>
                <c:pt idx="4">
                  <c:v>0.26516499999999998</c:v>
                </c:pt>
                <c:pt idx="5">
                  <c:v>0.38149499999999997</c:v>
                </c:pt>
                <c:pt idx="6">
                  <c:v>0.329822</c:v>
                </c:pt>
                <c:pt idx="7">
                  <c:v>0.483128</c:v>
                </c:pt>
                <c:pt idx="8">
                  <c:v>5.7998000000000001E-2</c:v>
                </c:pt>
                <c:pt idx="9">
                  <c:v>0.39726899999999998</c:v>
                </c:pt>
                <c:pt idx="10">
                  <c:v>0.60911800000000005</c:v>
                </c:pt>
                <c:pt idx="11">
                  <c:v>0.39848499999999998</c:v>
                </c:pt>
                <c:pt idx="12">
                  <c:v>0.352275</c:v>
                </c:pt>
                <c:pt idx="13">
                  <c:v>0.270094</c:v>
                </c:pt>
                <c:pt idx="14">
                  <c:v>0.131716</c:v>
                </c:pt>
                <c:pt idx="15">
                  <c:v>0.14630799999999999</c:v>
                </c:pt>
                <c:pt idx="16">
                  <c:v>0.18288299999999999</c:v>
                </c:pt>
                <c:pt idx="17">
                  <c:v>0.27190700000000001</c:v>
                </c:pt>
                <c:pt idx="18">
                  <c:v>0.40923900000000002</c:v>
                </c:pt>
                <c:pt idx="19">
                  <c:v>0.25558700000000001</c:v>
                </c:pt>
                <c:pt idx="20">
                  <c:v>0.21251400000000001</c:v>
                </c:pt>
                <c:pt idx="21">
                  <c:v>0.122932</c:v>
                </c:pt>
                <c:pt idx="22">
                  <c:v>0.347028</c:v>
                </c:pt>
                <c:pt idx="23">
                  <c:v>0.225018</c:v>
                </c:pt>
              </c:numCache>
            </c:numRef>
          </c:xVal>
          <c:yVal>
            <c:numRef>
              <c:f>bestandsmål!$R$8:$R$31</c:f>
              <c:numCache>
                <c:formatCode>0.00</c:formatCode>
                <c:ptCount val="24"/>
                <c:pt idx="0">
                  <c:v>0.50093029912695008</c:v>
                </c:pt>
                <c:pt idx="1">
                  <c:v>0.61957868649318459</c:v>
                </c:pt>
                <c:pt idx="2">
                  <c:v>9.2165898617511524E-2</c:v>
                </c:pt>
                <c:pt idx="3">
                  <c:v>0.5357142857142857</c:v>
                </c:pt>
                <c:pt idx="4">
                  <c:v>1.3092269326683292</c:v>
                </c:pt>
                <c:pt idx="5">
                  <c:v>0.57471264367816088</c:v>
                </c:pt>
                <c:pt idx="6">
                  <c:v>1.3871228759680962</c:v>
                </c:pt>
                <c:pt idx="7">
                  <c:v>0.98106712564543885</c:v>
                </c:pt>
                <c:pt idx="8">
                  <c:v>0.33707865168539325</c:v>
                </c:pt>
                <c:pt idx="9">
                  <c:v>0.28264556246466932</c:v>
                </c:pt>
                <c:pt idx="10">
                  <c:v>0.7469654528478058</c:v>
                </c:pt>
                <c:pt idx="11">
                  <c:v>0.80789946140035906</c:v>
                </c:pt>
                <c:pt idx="12">
                  <c:v>0.39408866995073893</c:v>
                </c:pt>
                <c:pt idx="13">
                  <c:v>0.16741071428571427</c:v>
                </c:pt>
                <c:pt idx="14">
                  <c:v>0.15974440894568689</c:v>
                </c:pt>
                <c:pt idx="15">
                  <c:v>0.18237082066869301</c:v>
                </c:pt>
                <c:pt idx="16">
                  <c:v>0.46272493573264784</c:v>
                </c:pt>
                <c:pt idx="17">
                  <c:v>0.80601826974744761</c:v>
                </c:pt>
                <c:pt idx="18">
                  <c:v>0.80628488732685544</c:v>
                </c:pt>
                <c:pt idx="19">
                  <c:v>0.53547523427041499</c:v>
                </c:pt>
                <c:pt idx="20">
                  <c:v>0.86705202312138729</c:v>
                </c:pt>
                <c:pt idx="21">
                  <c:v>0.85543199315654406</c:v>
                </c:pt>
                <c:pt idx="22">
                  <c:v>0.72568940493468792</c:v>
                </c:pt>
                <c:pt idx="23">
                  <c:v>0.36630036630036628</c:v>
                </c:pt>
              </c:numCache>
            </c:numRef>
          </c:yVal>
          <c:smooth val="0"/>
          <c:extLst>
            <c:ext xmlns:c16="http://schemas.microsoft.com/office/drawing/2014/chart" uri="{C3380CC4-5D6E-409C-BE32-E72D297353CC}">
              <c16:uniqueId val="{00000000-2C4C-4C4D-838F-4989406D1D4C}"/>
            </c:ext>
          </c:extLst>
        </c:ser>
        <c:dLbls>
          <c:showLegendKey val="0"/>
          <c:showVal val="0"/>
          <c:showCatName val="0"/>
          <c:showSerName val="0"/>
          <c:showPercent val="0"/>
          <c:showBubbleSize val="0"/>
        </c:dLbls>
        <c:axId val="706165119"/>
        <c:axId val="706165535"/>
      </c:scatterChart>
      <c:valAx>
        <c:axId val="70616511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706165535"/>
        <c:crosses val="autoZero"/>
        <c:crossBetween val="midCat"/>
      </c:valAx>
      <c:valAx>
        <c:axId val="7061655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706165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NDVI-&gt;mål/km2 rapp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bestandsmål!$R$7</c:f>
              <c:strCache>
                <c:ptCount val="1"/>
                <c:pt idx="0">
                  <c:v>mål/km2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7500393700787401"/>
                  <c:y val="-0.1560735637212015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bestandsmål!$Q$8:$Q$31</c:f>
              <c:numCache>
                <c:formatCode>0.000</c:formatCode>
                <c:ptCount val="24"/>
                <c:pt idx="0">
                  <c:v>0.55532599999999999</c:v>
                </c:pt>
                <c:pt idx="1">
                  <c:v>0.58855100000000005</c:v>
                </c:pt>
                <c:pt idx="2">
                  <c:v>0.53214600000000001</c:v>
                </c:pt>
                <c:pt idx="3">
                  <c:v>0.61269499999999999</c:v>
                </c:pt>
                <c:pt idx="4">
                  <c:v>0.67796500000000004</c:v>
                </c:pt>
                <c:pt idx="5">
                  <c:v>0.71989599999999998</c:v>
                </c:pt>
                <c:pt idx="6">
                  <c:v>0.54488700000000001</c:v>
                </c:pt>
                <c:pt idx="7">
                  <c:v>0.63813399999999998</c:v>
                </c:pt>
                <c:pt idx="8">
                  <c:v>0.50244200000000006</c:v>
                </c:pt>
                <c:pt idx="9">
                  <c:v>0.54723699999999997</c:v>
                </c:pt>
                <c:pt idx="10">
                  <c:v>0.43045800000000001</c:v>
                </c:pt>
                <c:pt idx="11">
                  <c:v>0.473883</c:v>
                </c:pt>
                <c:pt idx="12">
                  <c:v>0.43909799999999999</c:v>
                </c:pt>
                <c:pt idx="13">
                  <c:v>0.68285300000000004</c:v>
                </c:pt>
                <c:pt idx="14">
                  <c:v>0.53273899999999996</c:v>
                </c:pt>
                <c:pt idx="15">
                  <c:v>0.31106600000000001</c:v>
                </c:pt>
                <c:pt idx="16">
                  <c:v>0.37341200000000002</c:v>
                </c:pt>
                <c:pt idx="17">
                  <c:v>0.408022</c:v>
                </c:pt>
                <c:pt idx="18">
                  <c:v>0.501552</c:v>
                </c:pt>
                <c:pt idx="19">
                  <c:v>0.49484800000000001</c:v>
                </c:pt>
                <c:pt idx="20">
                  <c:v>0.57181300000000002</c:v>
                </c:pt>
                <c:pt idx="21">
                  <c:v>0.62461599999999995</c:v>
                </c:pt>
                <c:pt idx="22">
                  <c:v>0.57785799999999998</c:v>
                </c:pt>
                <c:pt idx="23">
                  <c:v>0.42838399999999999</c:v>
                </c:pt>
              </c:numCache>
            </c:numRef>
          </c:xVal>
          <c:yVal>
            <c:numRef>
              <c:f>bestandsmål!$R$8:$R$31</c:f>
              <c:numCache>
                <c:formatCode>0.00</c:formatCode>
                <c:ptCount val="24"/>
                <c:pt idx="0">
                  <c:v>0.50093029912695008</c:v>
                </c:pt>
                <c:pt idx="1">
                  <c:v>0.61957868649318459</c:v>
                </c:pt>
                <c:pt idx="2">
                  <c:v>9.2165898617511524E-2</c:v>
                </c:pt>
                <c:pt idx="3">
                  <c:v>0.5357142857142857</c:v>
                </c:pt>
                <c:pt idx="4">
                  <c:v>1.3092269326683292</c:v>
                </c:pt>
                <c:pt idx="5">
                  <c:v>0.57471264367816088</c:v>
                </c:pt>
                <c:pt idx="6">
                  <c:v>1.3871228759680962</c:v>
                </c:pt>
                <c:pt idx="7">
                  <c:v>0.98106712564543885</c:v>
                </c:pt>
                <c:pt idx="8">
                  <c:v>0.33707865168539325</c:v>
                </c:pt>
                <c:pt idx="9">
                  <c:v>0.28264556246466932</c:v>
                </c:pt>
                <c:pt idx="10">
                  <c:v>0.7469654528478058</c:v>
                </c:pt>
                <c:pt idx="11">
                  <c:v>0.80789946140035906</c:v>
                </c:pt>
                <c:pt idx="12">
                  <c:v>0.39408866995073893</c:v>
                </c:pt>
                <c:pt idx="13">
                  <c:v>0.16741071428571427</c:v>
                </c:pt>
                <c:pt idx="14">
                  <c:v>0.15974440894568689</c:v>
                </c:pt>
                <c:pt idx="15">
                  <c:v>0.18237082066869301</c:v>
                </c:pt>
                <c:pt idx="16">
                  <c:v>0.46272493573264784</c:v>
                </c:pt>
                <c:pt idx="17">
                  <c:v>0.80601826974744761</c:v>
                </c:pt>
                <c:pt idx="18">
                  <c:v>0.80628488732685544</c:v>
                </c:pt>
                <c:pt idx="19">
                  <c:v>0.53547523427041499</c:v>
                </c:pt>
                <c:pt idx="20">
                  <c:v>0.86705202312138729</c:v>
                </c:pt>
                <c:pt idx="21">
                  <c:v>0.85543199315654406</c:v>
                </c:pt>
                <c:pt idx="22">
                  <c:v>0.72568940493468792</c:v>
                </c:pt>
                <c:pt idx="23">
                  <c:v>0.36630036630036628</c:v>
                </c:pt>
              </c:numCache>
            </c:numRef>
          </c:yVal>
          <c:smooth val="0"/>
          <c:extLst>
            <c:ext xmlns:c16="http://schemas.microsoft.com/office/drawing/2014/chart" uri="{C3380CC4-5D6E-409C-BE32-E72D297353CC}">
              <c16:uniqueId val="{00000000-D650-4AA3-8BF9-1572323711C6}"/>
            </c:ext>
          </c:extLst>
        </c:ser>
        <c:dLbls>
          <c:showLegendKey val="0"/>
          <c:showVal val="0"/>
          <c:showCatName val="0"/>
          <c:showSerName val="0"/>
          <c:showPercent val="0"/>
          <c:showBubbleSize val="0"/>
        </c:dLbls>
        <c:axId val="696050143"/>
        <c:axId val="696054719"/>
      </c:scatterChart>
      <c:valAx>
        <c:axId val="696050143"/>
        <c:scaling>
          <c:orientation val="minMax"/>
          <c:min val="0.30000000000000004"/>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96054719"/>
        <c:crosses val="autoZero"/>
        <c:crossBetween val="midCat"/>
      </c:valAx>
      <c:valAx>
        <c:axId val="696054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6960501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skaleringsfunk!$C$6</c:f>
              <c:strCache>
                <c:ptCount val="1"/>
                <c:pt idx="0">
                  <c:v>skalert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skaleringsfunk!$B$7:$B$11</c:f>
              <c:numCache>
                <c:formatCode>General</c:formatCode>
                <c:ptCount val="5"/>
                <c:pt idx="0">
                  <c:v>0</c:v>
                </c:pt>
                <c:pt idx="1">
                  <c:v>0.6</c:v>
                </c:pt>
                <c:pt idx="2">
                  <c:v>1</c:v>
                </c:pt>
                <c:pt idx="3">
                  <c:v>2</c:v>
                </c:pt>
                <c:pt idx="4">
                  <c:v>10</c:v>
                </c:pt>
              </c:numCache>
            </c:numRef>
          </c:xVal>
          <c:yVal>
            <c:numRef>
              <c:f>skaleringsfunk!$C$7:$C$11</c:f>
              <c:numCache>
                <c:formatCode>General</c:formatCode>
                <c:ptCount val="5"/>
                <c:pt idx="0">
                  <c:v>0</c:v>
                </c:pt>
                <c:pt idx="1">
                  <c:v>0.6</c:v>
                </c:pt>
                <c:pt idx="2">
                  <c:v>1</c:v>
                </c:pt>
                <c:pt idx="3">
                  <c:v>0.6</c:v>
                </c:pt>
                <c:pt idx="4">
                  <c:v>0</c:v>
                </c:pt>
              </c:numCache>
            </c:numRef>
          </c:yVal>
          <c:smooth val="0"/>
          <c:extLst>
            <c:ext xmlns:c16="http://schemas.microsoft.com/office/drawing/2014/chart" uri="{C3380CC4-5D6E-409C-BE32-E72D297353CC}">
              <c16:uniqueId val="{00000000-8B12-4352-9FE9-8A770B27809E}"/>
            </c:ext>
          </c:extLst>
        </c:ser>
        <c:dLbls>
          <c:showLegendKey val="0"/>
          <c:showVal val="0"/>
          <c:showCatName val="0"/>
          <c:showSerName val="0"/>
          <c:showPercent val="0"/>
          <c:showBubbleSize val="0"/>
        </c:dLbls>
        <c:axId val="1830931536"/>
        <c:axId val="1830932784"/>
      </c:scatterChart>
      <c:valAx>
        <c:axId val="1830931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30932784"/>
        <c:crosses val="autoZero"/>
        <c:crossBetween val="midCat"/>
      </c:valAx>
      <c:valAx>
        <c:axId val="1830932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830931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fjellandel-&gt;ant/km2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bestand!$AA$7</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7.4921697287839026E-2"/>
                  <c:y val="-0.261379775444736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bestand!$W$8:$W$31</c:f>
              <c:numCache>
                <c:formatCode>0.00</c:formatCode>
                <c:ptCount val="24"/>
                <c:pt idx="0">
                  <c:v>0.72434634344410931</c:v>
                </c:pt>
                <c:pt idx="1">
                  <c:v>0.27119555841961029</c:v>
                </c:pt>
                <c:pt idx="2">
                  <c:v>0.92235867466031018</c:v>
                </c:pt>
                <c:pt idx="3">
                  <c:v>0.11408172735212159</c:v>
                </c:pt>
                <c:pt idx="4">
                  <c:v>0.51052466636886484</c:v>
                </c:pt>
                <c:pt idx="5">
                  <c:v>0.24344240003308451</c:v>
                </c:pt>
                <c:pt idx="6">
                  <c:v>0.84454330031913749</c:v>
                </c:pt>
                <c:pt idx="7">
                  <c:v>0.50224350823896013</c:v>
                </c:pt>
                <c:pt idx="8">
                  <c:v>0.43526578276028827</c:v>
                </c:pt>
                <c:pt idx="9">
                  <c:v>0.86195544194581353</c:v>
                </c:pt>
                <c:pt idx="10">
                  <c:v>0.88672825381071707</c:v>
                </c:pt>
                <c:pt idx="11">
                  <c:v>0.83262697462823831</c:v>
                </c:pt>
                <c:pt idx="12">
                  <c:v>0.85631386176913427</c:v>
                </c:pt>
                <c:pt idx="13">
                  <c:v>0.4006634402456471</c:v>
                </c:pt>
                <c:pt idx="14">
                  <c:v>0.71919340574349155</c:v>
                </c:pt>
                <c:pt idx="15">
                  <c:v>0.47080303016854097</c:v>
                </c:pt>
                <c:pt idx="16">
                  <c:v>0.8709760546604538</c:v>
                </c:pt>
                <c:pt idx="17">
                  <c:v>0.87798358218914629</c:v>
                </c:pt>
                <c:pt idx="18">
                  <c:v>0.44260794329848974</c:v>
                </c:pt>
                <c:pt idx="19">
                  <c:v>0.42376740115882833</c:v>
                </c:pt>
                <c:pt idx="20">
                  <c:v>0.6836759852333002</c:v>
                </c:pt>
                <c:pt idx="21">
                  <c:v>0.62965640110649224</c:v>
                </c:pt>
                <c:pt idx="22">
                  <c:v>0.68008257839865238</c:v>
                </c:pt>
                <c:pt idx="23">
                  <c:v>0.87826105743728033</c:v>
                </c:pt>
              </c:numCache>
            </c:numRef>
          </c:xVal>
          <c:yVal>
            <c:numRef>
              <c:f>bestand!$AA$8:$AA$31</c:f>
              <c:numCache>
                <c:formatCode>0.00</c:formatCode>
                <c:ptCount val="24"/>
                <c:pt idx="0">
                  <c:v>0.50093029912695008</c:v>
                </c:pt>
                <c:pt idx="1">
                  <c:v>0.82610491532424613</c:v>
                </c:pt>
                <c:pt idx="2">
                  <c:v>9.2165898617511524E-2</c:v>
                </c:pt>
                <c:pt idx="3">
                  <c:v>0.5357142857142857</c:v>
                </c:pt>
                <c:pt idx="4">
                  <c:v>1.2468827930174564</c:v>
                </c:pt>
                <c:pt idx="5">
                  <c:v>0.53639846743295017</c:v>
                </c:pt>
                <c:pt idx="6">
                  <c:v>1.2137325164720842</c:v>
                </c:pt>
                <c:pt idx="7">
                  <c:v>1.2048192771084338</c:v>
                </c:pt>
                <c:pt idx="8">
                  <c:v>0.1348314606741573</c:v>
                </c:pt>
                <c:pt idx="9">
                  <c:v>0.24872809496890899</c:v>
                </c:pt>
                <c:pt idx="10">
                  <c:v>0.65359477124183007</c:v>
                </c:pt>
                <c:pt idx="11">
                  <c:v>0.21543985637342908</c:v>
                </c:pt>
                <c:pt idx="12">
                  <c:v>0.39408866995073893</c:v>
                </c:pt>
                <c:pt idx="13">
                  <c:v>0.13950892857142858</c:v>
                </c:pt>
                <c:pt idx="14">
                  <c:v>0.15974440894568689</c:v>
                </c:pt>
                <c:pt idx="15">
                  <c:v>0.16717325227963525</c:v>
                </c:pt>
                <c:pt idx="16">
                  <c:v>0.49700085689802914</c:v>
                </c:pt>
                <c:pt idx="17">
                  <c:v>0.7254164427727029</c:v>
                </c:pt>
                <c:pt idx="18">
                  <c:v>0.72358900144717797</c:v>
                </c:pt>
                <c:pt idx="19">
                  <c:v>0.53547523427041499</c:v>
                </c:pt>
                <c:pt idx="20">
                  <c:v>0.86705202312138729</c:v>
                </c:pt>
                <c:pt idx="21">
                  <c:v>0.85543199315654406</c:v>
                </c:pt>
                <c:pt idx="22">
                  <c:v>0.72568940493468792</c:v>
                </c:pt>
                <c:pt idx="23">
                  <c:v>0.11538461538461539</c:v>
                </c:pt>
              </c:numCache>
            </c:numRef>
          </c:yVal>
          <c:smooth val="0"/>
          <c:extLst>
            <c:ext xmlns:c16="http://schemas.microsoft.com/office/drawing/2014/chart" uri="{C3380CC4-5D6E-409C-BE32-E72D297353CC}">
              <c16:uniqueId val="{00000000-AAB9-4971-A844-40A93DB3EF04}"/>
            </c:ext>
          </c:extLst>
        </c:ser>
        <c:dLbls>
          <c:showLegendKey val="0"/>
          <c:showVal val="0"/>
          <c:showCatName val="0"/>
          <c:showSerName val="0"/>
          <c:showPercent val="0"/>
          <c:showBubbleSize val="0"/>
        </c:dLbls>
        <c:axId val="1249387503"/>
        <c:axId val="1249404559"/>
      </c:scatterChart>
      <c:valAx>
        <c:axId val="124938750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9404559"/>
        <c:crosses val="autoZero"/>
        <c:crossBetween val="midCat"/>
      </c:valAx>
      <c:valAx>
        <c:axId val="12494045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938750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b="1"/>
              <a:t>TRI-&gt;ant/km2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bestand!$AA$7</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dPt>
            <c:idx val="0"/>
            <c:marker>
              <c:symbol val="circle"/>
              <c:size val="5"/>
              <c:spPr>
                <a:solidFill>
                  <a:srgbClr val="FFC000"/>
                </a:solidFill>
                <a:ln w="9525">
                  <a:noFill/>
                </a:ln>
                <a:effectLst/>
              </c:spPr>
            </c:marker>
            <c:bubble3D val="0"/>
            <c:extLst>
              <c:ext xmlns:c16="http://schemas.microsoft.com/office/drawing/2014/chart" uri="{C3380CC4-5D6E-409C-BE32-E72D297353CC}">
                <c16:uniqueId val="{0000000B-9E3E-4F8A-A69D-0EE37AAAB9F3}"/>
              </c:ext>
            </c:extLst>
          </c:dPt>
          <c:dPt>
            <c:idx val="1"/>
            <c:marker>
              <c:symbol val="circle"/>
              <c:size val="5"/>
              <c:spPr>
                <a:solidFill>
                  <a:srgbClr val="FFC000"/>
                </a:solidFill>
                <a:ln w="9525">
                  <a:noFill/>
                </a:ln>
                <a:effectLst/>
              </c:spPr>
            </c:marker>
            <c:bubble3D val="0"/>
            <c:extLst>
              <c:ext xmlns:c16="http://schemas.microsoft.com/office/drawing/2014/chart" uri="{C3380CC4-5D6E-409C-BE32-E72D297353CC}">
                <c16:uniqueId val="{0000000C-9E3E-4F8A-A69D-0EE37AAAB9F3}"/>
              </c:ext>
            </c:extLst>
          </c:dPt>
          <c:dPt>
            <c:idx val="2"/>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4-9E3E-4F8A-A69D-0EE37AAAB9F3}"/>
              </c:ext>
            </c:extLst>
          </c:dPt>
          <c:dPt>
            <c:idx val="3"/>
            <c:marker>
              <c:symbol val="circle"/>
              <c:size val="5"/>
              <c:spPr>
                <a:solidFill>
                  <a:srgbClr val="92D050"/>
                </a:solidFill>
                <a:ln w="9525">
                  <a:noFill/>
                </a:ln>
                <a:effectLst/>
              </c:spPr>
            </c:marker>
            <c:bubble3D val="0"/>
            <c:extLst>
              <c:ext xmlns:c16="http://schemas.microsoft.com/office/drawing/2014/chart" uri="{C3380CC4-5D6E-409C-BE32-E72D297353CC}">
                <c16:uniqueId val="{00000010-9E3E-4F8A-A69D-0EE37AAAB9F3}"/>
              </c:ext>
            </c:extLst>
          </c:dPt>
          <c:dPt>
            <c:idx val="4"/>
            <c:marker>
              <c:symbol val="circle"/>
              <c:size val="5"/>
              <c:spPr>
                <a:solidFill>
                  <a:srgbClr val="92D050"/>
                </a:solidFill>
                <a:ln w="9525">
                  <a:noFill/>
                </a:ln>
                <a:effectLst/>
              </c:spPr>
            </c:marker>
            <c:bubble3D val="0"/>
            <c:extLst>
              <c:ext xmlns:c16="http://schemas.microsoft.com/office/drawing/2014/chart" uri="{C3380CC4-5D6E-409C-BE32-E72D297353CC}">
                <c16:uniqueId val="{00000012-9E3E-4F8A-A69D-0EE37AAAB9F3}"/>
              </c:ext>
            </c:extLst>
          </c:dPt>
          <c:dPt>
            <c:idx val="5"/>
            <c:marker>
              <c:symbol val="circle"/>
              <c:size val="5"/>
              <c:spPr>
                <a:solidFill>
                  <a:srgbClr val="92D050"/>
                </a:solidFill>
                <a:ln w="9525">
                  <a:noFill/>
                </a:ln>
                <a:effectLst/>
              </c:spPr>
            </c:marker>
            <c:bubble3D val="0"/>
            <c:extLst>
              <c:ext xmlns:c16="http://schemas.microsoft.com/office/drawing/2014/chart" uri="{C3380CC4-5D6E-409C-BE32-E72D297353CC}">
                <c16:uniqueId val="{00000011-9E3E-4F8A-A69D-0EE37AAAB9F3}"/>
              </c:ext>
            </c:extLst>
          </c:dPt>
          <c:dPt>
            <c:idx val="6"/>
            <c:marker>
              <c:symbol val="circle"/>
              <c:size val="5"/>
              <c:spPr>
                <a:solidFill>
                  <a:srgbClr val="FFC000"/>
                </a:solidFill>
                <a:ln w="9525">
                  <a:noFill/>
                </a:ln>
                <a:effectLst/>
              </c:spPr>
            </c:marker>
            <c:bubble3D val="0"/>
            <c:extLst>
              <c:ext xmlns:c16="http://schemas.microsoft.com/office/drawing/2014/chart" uri="{C3380CC4-5D6E-409C-BE32-E72D297353CC}">
                <c16:uniqueId val="{0000000D-9E3E-4F8A-A69D-0EE37AAAB9F3}"/>
              </c:ext>
            </c:extLst>
          </c:dPt>
          <c:dPt>
            <c:idx val="7"/>
            <c:marker>
              <c:symbol val="circle"/>
              <c:size val="5"/>
              <c:spPr>
                <a:solidFill>
                  <a:srgbClr val="92D050"/>
                </a:solidFill>
                <a:ln w="9525">
                  <a:noFill/>
                </a:ln>
                <a:effectLst/>
              </c:spPr>
            </c:marker>
            <c:bubble3D val="0"/>
            <c:extLst>
              <c:ext xmlns:c16="http://schemas.microsoft.com/office/drawing/2014/chart" uri="{C3380CC4-5D6E-409C-BE32-E72D297353CC}">
                <c16:uniqueId val="{00000013-9E3E-4F8A-A69D-0EE37AAAB9F3}"/>
              </c:ext>
            </c:extLst>
          </c:dPt>
          <c:dPt>
            <c:idx val="8"/>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6-9E3E-4F8A-A69D-0EE37AAAB9F3}"/>
              </c:ext>
            </c:extLst>
          </c:dPt>
          <c:dPt>
            <c:idx val="9"/>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8-9E3E-4F8A-A69D-0EE37AAAB9F3}"/>
              </c:ext>
            </c:extLst>
          </c:dPt>
          <c:dPt>
            <c:idx val="10"/>
            <c:marker>
              <c:symbol val="circle"/>
              <c:size val="5"/>
              <c:spPr>
                <a:solidFill>
                  <a:srgbClr val="FFC000"/>
                </a:solidFill>
                <a:ln w="9525">
                  <a:noFill/>
                </a:ln>
                <a:effectLst/>
              </c:spPr>
            </c:marker>
            <c:bubble3D val="0"/>
            <c:extLst>
              <c:ext xmlns:c16="http://schemas.microsoft.com/office/drawing/2014/chart" uri="{C3380CC4-5D6E-409C-BE32-E72D297353CC}">
                <c16:uniqueId val="{0000000F-9E3E-4F8A-A69D-0EE37AAAB9F3}"/>
              </c:ext>
            </c:extLst>
          </c:dPt>
          <c:dPt>
            <c:idx val="11"/>
            <c:marker>
              <c:symbol val="circle"/>
              <c:size val="5"/>
              <c:spPr>
                <a:solidFill>
                  <a:srgbClr val="FFC000"/>
                </a:solidFill>
                <a:ln w="9525">
                  <a:noFill/>
                </a:ln>
                <a:effectLst/>
              </c:spPr>
            </c:marker>
            <c:bubble3D val="0"/>
            <c:extLst>
              <c:ext xmlns:c16="http://schemas.microsoft.com/office/drawing/2014/chart" uri="{C3380CC4-5D6E-409C-BE32-E72D297353CC}">
                <c16:uniqueId val="{0000000E-9E3E-4F8A-A69D-0EE37AAAB9F3}"/>
              </c:ext>
            </c:extLst>
          </c:dPt>
          <c:dPt>
            <c:idx val="13"/>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9-9E3E-4F8A-A69D-0EE37AAAB9F3}"/>
              </c:ext>
            </c:extLst>
          </c:dPt>
          <c:dPt>
            <c:idx val="14"/>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7-9E3E-4F8A-A69D-0EE37AAAB9F3}"/>
              </c:ext>
            </c:extLst>
          </c:dPt>
          <c:dPt>
            <c:idx val="15"/>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A-9E3E-4F8A-A69D-0EE37AAAB9F3}"/>
              </c:ext>
            </c:extLst>
          </c:dPt>
          <c:dPt>
            <c:idx val="20"/>
            <c:marker>
              <c:symbol val="circle"/>
              <c:size val="5"/>
              <c:spPr>
                <a:solidFill>
                  <a:srgbClr val="92D050"/>
                </a:solidFill>
                <a:ln w="9525">
                  <a:noFill/>
                </a:ln>
                <a:effectLst/>
              </c:spPr>
            </c:marker>
            <c:bubble3D val="0"/>
            <c:extLst>
              <c:ext xmlns:c16="http://schemas.microsoft.com/office/drawing/2014/chart" uri="{C3380CC4-5D6E-409C-BE32-E72D297353CC}">
                <c16:uniqueId val="{00000014-9E3E-4F8A-A69D-0EE37AAAB9F3}"/>
              </c:ext>
            </c:extLst>
          </c:dPt>
          <c:dPt>
            <c:idx val="23"/>
            <c:marker>
              <c:symbol val="circle"/>
              <c:size val="5"/>
              <c:spPr>
                <a:solidFill>
                  <a:schemeClr val="accent2">
                    <a:lumMod val="75000"/>
                  </a:schemeClr>
                </a:solidFill>
                <a:ln w="9525">
                  <a:noFill/>
                </a:ln>
                <a:effectLst/>
              </c:spPr>
            </c:marker>
            <c:bubble3D val="0"/>
            <c:extLst>
              <c:ext xmlns:c16="http://schemas.microsoft.com/office/drawing/2014/chart" uri="{C3380CC4-5D6E-409C-BE32-E72D297353CC}">
                <c16:uniqueId val="{00000005-9E3E-4F8A-A69D-0EE37AAAB9F3}"/>
              </c:ext>
            </c:extLst>
          </c:dPt>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5.925109361329834E-2"/>
                  <c:y val="-0.2769987605715952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trendline>
            <c:spPr>
              <a:ln w="19050" cap="rnd">
                <a:solidFill>
                  <a:schemeClr val="accent1"/>
                </a:solidFill>
                <a:prstDash val="sysDot"/>
              </a:ln>
              <a:effectLst/>
            </c:spPr>
            <c:trendlineType val="exp"/>
            <c:dispRSqr val="1"/>
            <c:dispEq val="1"/>
            <c:trendlineLbl>
              <c:layout>
                <c:manualLayout>
                  <c:x val="2.6806649168853895E-2"/>
                  <c:y val="-0.4992209827938174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bestand!$X$8:$X$31</c:f>
              <c:numCache>
                <c:formatCode>#,##0</c:formatCode>
                <c:ptCount val="24"/>
                <c:pt idx="0">
                  <c:v>357.66031099999998</c:v>
                </c:pt>
                <c:pt idx="1">
                  <c:v>328.82656700000001</c:v>
                </c:pt>
                <c:pt idx="2">
                  <c:v>549.046154</c:v>
                </c:pt>
                <c:pt idx="3">
                  <c:v>316.89386999999999</c:v>
                </c:pt>
                <c:pt idx="4">
                  <c:v>263.70843100000002</c:v>
                </c:pt>
                <c:pt idx="5">
                  <c:v>203.095305</c:v>
                </c:pt>
                <c:pt idx="6">
                  <c:v>222.79789299999999</c:v>
                </c:pt>
                <c:pt idx="7">
                  <c:v>202.22577200000001</c:v>
                </c:pt>
                <c:pt idx="8">
                  <c:v>753.349693</c:v>
                </c:pt>
                <c:pt idx="9">
                  <c:v>790.21857699999998</c:v>
                </c:pt>
                <c:pt idx="10">
                  <c:v>378.56306999999998</c:v>
                </c:pt>
                <c:pt idx="11">
                  <c:v>642.30192299999999</c:v>
                </c:pt>
                <c:pt idx="12">
                  <c:v>830.85967800000003</c:v>
                </c:pt>
                <c:pt idx="13">
                  <c:v>897.83417199999997</c:v>
                </c:pt>
                <c:pt idx="14">
                  <c:v>984.20840199999998</c:v>
                </c:pt>
                <c:pt idx="15">
                  <c:v>1354.4969450000001</c:v>
                </c:pt>
                <c:pt idx="16">
                  <c:v>654.91575499999999</c:v>
                </c:pt>
                <c:pt idx="17">
                  <c:v>572.90004699999997</c:v>
                </c:pt>
                <c:pt idx="18">
                  <c:v>166.72869299999999</c:v>
                </c:pt>
                <c:pt idx="19">
                  <c:v>159.63225600000001</c:v>
                </c:pt>
                <c:pt idx="20">
                  <c:v>118.466858</c:v>
                </c:pt>
                <c:pt idx="21">
                  <c:v>88.193330000000003</c:v>
                </c:pt>
                <c:pt idx="22">
                  <c:v>147.766053</c:v>
                </c:pt>
                <c:pt idx="23">
                  <c:v>791.77820899999995</c:v>
                </c:pt>
              </c:numCache>
            </c:numRef>
          </c:xVal>
          <c:yVal>
            <c:numRef>
              <c:f>bestand!$AA$8:$AA$31</c:f>
              <c:numCache>
                <c:formatCode>0.00</c:formatCode>
                <c:ptCount val="24"/>
                <c:pt idx="0">
                  <c:v>0.50093029912695008</c:v>
                </c:pt>
                <c:pt idx="1">
                  <c:v>0.82610491532424613</c:v>
                </c:pt>
                <c:pt idx="2">
                  <c:v>9.2165898617511524E-2</c:v>
                </c:pt>
                <c:pt idx="3">
                  <c:v>0.5357142857142857</c:v>
                </c:pt>
                <c:pt idx="4">
                  <c:v>1.2468827930174564</c:v>
                </c:pt>
                <c:pt idx="5">
                  <c:v>0.53639846743295017</c:v>
                </c:pt>
                <c:pt idx="6">
                  <c:v>1.2137325164720842</c:v>
                </c:pt>
                <c:pt idx="7">
                  <c:v>1.2048192771084338</c:v>
                </c:pt>
                <c:pt idx="8">
                  <c:v>0.1348314606741573</c:v>
                </c:pt>
                <c:pt idx="9">
                  <c:v>0.24872809496890899</c:v>
                </c:pt>
                <c:pt idx="10">
                  <c:v>0.65359477124183007</c:v>
                </c:pt>
                <c:pt idx="11">
                  <c:v>0.21543985637342908</c:v>
                </c:pt>
                <c:pt idx="12">
                  <c:v>0.39408866995073893</c:v>
                </c:pt>
                <c:pt idx="13">
                  <c:v>0.13950892857142858</c:v>
                </c:pt>
                <c:pt idx="14">
                  <c:v>0.15974440894568689</c:v>
                </c:pt>
                <c:pt idx="15">
                  <c:v>0.16717325227963525</c:v>
                </c:pt>
                <c:pt idx="16">
                  <c:v>0.49700085689802914</c:v>
                </c:pt>
                <c:pt idx="17">
                  <c:v>0.7254164427727029</c:v>
                </c:pt>
                <c:pt idx="18">
                  <c:v>0.72358900144717797</c:v>
                </c:pt>
                <c:pt idx="19">
                  <c:v>0.53547523427041499</c:v>
                </c:pt>
                <c:pt idx="20">
                  <c:v>0.86705202312138729</c:v>
                </c:pt>
                <c:pt idx="21">
                  <c:v>0.85543199315654406</c:v>
                </c:pt>
                <c:pt idx="22">
                  <c:v>0.72568940493468792</c:v>
                </c:pt>
                <c:pt idx="23">
                  <c:v>0.11538461538461539</c:v>
                </c:pt>
              </c:numCache>
            </c:numRef>
          </c:yVal>
          <c:smooth val="0"/>
          <c:extLst>
            <c:ext xmlns:c16="http://schemas.microsoft.com/office/drawing/2014/chart" uri="{C3380CC4-5D6E-409C-BE32-E72D297353CC}">
              <c16:uniqueId val="{00000000-9E3E-4F8A-A69D-0EE37AAAB9F3}"/>
            </c:ext>
          </c:extLst>
        </c:ser>
        <c:dLbls>
          <c:showLegendKey val="0"/>
          <c:showVal val="0"/>
          <c:showCatName val="0"/>
          <c:showSerName val="0"/>
          <c:showPercent val="0"/>
          <c:showBubbleSize val="0"/>
        </c:dLbls>
        <c:axId val="1310924799"/>
        <c:axId val="1310919807"/>
      </c:scatterChart>
      <c:valAx>
        <c:axId val="131092479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10919807"/>
        <c:crosses val="autoZero"/>
        <c:crossBetween val="midCat"/>
      </c:valAx>
      <c:valAx>
        <c:axId val="1310919807"/>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109247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ISI-&gt;ant/km2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bestand!$AA$7</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0942629046369204"/>
                  <c:y val="-0.1406609069699620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bestand!$Y$8:$Y$31</c:f>
              <c:numCache>
                <c:formatCode>0.000</c:formatCode>
                <c:ptCount val="24"/>
                <c:pt idx="0">
                  <c:v>0.80564999999999998</c:v>
                </c:pt>
                <c:pt idx="1">
                  <c:v>0.98855899999999997</c:v>
                </c:pt>
                <c:pt idx="2">
                  <c:v>0.44023299999999999</c:v>
                </c:pt>
                <c:pt idx="3">
                  <c:v>0.72817699999999996</c:v>
                </c:pt>
                <c:pt idx="4">
                  <c:v>0.82360699999999998</c:v>
                </c:pt>
                <c:pt idx="5">
                  <c:v>1.0739399999999999</c:v>
                </c:pt>
                <c:pt idx="6">
                  <c:v>0.46229599999999998</c:v>
                </c:pt>
                <c:pt idx="7">
                  <c:v>1.2867440000000001</c:v>
                </c:pt>
                <c:pt idx="8">
                  <c:v>0.71376700000000004</c:v>
                </c:pt>
                <c:pt idx="9">
                  <c:v>0.51443899999999998</c:v>
                </c:pt>
                <c:pt idx="10">
                  <c:v>0.75871900000000003</c:v>
                </c:pt>
                <c:pt idx="11">
                  <c:v>0.524613</c:v>
                </c:pt>
                <c:pt idx="12">
                  <c:v>0.405725</c:v>
                </c:pt>
                <c:pt idx="13">
                  <c:v>2.3191419999999998</c:v>
                </c:pt>
                <c:pt idx="14">
                  <c:v>0.45919399999999999</c:v>
                </c:pt>
                <c:pt idx="15">
                  <c:v>1.2780180000000001</c:v>
                </c:pt>
                <c:pt idx="16">
                  <c:v>0.26442100000000002</c:v>
                </c:pt>
                <c:pt idx="17">
                  <c:v>0.48280400000000001</c:v>
                </c:pt>
                <c:pt idx="18">
                  <c:v>1.086419</c:v>
                </c:pt>
                <c:pt idx="19">
                  <c:v>1.0639540000000001</c:v>
                </c:pt>
                <c:pt idx="20">
                  <c:v>0.43935800000000003</c:v>
                </c:pt>
                <c:pt idx="21">
                  <c:v>0.64323200000000003</c:v>
                </c:pt>
                <c:pt idx="22">
                  <c:v>0.86329400000000001</c:v>
                </c:pt>
                <c:pt idx="23">
                  <c:v>0.31204900000000002</c:v>
                </c:pt>
              </c:numCache>
            </c:numRef>
          </c:xVal>
          <c:yVal>
            <c:numRef>
              <c:f>bestand!$AA$8:$AA$31</c:f>
              <c:numCache>
                <c:formatCode>0.00</c:formatCode>
                <c:ptCount val="24"/>
                <c:pt idx="0">
                  <c:v>0.50093029912695008</c:v>
                </c:pt>
                <c:pt idx="1">
                  <c:v>0.82610491532424613</c:v>
                </c:pt>
                <c:pt idx="2">
                  <c:v>9.2165898617511524E-2</c:v>
                </c:pt>
                <c:pt idx="3">
                  <c:v>0.5357142857142857</c:v>
                </c:pt>
                <c:pt idx="4">
                  <c:v>1.2468827930174564</c:v>
                </c:pt>
                <c:pt idx="5">
                  <c:v>0.53639846743295017</c:v>
                </c:pt>
                <c:pt idx="6">
                  <c:v>1.2137325164720842</c:v>
                </c:pt>
                <c:pt idx="7">
                  <c:v>1.2048192771084338</c:v>
                </c:pt>
                <c:pt idx="8">
                  <c:v>0.1348314606741573</c:v>
                </c:pt>
                <c:pt idx="9">
                  <c:v>0.24872809496890899</c:v>
                </c:pt>
                <c:pt idx="10">
                  <c:v>0.65359477124183007</c:v>
                </c:pt>
                <c:pt idx="11">
                  <c:v>0.21543985637342908</c:v>
                </c:pt>
                <c:pt idx="12">
                  <c:v>0.39408866995073893</c:v>
                </c:pt>
                <c:pt idx="13">
                  <c:v>0.13950892857142858</c:v>
                </c:pt>
                <c:pt idx="14">
                  <c:v>0.15974440894568689</c:v>
                </c:pt>
                <c:pt idx="15">
                  <c:v>0.16717325227963525</c:v>
                </c:pt>
                <c:pt idx="16">
                  <c:v>0.49700085689802914</c:v>
                </c:pt>
                <c:pt idx="17">
                  <c:v>0.7254164427727029</c:v>
                </c:pt>
                <c:pt idx="18">
                  <c:v>0.72358900144717797</c:v>
                </c:pt>
                <c:pt idx="19">
                  <c:v>0.53547523427041499</c:v>
                </c:pt>
                <c:pt idx="20">
                  <c:v>0.86705202312138729</c:v>
                </c:pt>
                <c:pt idx="21">
                  <c:v>0.85543199315654406</c:v>
                </c:pt>
                <c:pt idx="22">
                  <c:v>0.72568940493468792</c:v>
                </c:pt>
                <c:pt idx="23">
                  <c:v>0.11538461538461539</c:v>
                </c:pt>
              </c:numCache>
            </c:numRef>
          </c:yVal>
          <c:smooth val="0"/>
          <c:extLst>
            <c:ext xmlns:c16="http://schemas.microsoft.com/office/drawing/2014/chart" uri="{C3380CC4-5D6E-409C-BE32-E72D297353CC}">
              <c16:uniqueId val="{00000000-DA3C-4C92-8224-A9E716DE5990}"/>
            </c:ext>
          </c:extLst>
        </c:ser>
        <c:dLbls>
          <c:showLegendKey val="0"/>
          <c:showVal val="0"/>
          <c:showCatName val="0"/>
          <c:showSerName val="0"/>
          <c:showPercent val="0"/>
          <c:showBubbleSize val="0"/>
        </c:dLbls>
        <c:axId val="1238416943"/>
        <c:axId val="1238421103"/>
      </c:scatterChart>
      <c:valAx>
        <c:axId val="1238416943"/>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38421103"/>
        <c:crosses val="autoZero"/>
        <c:crossBetween val="midCat"/>
      </c:valAx>
      <c:valAx>
        <c:axId val="1238421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384169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fjellandel-&gt;ant/km2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bestand!$AA$34</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dPt>
            <c:idx val="5"/>
            <c:marker>
              <c:symbol val="circle"/>
              <c:size val="5"/>
              <c:spPr>
                <a:solidFill>
                  <a:srgbClr val="FF0000"/>
                </a:solidFill>
                <a:ln w="9525">
                  <a:noFill/>
                </a:ln>
                <a:effectLst/>
              </c:spPr>
            </c:marker>
            <c:bubble3D val="0"/>
            <c:extLst>
              <c:ext xmlns:c16="http://schemas.microsoft.com/office/drawing/2014/chart" uri="{C3380CC4-5D6E-409C-BE32-E72D297353CC}">
                <c16:uniqueId val="{00000005-5F61-486E-BE76-590928D41B36}"/>
              </c:ext>
            </c:extLst>
          </c:dPt>
          <c:dPt>
            <c:idx val="6"/>
            <c:marker>
              <c:symbol val="circle"/>
              <c:size val="5"/>
              <c:spPr>
                <a:solidFill>
                  <a:srgbClr val="FF0000"/>
                </a:solidFill>
                <a:ln w="9525">
                  <a:noFill/>
                </a:ln>
                <a:effectLst/>
              </c:spPr>
            </c:marker>
            <c:bubble3D val="0"/>
            <c:extLst>
              <c:ext xmlns:c16="http://schemas.microsoft.com/office/drawing/2014/chart" uri="{C3380CC4-5D6E-409C-BE32-E72D297353CC}">
                <c16:uniqueId val="{00000004-5F61-486E-BE76-590928D41B36}"/>
              </c:ext>
            </c:extLst>
          </c:dPt>
          <c:dPt>
            <c:idx val="7"/>
            <c:marker>
              <c:symbol val="circle"/>
              <c:size val="5"/>
              <c:spPr>
                <a:solidFill>
                  <a:srgbClr val="FF0000"/>
                </a:solidFill>
                <a:ln w="9525">
                  <a:noFill/>
                </a:ln>
                <a:effectLst/>
              </c:spPr>
            </c:marker>
            <c:bubble3D val="0"/>
            <c:extLst>
              <c:ext xmlns:c16="http://schemas.microsoft.com/office/drawing/2014/chart" uri="{C3380CC4-5D6E-409C-BE32-E72D297353CC}">
                <c16:uniqueId val="{00000006-5F61-486E-BE76-590928D41B36}"/>
              </c:ext>
            </c:extLst>
          </c:dPt>
          <c:dPt>
            <c:idx val="8"/>
            <c:marker>
              <c:symbol val="circle"/>
              <c:size val="5"/>
              <c:spPr>
                <a:solidFill>
                  <a:srgbClr val="FF0000"/>
                </a:solidFill>
                <a:ln w="9525">
                  <a:noFill/>
                </a:ln>
                <a:effectLst/>
              </c:spPr>
            </c:marker>
            <c:bubble3D val="0"/>
            <c:extLst>
              <c:ext xmlns:c16="http://schemas.microsoft.com/office/drawing/2014/chart" uri="{C3380CC4-5D6E-409C-BE32-E72D297353CC}">
                <c16:uniqueId val="{00000007-5F61-486E-BE76-590928D41B36}"/>
              </c:ext>
            </c:extLst>
          </c:dPt>
          <c:dPt>
            <c:idx val="9"/>
            <c:marker>
              <c:symbol val="circle"/>
              <c:size val="5"/>
              <c:spPr>
                <a:solidFill>
                  <a:srgbClr val="FF0000"/>
                </a:solidFill>
                <a:ln w="9525">
                  <a:noFill/>
                </a:ln>
                <a:effectLst/>
              </c:spPr>
            </c:marker>
            <c:bubble3D val="0"/>
            <c:extLst>
              <c:ext xmlns:c16="http://schemas.microsoft.com/office/drawing/2014/chart" uri="{C3380CC4-5D6E-409C-BE32-E72D297353CC}">
                <c16:uniqueId val="{00000008-5F61-486E-BE76-590928D41B36}"/>
              </c:ext>
            </c:extLst>
          </c:dPt>
          <c:dPt>
            <c:idx val="10"/>
            <c:marker>
              <c:symbol val="circle"/>
              <c:size val="5"/>
              <c:spPr>
                <a:solidFill>
                  <a:srgbClr val="FF0000"/>
                </a:solidFill>
                <a:ln w="9525">
                  <a:noFill/>
                </a:ln>
                <a:effectLst/>
              </c:spPr>
            </c:marker>
            <c:bubble3D val="0"/>
            <c:extLst>
              <c:ext xmlns:c16="http://schemas.microsoft.com/office/drawing/2014/chart" uri="{C3380CC4-5D6E-409C-BE32-E72D297353CC}">
                <c16:uniqueId val="{00000009-5F61-486E-BE76-590928D41B36}"/>
              </c:ext>
            </c:extLst>
          </c:dPt>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7.6108923884514439E-3"/>
                  <c:y val="-0.1297408136482939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(bestand!$W$35:$W$39,bestand!$W$42:$W$47)</c:f>
              <c:numCache>
                <c:formatCode>0.00</c:formatCode>
                <c:ptCount val="11"/>
                <c:pt idx="0">
                  <c:v>0.35115739021234421</c:v>
                </c:pt>
                <c:pt idx="1">
                  <c:v>0.91075358374662085</c:v>
                </c:pt>
                <c:pt idx="2">
                  <c:v>0.76960579063065304</c:v>
                </c:pt>
                <c:pt idx="3">
                  <c:v>0.58201880132402284</c:v>
                </c:pt>
                <c:pt idx="4">
                  <c:v>0.73328816337884639</c:v>
                </c:pt>
                <c:pt idx="5">
                  <c:v>0.38839995656583576</c:v>
                </c:pt>
                <c:pt idx="6">
                  <c:v>0.30379491944390224</c:v>
                </c:pt>
                <c:pt idx="7">
                  <c:v>0.47916559193746755</c:v>
                </c:pt>
                <c:pt idx="8">
                  <c:v>0.50288515117988308</c:v>
                </c:pt>
                <c:pt idx="9">
                  <c:v>0.58177861373521678</c:v>
                </c:pt>
                <c:pt idx="10">
                  <c:v>0.59490254938646292</c:v>
                </c:pt>
              </c:numCache>
            </c:numRef>
          </c:xVal>
          <c:yVal>
            <c:numRef>
              <c:f>(bestand!$AA$35:$AA$39,bestand!$AA$42:$AA$47)</c:f>
              <c:numCache>
                <c:formatCode>0.00</c:formatCode>
                <c:ptCount val="11"/>
                <c:pt idx="0">
                  <c:v>0.80114186167919899</c:v>
                </c:pt>
                <c:pt idx="1">
                  <c:v>2.049381484699194</c:v>
                </c:pt>
                <c:pt idx="2">
                  <c:v>1.9719413063587021</c:v>
                </c:pt>
                <c:pt idx="3">
                  <c:v>1.7289213540106456</c:v>
                </c:pt>
                <c:pt idx="4">
                  <c:v>2.017446654902848</c:v>
                </c:pt>
                <c:pt idx="5">
                  <c:v>2.2015927232579195</c:v>
                </c:pt>
                <c:pt idx="6">
                  <c:v>0.6357423476831171</c:v>
                </c:pt>
                <c:pt idx="7">
                  <c:v>0.44035420846771567</c:v>
                </c:pt>
                <c:pt idx="8">
                  <c:v>0.5819524701309956</c:v>
                </c:pt>
                <c:pt idx="9">
                  <c:v>3.2353258064971757</c:v>
                </c:pt>
                <c:pt idx="10">
                  <c:v>2.2774203125610883</c:v>
                </c:pt>
              </c:numCache>
            </c:numRef>
          </c:yVal>
          <c:smooth val="0"/>
          <c:extLst>
            <c:ext xmlns:c16="http://schemas.microsoft.com/office/drawing/2014/chart" uri="{C3380CC4-5D6E-409C-BE32-E72D297353CC}">
              <c16:uniqueId val="{00000000-5F61-486E-BE76-590928D41B36}"/>
            </c:ext>
          </c:extLst>
        </c:ser>
        <c:dLbls>
          <c:showLegendKey val="0"/>
          <c:showVal val="0"/>
          <c:showCatName val="0"/>
          <c:showSerName val="0"/>
          <c:showPercent val="0"/>
          <c:showBubbleSize val="0"/>
        </c:dLbls>
        <c:axId val="1397300863"/>
        <c:axId val="1397286719"/>
      </c:scatterChart>
      <c:valAx>
        <c:axId val="1397300863"/>
        <c:scaling>
          <c:orientation val="minMax"/>
          <c:min val="0.2"/>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97286719"/>
        <c:crosses val="autoZero"/>
        <c:crossBetween val="midCat"/>
      </c:valAx>
      <c:valAx>
        <c:axId val="139728671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3973008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TRI-&gt;ant/km2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bestand!$AA$34</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dPt>
            <c:idx val="5"/>
            <c:marker>
              <c:symbol val="circle"/>
              <c:size val="5"/>
              <c:spPr>
                <a:solidFill>
                  <a:srgbClr val="FF0000"/>
                </a:solidFill>
                <a:ln w="9525">
                  <a:noFill/>
                </a:ln>
                <a:effectLst/>
              </c:spPr>
            </c:marker>
            <c:bubble3D val="0"/>
            <c:extLst>
              <c:ext xmlns:c16="http://schemas.microsoft.com/office/drawing/2014/chart" uri="{C3380CC4-5D6E-409C-BE32-E72D297353CC}">
                <c16:uniqueId val="{00000005-117D-4500-A049-D3076E0CBD88}"/>
              </c:ext>
            </c:extLst>
          </c:dPt>
          <c:dPt>
            <c:idx val="6"/>
            <c:marker>
              <c:symbol val="circle"/>
              <c:size val="5"/>
              <c:spPr>
                <a:solidFill>
                  <a:srgbClr val="FF0000"/>
                </a:solidFill>
                <a:ln w="9525">
                  <a:noFill/>
                </a:ln>
                <a:effectLst/>
              </c:spPr>
            </c:marker>
            <c:bubble3D val="0"/>
            <c:extLst>
              <c:ext xmlns:c16="http://schemas.microsoft.com/office/drawing/2014/chart" uri="{C3380CC4-5D6E-409C-BE32-E72D297353CC}">
                <c16:uniqueId val="{00000007-117D-4500-A049-D3076E0CBD88}"/>
              </c:ext>
            </c:extLst>
          </c:dPt>
          <c:dPt>
            <c:idx val="7"/>
            <c:marker>
              <c:symbol val="circle"/>
              <c:size val="5"/>
              <c:spPr>
                <a:solidFill>
                  <a:srgbClr val="FF0000"/>
                </a:solidFill>
                <a:ln w="9525">
                  <a:noFill/>
                </a:ln>
                <a:effectLst/>
              </c:spPr>
            </c:marker>
            <c:bubble3D val="0"/>
            <c:extLst>
              <c:ext xmlns:c16="http://schemas.microsoft.com/office/drawing/2014/chart" uri="{C3380CC4-5D6E-409C-BE32-E72D297353CC}">
                <c16:uniqueId val="{00000009-117D-4500-A049-D3076E0CBD88}"/>
              </c:ext>
            </c:extLst>
          </c:dPt>
          <c:dPt>
            <c:idx val="8"/>
            <c:marker>
              <c:symbol val="circle"/>
              <c:size val="5"/>
              <c:spPr>
                <a:solidFill>
                  <a:srgbClr val="FF0000"/>
                </a:solidFill>
                <a:ln w="9525">
                  <a:noFill/>
                </a:ln>
                <a:effectLst/>
              </c:spPr>
            </c:marker>
            <c:bubble3D val="0"/>
            <c:extLst>
              <c:ext xmlns:c16="http://schemas.microsoft.com/office/drawing/2014/chart" uri="{C3380CC4-5D6E-409C-BE32-E72D297353CC}">
                <c16:uniqueId val="{00000008-117D-4500-A049-D3076E0CBD88}"/>
              </c:ext>
            </c:extLst>
          </c:dPt>
          <c:dPt>
            <c:idx val="9"/>
            <c:marker>
              <c:symbol val="circle"/>
              <c:size val="5"/>
              <c:spPr>
                <a:solidFill>
                  <a:srgbClr val="FF0000"/>
                </a:solidFill>
                <a:ln w="9525">
                  <a:noFill/>
                </a:ln>
                <a:effectLst/>
              </c:spPr>
            </c:marker>
            <c:bubble3D val="0"/>
            <c:extLst>
              <c:ext xmlns:c16="http://schemas.microsoft.com/office/drawing/2014/chart" uri="{C3380CC4-5D6E-409C-BE32-E72D297353CC}">
                <c16:uniqueId val="{00000004-117D-4500-A049-D3076E0CBD88}"/>
              </c:ext>
            </c:extLst>
          </c:dPt>
          <c:dPt>
            <c:idx val="10"/>
            <c:marker>
              <c:symbol val="circle"/>
              <c:size val="5"/>
              <c:spPr>
                <a:solidFill>
                  <a:srgbClr val="FF0000"/>
                </a:solidFill>
                <a:ln w="9525">
                  <a:noFill/>
                </a:ln>
                <a:effectLst/>
              </c:spPr>
            </c:marker>
            <c:bubble3D val="0"/>
            <c:extLst>
              <c:ext xmlns:c16="http://schemas.microsoft.com/office/drawing/2014/chart" uri="{C3380CC4-5D6E-409C-BE32-E72D297353CC}">
                <c16:uniqueId val="{00000006-117D-4500-A049-D3076E0CBD88}"/>
              </c:ext>
            </c:extLst>
          </c:dPt>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9.3393700787401571E-2"/>
                  <c:y val="-0.235414843977836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(bestand!$X$35:$X$39,bestand!$X$42:$X$47)</c:f>
              <c:numCache>
                <c:formatCode>#,##0</c:formatCode>
                <c:ptCount val="11"/>
                <c:pt idx="0">
                  <c:v>102.972177</c:v>
                </c:pt>
                <c:pt idx="1">
                  <c:v>570.37461399999995</c:v>
                </c:pt>
                <c:pt idx="2">
                  <c:v>485.38331099999999</c:v>
                </c:pt>
                <c:pt idx="3">
                  <c:v>196.83712600000001</c:v>
                </c:pt>
                <c:pt idx="4">
                  <c:v>399.29001799999998</c:v>
                </c:pt>
                <c:pt idx="5">
                  <c:v>105.769133</c:v>
                </c:pt>
                <c:pt idx="6">
                  <c:v>215.04848799999999</c:v>
                </c:pt>
                <c:pt idx="7">
                  <c:v>561.00866499999995</c:v>
                </c:pt>
                <c:pt idx="8">
                  <c:v>728.63867500000003</c:v>
                </c:pt>
                <c:pt idx="9">
                  <c:v>326.450627</c:v>
                </c:pt>
                <c:pt idx="10">
                  <c:v>113.397582</c:v>
                </c:pt>
              </c:numCache>
            </c:numRef>
          </c:xVal>
          <c:yVal>
            <c:numRef>
              <c:f>(bestand!$AA$35:$AA$39,bestand!$AA$42:$AA$47)</c:f>
              <c:numCache>
                <c:formatCode>0.00</c:formatCode>
                <c:ptCount val="11"/>
                <c:pt idx="0">
                  <c:v>0.80114186167919899</c:v>
                </c:pt>
                <c:pt idx="1">
                  <c:v>2.049381484699194</c:v>
                </c:pt>
                <c:pt idx="2">
                  <c:v>1.9719413063587021</c:v>
                </c:pt>
                <c:pt idx="3">
                  <c:v>1.7289213540106456</c:v>
                </c:pt>
                <c:pt idx="4">
                  <c:v>2.017446654902848</c:v>
                </c:pt>
                <c:pt idx="5">
                  <c:v>2.2015927232579195</c:v>
                </c:pt>
                <c:pt idx="6">
                  <c:v>0.6357423476831171</c:v>
                </c:pt>
                <c:pt idx="7">
                  <c:v>0.44035420846771567</c:v>
                </c:pt>
                <c:pt idx="8">
                  <c:v>0.5819524701309956</c:v>
                </c:pt>
                <c:pt idx="9">
                  <c:v>3.2353258064971757</c:v>
                </c:pt>
                <c:pt idx="10">
                  <c:v>2.2774203125610883</c:v>
                </c:pt>
              </c:numCache>
            </c:numRef>
          </c:yVal>
          <c:smooth val="0"/>
          <c:extLst>
            <c:ext xmlns:c16="http://schemas.microsoft.com/office/drawing/2014/chart" uri="{C3380CC4-5D6E-409C-BE32-E72D297353CC}">
              <c16:uniqueId val="{00000000-117D-4500-A049-D3076E0CBD88}"/>
            </c:ext>
          </c:extLst>
        </c:ser>
        <c:dLbls>
          <c:showLegendKey val="0"/>
          <c:showVal val="0"/>
          <c:showCatName val="0"/>
          <c:showSerName val="0"/>
          <c:showPercent val="0"/>
          <c:showBubbleSize val="0"/>
        </c:dLbls>
        <c:axId val="1203792015"/>
        <c:axId val="1203789103"/>
      </c:scatterChart>
      <c:valAx>
        <c:axId val="120379201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03789103"/>
        <c:crosses val="autoZero"/>
        <c:crossBetween val="midCat"/>
      </c:valAx>
      <c:valAx>
        <c:axId val="12037891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037920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ISI-&gt;ant/km2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bestand!$AA$34</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dPt>
            <c:idx val="5"/>
            <c:marker>
              <c:symbol val="circle"/>
              <c:size val="5"/>
              <c:spPr>
                <a:solidFill>
                  <a:srgbClr val="FF0000"/>
                </a:solidFill>
                <a:ln w="9525">
                  <a:noFill/>
                </a:ln>
                <a:effectLst/>
              </c:spPr>
            </c:marker>
            <c:bubble3D val="0"/>
            <c:extLst>
              <c:ext xmlns:c16="http://schemas.microsoft.com/office/drawing/2014/chart" uri="{C3380CC4-5D6E-409C-BE32-E72D297353CC}">
                <c16:uniqueId val="{00000008-8639-493A-80B4-73C6FD47D9D4}"/>
              </c:ext>
            </c:extLst>
          </c:dPt>
          <c:dPt>
            <c:idx val="6"/>
            <c:marker>
              <c:symbol val="circle"/>
              <c:size val="5"/>
              <c:spPr>
                <a:solidFill>
                  <a:srgbClr val="FF0000"/>
                </a:solidFill>
                <a:ln w="9525">
                  <a:noFill/>
                </a:ln>
                <a:effectLst/>
              </c:spPr>
            </c:marker>
            <c:bubble3D val="0"/>
            <c:extLst>
              <c:ext xmlns:c16="http://schemas.microsoft.com/office/drawing/2014/chart" uri="{C3380CC4-5D6E-409C-BE32-E72D297353CC}">
                <c16:uniqueId val="{00000005-8639-493A-80B4-73C6FD47D9D4}"/>
              </c:ext>
            </c:extLst>
          </c:dPt>
          <c:dPt>
            <c:idx val="7"/>
            <c:marker>
              <c:symbol val="circle"/>
              <c:size val="5"/>
              <c:spPr>
                <a:solidFill>
                  <a:srgbClr val="FF0000"/>
                </a:solidFill>
                <a:ln w="9525">
                  <a:noFill/>
                </a:ln>
                <a:effectLst/>
              </c:spPr>
            </c:marker>
            <c:bubble3D val="0"/>
            <c:extLst>
              <c:ext xmlns:c16="http://schemas.microsoft.com/office/drawing/2014/chart" uri="{C3380CC4-5D6E-409C-BE32-E72D297353CC}">
                <c16:uniqueId val="{00000007-8639-493A-80B4-73C6FD47D9D4}"/>
              </c:ext>
            </c:extLst>
          </c:dPt>
          <c:dPt>
            <c:idx val="8"/>
            <c:marker>
              <c:symbol val="circle"/>
              <c:size val="5"/>
              <c:spPr>
                <a:solidFill>
                  <a:srgbClr val="FF0000"/>
                </a:solidFill>
                <a:ln w="9525">
                  <a:noFill/>
                </a:ln>
                <a:effectLst/>
              </c:spPr>
            </c:marker>
            <c:bubble3D val="0"/>
            <c:extLst>
              <c:ext xmlns:c16="http://schemas.microsoft.com/office/drawing/2014/chart" uri="{C3380CC4-5D6E-409C-BE32-E72D297353CC}">
                <c16:uniqueId val="{00000006-8639-493A-80B4-73C6FD47D9D4}"/>
              </c:ext>
            </c:extLst>
          </c:dPt>
          <c:dPt>
            <c:idx val="9"/>
            <c:marker>
              <c:symbol val="circle"/>
              <c:size val="5"/>
              <c:spPr>
                <a:solidFill>
                  <a:srgbClr val="FF0000"/>
                </a:solidFill>
                <a:ln w="9525">
                  <a:noFill/>
                </a:ln>
                <a:effectLst/>
              </c:spPr>
            </c:marker>
            <c:bubble3D val="0"/>
            <c:extLst>
              <c:ext xmlns:c16="http://schemas.microsoft.com/office/drawing/2014/chart" uri="{C3380CC4-5D6E-409C-BE32-E72D297353CC}">
                <c16:uniqueId val="{00000004-8639-493A-80B4-73C6FD47D9D4}"/>
              </c:ext>
            </c:extLst>
          </c:dPt>
          <c:dPt>
            <c:idx val="10"/>
            <c:marker>
              <c:symbol val="circle"/>
              <c:size val="5"/>
              <c:spPr>
                <a:solidFill>
                  <a:srgbClr val="FF0000"/>
                </a:solidFill>
                <a:ln w="9525">
                  <a:noFill/>
                </a:ln>
                <a:effectLst/>
              </c:spPr>
            </c:marker>
            <c:bubble3D val="0"/>
            <c:extLst>
              <c:ext xmlns:c16="http://schemas.microsoft.com/office/drawing/2014/chart" uri="{C3380CC4-5D6E-409C-BE32-E72D297353CC}">
                <c16:uniqueId val="{00000009-8639-493A-80B4-73C6FD47D9D4}"/>
              </c:ext>
            </c:extLst>
          </c:dPt>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4582895888013997"/>
                  <c:y val="-0.1641897004253778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(bestand!$Y$35:$Y$39,bestand!$Y$42:$Y$47)</c:f>
              <c:numCache>
                <c:formatCode>0.000</c:formatCode>
                <c:ptCount val="11"/>
                <c:pt idx="0">
                  <c:v>0.70505899999999999</c:v>
                </c:pt>
                <c:pt idx="1">
                  <c:v>0.37091400000000002</c:v>
                </c:pt>
                <c:pt idx="2">
                  <c:v>0.56675299999999995</c:v>
                </c:pt>
                <c:pt idx="3">
                  <c:v>0.94492500000000001</c:v>
                </c:pt>
                <c:pt idx="4">
                  <c:v>1.0186139999999999</c:v>
                </c:pt>
                <c:pt idx="5">
                  <c:v>1.2489699999999999</c:v>
                </c:pt>
                <c:pt idx="6">
                  <c:v>1.529191</c:v>
                </c:pt>
                <c:pt idx="7">
                  <c:v>1.2804059999999999</c:v>
                </c:pt>
                <c:pt idx="8">
                  <c:v>1.3209580000000001</c:v>
                </c:pt>
                <c:pt idx="9">
                  <c:v>0.46896599999999999</c:v>
                </c:pt>
                <c:pt idx="10">
                  <c:v>0.55122700000000002</c:v>
                </c:pt>
              </c:numCache>
            </c:numRef>
          </c:xVal>
          <c:yVal>
            <c:numRef>
              <c:f>(bestand!$AA$35:$AA$39,bestand!$AA$42:$AA$47)</c:f>
              <c:numCache>
                <c:formatCode>0.00</c:formatCode>
                <c:ptCount val="11"/>
                <c:pt idx="0">
                  <c:v>0.80114186167919899</c:v>
                </c:pt>
                <c:pt idx="1">
                  <c:v>2.049381484699194</c:v>
                </c:pt>
                <c:pt idx="2">
                  <c:v>1.9719413063587021</c:v>
                </c:pt>
                <c:pt idx="3">
                  <c:v>1.7289213540106456</c:v>
                </c:pt>
                <c:pt idx="4">
                  <c:v>2.017446654902848</c:v>
                </c:pt>
                <c:pt idx="5">
                  <c:v>2.2015927232579195</c:v>
                </c:pt>
                <c:pt idx="6">
                  <c:v>0.6357423476831171</c:v>
                </c:pt>
                <c:pt idx="7">
                  <c:v>0.44035420846771567</c:v>
                </c:pt>
                <c:pt idx="8">
                  <c:v>0.5819524701309956</c:v>
                </c:pt>
                <c:pt idx="9">
                  <c:v>3.2353258064971757</c:v>
                </c:pt>
                <c:pt idx="10">
                  <c:v>2.2774203125610883</c:v>
                </c:pt>
              </c:numCache>
            </c:numRef>
          </c:yVal>
          <c:smooth val="0"/>
          <c:extLst>
            <c:ext xmlns:c16="http://schemas.microsoft.com/office/drawing/2014/chart" uri="{C3380CC4-5D6E-409C-BE32-E72D297353CC}">
              <c16:uniqueId val="{00000000-8639-493A-80B4-73C6FD47D9D4}"/>
            </c:ext>
          </c:extLst>
        </c:ser>
        <c:dLbls>
          <c:showLegendKey val="0"/>
          <c:showVal val="0"/>
          <c:showCatName val="0"/>
          <c:showSerName val="0"/>
          <c:showPercent val="0"/>
          <c:showBubbleSize val="0"/>
        </c:dLbls>
        <c:axId val="1249386671"/>
        <c:axId val="1249403311"/>
      </c:scatterChart>
      <c:valAx>
        <c:axId val="1249386671"/>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9403311"/>
        <c:crosses val="autoZero"/>
        <c:crossBetween val="midCat"/>
      </c:valAx>
      <c:valAx>
        <c:axId val="12494033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2493866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NDVI-&gt;ant/km2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bestand!$AA$7</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0.15057042869641296"/>
                  <c:y val="-0.1370034995625546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bestand!$Z$8:$Z$31</c:f>
              <c:numCache>
                <c:formatCode>0.000</c:formatCode>
                <c:ptCount val="24"/>
                <c:pt idx="0">
                  <c:v>0.57053699999999996</c:v>
                </c:pt>
                <c:pt idx="1">
                  <c:v>0.60840799999999995</c:v>
                </c:pt>
                <c:pt idx="2">
                  <c:v>0.49439499999999997</c:v>
                </c:pt>
                <c:pt idx="3">
                  <c:v>0.79948699999999995</c:v>
                </c:pt>
                <c:pt idx="4">
                  <c:v>0.72770599999999996</c:v>
                </c:pt>
                <c:pt idx="5">
                  <c:v>0.70535700000000001</c:v>
                </c:pt>
                <c:pt idx="6">
                  <c:v>0.54683899999999996</c:v>
                </c:pt>
                <c:pt idx="7">
                  <c:v>0.720225</c:v>
                </c:pt>
                <c:pt idx="8">
                  <c:v>0.73345499999999997</c:v>
                </c:pt>
                <c:pt idx="9">
                  <c:v>0.53695999999999999</c:v>
                </c:pt>
                <c:pt idx="10">
                  <c:v>0.44692700000000002</c:v>
                </c:pt>
                <c:pt idx="11">
                  <c:v>0.489425</c:v>
                </c:pt>
                <c:pt idx="12">
                  <c:v>0.430205</c:v>
                </c:pt>
                <c:pt idx="13">
                  <c:v>0.63105999999999995</c:v>
                </c:pt>
                <c:pt idx="14">
                  <c:v>0.55502099999999999</c:v>
                </c:pt>
                <c:pt idx="15">
                  <c:v>0.49083500000000002</c:v>
                </c:pt>
                <c:pt idx="16">
                  <c:v>0.36859500000000001</c:v>
                </c:pt>
                <c:pt idx="17">
                  <c:v>0.42198799999999997</c:v>
                </c:pt>
                <c:pt idx="18">
                  <c:v>0.52503</c:v>
                </c:pt>
                <c:pt idx="19">
                  <c:v>0.48796899999999999</c:v>
                </c:pt>
                <c:pt idx="20">
                  <c:v>0.57387500000000002</c:v>
                </c:pt>
                <c:pt idx="21">
                  <c:v>0.64156800000000003</c:v>
                </c:pt>
                <c:pt idx="22">
                  <c:v>0.57564499999999996</c:v>
                </c:pt>
                <c:pt idx="23">
                  <c:v>0.43203900000000001</c:v>
                </c:pt>
              </c:numCache>
            </c:numRef>
          </c:xVal>
          <c:yVal>
            <c:numRef>
              <c:f>bestand!$AA$8:$AA$31</c:f>
              <c:numCache>
                <c:formatCode>0.00</c:formatCode>
                <c:ptCount val="24"/>
                <c:pt idx="0">
                  <c:v>0.50093029912695008</c:v>
                </c:pt>
                <c:pt idx="1">
                  <c:v>0.82610491532424613</c:v>
                </c:pt>
                <c:pt idx="2">
                  <c:v>9.2165898617511524E-2</c:v>
                </c:pt>
                <c:pt idx="3">
                  <c:v>0.5357142857142857</c:v>
                </c:pt>
                <c:pt idx="4">
                  <c:v>1.2468827930174564</c:v>
                </c:pt>
                <c:pt idx="5">
                  <c:v>0.53639846743295017</c:v>
                </c:pt>
                <c:pt idx="6">
                  <c:v>1.2137325164720842</c:v>
                </c:pt>
                <c:pt idx="7">
                  <c:v>1.2048192771084338</c:v>
                </c:pt>
                <c:pt idx="8">
                  <c:v>0.1348314606741573</c:v>
                </c:pt>
                <c:pt idx="9">
                  <c:v>0.24872809496890899</c:v>
                </c:pt>
                <c:pt idx="10">
                  <c:v>0.65359477124183007</c:v>
                </c:pt>
                <c:pt idx="11">
                  <c:v>0.21543985637342908</c:v>
                </c:pt>
                <c:pt idx="12">
                  <c:v>0.39408866995073893</c:v>
                </c:pt>
                <c:pt idx="13">
                  <c:v>0.13950892857142858</c:v>
                </c:pt>
                <c:pt idx="14">
                  <c:v>0.15974440894568689</c:v>
                </c:pt>
                <c:pt idx="15">
                  <c:v>0.16717325227963525</c:v>
                </c:pt>
                <c:pt idx="16">
                  <c:v>0.49700085689802914</c:v>
                </c:pt>
                <c:pt idx="17">
                  <c:v>0.7254164427727029</c:v>
                </c:pt>
                <c:pt idx="18">
                  <c:v>0.72358900144717797</c:v>
                </c:pt>
                <c:pt idx="19">
                  <c:v>0.53547523427041499</c:v>
                </c:pt>
                <c:pt idx="20">
                  <c:v>0.86705202312138729</c:v>
                </c:pt>
                <c:pt idx="21">
                  <c:v>0.85543199315654406</c:v>
                </c:pt>
                <c:pt idx="22">
                  <c:v>0.72568940493468792</c:v>
                </c:pt>
                <c:pt idx="23">
                  <c:v>0.11538461538461539</c:v>
                </c:pt>
              </c:numCache>
            </c:numRef>
          </c:yVal>
          <c:smooth val="0"/>
          <c:extLst>
            <c:ext xmlns:c16="http://schemas.microsoft.com/office/drawing/2014/chart" uri="{C3380CC4-5D6E-409C-BE32-E72D297353CC}">
              <c16:uniqueId val="{00000000-86E1-42A7-B9DE-066957A28312}"/>
            </c:ext>
          </c:extLst>
        </c:ser>
        <c:dLbls>
          <c:showLegendKey val="0"/>
          <c:showVal val="0"/>
          <c:showCatName val="0"/>
          <c:showSerName val="0"/>
          <c:showPercent val="0"/>
          <c:showBubbleSize val="0"/>
        </c:dLbls>
        <c:axId val="1713813648"/>
        <c:axId val="1713818224"/>
      </c:scatterChart>
      <c:valAx>
        <c:axId val="1713813648"/>
        <c:scaling>
          <c:orientation val="minMax"/>
          <c:min val="0.30000000000000004"/>
        </c:scaling>
        <c:delete val="0"/>
        <c:axPos val="b"/>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713818224"/>
        <c:crosses val="autoZero"/>
        <c:crossBetween val="midCat"/>
      </c:valAx>
      <c:valAx>
        <c:axId val="17138182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7138136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b-NO"/>
              <a:t>NDVI-&gt;ant/km2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scatterChart>
        <c:scatterStyle val="lineMarker"/>
        <c:varyColors val="0"/>
        <c:ser>
          <c:idx val="0"/>
          <c:order val="0"/>
          <c:tx>
            <c:strRef>
              <c:f>bestand!$AA$34</c:f>
              <c:strCache>
                <c:ptCount val="1"/>
                <c:pt idx="0">
                  <c:v>ant/km2</c:v>
                </c:pt>
              </c:strCache>
            </c:strRef>
          </c:tx>
          <c:spPr>
            <a:ln w="19050" cap="rnd">
              <a:noFill/>
              <a:round/>
            </a:ln>
            <a:effectLst/>
          </c:spPr>
          <c:marker>
            <c:symbol val="circle"/>
            <c:size val="5"/>
            <c:spPr>
              <a:solidFill>
                <a:schemeClr val="accent1"/>
              </a:solidFill>
              <a:ln w="9525">
                <a:solidFill>
                  <a:schemeClr val="accent1"/>
                </a:solidFill>
              </a:ln>
              <a:effectLst/>
            </c:spPr>
          </c:marker>
          <c:dPt>
            <c:idx val="5"/>
            <c:marker>
              <c:symbol val="circle"/>
              <c:size val="5"/>
              <c:spPr>
                <a:solidFill>
                  <a:srgbClr val="FF0000"/>
                </a:solidFill>
                <a:ln w="9525">
                  <a:noFill/>
                </a:ln>
                <a:effectLst/>
              </c:spPr>
            </c:marker>
            <c:bubble3D val="0"/>
            <c:extLst>
              <c:ext xmlns:c16="http://schemas.microsoft.com/office/drawing/2014/chart" uri="{C3380CC4-5D6E-409C-BE32-E72D297353CC}">
                <c16:uniqueId val="{00000005-564B-4547-B210-286592583738}"/>
              </c:ext>
            </c:extLst>
          </c:dPt>
          <c:dPt>
            <c:idx val="6"/>
            <c:marker>
              <c:symbol val="circle"/>
              <c:size val="5"/>
              <c:spPr>
                <a:solidFill>
                  <a:srgbClr val="FF0000"/>
                </a:solidFill>
                <a:ln w="9525">
                  <a:noFill/>
                </a:ln>
                <a:effectLst/>
              </c:spPr>
            </c:marker>
            <c:bubble3D val="0"/>
            <c:extLst>
              <c:ext xmlns:c16="http://schemas.microsoft.com/office/drawing/2014/chart" uri="{C3380CC4-5D6E-409C-BE32-E72D297353CC}">
                <c16:uniqueId val="{00000007-564B-4547-B210-286592583738}"/>
              </c:ext>
            </c:extLst>
          </c:dPt>
          <c:dPt>
            <c:idx val="7"/>
            <c:marker>
              <c:symbol val="circle"/>
              <c:size val="5"/>
              <c:spPr>
                <a:solidFill>
                  <a:srgbClr val="FF0000"/>
                </a:solidFill>
                <a:ln w="9525">
                  <a:noFill/>
                </a:ln>
                <a:effectLst/>
              </c:spPr>
            </c:marker>
            <c:bubble3D val="0"/>
            <c:extLst>
              <c:ext xmlns:c16="http://schemas.microsoft.com/office/drawing/2014/chart" uri="{C3380CC4-5D6E-409C-BE32-E72D297353CC}">
                <c16:uniqueId val="{00000008-564B-4547-B210-286592583738}"/>
              </c:ext>
            </c:extLst>
          </c:dPt>
          <c:dPt>
            <c:idx val="8"/>
            <c:marker>
              <c:symbol val="circle"/>
              <c:size val="5"/>
              <c:spPr>
                <a:solidFill>
                  <a:srgbClr val="FF0000"/>
                </a:solidFill>
                <a:ln w="9525">
                  <a:noFill/>
                </a:ln>
                <a:effectLst/>
              </c:spPr>
            </c:marker>
            <c:bubble3D val="0"/>
            <c:extLst>
              <c:ext xmlns:c16="http://schemas.microsoft.com/office/drawing/2014/chart" uri="{C3380CC4-5D6E-409C-BE32-E72D297353CC}">
                <c16:uniqueId val="{00000009-564B-4547-B210-286592583738}"/>
              </c:ext>
            </c:extLst>
          </c:dPt>
          <c:dPt>
            <c:idx val="9"/>
            <c:marker>
              <c:symbol val="circle"/>
              <c:size val="5"/>
              <c:spPr>
                <a:solidFill>
                  <a:srgbClr val="FF0000"/>
                </a:solidFill>
                <a:ln w="9525">
                  <a:noFill/>
                </a:ln>
                <a:effectLst/>
              </c:spPr>
            </c:marker>
            <c:bubble3D val="0"/>
            <c:extLst>
              <c:ext xmlns:c16="http://schemas.microsoft.com/office/drawing/2014/chart" uri="{C3380CC4-5D6E-409C-BE32-E72D297353CC}">
                <c16:uniqueId val="{00000004-564B-4547-B210-286592583738}"/>
              </c:ext>
            </c:extLst>
          </c:dPt>
          <c:dPt>
            <c:idx val="10"/>
            <c:marker>
              <c:symbol val="circle"/>
              <c:size val="5"/>
              <c:spPr>
                <a:solidFill>
                  <a:srgbClr val="FF0000"/>
                </a:solidFill>
                <a:ln w="9525">
                  <a:noFill/>
                </a:ln>
                <a:effectLst/>
              </c:spPr>
            </c:marker>
            <c:bubble3D val="0"/>
            <c:extLst>
              <c:ext xmlns:c16="http://schemas.microsoft.com/office/drawing/2014/chart" uri="{C3380CC4-5D6E-409C-BE32-E72D297353CC}">
                <c16:uniqueId val="{00000006-564B-4547-B210-286592583738}"/>
              </c:ext>
            </c:extLst>
          </c:dPt>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1"/>
            <c:dispEq val="1"/>
            <c:trendlineLbl>
              <c:layout>
                <c:manualLayout>
                  <c:x val="8.8551181102362209E-2"/>
                  <c:y val="-0.3189009186351706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trendlineLbl>
          </c:trendline>
          <c:xVal>
            <c:numRef>
              <c:f>(bestand!$Z$35:$Z$39,bestand!$Z$42:$Z$47)</c:f>
              <c:numCache>
                <c:formatCode>0.000</c:formatCode>
                <c:ptCount val="11"/>
                <c:pt idx="0">
                  <c:v>0.55882600000000004</c:v>
                </c:pt>
                <c:pt idx="1">
                  <c:v>0.39546500000000001</c:v>
                </c:pt>
                <c:pt idx="2">
                  <c:v>0.48488999999999999</c:v>
                </c:pt>
                <c:pt idx="3">
                  <c:v>0.64261800000000002</c:v>
                </c:pt>
                <c:pt idx="4">
                  <c:v>0.55640000000000001</c:v>
                </c:pt>
                <c:pt idx="5">
                  <c:v>0.62540499999999999</c:v>
                </c:pt>
                <c:pt idx="6">
                  <c:v>0.62936700000000001</c:v>
                </c:pt>
                <c:pt idx="7">
                  <c:v>0.48536800000000002</c:v>
                </c:pt>
                <c:pt idx="8">
                  <c:v>0.51193100000000002</c:v>
                </c:pt>
                <c:pt idx="9">
                  <c:v>0.52100500000000005</c:v>
                </c:pt>
                <c:pt idx="10">
                  <c:v>0.506884</c:v>
                </c:pt>
              </c:numCache>
            </c:numRef>
          </c:xVal>
          <c:yVal>
            <c:numRef>
              <c:f>(bestand!$AA$35:$AA$39,bestand!$AA$42:$AA$47)</c:f>
              <c:numCache>
                <c:formatCode>0.00</c:formatCode>
                <c:ptCount val="11"/>
                <c:pt idx="0">
                  <c:v>0.80114186167919899</c:v>
                </c:pt>
                <c:pt idx="1">
                  <c:v>2.049381484699194</c:v>
                </c:pt>
                <c:pt idx="2">
                  <c:v>1.9719413063587021</c:v>
                </c:pt>
                <c:pt idx="3">
                  <c:v>1.7289213540106456</c:v>
                </c:pt>
                <c:pt idx="4">
                  <c:v>2.017446654902848</c:v>
                </c:pt>
                <c:pt idx="5">
                  <c:v>2.2015927232579195</c:v>
                </c:pt>
                <c:pt idx="6">
                  <c:v>0.6357423476831171</c:v>
                </c:pt>
                <c:pt idx="7">
                  <c:v>0.44035420846771567</c:v>
                </c:pt>
                <c:pt idx="8">
                  <c:v>0.5819524701309956</c:v>
                </c:pt>
                <c:pt idx="9">
                  <c:v>3.2353258064971757</c:v>
                </c:pt>
                <c:pt idx="10">
                  <c:v>2.2774203125610883</c:v>
                </c:pt>
              </c:numCache>
            </c:numRef>
          </c:yVal>
          <c:smooth val="0"/>
          <c:extLst>
            <c:ext xmlns:c16="http://schemas.microsoft.com/office/drawing/2014/chart" uri="{C3380CC4-5D6E-409C-BE32-E72D297353CC}">
              <c16:uniqueId val="{00000000-564B-4547-B210-286592583738}"/>
            </c:ext>
          </c:extLst>
        </c:ser>
        <c:dLbls>
          <c:showLegendKey val="0"/>
          <c:showVal val="0"/>
          <c:showCatName val="0"/>
          <c:showSerName val="0"/>
          <c:showPercent val="0"/>
          <c:showBubbleSize val="0"/>
        </c:dLbls>
        <c:axId val="1626309664"/>
        <c:axId val="1626307584"/>
      </c:scatterChart>
      <c:valAx>
        <c:axId val="1626309664"/>
        <c:scaling>
          <c:orientation val="minMax"/>
          <c:min val="0.30000000000000004"/>
        </c:scaling>
        <c:delete val="0"/>
        <c:axPos val="b"/>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26307584"/>
        <c:crosses val="autoZero"/>
        <c:crossBetween val="midCat"/>
      </c:valAx>
      <c:valAx>
        <c:axId val="16263075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26309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28</xdr:col>
      <xdr:colOff>38100</xdr:colOff>
      <xdr:row>5</xdr:row>
      <xdr:rowOff>11430</xdr:rowOff>
    </xdr:from>
    <xdr:to>
      <xdr:col>35</xdr:col>
      <xdr:colOff>342900</xdr:colOff>
      <xdr:row>18</xdr:row>
      <xdr:rowOff>11430</xdr:rowOff>
    </xdr:to>
    <xdr:graphicFrame macro="">
      <xdr:nvGraphicFramePr>
        <xdr:cNvPr id="3" name="Chart 2">
          <a:extLst>
            <a:ext uri="{FF2B5EF4-FFF2-40B4-BE49-F238E27FC236}">
              <a16:creationId xmlns:a16="http://schemas.microsoft.com/office/drawing/2014/main" id="{0BFE8BDF-DE39-48ED-8B40-2894E784D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60960</xdr:colOff>
      <xdr:row>18</xdr:row>
      <xdr:rowOff>80010</xdr:rowOff>
    </xdr:from>
    <xdr:to>
      <xdr:col>35</xdr:col>
      <xdr:colOff>365760</xdr:colOff>
      <xdr:row>33</xdr:row>
      <xdr:rowOff>80010</xdr:rowOff>
    </xdr:to>
    <xdr:graphicFrame macro="">
      <xdr:nvGraphicFramePr>
        <xdr:cNvPr id="4" name="Chart 3">
          <a:extLst>
            <a:ext uri="{FF2B5EF4-FFF2-40B4-BE49-F238E27FC236}">
              <a16:creationId xmlns:a16="http://schemas.microsoft.com/office/drawing/2014/main" id="{3A711589-CA0C-485B-8704-0DAC9F0B9A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35</xdr:col>
      <xdr:colOff>487680</xdr:colOff>
      <xdr:row>5</xdr:row>
      <xdr:rowOff>3810</xdr:rowOff>
    </xdr:from>
    <xdr:to>
      <xdr:col>43</xdr:col>
      <xdr:colOff>182880</xdr:colOff>
      <xdr:row>18</xdr:row>
      <xdr:rowOff>3810</xdr:rowOff>
    </xdr:to>
    <xdr:graphicFrame macro="">
      <xdr:nvGraphicFramePr>
        <xdr:cNvPr id="5" name="Chart 4">
          <a:extLst>
            <a:ext uri="{FF2B5EF4-FFF2-40B4-BE49-F238E27FC236}">
              <a16:creationId xmlns:a16="http://schemas.microsoft.com/office/drawing/2014/main" id="{33FA03D0-7309-4783-9BA3-3DFA2A66E0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487680</xdr:colOff>
      <xdr:row>18</xdr:row>
      <xdr:rowOff>72390</xdr:rowOff>
    </xdr:from>
    <xdr:to>
      <xdr:col>43</xdr:col>
      <xdr:colOff>182880</xdr:colOff>
      <xdr:row>33</xdr:row>
      <xdr:rowOff>72390</xdr:rowOff>
    </xdr:to>
    <xdr:graphicFrame macro="">
      <xdr:nvGraphicFramePr>
        <xdr:cNvPr id="6" name="Chart 5">
          <a:extLst>
            <a:ext uri="{FF2B5EF4-FFF2-40B4-BE49-F238E27FC236}">
              <a16:creationId xmlns:a16="http://schemas.microsoft.com/office/drawing/2014/main" id="{52CA5F5E-7658-4B63-861B-95E49180D2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38100</xdr:colOff>
      <xdr:row>33</xdr:row>
      <xdr:rowOff>521970</xdr:rowOff>
    </xdr:from>
    <xdr:to>
      <xdr:col>35</xdr:col>
      <xdr:colOff>342900</xdr:colOff>
      <xdr:row>48</xdr:row>
      <xdr:rowOff>156210</xdr:rowOff>
    </xdr:to>
    <xdr:graphicFrame macro="">
      <xdr:nvGraphicFramePr>
        <xdr:cNvPr id="7" name="Chart 6">
          <a:extLst>
            <a:ext uri="{FF2B5EF4-FFF2-40B4-BE49-F238E27FC236}">
              <a16:creationId xmlns:a16="http://schemas.microsoft.com/office/drawing/2014/main" id="{741974F9-CC2D-4005-8464-467C6C121B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35</xdr:col>
      <xdr:colOff>563880</xdr:colOff>
      <xdr:row>34</xdr:row>
      <xdr:rowOff>26670</xdr:rowOff>
    </xdr:from>
    <xdr:to>
      <xdr:col>43</xdr:col>
      <xdr:colOff>259080</xdr:colOff>
      <xdr:row>49</xdr:row>
      <xdr:rowOff>26670</xdr:rowOff>
    </xdr:to>
    <xdr:graphicFrame macro="">
      <xdr:nvGraphicFramePr>
        <xdr:cNvPr id="8" name="Chart 7">
          <a:extLst>
            <a:ext uri="{FF2B5EF4-FFF2-40B4-BE49-F238E27FC236}">
              <a16:creationId xmlns:a16="http://schemas.microsoft.com/office/drawing/2014/main" id="{A924C322-DD53-47E6-A6B2-51F5E7B3B0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594360</xdr:colOff>
      <xdr:row>49</xdr:row>
      <xdr:rowOff>133350</xdr:rowOff>
    </xdr:from>
    <xdr:to>
      <xdr:col>43</xdr:col>
      <xdr:colOff>289560</xdr:colOff>
      <xdr:row>64</xdr:row>
      <xdr:rowOff>0</xdr:rowOff>
    </xdr:to>
    <xdr:graphicFrame macro="">
      <xdr:nvGraphicFramePr>
        <xdr:cNvPr id="9" name="Chart 8">
          <a:extLst>
            <a:ext uri="{FF2B5EF4-FFF2-40B4-BE49-F238E27FC236}">
              <a16:creationId xmlns:a16="http://schemas.microsoft.com/office/drawing/2014/main" id="{28DA2C3E-D039-4EF3-880A-321B967D2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259080</xdr:colOff>
      <xdr:row>5</xdr:row>
      <xdr:rowOff>19050</xdr:rowOff>
    </xdr:from>
    <xdr:to>
      <xdr:col>50</xdr:col>
      <xdr:colOff>563880</xdr:colOff>
      <xdr:row>18</xdr:row>
      <xdr:rowOff>19050</xdr:rowOff>
    </xdr:to>
    <xdr:graphicFrame macro="">
      <xdr:nvGraphicFramePr>
        <xdr:cNvPr id="2" name="Chart 1">
          <a:extLst>
            <a:ext uri="{FF2B5EF4-FFF2-40B4-BE49-F238E27FC236}">
              <a16:creationId xmlns:a16="http://schemas.microsoft.com/office/drawing/2014/main" id="{7129E3CB-C6EB-4B6F-B6A9-80E6A57897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388620</xdr:colOff>
      <xdr:row>34</xdr:row>
      <xdr:rowOff>11430</xdr:rowOff>
    </xdr:from>
    <xdr:to>
      <xdr:col>51</xdr:col>
      <xdr:colOff>83820</xdr:colOff>
      <xdr:row>49</xdr:row>
      <xdr:rowOff>11430</xdr:rowOff>
    </xdr:to>
    <xdr:graphicFrame macro="">
      <xdr:nvGraphicFramePr>
        <xdr:cNvPr id="10" name="Chart 9">
          <a:extLst>
            <a:ext uri="{FF2B5EF4-FFF2-40B4-BE49-F238E27FC236}">
              <a16:creationId xmlns:a16="http://schemas.microsoft.com/office/drawing/2014/main" id="{7E83D014-975B-4E11-9D48-BFA4D6B4FC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43</xdr:col>
      <xdr:colOff>276225</xdr:colOff>
      <xdr:row>18</xdr:row>
      <xdr:rowOff>85725</xdr:rowOff>
    </xdr:from>
    <xdr:to>
      <xdr:col>50</xdr:col>
      <xdr:colOff>581025</xdr:colOff>
      <xdr:row>33</xdr:row>
      <xdr:rowOff>66675</xdr:rowOff>
    </xdr:to>
    <xdr:graphicFrame macro="">
      <xdr:nvGraphicFramePr>
        <xdr:cNvPr id="11" name="Chart 10">
          <a:extLst>
            <a:ext uri="{FF2B5EF4-FFF2-40B4-BE49-F238E27FC236}">
              <a16:creationId xmlns:a16="http://schemas.microsoft.com/office/drawing/2014/main" id="{F6B35847-DE07-4FEE-84D0-527A601AA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38100</xdr:colOff>
      <xdr:row>5</xdr:row>
      <xdr:rowOff>163830</xdr:rowOff>
    </xdr:from>
    <xdr:to>
      <xdr:col>30</xdr:col>
      <xdr:colOff>289560</xdr:colOff>
      <xdr:row>18</xdr:row>
      <xdr:rowOff>163830</xdr:rowOff>
    </xdr:to>
    <xdr:graphicFrame macro="">
      <xdr:nvGraphicFramePr>
        <xdr:cNvPr id="2" name="Chart 1">
          <a:extLst>
            <a:ext uri="{FF2B5EF4-FFF2-40B4-BE49-F238E27FC236}">
              <a16:creationId xmlns:a16="http://schemas.microsoft.com/office/drawing/2014/main" id="{6747F720-E10A-4C83-BAA2-AB17F46FF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426720</xdr:colOff>
      <xdr:row>6</xdr:row>
      <xdr:rowOff>19050</xdr:rowOff>
    </xdr:from>
    <xdr:to>
      <xdr:col>38</xdr:col>
      <xdr:colOff>121920</xdr:colOff>
      <xdr:row>19</xdr:row>
      <xdr:rowOff>19050</xdr:rowOff>
    </xdr:to>
    <xdr:graphicFrame macro="">
      <xdr:nvGraphicFramePr>
        <xdr:cNvPr id="3" name="Chart 2">
          <a:extLst>
            <a:ext uri="{FF2B5EF4-FFF2-40B4-BE49-F238E27FC236}">
              <a16:creationId xmlns:a16="http://schemas.microsoft.com/office/drawing/2014/main" id="{9F53BFC1-3560-4F54-B06F-0DF012E13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7620</xdr:colOff>
      <xdr:row>19</xdr:row>
      <xdr:rowOff>72390</xdr:rowOff>
    </xdr:from>
    <xdr:to>
      <xdr:col>30</xdr:col>
      <xdr:colOff>312420</xdr:colOff>
      <xdr:row>34</xdr:row>
      <xdr:rowOff>72390</xdr:rowOff>
    </xdr:to>
    <xdr:graphicFrame macro="">
      <xdr:nvGraphicFramePr>
        <xdr:cNvPr id="4" name="Chart 3">
          <a:extLst>
            <a:ext uri="{FF2B5EF4-FFF2-40B4-BE49-F238E27FC236}">
              <a16:creationId xmlns:a16="http://schemas.microsoft.com/office/drawing/2014/main" id="{E14AD9D7-323C-4AE4-A3D4-E356F4135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403860</xdr:colOff>
      <xdr:row>19</xdr:row>
      <xdr:rowOff>80010</xdr:rowOff>
    </xdr:from>
    <xdr:to>
      <xdr:col>38</xdr:col>
      <xdr:colOff>99060</xdr:colOff>
      <xdr:row>34</xdr:row>
      <xdr:rowOff>80010</xdr:rowOff>
    </xdr:to>
    <xdr:graphicFrame macro="">
      <xdr:nvGraphicFramePr>
        <xdr:cNvPr id="5" name="Chart 4">
          <a:extLst>
            <a:ext uri="{FF2B5EF4-FFF2-40B4-BE49-F238E27FC236}">
              <a16:creationId xmlns:a16="http://schemas.microsoft.com/office/drawing/2014/main" id="{3EC84A05-14F8-46DC-8511-AF35E69A63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167640</xdr:colOff>
      <xdr:row>19</xdr:row>
      <xdr:rowOff>80010</xdr:rowOff>
    </xdr:from>
    <xdr:to>
      <xdr:col>45</xdr:col>
      <xdr:colOff>472440</xdr:colOff>
      <xdr:row>34</xdr:row>
      <xdr:rowOff>80010</xdr:rowOff>
    </xdr:to>
    <xdr:graphicFrame macro="">
      <xdr:nvGraphicFramePr>
        <xdr:cNvPr id="6" name="Chart 5">
          <a:extLst>
            <a:ext uri="{FF2B5EF4-FFF2-40B4-BE49-F238E27FC236}">
              <a16:creationId xmlns:a16="http://schemas.microsoft.com/office/drawing/2014/main" id="{B28819C4-03C7-42F7-B6DB-1F6E666B34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0.31369</cdr:x>
      <cdr:y>0.7875</cdr:y>
    </cdr:from>
    <cdr:to>
      <cdr:x>0.35131</cdr:x>
      <cdr:y>0.85312</cdr:y>
    </cdr:to>
    <cdr:sp macro="" textlink="">
      <cdr:nvSpPr>
        <cdr:cNvPr id="2" name="Oval 1">
          <a:extLst xmlns:a="http://schemas.openxmlformats.org/drawingml/2006/main">
            <a:ext uri="{FF2B5EF4-FFF2-40B4-BE49-F238E27FC236}">
              <a16:creationId xmlns:a16="http://schemas.microsoft.com/office/drawing/2014/main" id="{AA0208B5-3A41-4C2D-ADA2-BB3BD75AA8EC}"/>
            </a:ext>
          </a:extLst>
        </cdr:cNvPr>
        <cdr:cNvSpPr/>
      </cdr:nvSpPr>
      <cdr:spPr>
        <a:xfrm xmlns:a="http://schemas.openxmlformats.org/drawingml/2006/main">
          <a:off x="1501140" y="2160270"/>
          <a:ext cx="180000" cy="180000"/>
        </a:xfrm>
        <a:prstGeom xmlns:a="http://schemas.openxmlformats.org/drawingml/2006/main" prst="ellipse">
          <a:avLst/>
        </a:prstGeom>
        <a:noFill xmlns:a="http://schemas.openxmlformats.org/drawingml/2006/main"/>
        <a:ln xmlns:a="http://schemas.openxmlformats.org/drawingml/2006/main">
          <a:solidFill>
            <a:srgbClr val="FF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nb-NO"/>
        </a:p>
      </cdr:txBody>
    </cdr:sp>
  </cdr:relSizeAnchor>
</c:userShapes>
</file>

<file path=xl/drawings/drawing4.xml><?xml version="1.0" encoding="utf-8"?>
<xdr:wsDr xmlns:xdr="http://schemas.openxmlformats.org/drawingml/2006/spreadsheetDrawing" xmlns:a="http://schemas.openxmlformats.org/drawingml/2006/main">
  <xdr:twoCellAnchor>
    <xdr:from>
      <xdr:col>4</xdr:col>
      <xdr:colOff>495300</xdr:colOff>
      <xdr:row>3</xdr:row>
      <xdr:rowOff>64770</xdr:rowOff>
    </xdr:from>
    <xdr:to>
      <xdr:col>12</xdr:col>
      <xdr:colOff>190500</xdr:colOff>
      <xdr:row>18</xdr:row>
      <xdr:rowOff>64770</xdr:rowOff>
    </xdr:to>
    <xdr:graphicFrame macro="">
      <xdr:nvGraphicFramePr>
        <xdr:cNvPr id="2" name="Chart 1">
          <a:extLst>
            <a:ext uri="{FF2B5EF4-FFF2-40B4-BE49-F238E27FC236}">
              <a16:creationId xmlns:a16="http://schemas.microsoft.com/office/drawing/2014/main" id="{F197C469-DB9F-436C-8372-4C3B481037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4F4B2-B88B-411C-9A71-3920F69D4B78}">
  <dimension ref="A1:BF71"/>
  <sheetViews>
    <sheetView topLeftCell="A3" workbookViewId="0">
      <selection activeCell="M63" sqref="M63"/>
    </sheetView>
  </sheetViews>
  <sheetFormatPr defaultRowHeight="15" x14ac:dyDescent="0.25"/>
  <cols>
    <col min="2" max="2" width="22" customWidth="1"/>
    <col min="3" max="5" width="10.28515625" style="17" customWidth="1"/>
    <col min="6" max="7" width="10.28515625" customWidth="1"/>
    <col min="8" max="21" width="10.42578125" customWidth="1"/>
  </cols>
  <sheetData>
    <row r="1" spans="1:58" ht="18.75" x14ac:dyDescent="0.3">
      <c r="B1" s="7" t="s">
        <v>28</v>
      </c>
    </row>
    <row r="2" spans="1:58" x14ac:dyDescent="0.25">
      <c r="B2" t="s">
        <v>45</v>
      </c>
      <c r="P2" s="110" t="s">
        <v>117</v>
      </c>
      <c r="Q2" s="110"/>
      <c r="R2" s="110"/>
      <c r="S2" s="110"/>
      <c r="T2" s="110"/>
      <c r="U2" s="110"/>
      <c r="V2" s="110"/>
      <c r="AL2" t="s">
        <v>66</v>
      </c>
    </row>
    <row r="3" spans="1:58" x14ac:dyDescent="0.25">
      <c r="B3" t="s">
        <v>29</v>
      </c>
      <c r="AL3" t="s">
        <v>65</v>
      </c>
      <c r="AM3">
        <v>0.05</v>
      </c>
      <c r="AN3">
        <v>0.01</v>
      </c>
    </row>
    <row r="4" spans="1:58" x14ac:dyDescent="0.25">
      <c r="B4" t="s">
        <v>30</v>
      </c>
      <c r="AL4" t="s">
        <v>64</v>
      </c>
      <c r="AM4" s="20">
        <f>0.404*0.404</f>
        <v>0.16321600000000003</v>
      </c>
      <c r="AN4" s="20">
        <f>0.515*0.515</f>
        <v>0.26522499999999999</v>
      </c>
      <c r="BA4" s="48" t="s">
        <v>76</v>
      </c>
    </row>
    <row r="5" spans="1:58" x14ac:dyDescent="0.25">
      <c r="AL5" t="s">
        <v>82</v>
      </c>
      <c r="AM5">
        <f>SQRT(AM4)</f>
        <v>0.40400000000000003</v>
      </c>
      <c r="AN5">
        <f>SQRT(AN4)</f>
        <v>0.51500000000000001</v>
      </c>
      <c r="BA5" s="10" t="s">
        <v>77</v>
      </c>
      <c r="BB5" s="10" t="s">
        <v>78</v>
      </c>
      <c r="BC5" s="10" t="s">
        <v>80</v>
      </c>
      <c r="BD5" s="10" t="s">
        <v>81</v>
      </c>
      <c r="BE5" s="10" t="s">
        <v>79</v>
      </c>
    </row>
    <row r="6" spans="1:58" x14ac:dyDescent="0.25">
      <c r="B6" s="1" t="s">
        <v>32</v>
      </c>
      <c r="C6" s="30"/>
      <c r="D6" s="31" t="s">
        <v>33</v>
      </c>
      <c r="E6" s="30"/>
      <c r="F6" s="9"/>
      <c r="G6" s="9"/>
      <c r="H6" s="9"/>
      <c r="I6" s="9"/>
      <c r="J6" s="9"/>
      <c r="K6" s="16"/>
      <c r="L6" s="18" t="s">
        <v>37</v>
      </c>
      <c r="M6" s="16"/>
      <c r="N6" s="16"/>
      <c r="O6" s="77" t="s">
        <v>83</v>
      </c>
      <c r="P6" s="16"/>
      <c r="Q6" s="16"/>
      <c r="R6" s="16"/>
      <c r="S6" s="16"/>
      <c r="T6" s="16"/>
      <c r="BA6" s="20">
        <f>CORREL(V8:V31,$AA8:$AA31)</f>
        <v>0.36809542620093699</v>
      </c>
      <c r="BB6" s="20">
        <f t="shared" ref="BB6:BE6" si="0">CORREL(W8:W31,$AA8:$AA31)</f>
        <v>-0.13873137544745645</v>
      </c>
      <c r="BC6" s="49">
        <f t="shared" si="0"/>
        <v>-0.74159825173739813</v>
      </c>
      <c r="BD6" s="20">
        <f t="shared" si="0"/>
        <v>1.1466803559542131E-3</v>
      </c>
      <c r="BE6" s="20">
        <f t="shared" si="0"/>
        <v>0.30079281414956827</v>
      </c>
      <c r="BF6" t="s">
        <v>84</v>
      </c>
    </row>
    <row r="7" spans="1:58" s="10" customFormat="1" ht="45" x14ac:dyDescent="0.25">
      <c r="A7" s="1" t="s">
        <v>70</v>
      </c>
      <c r="B7" s="41" t="s">
        <v>75</v>
      </c>
      <c r="C7" s="32" t="s">
        <v>0</v>
      </c>
      <c r="D7" s="32" t="s">
        <v>1</v>
      </c>
      <c r="E7" s="32" t="s">
        <v>2</v>
      </c>
      <c r="F7" s="2" t="s">
        <v>3</v>
      </c>
      <c r="G7" s="24" t="s">
        <v>63</v>
      </c>
      <c r="H7" s="11" t="s">
        <v>36</v>
      </c>
      <c r="I7" s="13" t="s">
        <v>35</v>
      </c>
      <c r="J7" s="13" t="s">
        <v>34</v>
      </c>
      <c r="K7" s="11" t="s">
        <v>38</v>
      </c>
      <c r="L7" s="11" t="s">
        <v>39</v>
      </c>
      <c r="M7" s="11" t="s">
        <v>40</v>
      </c>
      <c r="N7" s="11" t="s">
        <v>52</v>
      </c>
      <c r="O7" s="11" t="s">
        <v>46</v>
      </c>
      <c r="P7" s="11" t="s">
        <v>47</v>
      </c>
      <c r="Q7" s="15" t="s">
        <v>48</v>
      </c>
      <c r="R7" s="15" t="s">
        <v>49</v>
      </c>
      <c r="S7" s="15" t="s">
        <v>50</v>
      </c>
      <c r="T7" s="15" t="s">
        <v>51</v>
      </c>
      <c r="U7" s="1" t="s">
        <v>70</v>
      </c>
      <c r="V7" s="13" t="s">
        <v>34</v>
      </c>
      <c r="W7" s="37" t="s">
        <v>52</v>
      </c>
      <c r="X7" s="11" t="s">
        <v>46</v>
      </c>
      <c r="Y7" s="15" t="s">
        <v>48</v>
      </c>
      <c r="Z7" s="11" t="s">
        <v>50</v>
      </c>
      <c r="AA7" s="36" t="s">
        <v>3</v>
      </c>
    </row>
    <row r="8" spans="1:58" x14ac:dyDescent="0.25">
      <c r="A8" s="39" t="s">
        <v>71</v>
      </c>
      <c r="B8" s="3" t="s">
        <v>4</v>
      </c>
      <c r="C8" s="23">
        <v>6987</v>
      </c>
      <c r="D8" s="23">
        <v>3500</v>
      </c>
      <c r="E8" s="23">
        <v>3500</v>
      </c>
      <c r="F8" s="4">
        <f>E8/C8</f>
        <v>0.50093029912695008</v>
      </c>
      <c r="G8" s="25">
        <f>E8*N8</f>
        <v>2535.2122020543825</v>
      </c>
      <c r="H8">
        <v>55.6</v>
      </c>
      <c r="I8" s="12">
        <v>24.8</v>
      </c>
      <c r="J8" s="12">
        <v>80.400000000000006</v>
      </c>
      <c r="K8" s="17">
        <v>7067.1820826206595</v>
      </c>
      <c r="L8" s="17">
        <v>5119.0874999999996</v>
      </c>
      <c r="M8" s="17">
        <v>1941.28425531431</v>
      </c>
      <c r="N8" s="19">
        <f>L8/K8</f>
        <v>0.72434634344410931</v>
      </c>
      <c r="O8" s="17">
        <v>357.66031099999998</v>
      </c>
      <c r="P8" s="17">
        <v>682.92617499999994</v>
      </c>
      <c r="Q8" s="20">
        <v>0.80564999999999998</v>
      </c>
      <c r="R8" s="20">
        <v>1.396903</v>
      </c>
      <c r="S8" s="20">
        <v>0.57053699999999996</v>
      </c>
      <c r="T8" s="20">
        <v>0.19169900000000001</v>
      </c>
      <c r="U8" s="43" t="s">
        <v>71</v>
      </c>
      <c r="V8" s="12">
        <v>80.400000000000006</v>
      </c>
      <c r="W8" s="27">
        <v>0.72434634344410931</v>
      </c>
      <c r="X8" s="17">
        <v>357.66031099999998</v>
      </c>
      <c r="Y8" s="20">
        <v>0.80564999999999998</v>
      </c>
      <c r="Z8" s="20">
        <v>0.57053699999999996</v>
      </c>
      <c r="AA8" s="27">
        <v>0.50093029912695008</v>
      </c>
      <c r="BA8" s="10" t="s">
        <v>77</v>
      </c>
      <c r="BB8" s="10" t="s">
        <v>78</v>
      </c>
      <c r="BC8" s="10" t="s">
        <v>80</v>
      </c>
      <c r="BD8" s="10" t="s">
        <v>81</v>
      </c>
      <c r="BE8" s="10" t="s">
        <v>79</v>
      </c>
    </row>
    <row r="9" spans="1:58" x14ac:dyDescent="0.25">
      <c r="A9" s="39" t="s">
        <v>71</v>
      </c>
      <c r="B9" s="3" t="s">
        <v>5</v>
      </c>
      <c r="C9" s="23">
        <v>2421</v>
      </c>
      <c r="D9" s="23">
        <v>1500</v>
      </c>
      <c r="E9" s="23">
        <v>2000</v>
      </c>
      <c r="F9" s="4">
        <f t="shared" ref="F9:F31" si="1">E9/C9</f>
        <v>0.82610491532424613</v>
      </c>
      <c r="G9" s="25">
        <f t="shared" ref="G9:G31" si="2">E9*N9</f>
        <v>542.39111683922056</v>
      </c>
      <c r="H9">
        <v>46.2</v>
      </c>
      <c r="I9" s="12">
        <v>44.699999999999996</v>
      </c>
      <c r="J9" s="12">
        <v>90.9</v>
      </c>
      <c r="K9" s="17">
        <v>2432.5250894385499</v>
      </c>
      <c r="L9" s="17">
        <v>659.69</v>
      </c>
      <c r="M9" s="17">
        <v>1772.9398744748098</v>
      </c>
      <c r="N9" s="19">
        <f t="shared" ref="N9:N47" si="3">L9/K9</f>
        <v>0.27119555841961029</v>
      </c>
      <c r="O9" s="17">
        <v>328.82656700000001</v>
      </c>
      <c r="P9" s="17">
        <v>583.03094699999997</v>
      </c>
      <c r="Q9" s="20">
        <v>0.98855899999999997</v>
      </c>
      <c r="R9" s="20">
        <v>1.7794840000000001</v>
      </c>
      <c r="S9" s="20">
        <v>0.60840799999999995</v>
      </c>
      <c r="T9" s="20">
        <v>9.2677999999999996E-2</v>
      </c>
      <c r="U9" s="43" t="s">
        <v>71</v>
      </c>
      <c r="V9" s="12">
        <v>90.9</v>
      </c>
      <c r="W9" s="27">
        <v>0.27119555841961029</v>
      </c>
      <c r="X9" s="17">
        <v>328.82656700000001</v>
      </c>
      <c r="Y9" s="20">
        <v>0.98855899999999997</v>
      </c>
      <c r="Z9" s="20">
        <v>0.60840799999999995</v>
      </c>
      <c r="AA9" s="27">
        <v>0.82610491532424613</v>
      </c>
      <c r="AZ9" s="10" t="s">
        <v>77</v>
      </c>
      <c r="BB9" s="49">
        <f>CORREL($V8:$V31,W8:W31)</f>
        <v>-0.53961875509942703</v>
      </c>
      <c r="BC9" s="49">
        <f t="shared" ref="BC9:BE9" si="4">CORREL($V8:$V31,X8:X31)</f>
        <v>-0.6692077689191287</v>
      </c>
      <c r="BD9" s="20">
        <f t="shared" si="4"/>
        <v>0.25954206436119248</v>
      </c>
      <c r="BE9" s="49">
        <f t="shared" si="4"/>
        <v>0.6674136864111142</v>
      </c>
    </row>
    <row r="10" spans="1:58" x14ac:dyDescent="0.25">
      <c r="A10" s="39" t="s">
        <v>72</v>
      </c>
      <c r="B10" s="3" t="s">
        <v>6</v>
      </c>
      <c r="C10" s="23">
        <v>651</v>
      </c>
      <c r="D10" s="25">
        <v>60</v>
      </c>
      <c r="E10" s="23">
        <v>60</v>
      </c>
      <c r="F10" s="4">
        <f t="shared" si="1"/>
        <v>9.2165898617511524E-2</v>
      </c>
      <c r="G10" s="25">
        <f t="shared" si="2"/>
        <v>55.341520479618609</v>
      </c>
      <c r="H10">
        <v>48.4</v>
      </c>
      <c r="I10" s="12">
        <v>31.400000000000002</v>
      </c>
      <c r="J10" s="12">
        <v>79.8</v>
      </c>
      <c r="K10" s="17">
        <v>654.32788413061598</v>
      </c>
      <c r="L10" s="17">
        <v>603.52499999999998</v>
      </c>
      <c r="M10" s="17">
        <v>50.185327397918002</v>
      </c>
      <c r="N10" s="19">
        <f t="shared" si="3"/>
        <v>0.92235867466031018</v>
      </c>
      <c r="O10" s="17">
        <v>549.046154</v>
      </c>
      <c r="P10" s="17">
        <v>787.29253500000004</v>
      </c>
      <c r="Q10" s="20">
        <v>0.44023299999999999</v>
      </c>
      <c r="R10" s="20">
        <v>0.94934399999999997</v>
      </c>
      <c r="S10" s="20">
        <v>0.49439499999999997</v>
      </c>
      <c r="T10" s="20">
        <v>0.19016</v>
      </c>
      <c r="U10" s="45" t="s">
        <v>72</v>
      </c>
      <c r="V10" s="12">
        <v>79.8</v>
      </c>
      <c r="W10" s="27">
        <v>0.92235867466031018</v>
      </c>
      <c r="X10" s="17">
        <v>549.046154</v>
      </c>
      <c r="Y10" s="20">
        <v>0.44023299999999999</v>
      </c>
      <c r="Z10" s="20">
        <v>0.49439499999999997</v>
      </c>
      <c r="AA10" s="27">
        <v>9.2165898617511524E-2</v>
      </c>
      <c r="AZ10" s="10" t="s">
        <v>78</v>
      </c>
      <c r="BB10" s="20"/>
      <c r="BC10" s="20">
        <f>CORREL($W8:$W31,X8:X31)</f>
        <v>0.22052811593941773</v>
      </c>
      <c r="BD10" s="49">
        <f t="shared" ref="BD10:BE10" si="5">CORREL($W8:$W31,Y8:Y31)</f>
        <v>-0.61353973972483289</v>
      </c>
      <c r="BE10" s="49">
        <f t="shared" si="5"/>
        <v>-0.74114534182714675</v>
      </c>
    </row>
    <row r="11" spans="1:58" x14ac:dyDescent="0.25">
      <c r="A11" s="39" t="s">
        <v>73</v>
      </c>
      <c r="B11" s="3" t="s">
        <v>7</v>
      </c>
      <c r="C11" s="23">
        <v>448</v>
      </c>
      <c r="D11" s="23">
        <v>240</v>
      </c>
      <c r="E11" s="23">
        <v>240</v>
      </c>
      <c r="F11" s="4">
        <f t="shared" si="1"/>
        <v>0.5357142857142857</v>
      </c>
      <c r="G11" s="25">
        <f t="shared" si="2"/>
        <v>27.379614564509183</v>
      </c>
      <c r="H11">
        <v>32.799999999999997</v>
      </c>
      <c r="I11" s="12">
        <v>58.3</v>
      </c>
      <c r="J11" s="12">
        <v>91.1</v>
      </c>
      <c r="K11" s="17">
        <v>449.12977029048403</v>
      </c>
      <c r="L11" s="17">
        <v>51.237499999999997</v>
      </c>
      <c r="M11" s="17">
        <v>398.14339059047001</v>
      </c>
      <c r="N11" s="19">
        <f t="shared" si="3"/>
        <v>0.11408172735212159</v>
      </c>
      <c r="O11" s="17">
        <v>316.89386999999999</v>
      </c>
      <c r="P11" s="17">
        <v>585.45463400000006</v>
      </c>
      <c r="Q11" s="20">
        <v>0.72817699999999996</v>
      </c>
      <c r="R11" s="20">
        <v>1.378576</v>
      </c>
      <c r="S11" s="20">
        <v>0.79948699999999995</v>
      </c>
      <c r="T11" s="20">
        <v>0.32509100000000002</v>
      </c>
      <c r="U11" s="44" t="s">
        <v>73</v>
      </c>
      <c r="V11" s="12">
        <v>91.1</v>
      </c>
      <c r="W11" s="27">
        <v>0.11408172735212159</v>
      </c>
      <c r="X11" s="17">
        <v>316.89386999999999</v>
      </c>
      <c r="Y11" s="20">
        <v>0.72817699999999996</v>
      </c>
      <c r="Z11" s="20">
        <v>0.79948699999999995</v>
      </c>
      <c r="AA11" s="27">
        <v>0.5357142857142857</v>
      </c>
      <c r="AZ11" s="10" t="s">
        <v>80</v>
      </c>
      <c r="BD11" s="20">
        <f>CORREL($X8:$X31,Y8:Y31)</f>
        <v>4.2325347991788352E-2</v>
      </c>
      <c r="BE11" s="20">
        <f>CORREL($X8:$X31,Z8:Z31)</f>
        <v>-0.34460071998762315</v>
      </c>
    </row>
    <row r="12" spans="1:58" x14ac:dyDescent="0.25">
      <c r="A12" s="39" t="s">
        <v>73</v>
      </c>
      <c r="B12" s="3" t="s">
        <v>8</v>
      </c>
      <c r="C12" s="23">
        <v>401</v>
      </c>
      <c r="D12" s="25">
        <v>525</v>
      </c>
      <c r="E12" s="23">
        <v>500</v>
      </c>
      <c r="F12" s="4">
        <f t="shared" si="1"/>
        <v>1.2468827930174564</v>
      </c>
      <c r="G12" s="25">
        <f t="shared" si="2"/>
        <v>255.26233318443244</v>
      </c>
      <c r="H12">
        <v>60.9</v>
      </c>
      <c r="I12" s="12">
        <v>33.700000000000003</v>
      </c>
      <c r="J12" s="12">
        <v>94.6</v>
      </c>
      <c r="K12" s="17">
        <v>417.40392587815603</v>
      </c>
      <c r="L12" s="17">
        <v>213.095</v>
      </c>
      <c r="M12" s="17">
        <v>204.17903232554599</v>
      </c>
      <c r="N12" s="19">
        <f t="shared" si="3"/>
        <v>0.51052466636886484</v>
      </c>
      <c r="O12" s="17">
        <v>263.70843100000002</v>
      </c>
      <c r="P12" s="17">
        <v>371.22346299999998</v>
      </c>
      <c r="Q12" s="20">
        <v>0.82360699999999998</v>
      </c>
      <c r="R12" s="20">
        <v>1.49715</v>
      </c>
      <c r="S12" s="20">
        <v>0.72770599999999996</v>
      </c>
      <c r="T12" s="20">
        <v>0.13522300000000001</v>
      </c>
      <c r="U12" s="44" t="s">
        <v>73</v>
      </c>
      <c r="V12" s="12">
        <v>94.6</v>
      </c>
      <c r="W12" s="27">
        <v>0.51052466636886484</v>
      </c>
      <c r="X12" s="17">
        <v>263.70843100000002</v>
      </c>
      <c r="Y12" s="20">
        <v>0.82360699999999998</v>
      </c>
      <c r="Z12" s="20">
        <v>0.72770599999999996</v>
      </c>
      <c r="AA12" s="27">
        <v>1.2468827930174564</v>
      </c>
      <c r="AZ12" s="10" t="s">
        <v>81</v>
      </c>
      <c r="BE12" s="20">
        <f>CORREL(Y8:Y31,Z8:Z31)</f>
        <v>0.38726675629896851</v>
      </c>
    </row>
    <row r="13" spans="1:58" x14ac:dyDescent="0.25">
      <c r="A13" s="39" t="s">
        <v>73</v>
      </c>
      <c r="B13" s="3" t="s">
        <v>9</v>
      </c>
      <c r="C13" s="23">
        <v>261</v>
      </c>
      <c r="D13" s="23">
        <v>150</v>
      </c>
      <c r="E13" s="23">
        <v>140</v>
      </c>
      <c r="F13" s="4">
        <f t="shared" si="1"/>
        <v>0.53639846743295017</v>
      </c>
      <c r="G13" s="25">
        <f t="shared" si="2"/>
        <v>34.081936004631828</v>
      </c>
      <c r="H13">
        <v>49.4</v>
      </c>
      <c r="I13" s="12">
        <v>49</v>
      </c>
      <c r="J13" s="12">
        <v>98.4</v>
      </c>
      <c r="K13" s="17">
        <v>264.45680781675901</v>
      </c>
      <c r="L13" s="17">
        <v>64.38</v>
      </c>
      <c r="M13" s="17">
        <v>200.09958388888001</v>
      </c>
      <c r="N13" s="19">
        <f t="shared" si="3"/>
        <v>0.24344240003308451</v>
      </c>
      <c r="O13" s="17">
        <v>203.095305</v>
      </c>
      <c r="P13" s="17">
        <v>335.958327</v>
      </c>
      <c r="Q13" s="20">
        <v>1.0739399999999999</v>
      </c>
      <c r="R13" s="20">
        <v>1.8734390000000001</v>
      </c>
      <c r="S13" s="20">
        <v>0.70535700000000001</v>
      </c>
      <c r="T13" s="20">
        <v>3.4437000000000002E-2</v>
      </c>
      <c r="U13" s="44" t="s">
        <v>73</v>
      </c>
      <c r="V13" s="12">
        <v>98.4</v>
      </c>
      <c r="W13" s="27">
        <v>0.24344240003308451</v>
      </c>
      <c r="X13" s="17">
        <v>203.095305</v>
      </c>
      <c r="Y13" s="20">
        <v>1.0739399999999999</v>
      </c>
      <c r="Z13" s="20">
        <v>0.70535700000000001</v>
      </c>
      <c r="AA13" s="27">
        <v>0.53639846743295017</v>
      </c>
      <c r="AZ13" s="10" t="s">
        <v>79</v>
      </c>
    </row>
    <row r="14" spans="1:58" x14ac:dyDescent="0.25">
      <c r="A14" s="39" t="s">
        <v>71</v>
      </c>
      <c r="B14" s="3" t="s">
        <v>10</v>
      </c>
      <c r="C14" s="23">
        <v>8651</v>
      </c>
      <c r="D14" s="23">
        <v>12000</v>
      </c>
      <c r="E14" s="23">
        <v>10500</v>
      </c>
      <c r="F14" s="4">
        <f t="shared" si="1"/>
        <v>1.2137325164720842</v>
      </c>
      <c r="G14" s="25">
        <f t="shared" si="2"/>
        <v>8867.7046533509438</v>
      </c>
      <c r="H14">
        <v>52.5</v>
      </c>
      <c r="I14" s="12">
        <v>29.5</v>
      </c>
      <c r="J14" s="12">
        <v>82</v>
      </c>
      <c r="K14" s="17">
        <v>8727.3618738255009</v>
      </c>
      <c r="L14" s="17">
        <v>7370.6350000000002</v>
      </c>
      <c r="M14" s="17">
        <v>1340.77135915402</v>
      </c>
      <c r="N14" s="19">
        <f t="shared" si="3"/>
        <v>0.84454330031913749</v>
      </c>
      <c r="O14" s="17">
        <v>222.79789299999999</v>
      </c>
      <c r="P14" s="17">
        <v>535.63040799999999</v>
      </c>
      <c r="Q14" s="20">
        <v>0.46229599999999998</v>
      </c>
      <c r="R14" s="20">
        <v>1.0800270000000001</v>
      </c>
      <c r="S14" s="20">
        <v>0.54683899999999996</v>
      </c>
      <c r="T14" s="20">
        <v>0.19495899999999999</v>
      </c>
      <c r="U14" s="43" t="s">
        <v>71</v>
      </c>
      <c r="V14" s="12">
        <v>82</v>
      </c>
      <c r="W14" s="27">
        <v>0.84454330031913749</v>
      </c>
      <c r="X14" s="17">
        <v>222.79789299999999</v>
      </c>
      <c r="Y14" s="20">
        <v>0.46229599999999998</v>
      </c>
      <c r="Z14" s="20">
        <v>0.54683899999999996</v>
      </c>
      <c r="AA14" s="27">
        <v>1.2137325164720842</v>
      </c>
    </row>
    <row r="15" spans="1:58" x14ac:dyDescent="0.25">
      <c r="A15" s="39" t="s">
        <v>73</v>
      </c>
      <c r="B15" s="3" t="s">
        <v>11</v>
      </c>
      <c r="C15" s="23">
        <v>581</v>
      </c>
      <c r="D15" s="23">
        <v>570</v>
      </c>
      <c r="E15" s="23">
        <v>700</v>
      </c>
      <c r="F15" s="4">
        <f t="shared" si="1"/>
        <v>1.2048192771084338</v>
      </c>
      <c r="G15" s="25">
        <f t="shared" si="2"/>
        <v>351.57045576727211</v>
      </c>
      <c r="H15">
        <v>53.7</v>
      </c>
      <c r="I15" s="12">
        <v>43</v>
      </c>
      <c r="J15" s="12">
        <v>96.7</v>
      </c>
      <c r="K15" s="17">
        <v>582.28726743613095</v>
      </c>
      <c r="L15" s="17">
        <v>292.45</v>
      </c>
      <c r="M15" s="17">
        <v>289.51211443984403</v>
      </c>
      <c r="N15" s="19">
        <f t="shared" si="3"/>
        <v>0.50224350823896013</v>
      </c>
      <c r="O15" s="17">
        <v>202.22577200000001</v>
      </c>
      <c r="P15" s="17">
        <v>334.035192</v>
      </c>
      <c r="Q15" s="20">
        <v>1.2867440000000001</v>
      </c>
      <c r="R15" s="20">
        <v>2.063504</v>
      </c>
      <c r="S15" s="20">
        <v>0.720225</v>
      </c>
      <c r="T15" s="20">
        <v>0.248974</v>
      </c>
      <c r="U15" s="44" t="s">
        <v>73</v>
      </c>
      <c r="V15" s="12">
        <v>96.7</v>
      </c>
      <c r="W15" s="27">
        <v>0.50224350823896013</v>
      </c>
      <c r="X15" s="17">
        <v>202.22577200000001</v>
      </c>
      <c r="Y15" s="20">
        <v>1.2867440000000001</v>
      </c>
      <c r="Z15" s="20">
        <v>0.720225</v>
      </c>
      <c r="AA15" s="27">
        <v>1.2048192771084338</v>
      </c>
    </row>
    <row r="16" spans="1:58" x14ac:dyDescent="0.25">
      <c r="A16" s="39" t="s">
        <v>72</v>
      </c>
      <c r="B16" s="3" t="s">
        <v>12</v>
      </c>
      <c r="C16" s="23">
        <v>89</v>
      </c>
      <c r="D16" s="23">
        <v>30</v>
      </c>
      <c r="E16" s="23">
        <v>12</v>
      </c>
      <c r="F16" s="4">
        <f t="shared" si="1"/>
        <v>0.1348314606741573</v>
      </c>
      <c r="G16" s="25">
        <f t="shared" si="2"/>
        <v>5.2231893931234588</v>
      </c>
      <c r="H16">
        <v>54.8</v>
      </c>
      <c r="I16" s="12">
        <v>43.1</v>
      </c>
      <c r="J16" s="12">
        <v>97.9</v>
      </c>
      <c r="K16" s="17">
        <v>89.818684464637997</v>
      </c>
      <c r="L16" s="17">
        <v>39.094999999999999</v>
      </c>
      <c r="M16" s="17">
        <v>50.784986430297998</v>
      </c>
      <c r="N16" s="19">
        <f t="shared" si="3"/>
        <v>0.43526578276028827</v>
      </c>
      <c r="O16" s="17">
        <v>753.349693</v>
      </c>
      <c r="P16" s="17">
        <v>1066.2678559999999</v>
      </c>
      <c r="Q16" s="20">
        <v>0.71376700000000004</v>
      </c>
      <c r="R16" s="20">
        <v>1.402371</v>
      </c>
      <c r="S16" s="20">
        <v>0.73345499999999997</v>
      </c>
      <c r="T16" s="20">
        <v>0.23536699999999999</v>
      </c>
      <c r="U16" s="45" t="s">
        <v>72</v>
      </c>
      <c r="V16" s="12">
        <v>97.9</v>
      </c>
      <c r="W16" s="27">
        <v>0.43526578276028827</v>
      </c>
      <c r="X16" s="17">
        <v>753.349693</v>
      </c>
      <c r="Y16" s="20">
        <v>0.71376700000000004</v>
      </c>
      <c r="Z16" s="20">
        <v>0.73345499999999997</v>
      </c>
      <c r="AA16" s="27">
        <v>0.1348314606741573</v>
      </c>
    </row>
    <row r="17" spans="1:27" x14ac:dyDescent="0.25">
      <c r="A17" s="39" t="s">
        <v>72</v>
      </c>
      <c r="B17" s="3" t="s">
        <v>13</v>
      </c>
      <c r="C17" s="23">
        <v>1769</v>
      </c>
      <c r="D17" s="23">
        <v>500</v>
      </c>
      <c r="E17" s="23">
        <v>440</v>
      </c>
      <c r="F17" s="4">
        <f t="shared" si="1"/>
        <v>0.24872809496890899</v>
      </c>
      <c r="G17" s="25">
        <f t="shared" si="2"/>
        <v>379.26039445615794</v>
      </c>
      <c r="H17">
        <v>53.8</v>
      </c>
      <c r="I17" s="12">
        <v>24.8</v>
      </c>
      <c r="J17" s="12">
        <v>78.599999999999994</v>
      </c>
      <c r="K17" s="17">
        <v>1778.1922654145201</v>
      </c>
      <c r="L17" s="17">
        <v>1532.7225000000001</v>
      </c>
      <c r="M17" s="17">
        <v>244.18852187391099</v>
      </c>
      <c r="N17" s="19">
        <f t="shared" si="3"/>
        <v>0.86195544194581353</v>
      </c>
      <c r="O17" s="17">
        <v>790.21857699999998</v>
      </c>
      <c r="P17" s="17">
        <v>1410.185111</v>
      </c>
      <c r="Q17" s="20">
        <v>0.51443899999999998</v>
      </c>
      <c r="R17" s="20">
        <v>1.115103</v>
      </c>
      <c r="S17" s="20">
        <v>0.53695999999999999</v>
      </c>
      <c r="T17" s="20">
        <v>0.18666099999999999</v>
      </c>
      <c r="U17" s="45" t="s">
        <v>72</v>
      </c>
      <c r="V17" s="12">
        <v>78.599999999999994</v>
      </c>
      <c r="W17" s="27">
        <v>0.86195544194581353</v>
      </c>
      <c r="X17" s="17">
        <v>790.21857699999998</v>
      </c>
      <c r="Y17" s="20">
        <v>0.51443899999999998</v>
      </c>
      <c r="Z17" s="20">
        <v>0.53695999999999999</v>
      </c>
      <c r="AA17" s="27">
        <v>0.24872809496890899</v>
      </c>
    </row>
    <row r="18" spans="1:27" x14ac:dyDescent="0.25">
      <c r="A18" s="39" t="s">
        <v>71</v>
      </c>
      <c r="B18" s="3" t="s">
        <v>14</v>
      </c>
      <c r="C18" s="23">
        <v>3213</v>
      </c>
      <c r="D18" s="23">
        <v>2400</v>
      </c>
      <c r="E18" s="23">
        <v>2100</v>
      </c>
      <c r="F18" s="4">
        <f t="shared" si="1"/>
        <v>0.65359477124183007</v>
      </c>
      <c r="G18" s="25">
        <f t="shared" si="2"/>
        <v>1862.1293330025057</v>
      </c>
      <c r="H18">
        <v>50.1</v>
      </c>
      <c r="I18" s="12">
        <v>21.4</v>
      </c>
      <c r="J18" s="12">
        <v>71.5</v>
      </c>
      <c r="K18" s="17">
        <v>3256.20615740112</v>
      </c>
      <c r="L18" s="17">
        <v>2887.37</v>
      </c>
      <c r="M18" s="17">
        <v>364.68032566325002</v>
      </c>
      <c r="N18" s="19">
        <f t="shared" si="3"/>
        <v>0.88672825381071707</v>
      </c>
      <c r="O18" s="17">
        <v>378.56306999999998</v>
      </c>
      <c r="P18" s="17">
        <v>882.208665</v>
      </c>
      <c r="Q18" s="20">
        <v>0.75871900000000003</v>
      </c>
      <c r="R18" s="20">
        <v>1.509981</v>
      </c>
      <c r="S18" s="20">
        <v>0.44692700000000002</v>
      </c>
      <c r="T18" s="20">
        <v>0.231735</v>
      </c>
      <c r="U18" s="43" t="s">
        <v>71</v>
      </c>
      <c r="V18" s="12">
        <v>71.5</v>
      </c>
      <c r="W18" s="27">
        <v>0.88672825381071707</v>
      </c>
      <c r="X18" s="17">
        <v>378.56306999999998</v>
      </c>
      <c r="Y18" s="20">
        <v>0.75871900000000003</v>
      </c>
      <c r="Z18" s="20">
        <v>0.44692700000000002</v>
      </c>
      <c r="AA18" s="27">
        <v>0.65359477124183007</v>
      </c>
    </row>
    <row r="19" spans="1:27" x14ac:dyDescent="0.25">
      <c r="A19" s="39" t="s">
        <v>71</v>
      </c>
      <c r="B19" s="3" t="s">
        <v>15</v>
      </c>
      <c r="C19" s="23">
        <v>557</v>
      </c>
      <c r="D19" s="25">
        <v>450</v>
      </c>
      <c r="E19" s="23">
        <v>120</v>
      </c>
      <c r="F19" s="4">
        <f t="shared" si="1"/>
        <v>0.21543985637342908</v>
      </c>
      <c r="G19" s="25">
        <f t="shared" si="2"/>
        <v>99.915236955388593</v>
      </c>
      <c r="H19">
        <v>46.4</v>
      </c>
      <c r="I19" s="12">
        <v>31.1</v>
      </c>
      <c r="J19" s="12">
        <v>77.5</v>
      </c>
      <c r="K19" s="17">
        <v>559.07989313923497</v>
      </c>
      <c r="L19" s="17">
        <v>465.505</v>
      </c>
      <c r="M19" s="17">
        <v>93.259001032244996</v>
      </c>
      <c r="N19" s="19">
        <f t="shared" si="3"/>
        <v>0.83262697462823831</v>
      </c>
      <c r="O19" s="17">
        <v>642.30192299999999</v>
      </c>
      <c r="P19" s="17">
        <v>1102.1446510000001</v>
      </c>
      <c r="Q19" s="20">
        <v>0.524613</v>
      </c>
      <c r="R19" s="20">
        <v>1.441262</v>
      </c>
      <c r="S19" s="20">
        <v>0.489425</v>
      </c>
      <c r="T19" s="20">
        <v>0.190993</v>
      </c>
      <c r="U19" s="43" t="s">
        <v>71</v>
      </c>
      <c r="V19" s="12">
        <v>77.5</v>
      </c>
      <c r="W19" s="27">
        <v>0.83262697462823831</v>
      </c>
      <c r="X19" s="17">
        <v>642.30192299999999</v>
      </c>
      <c r="Y19" s="20">
        <v>0.524613</v>
      </c>
      <c r="Z19" s="20">
        <v>0.489425</v>
      </c>
      <c r="AA19" s="27">
        <v>0.21543985637342908</v>
      </c>
    </row>
    <row r="20" spans="1:27" x14ac:dyDescent="0.25">
      <c r="A20" s="39" t="s">
        <v>74</v>
      </c>
      <c r="B20" s="3" t="s">
        <v>16</v>
      </c>
      <c r="C20" s="23">
        <v>1015</v>
      </c>
      <c r="D20" s="23">
        <v>400</v>
      </c>
      <c r="E20" s="23">
        <v>400</v>
      </c>
      <c r="F20" s="4">
        <f t="shared" si="1"/>
        <v>0.39408866995073893</v>
      </c>
      <c r="G20" s="25">
        <f t="shared" si="2"/>
        <v>342.52554470765369</v>
      </c>
      <c r="H20">
        <v>49.9</v>
      </c>
      <c r="I20" s="12">
        <v>23.5</v>
      </c>
      <c r="J20" s="12">
        <v>73.400000000000006</v>
      </c>
      <c r="K20" s="17">
        <v>1105.1964031561502</v>
      </c>
      <c r="L20" s="17">
        <v>946.39499999999998</v>
      </c>
      <c r="M20" s="17">
        <v>158.11031614739503</v>
      </c>
      <c r="N20" s="19">
        <f t="shared" si="3"/>
        <v>0.85631386176913427</v>
      </c>
      <c r="O20" s="17">
        <v>830.85967800000003</v>
      </c>
      <c r="P20" s="17">
        <v>1435.6105190000001</v>
      </c>
      <c r="Q20" s="20">
        <v>0.405725</v>
      </c>
      <c r="R20" s="20">
        <v>0.98830600000000002</v>
      </c>
      <c r="S20" s="20">
        <v>0.430205</v>
      </c>
      <c r="T20" s="20">
        <v>0.19348099999999999</v>
      </c>
      <c r="U20" s="42" t="s">
        <v>74</v>
      </c>
      <c r="V20" s="12">
        <v>73.400000000000006</v>
      </c>
      <c r="W20" s="27">
        <v>0.85631386176913427</v>
      </c>
      <c r="X20" s="17">
        <v>830.85967800000003</v>
      </c>
      <c r="Y20" s="20">
        <v>0.405725</v>
      </c>
      <c r="Z20" s="20">
        <v>0.430205</v>
      </c>
      <c r="AA20" s="27">
        <v>0.39408866995073893</v>
      </c>
    </row>
    <row r="21" spans="1:27" x14ac:dyDescent="0.25">
      <c r="A21" s="39" t="s">
        <v>72</v>
      </c>
      <c r="B21" s="3" t="s">
        <v>17</v>
      </c>
      <c r="C21" s="23">
        <v>896</v>
      </c>
      <c r="D21" s="23">
        <v>150</v>
      </c>
      <c r="E21" s="23">
        <v>125</v>
      </c>
      <c r="F21" s="4">
        <f t="shared" si="1"/>
        <v>0.13950892857142858</v>
      </c>
      <c r="G21" s="25">
        <f t="shared" si="2"/>
        <v>50.082930030705889</v>
      </c>
      <c r="H21">
        <v>45.8</v>
      </c>
      <c r="I21" s="12">
        <v>38.5</v>
      </c>
      <c r="J21" s="12">
        <v>84.3</v>
      </c>
      <c r="K21" s="17">
        <v>900.09460253946395</v>
      </c>
      <c r="L21" s="17">
        <v>360.63499999999999</v>
      </c>
      <c r="M21" s="17">
        <v>539.48486586833405</v>
      </c>
      <c r="N21" s="19">
        <f t="shared" si="3"/>
        <v>0.4006634402456471</v>
      </c>
      <c r="O21" s="17">
        <v>897.83417199999997</v>
      </c>
      <c r="P21" s="17">
        <v>1428.873335</v>
      </c>
      <c r="Q21" s="20">
        <v>2.3191419999999998</v>
      </c>
      <c r="R21" s="20">
        <v>3.1726519999999998</v>
      </c>
      <c r="S21" s="20">
        <v>0.63105999999999995</v>
      </c>
      <c r="T21" s="20">
        <v>0.185894</v>
      </c>
      <c r="U21" s="45" t="s">
        <v>72</v>
      </c>
      <c r="V21" s="12">
        <v>84.3</v>
      </c>
      <c r="W21" s="27">
        <v>0.4006634402456471</v>
      </c>
      <c r="X21" s="17">
        <v>897.83417199999997</v>
      </c>
      <c r="Y21" s="20">
        <v>2.3191419999999998</v>
      </c>
      <c r="Z21" s="20">
        <v>0.63105999999999995</v>
      </c>
      <c r="AA21" s="27">
        <v>0.13950892857142858</v>
      </c>
    </row>
    <row r="22" spans="1:27" x14ac:dyDescent="0.25">
      <c r="A22" s="39" t="s">
        <v>72</v>
      </c>
      <c r="B22" s="3" t="s">
        <v>18</v>
      </c>
      <c r="C22" s="23">
        <v>626</v>
      </c>
      <c r="D22" s="23">
        <v>100</v>
      </c>
      <c r="E22" s="23">
        <v>100</v>
      </c>
      <c r="F22" s="4">
        <f t="shared" si="1"/>
        <v>0.15974440894568689</v>
      </c>
      <c r="G22" s="25">
        <f t="shared" si="2"/>
        <v>71.91934057434915</v>
      </c>
      <c r="H22">
        <v>37.200000000000003</v>
      </c>
      <c r="I22" s="12">
        <v>28.200000000000003</v>
      </c>
      <c r="J22" s="12">
        <v>65.400000000000006</v>
      </c>
      <c r="K22" s="17">
        <v>628.83988700155396</v>
      </c>
      <c r="L22" s="17">
        <v>452.25749999999999</v>
      </c>
      <c r="M22" s="17">
        <v>176.50062803886601</v>
      </c>
      <c r="N22" s="19">
        <f t="shared" si="3"/>
        <v>0.71919340574349155</v>
      </c>
      <c r="O22" s="17">
        <v>984.20840199999998</v>
      </c>
      <c r="P22" s="17">
        <v>1343.9744780000001</v>
      </c>
      <c r="Q22" s="20">
        <v>0.45919399999999999</v>
      </c>
      <c r="R22" s="20">
        <v>1.122096</v>
      </c>
      <c r="S22" s="20">
        <v>0.55502099999999999</v>
      </c>
      <c r="T22" s="20">
        <v>0.21537500000000001</v>
      </c>
      <c r="U22" s="45" t="s">
        <v>72</v>
      </c>
      <c r="V22" s="12">
        <v>65.400000000000006</v>
      </c>
      <c r="W22" s="27">
        <v>0.71919340574349155</v>
      </c>
      <c r="X22" s="17">
        <v>984.20840199999998</v>
      </c>
      <c r="Y22" s="20">
        <v>0.45919399999999999</v>
      </c>
      <c r="Z22" s="20">
        <v>0.55502099999999999</v>
      </c>
      <c r="AA22" s="27">
        <v>0.15974440894568689</v>
      </c>
    </row>
    <row r="23" spans="1:27" x14ac:dyDescent="0.25">
      <c r="A23" s="39" t="s">
        <v>72</v>
      </c>
      <c r="B23" s="3" t="s">
        <v>19</v>
      </c>
      <c r="C23" s="23">
        <v>329</v>
      </c>
      <c r="D23" s="23">
        <v>60</v>
      </c>
      <c r="E23" s="23">
        <v>55</v>
      </c>
      <c r="F23" s="4">
        <f t="shared" si="1"/>
        <v>0.16717325227963525</v>
      </c>
      <c r="G23" s="25">
        <f t="shared" si="2"/>
        <v>25.894166659269754</v>
      </c>
      <c r="H23">
        <v>37.5</v>
      </c>
      <c r="I23" s="12">
        <v>24.900000000000002</v>
      </c>
      <c r="J23" s="12">
        <v>62.400000000000006</v>
      </c>
      <c r="K23" s="17">
        <v>330.08496131464398</v>
      </c>
      <c r="L23" s="17">
        <v>155.405</v>
      </c>
      <c r="M23" s="17">
        <v>174.747956000366</v>
      </c>
      <c r="N23" s="19">
        <f t="shared" si="3"/>
        <v>0.47080303016854097</v>
      </c>
      <c r="O23" s="17">
        <v>1354.4969450000001</v>
      </c>
      <c r="P23" s="17">
        <v>2012.9506919999999</v>
      </c>
      <c r="Q23" s="20">
        <v>1.2780180000000001</v>
      </c>
      <c r="R23" s="20">
        <v>2.5994000000000002</v>
      </c>
      <c r="S23" s="20">
        <v>0.49083500000000002</v>
      </c>
      <c r="T23" s="20">
        <v>0.30929699999999999</v>
      </c>
      <c r="U23" s="45" t="s">
        <v>72</v>
      </c>
      <c r="V23" s="12">
        <v>62.400000000000006</v>
      </c>
      <c r="W23" s="27">
        <v>0.47080303016854097</v>
      </c>
      <c r="X23" s="17">
        <v>1354.4969450000001</v>
      </c>
      <c r="Y23" s="20">
        <v>1.2780180000000001</v>
      </c>
      <c r="Z23" s="20">
        <v>0.49083500000000002</v>
      </c>
      <c r="AA23" s="27">
        <v>0.16717325227963525</v>
      </c>
    </row>
    <row r="24" spans="1:27" ht="30" x14ac:dyDescent="0.25">
      <c r="A24" s="39" t="s">
        <v>74</v>
      </c>
      <c r="B24" s="3" t="s">
        <v>20</v>
      </c>
      <c r="C24" s="23">
        <v>5835</v>
      </c>
      <c r="D24" s="25">
        <v>2700</v>
      </c>
      <c r="E24" s="23">
        <v>2900</v>
      </c>
      <c r="F24" s="4">
        <f t="shared" si="1"/>
        <v>0.49700085689802914</v>
      </c>
      <c r="G24" s="25">
        <f t="shared" si="2"/>
        <v>2525.8305585153162</v>
      </c>
      <c r="H24">
        <v>34.9</v>
      </c>
      <c r="I24" s="12">
        <v>20.7</v>
      </c>
      <c r="J24" s="12">
        <v>55.599999999999994</v>
      </c>
      <c r="K24" s="17">
        <v>5787.9892024876499</v>
      </c>
      <c r="L24" s="17">
        <v>5041.2</v>
      </c>
      <c r="M24" s="17">
        <v>743.38948857730702</v>
      </c>
      <c r="N24" s="19">
        <f t="shared" si="3"/>
        <v>0.8709760546604538</v>
      </c>
      <c r="O24" s="17">
        <v>654.91575499999999</v>
      </c>
      <c r="P24" s="17">
        <v>1223.554541</v>
      </c>
      <c r="Q24" s="20">
        <v>0.26442100000000002</v>
      </c>
      <c r="R24" s="20">
        <v>0.76720699999999997</v>
      </c>
      <c r="S24" s="20">
        <v>0.36859500000000001</v>
      </c>
      <c r="T24" s="20">
        <v>0.24587999999999999</v>
      </c>
      <c r="U24" s="42" t="s">
        <v>74</v>
      </c>
      <c r="V24" s="12">
        <v>55.599999999999994</v>
      </c>
      <c r="W24" s="27">
        <v>0.8709760546604538</v>
      </c>
      <c r="X24" s="17">
        <v>654.91575499999999</v>
      </c>
      <c r="Y24" s="20">
        <v>0.26442100000000002</v>
      </c>
      <c r="Z24" s="20">
        <v>0.36859500000000001</v>
      </c>
      <c r="AA24" s="27">
        <v>0.49700085689802914</v>
      </c>
    </row>
    <row r="25" spans="1:27" x14ac:dyDescent="0.25">
      <c r="A25" s="39" t="s">
        <v>74</v>
      </c>
      <c r="B25" s="3" t="s">
        <v>21</v>
      </c>
      <c r="C25" s="23">
        <v>3722</v>
      </c>
      <c r="D25" s="23">
        <v>3000</v>
      </c>
      <c r="E25" s="23">
        <v>2700</v>
      </c>
      <c r="F25" s="4">
        <f t="shared" si="1"/>
        <v>0.7254164427727029</v>
      </c>
      <c r="G25" s="25">
        <f t="shared" si="2"/>
        <v>2370.5556719106949</v>
      </c>
      <c r="H25">
        <v>42.8</v>
      </c>
      <c r="I25" s="12">
        <v>22.900000000000002</v>
      </c>
      <c r="J25" s="12">
        <v>65.7</v>
      </c>
      <c r="K25" s="17">
        <v>3730.8214714364999</v>
      </c>
      <c r="L25" s="17">
        <v>3275.6</v>
      </c>
      <c r="M25" s="17">
        <v>452.93559777499399</v>
      </c>
      <c r="N25" s="19">
        <f t="shared" si="3"/>
        <v>0.87798358218914629</v>
      </c>
      <c r="O25" s="17">
        <v>572.90004699999997</v>
      </c>
      <c r="P25" s="17">
        <v>1186.0757759999999</v>
      </c>
      <c r="Q25" s="20">
        <v>0.48280400000000001</v>
      </c>
      <c r="R25" s="20">
        <v>1.2685230000000001</v>
      </c>
      <c r="S25" s="20">
        <v>0.42198799999999997</v>
      </c>
      <c r="T25" s="20">
        <v>0.210756</v>
      </c>
      <c r="U25" s="42" t="s">
        <v>74</v>
      </c>
      <c r="V25" s="12">
        <v>65.7</v>
      </c>
      <c r="W25" s="27">
        <v>0.87798358218914629</v>
      </c>
      <c r="X25" s="17">
        <v>572.90004699999997</v>
      </c>
      <c r="Y25" s="20">
        <v>0.48280400000000001</v>
      </c>
      <c r="Z25" s="20">
        <v>0.42198799999999997</v>
      </c>
      <c r="AA25" s="27">
        <v>0.7254164427727029</v>
      </c>
    </row>
    <row r="26" spans="1:27" x14ac:dyDescent="0.25">
      <c r="A26" s="39" t="s">
        <v>74</v>
      </c>
      <c r="B26" s="3" t="s">
        <v>22</v>
      </c>
      <c r="C26" s="23">
        <v>4837</v>
      </c>
      <c r="D26" s="23">
        <v>3900</v>
      </c>
      <c r="E26" s="23">
        <v>3500</v>
      </c>
      <c r="F26" s="4">
        <f t="shared" si="1"/>
        <v>0.72358900144717797</v>
      </c>
      <c r="G26" s="25">
        <f t="shared" si="2"/>
        <v>1549.127801544714</v>
      </c>
      <c r="H26">
        <v>45.900000000000006</v>
      </c>
      <c r="I26" s="12">
        <v>48.800000000000004</v>
      </c>
      <c r="J26" s="12">
        <v>94.700000000000017</v>
      </c>
      <c r="K26" s="17">
        <v>4845.6710560063693</v>
      </c>
      <c r="L26" s="17">
        <v>2144.7325000000001</v>
      </c>
      <c r="M26" s="17">
        <v>2699.5604655203601</v>
      </c>
      <c r="N26" s="19">
        <f t="shared" si="3"/>
        <v>0.44260794329848974</v>
      </c>
      <c r="O26" s="17">
        <v>166.72869299999999</v>
      </c>
      <c r="P26" s="17">
        <v>433.95681999999999</v>
      </c>
      <c r="Q26" s="20">
        <v>1.086419</v>
      </c>
      <c r="R26" s="20">
        <v>1.883143</v>
      </c>
      <c r="S26" s="47">
        <v>0.52503</v>
      </c>
      <c r="T26" s="47">
        <v>0.16906299999999999</v>
      </c>
      <c r="U26" s="42" t="s">
        <v>74</v>
      </c>
      <c r="V26" s="12">
        <v>94.700000000000017</v>
      </c>
      <c r="W26" s="27">
        <v>0.44260794329848974</v>
      </c>
      <c r="X26" s="17">
        <v>166.72869299999999</v>
      </c>
      <c r="Y26" s="20">
        <v>1.086419</v>
      </c>
      <c r="Z26" s="47">
        <v>0.52503</v>
      </c>
      <c r="AA26" s="27">
        <v>0.72358900144717797</v>
      </c>
    </row>
    <row r="27" spans="1:27" x14ac:dyDescent="0.25">
      <c r="A27" s="39" t="s">
        <v>74</v>
      </c>
      <c r="B27" s="3" t="s">
        <v>23</v>
      </c>
      <c r="C27" s="23">
        <v>1494</v>
      </c>
      <c r="D27" s="23">
        <v>800</v>
      </c>
      <c r="E27" s="23">
        <v>800</v>
      </c>
      <c r="F27" s="4">
        <f t="shared" si="1"/>
        <v>0.53547523427041499</v>
      </c>
      <c r="G27" s="25">
        <f t="shared" si="2"/>
        <v>339.01392092706266</v>
      </c>
      <c r="H27">
        <v>29</v>
      </c>
      <c r="I27" s="12">
        <v>67.8</v>
      </c>
      <c r="J27" s="12">
        <v>96.8</v>
      </c>
      <c r="K27" s="17">
        <v>1514.81095111279</v>
      </c>
      <c r="L27" s="17">
        <v>641.92750000000001</v>
      </c>
      <c r="M27" s="17">
        <v>872.29284053546201</v>
      </c>
      <c r="N27" s="19">
        <f t="shared" si="3"/>
        <v>0.42376740115882833</v>
      </c>
      <c r="O27" s="17">
        <v>159.63225600000001</v>
      </c>
      <c r="P27" s="17">
        <v>272.53318899999999</v>
      </c>
      <c r="Q27" s="20">
        <v>1.0639540000000001</v>
      </c>
      <c r="R27" s="20">
        <v>1.775765</v>
      </c>
      <c r="S27" s="47">
        <v>0.48796899999999999</v>
      </c>
      <c r="T27" s="47">
        <v>7.6670000000000002E-2</v>
      </c>
      <c r="U27" s="42" t="s">
        <v>74</v>
      </c>
      <c r="V27" s="12">
        <v>96.8</v>
      </c>
      <c r="W27" s="27">
        <v>0.42376740115882833</v>
      </c>
      <c r="X27" s="17">
        <v>159.63225600000001</v>
      </c>
      <c r="Y27" s="20">
        <v>1.0639540000000001</v>
      </c>
      <c r="Z27" s="47">
        <v>0.48796899999999999</v>
      </c>
      <c r="AA27" s="27">
        <v>0.53547523427041499</v>
      </c>
    </row>
    <row r="28" spans="1:27" x14ac:dyDescent="0.25">
      <c r="A28" s="39" t="s">
        <v>73</v>
      </c>
      <c r="B28" s="3" t="s">
        <v>24</v>
      </c>
      <c r="C28" s="23">
        <v>346</v>
      </c>
      <c r="D28" s="23">
        <v>300</v>
      </c>
      <c r="E28" s="25">
        <v>300</v>
      </c>
      <c r="F28" s="4">
        <f t="shared" si="1"/>
        <v>0.86705202312138729</v>
      </c>
      <c r="G28" s="25">
        <f t="shared" si="2"/>
        <v>205.10279556999006</v>
      </c>
      <c r="H28">
        <v>37</v>
      </c>
      <c r="I28" s="12">
        <v>61.6</v>
      </c>
      <c r="J28" s="12">
        <v>98.6</v>
      </c>
      <c r="K28" s="17">
        <v>346.13618894226096</v>
      </c>
      <c r="L28" s="17">
        <v>236.64500000000001</v>
      </c>
      <c r="M28" s="17">
        <v>109.322886354315</v>
      </c>
      <c r="N28" s="19">
        <f t="shared" si="3"/>
        <v>0.6836759852333002</v>
      </c>
      <c r="O28" s="17">
        <v>118.466858</v>
      </c>
      <c r="P28" s="17">
        <v>218.97943000000001</v>
      </c>
      <c r="Q28" s="20">
        <v>0.43935800000000003</v>
      </c>
      <c r="R28" s="20">
        <v>0.94857400000000003</v>
      </c>
      <c r="S28" s="47">
        <v>0.57387500000000002</v>
      </c>
      <c r="T28" s="47">
        <v>0.20812700000000001</v>
      </c>
      <c r="U28" s="44" t="s">
        <v>73</v>
      </c>
      <c r="V28" s="12">
        <v>98.6</v>
      </c>
      <c r="W28" s="27">
        <v>0.6836759852333002</v>
      </c>
      <c r="X28" s="17">
        <v>118.466858</v>
      </c>
      <c r="Y28" s="20">
        <v>0.43935800000000003</v>
      </c>
      <c r="Z28" s="47">
        <v>0.57387500000000002</v>
      </c>
      <c r="AA28" s="27">
        <v>0.86705202312138729</v>
      </c>
    </row>
    <row r="29" spans="1:27" x14ac:dyDescent="0.25">
      <c r="A29" s="39" t="s">
        <v>74</v>
      </c>
      <c r="B29" s="3" t="s">
        <v>25</v>
      </c>
      <c r="C29" s="23">
        <v>2338</v>
      </c>
      <c r="D29" s="23">
        <v>2000</v>
      </c>
      <c r="E29" s="23">
        <v>2000</v>
      </c>
      <c r="F29" s="4">
        <f t="shared" si="1"/>
        <v>0.85543199315654406</v>
      </c>
      <c r="G29" s="25">
        <f t="shared" si="2"/>
        <v>1259.3128022129845</v>
      </c>
      <c r="H29">
        <v>56.599999999999994</v>
      </c>
      <c r="I29" s="12">
        <v>40.9</v>
      </c>
      <c r="J29" s="12">
        <v>97.5</v>
      </c>
      <c r="K29" s="17">
        <v>2340.2843160340999</v>
      </c>
      <c r="L29" s="17">
        <v>1473.575</v>
      </c>
      <c r="M29" s="17">
        <v>861.44377843003292</v>
      </c>
      <c r="N29" s="19">
        <f t="shared" si="3"/>
        <v>0.62965640110649224</v>
      </c>
      <c r="O29" s="17">
        <v>88.193330000000003</v>
      </c>
      <c r="P29" s="17">
        <v>131.70073600000001</v>
      </c>
      <c r="Q29" s="20">
        <v>0.64323200000000003</v>
      </c>
      <c r="R29" s="20">
        <v>1.4527159999999999</v>
      </c>
      <c r="S29" s="47">
        <v>0.64156800000000003</v>
      </c>
      <c r="T29" s="47">
        <v>0.120848</v>
      </c>
      <c r="U29" s="42" t="s">
        <v>74</v>
      </c>
      <c r="V29" s="12">
        <v>97.5</v>
      </c>
      <c r="W29" s="27">
        <v>0.62965640110649224</v>
      </c>
      <c r="X29" s="17">
        <v>88.193330000000003</v>
      </c>
      <c r="Y29" s="20">
        <v>0.64323200000000003</v>
      </c>
      <c r="Z29" s="47">
        <v>0.64156800000000003</v>
      </c>
      <c r="AA29" s="27">
        <v>0.85543199315654406</v>
      </c>
    </row>
    <row r="30" spans="1:27" x14ac:dyDescent="0.25">
      <c r="A30" s="39" t="s">
        <v>74</v>
      </c>
      <c r="B30" s="3" t="s">
        <v>26</v>
      </c>
      <c r="C30" s="23">
        <v>2067</v>
      </c>
      <c r="D30" s="23">
        <v>1500</v>
      </c>
      <c r="E30" s="23">
        <v>1500</v>
      </c>
      <c r="F30" s="4">
        <f t="shared" si="1"/>
        <v>0.72568940493468792</v>
      </c>
      <c r="G30" s="25">
        <f t="shared" si="2"/>
        <v>1020.1238675979786</v>
      </c>
      <c r="H30">
        <v>49.9</v>
      </c>
      <c r="I30" s="12">
        <v>46.1</v>
      </c>
      <c r="J30" s="12">
        <v>96</v>
      </c>
      <c r="K30" s="17">
        <v>2074.4502870841302</v>
      </c>
      <c r="L30" s="17">
        <v>1410.7974999999999</v>
      </c>
      <c r="M30" s="17">
        <v>661.23874813698001</v>
      </c>
      <c r="N30" s="19">
        <f t="shared" si="3"/>
        <v>0.68008257839865238</v>
      </c>
      <c r="O30" s="17">
        <v>147.766053</v>
      </c>
      <c r="P30" s="17">
        <v>256.00736899999998</v>
      </c>
      <c r="Q30" s="20">
        <v>0.86329400000000001</v>
      </c>
      <c r="R30" s="20">
        <v>1.78528</v>
      </c>
      <c r="S30" s="47">
        <v>0.57564499999999996</v>
      </c>
      <c r="T30" s="47">
        <v>0.106366</v>
      </c>
      <c r="U30" s="42" t="s">
        <v>74</v>
      </c>
      <c r="V30" s="12">
        <v>96</v>
      </c>
      <c r="W30" s="27">
        <v>0.68008257839865238</v>
      </c>
      <c r="X30" s="17">
        <v>147.766053</v>
      </c>
      <c r="Y30" s="20">
        <v>0.86329400000000001</v>
      </c>
      <c r="Z30" s="47">
        <v>0.57564499999999996</v>
      </c>
      <c r="AA30" s="27">
        <v>0.72568940493468792</v>
      </c>
    </row>
    <row r="31" spans="1:27" x14ac:dyDescent="0.25">
      <c r="A31" s="40" t="s">
        <v>72</v>
      </c>
      <c r="B31" s="5" t="s">
        <v>27</v>
      </c>
      <c r="C31" s="33">
        <v>546</v>
      </c>
      <c r="D31" s="33">
        <v>200</v>
      </c>
      <c r="E31" s="33">
        <v>63</v>
      </c>
      <c r="F31" s="6">
        <f t="shared" si="1"/>
        <v>0.11538461538461539</v>
      </c>
      <c r="G31" s="25">
        <f t="shared" si="2"/>
        <v>55.330446618548663</v>
      </c>
      <c r="I31" s="12"/>
      <c r="J31" s="14">
        <v>90</v>
      </c>
      <c r="K31" s="17">
        <v>481.59370886167903</v>
      </c>
      <c r="L31" s="17">
        <v>422.96499999999997</v>
      </c>
      <c r="M31" s="17">
        <v>58.286593289880997</v>
      </c>
      <c r="N31" s="19">
        <f t="shared" si="3"/>
        <v>0.87826105743728033</v>
      </c>
      <c r="O31" s="17">
        <v>791.77820899999995</v>
      </c>
      <c r="P31" s="17">
        <v>1432.8242359999999</v>
      </c>
      <c r="Q31" s="20">
        <v>0.31204900000000002</v>
      </c>
      <c r="R31" s="20">
        <v>0.800481</v>
      </c>
      <c r="S31" s="47">
        <v>0.43203900000000001</v>
      </c>
      <c r="T31" s="47">
        <v>0.18189</v>
      </c>
      <c r="U31" s="46" t="s">
        <v>72</v>
      </c>
      <c r="V31" s="14">
        <v>90</v>
      </c>
      <c r="W31" s="27">
        <v>0.87826105743728033</v>
      </c>
      <c r="X31" s="17">
        <v>791.77820899999995</v>
      </c>
      <c r="Y31" s="20">
        <v>0.31204900000000002</v>
      </c>
      <c r="Z31" s="47">
        <v>0.43203900000000001</v>
      </c>
      <c r="AA31" s="27">
        <v>0.11538461538461539</v>
      </c>
    </row>
    <row r="32" spans="1:27" x14ac:dyDescent="0.25">
      <c r="N32" s="19"/>
    </row>
    <row r="33" spans="2:57" x14ac:dyDescent="0.25">
      <c r="B33" s="8" t="s">
        <v>31</v>
      </c>
      <c r="N33" s="19"/>
    </row>
    <row r="34" spans="2:57" s="10" customFormat="1" ht="45" x14ac:dyDescent="0.25">
      <c r="C34" s="32" t="s">
        <v>0</v>
      </c>
      <c r="D34" s="32" t="s">
        <v>1</v>
      </c>
      <c r="E34" s="32" t="s">
        <v>125</v>
      </c>
      <c r="F34" s="2" t="s">
        <v>134</v>
      </c>
      <c r="G34" s="24" t="s">
        <v>63</v>
      </c>
      <c r="H34" s="11" t="s">
        <v>36</v>
      </c>
      <c r="I34" s="13" t="s">
        <v>35</v>
      </c>
      <c r="J34" s="13" t="s">
        <v>34</v>
      </c>
      <c r="K34" s="11" t="s">
        <v>38</v>
      </c>
      <c r="L34" s="11" t="s">
        <v>39</v>
      </c>
      <c r="M34" s="11" t="s">
        <v>40</v>
      </c>
      <c r="N34" s="22" t="s">
        <v>52</v>
      </c>
      <c r="O34" s="11" t="s">
        <v>46</v>
      </c>
      <c r="P34" s="11" t="s">
        <v>47</v>
      </c>
      <c r="Q34" s="15" t="s">
        <v>48</v>
      </c>
      <c r="R34" s="15" t="s">
        <v>49</v>
      </c>
      <c r="S34" s="15" t="s">
        <v>50</v>
      </c>
      <c r="T34" s="15" t="s">
        <v>51</v>
      </c>
      <c r="W34" s="37" t="s">
        <v>52</v>
      </c>
      <c r="X34" s="11" t="s">
        <v>46</v>
      </c>
      <c r="Y34" s="15" t="s">
        <v>48</v>
      </c>
      <c r="Z34" s="15" t="s">
        <v>50</v>
      </c>
      <c r="AA34" s="36" t="s">
        <v>3</v>
      </c>
      <c r="BB34" s="41" t="s">
        <v>85</v>
      </c>
    </row>
    <row r="35" spans="2:57" x14ac:dyDescent="0.25">
      <c r="B35" t="s">
        <v>62</v>
      </c>
      <c r="C35" s="17">
        <v>2131.9569999999999</v>
      </c>
      <c r="E35" s="17">
        <v>1708</v>
      </c>
      <c r="F35" s="4">
        <f t="shared" ref="F35:F47" si="6">E35/C35</f>
        <v>0.80114186167919899</v>
      </c>
      <c r="G35" s="34">
        <f>E35*N35</f>
        <v>599.77682248268388</v>
      </c>
      <c r="H35" s="27">
        <f>E35/K35</f>
        <v>0.80114181477078339</v>
      </c>
      <c r="K35" s="17">
        <v>2131.95712483024</v>
      </c>
      <c r="L35" s="17">
        <v>748.65250000000003</v>
      </c>
      <c r="M35" s="17">
        <v>1383.1877992514201</v>
      </c>
      <c r="N35" s="19">
        <f t="shared" si="3"/>
        <v>0.35115739021234421</v>
      </c>
      <c r="O35" s="17">
        <v>102.972177</v>
      </c>
      <c r="P35" s="17">
        <v>293.70979799999998</v>
      </c>
      <c r="Q35" s="20">
        <v>0.70505899999999999</v>
      </c>
      <c r="R35" s="20">
        <v>1.558198</v>
      </c>
      <c r="S35" s="35">
        <v>0.55882600000000004</v>
      </c>
      <c r="T35" s="35">
        <v>0.15645800000000001</v>
      </c>
      <c r="V35" t="s">
        <v>86</v>
      </c>
      <c r="W35" s="27">
        <v>0.35115739021234421</v>
      </c>
      <c r="X35" s="17">
        <v>102.972177</v>
      </c>
      <c r="Y35" s="20">
        <v>0.70505899999999999</v>
      </c>
      <c r="Z35" s="35">
        <v>0.55882600000000004</v>
      </c>
      <c r="AA35" s="27">
        <f>F35</f>
        <v>0.80114186167919899</v>
      </c>
      <c r="BB35" s="10" t="s">
        <v>78</v>
      </c>
      <c r="BC35" s="10" t="s">
        <v>80</v>
      </c>
      <c r="BD35" s="10" t="s">
        <v>81</v>
      </c>
      <c r="BE35" s="10" t="s">
        <v>79</v>
      </c>
    </row>
    <row r="36" spans="2:57" x14ac:dyDescent="0.25">
      <c r="B36" t="s">
        <v>58</v>
      </c>
      <c r="C36" s="17">
        <f>818.311+324.668</f>
        <v>1142.979</v>
      </c>
      <c r="E36" s="17">
        <v>2342.4</v>
      </c>
      <c r="F36" s="4">
        <f t="shared" si="6"/>
        <v>2.049381484699194</v>
      </c>
      <c r="G36" s="34">
        <f t="shared" ref="G36:G47" si="7">E36*N36</f>
        <v>2133.3491945680848</v>
      </c>
      <c r="H36" s="27">
        <f t="shared" ref="H36:H47" si="8">E36/K36</f>
        <v>2.0493809342399389</v>
      </c>
      <c r="K36" s="17">
        <v>1142.9793070016699</v>
      </c>
      <c r="L36" s="17">
        <v>1040.9725000000001</v>
      </c>
      <c r="M36" s="17">
        <v>101.445031015914</v>
      </c>
      <c r="N36" s="19">
        <f t="shared" si="3"/>
        <v>0.91075358374662085</v>
      </c>
      <c r="O36" s="17">
        <v>570.37461399999995</v>
      </c>
      <c r="P36" s="17">
        <v>899.47636699999998</v>
      </c>
      <c r="Q36" s="20">
        <v>0.37091400000000002</v>
      </c>
      <c r="R36" s="20">
        <v>0.90743200000000002</v>
      </c>
      <c r="S36" s="35">
        <v>0.39546500000000001</v>
      </c>
      <c r="T36" s="35">
        <v>0.18534</v>
      </c>
      <c r="V36" t="s">
        <v>87</v>
      </c>
      <c r="W36" s="27">
        <v>0.91075358374662085</v>
      </c>
      <c r="X36" s="17">
        <v>570.37461399999995</v>
      </c>
      <c r="Y36" s="20">
        <v>0.37091400000000002</v>
      </c>
      <c r="Z36" s="35">
        <v>0.39546500000000001</v>
      </c>
      <c r="AA36" s="27">
        <f t="shared" ref="AA36:AA47" si="9">F36</f>
        <v>2.049381484699194</v>
      </c>
      <c r="BB36" s="49">
        <f>CORREL(W35:W47,$AA35:$AA47)</f>
        <v>0.49970193146932695</v>
      </c>
      <c r="BC36" s="20">
        <f t="shared" ref="BC36:BE36" si="10">CORREL(X35:X47,$AA35:$AA47)</f>
        <v>-0.25517532519708402</v>
      </c>
      <c r="BD36" s="49">
        <f t="shared" si="10"/>
        <v>-0.66338724493394918</v>
      </c>
      <c r="BE36" s="20">
        <f t="shared" si="10"/>
        <v>-0.1144028735039961</v>
      </c>
    </row>
    <row r="37" spans="2:57" x14ac:dyDescent="0.25">
      <c r="B37" t="s">
        <v>59</v>
      </c>
      <c r="C37" s="17">
        <f>1026.458+89.707+32.667+11.714+6.639+25.244</f>
        <v>1192.4289999999996</v>
      </c>
      <c r="E37" s="17">
        <v>2351.4</v>
      </c>
      <c r="F37" s="4">
        <f t="shared" si="6"/>
        <v>1.9719413063587021</v>
      </c>
      <c r="G37" s="34">
        <f t="shared" si="7"/>
        <v>1809.6510560889176</v>
      </c>
      <c r="H37" s="27">
        <f t="shared" si="8"/>
        <v>1.9719418721683748</v>
      </c>
      <c r="K37" s="17">
        <v>1192.42865785611</v>
      </c>
      <c r="L37" s="17">
        <v>917.7</v>
      </c>
      <c r="M37" s="17">
        <v>274.03727205969602</v>
      </c>
      <c r="N37" s="19">
        <f t="shared" si="3"/>
        <v>0.76960579063065304</v>
      </c>
      <c r="O37" s="17">
        <v>485.38331099999999</v>
      </c>
      <c r="P37" s="17">
        <v>983.35493199999996</v>
      </c>
      <c r="Q37" s="20">
        <v>0.56675299999999995</v>
      </c>
      <c r="R37" s="20">
        <v>1.443729</v>
      </c>
      <c r="S37" s="35">
        <v>0.48488999999999999</v>
      </c>
      <c r="T37" s="35">
        <v>0.178485</v>
      </c>
      <c r="V37" t="s">
        <v>88</v>
      </c>
      <c r="W37" s="27">
        <v>0.76960579063065304</v>
      </c>
      <c r="X37" s="17">
        <v>485.38331099999999</v>
      </c>
      <c r="Y37" s="20">
        <v>0.56675299999999995</v>
      </c>
      <c r="Z37" s="35">
        <v>0.48488999999999999</v>
      </c>
      <c r="AA37" s="27">
        <f t="shared" si="9"/>
        <v>1.9719413063587021</v>
      </c>
    </row>
    <row r="38" spans="2:57" x14ac:dyDescent="0.25">
      <c r="B38" t="s">
        <v>60</v>
      </c>
      <c r="C38" s="17">
        <f>1735.88</f>
        <v>1735.88</v>
      </c>
      <c r="E38" s="17">
        <v>3001.2</v>
      </c>
      <c r="F38" s="4">
        <f t="shared" si="6"/>
        <v>1.7289213540106456</v>
      </c>
      <c r="G38" s="34">
        <f t="shared" si="7"/>
        <v>1746.7548265336573</v>
      </c>
      <c r="H38" s="27">
        <f t="shared" si="8"/>
        <v>1.7289210063531246</v>
      </c>
      <c r="K38" s="17">
        <v>1735.88034905686</v>
      </c>
      <c r="L38" s="17">
        <v>1010.3150000000001</v>
      </c>
      <c r="M38" s="17">
        <v>723.722500768636</v>
      </c>
      <c r="N38" s="19">
        <f t="shared" si="3"/>
        <v>0.58201880132402284</v>
      </c>
      <c r="O38" s="17">
        <v>196.83712600000001</v>
      </c>
      <c r="P38" s="17">
        <v>496.23023499999999</v>
      </c>
      <c r="Q38" s="20">
        <v>0.94492500000000001</v>
      </c>
      <c r="R38" s="20">
        <v>1.70424</v>
      </c>
      <c r="S38" s="35">
        <v>0.64261800000000002</v>
      </c>
      <c r="T38" s="35">
        <v>0.15346299999999999</v>
      </c>
      <c r="V38" t="s">
        <v>89</v>
      </c>
      <c r="W38" s="27">
        <v>0.58201880132402284</v>
      </c>
      <c r="X38" s="17">
        <v>196.83712600000001</v>
      </c>
      <c r="Y38" s="20">
        <v>0.94492500000000001</v>
      </c>
      <c r="Z38" s="35">
        <v>0.64261800000000002</v>
      </c>
      <c r="AA38" s="27">
        <f t="shared" si="9"/>
        <v>1.7289213540106456</v>
      </c>
    </row>
    <row r="39" spans="2:57" x14ac:dyDescent="0.25">
      <c r="B39" t="s">
        <v>61</v>
      </c>
      <c r="C39" s="17">
        <f>1166.672+301.174+55.176+50.618+13.713</f>
        <v>1587.3529999999998</v>
      </c>
      <c r="E39" s="17">
        <v>3202.4</v>
      </c>
      <c r="F39" s="4">
        <f t="shared" si="6"/>
        <v>2.017446654902848</v>
      </c>
      <c r="G39" s="34">
        <f t="shared" si="7"/>
        <v>2348.2820144044176</v>
      </c>
      <c r="H39" s="27">
        <f t="shared" si="8"/>
        <v>2.0174460760140618</v>
      </c>
      <c r="K39" s="17">
        <v>1587.3534554772798</v>
      </c>
      <c r="L39" s="17">
        <v>1163.9875</v>
      </c>
      <c r="M39" s="17">
        <v>421.95061898367999</v>
      </c>
      <c r="N39" s="19">
        <f t="shared" si="3"/>
        <v>0.73328816337884639</v>
      </c>
      <c r="O39" s="17">
        <v>399.29001799999998</v>
      </c>
      <c r="P39" s="17">
        <v>774.94304</v>
      </c>
      <c r="Q39" s="20">
        <v>1.0186139999999999</v>
      </c>
      <c r="R39" s="20">
        <v>2.0518510000000001</v>
      </c>
      <c r="S39" s="35">
        <v>0.55640000000000001</v>
      </c>
      <c r="T39" s="35">
        <v>0.222389</v>
      </c>
      <c r="V39" t="s">
        <v>90</v>
      </c>
      <c r="W39" s="27">
        <v>0.73328816337884639</v>
      </c>
      <c r="X39" s="17">
        <v>399.29001799999998</v>
      </c>
      <c r="Y39" s="20">
        <v>1.0186139999999999</v>
      </c>
      <c r="Z39" s="35">
        <v>0.55640000000000001</v>
      </c>
      <c r="AA39" s="27">
        <f t="shared" si="9"/>
        <v>2.017446654902848</v>
      </c>
    </row>
    <row r="40" spans="2:57" x14ac:dyDescent="0.25">
      <c r="B40" t="s">
        <v>41</v>
      </c>
      <c r="C40" s="17">
        <f>(1897546+391189)/1000</f>
        <v>2288.7350000000001</v>
      </c>
      <c r="F40" s="4"/>
      <c r="G40" s="34"/>
      <c r="H40" s="27"/>
      <c r="K40" s="17">
        <v>2288.73497670191</v>
      </c>
      <c r="L40" s="17">
        <v>1129.06</v>
      </c>
      <c r="M40" s="17">
        <v>1159.26825529712</v>
      </c>
      <c r="N40" s="19">
        <f t="shared" si="3"/>
        <v>0.49331181263589841</v>
      </c>
      <c r="O40" s="17">
        <v>353.604106</v>
      </c>
      <c r="P40" s="17">
        <v>647.39807900000005</v>
      </c>
      <c r="Q40" s="20">
        <v>1.1478660000000001</v>
      </c>
      <c r="R40" s="20">
        <v>2.0095079999999998</v>
      </c>
      <c r="S40" s="35">
        <v>0.58559099999999997</v>
      </c>
      <c r="T40" s="35">
        <v>0.190496</v>
      </c>
      <c r="V40" s="21" t="s">
        <v>41</v>
      </c>
      <c r="W40" s="27">
        <v>0.49331181263589841</v>
      </c>
      <c r="X40" s="17">
        <v>353.604106</v>
      </c>
      <c r="Y40" s="20">
        <v>1.1478660000000001</v>
      </c>
      <c r="Z40" s="35">
        <v>0.58559099999999997</v>
      </c>
      <c r="AA40" s="27"/>
    </row>
    <row r="41" spans="2:57" x14ac:dyDescent="0.25">
      <c r="F41" s="4"/>
      <c r="G41" s="34"/>
      <c r="H41" s="27"/>
      <c r="N41" s="19"/>
      <c r="O41" s="17"/>
      <c r="P41" s="17"/>
      <c r="Q41" s="20"/>
      <c r="R41" s="20"/>
      <c r="V41" s="21"/>
      <c r="W41" s="27"/>
      <c r="X41" s="17"/>
      <c r="Y41" s="20"/>
      <c r="AA41" s="27"/>
    </row>
    <row r="42" spans="2:57" s="28" customFormat="1" x14ac:dyDescent="0.25">
      <c r="B42" t="s">
        <v>57</v>
      </c>
      <c r="C42" s="17">
        <v>6197.0590000000002</v>
      </c>
      <c r="D42" s="29"/>
      <c r="E42" s="17">
        <v>13643.4</v>
      </c>
      <c r="F42" s="4">
        <f t="shared" si="6"/>
        <v>2.2015927232579195</v>
      </c>
      <c r="G42" s="34">
        <f t="shared" si="7"/>
        <v>5299.0959674103233</v>
      </c>
      <c r="H42" s="27">
        <f t="shared" si="8"/>
        <v>2.2015926742635914</v>
      </c>
      <c r="K42" s="29">
        <v>6197.0591379095895</v>
      </c>
      <c r="L42" s="29">
        <v>2406.9375</v>
      </c>
      <c r="M42" s="29">
        <v>3787.4421934397101</v>
      </c>
      <c r="N42" s="19">
        <f t="shared" si="3"/>
        <v>0.38839995656583576</v>
      </c>
      <c r="O42" s="26">
        <v>105.769133</v>
      </c>
      <c r="P42" s="26">
        <v>220.853058</v>
      </c>
      <c r="Q42" s="35">
        <v>1.2489699999999999</v>
      </c>
      <c r="R42" s="35">
        <v>2.348023</v>
      </c>
      <c r="S42" s="35">
        <v>0.62540499999999999</v>
      </c>
      <c r="T42" s="35">
        <v>0.149446</v>
      </c>
      <c r="U42" s="21"/>
      <c r="V42" s="21" t="s">
        <v>91</v>
      </c>
      <c r="W42" s="38">
        <v>0.38839995656583576</v>
      </c>
      <c r="X42" s="26">
        <v>105.769133</v>
      </c>
      <c r="Y42" s="35">
        <v>1.2489699999999999</v>
      </c>
      <c r="Z42" s="35">
        <v>0.62540499999999999</v>
      </c>
      <c r="AA42" s="27">
        <f t="shared" si="9"/>
        <v>2.2015927232579195</v>
      </c>
    </row>
    <row r="43" spans="2:57" s="28" customFormat="1" x14ac:dyDescent="0.25">
      <c r="B43" t="s">
        <v>44</v>
      </c>
      <c r="C43" s="17">
        <f>21767.371+131.184+6.419+4.694+7.387</f>
        <v>21917.055</v>
      </c>
      <c r="D43" s="29"/>
      <c r="E43" s="17">
        <v>13933.6</v>
      </c>
      <c r="F43" s="4">
        <f t="shared" si="6"/>
        <v>0.6357423476831171</v>
      </c>
      <c r="G43" s="34">
        <f t="shared" si="7"/>
        <v>4232.9568895635566</v>
      </c>
      <c r="H43" s="27">
        <f t="shared" si="8"/>
        <v>0.62429010089895531</v>
      </c>
      <c r="K43" s="29">
        <v>22319.110906830199</v>
      </c>
      <c r="L43" s="29">
        <v>6780.4324999999999</v>
      </c>
      <c r="M43" s="29">
        <v>15537.418689771099</v>
      </c>
      <c r="N43" s="19">
        <f t="shared" si="3"/>
        <v>0.30379491944390224</v>
      </c>
      <c r="O43" s="26">
        <v>215.04848799999999</v>
      </c>
      <c r="P43" s="26">
        <v>392.76545800000002</v>
      </c>
      <c r="Q43" s="35">
        <v>1.529191</v>
      </c>
      <c r="R43" s="35">
        <v>2.646865</v>
      </c>
      <c r="S43" s="35">
        <v>0.62936700000000001</v>
      </c>
      <c r="T43" s="35">
        <v>0.12698300000000001</v>
      </c>
      <c r="U43" s="21"/>
      <c r="V43" s="21" t="s">
        <v>92</v>
      </c>
      <c r="W43" s="38">
        <v>0.30379491944390224</v>
      </c>
      <c r="X43" s="26">
        <v>215.04848799999999</v>
      </c>
      <c r="Y43" s="35">
        <v>1.529191</v>
      </c>
      <c r="Z43" s="35">
        <v>0.62936700000000001</v>
      </c>
      <c r="AA43" s="27">
        <f t="shared" si="9"/>
        <v>0.6357423476831171</v>
      </c>
    </row>
    <row r="44" spans="2:57" x14ac:dyDescent="0.25">
      <c r="B44" t="s">
        <v>42</v>
      </c>
      <c r="C44" s="17">
        <f>31595.565+56.466+4.71+4.627+4.504</f>
        <v>31665.871999999999</v>
      </c>
      <c r="E44" s="17">
        <v>13944.2</v>
      </c>
      <c r="F44" s="4">
        <f t="shared" si="6"/>
        <v>0.44035420846771567</v>
      </c>
      <c r="G44" s="34">
        <f t="shared" si="7"/>
        <v>6681.5808470944357</v>
      </c>
      <c r="H44" s="27">
        <f t="shared" si="8"/>
        <v>0.42221606547567991</v>
      </c>
      <c r="K44" s="17">
        <v>33026.218422764403</v>
      </c>
      <c r="L44" s="17">
        <v>15825.0275</v>
      </c>
      <c r="M44" s="17">
        <v>17196.219231941399</v>
      </c>
      <c r="N44" s="19">
        <f t="shared" si="3"/>
        <v>0.47916559193746755</v>
      </c>
      <c r="O44" s="26">
        <v>561.00866499999995</v>
      </c>
      <c r="P44" s="26">
        <v>1028.5645030000001</v>
      </c>
      <c r="Q44" s="35">
        <v>1.2804059999999999</v>
      </c>
      <c r="R44" s="35">
        <v>2.4927730000000001</v>
      </c>
      <c r="S44" s="35">
        <v>0.48536800000000002</v>
      </c>
      <c r="T44" s="35">
        <v>0.198799</v>
      </c>
      <c r="U44" s="21"/>
      <c r="V44" s="21" t="s">
        <v>93</v>
      </c>
      <c r="W44" s="27">
        <v>0.47916559193746755</v>
      </c>
      <c r="X44" s="26">
        <v>561.00866499999995</v>
      </c>
      <c r="Y44" s="35">
        <v>1.2804059999999999</v>
      </c>
      <c r="Z44" s="35">
        <v>0.48536800000000002</v>
      </c>
      <c r="AA44" s="27">
        <f t="shared" si="9"/>
        <v>0.44035420846771567</v>
      </c>
    </row>
    <row r="45" spans="2:57" x14ac:dyDescent="0.25">
      <c r="B45" t="s">
        <v>43</v>
      </c>
      <c r="C45" s="17">
        <f>14828.028+2198.832+186.415+1550.658+735.669+660.932+148.626+228.036+81.67</f>
        <v>20618.866000000002</v>
      </c>
      <c r="E45" s="17">
        <v>11999.2</v>
      </c>
      <c r="F45" s="4">
        <f t="shared" si="6"/>
        <v>0.5819524701309956</v>
      </c>
      <c r="G45" s="34">
        <f t="shared" si="7"/>
        <v>6034.2195060376534</v>
      </c>
      <c r="H45" s="27">
        <f t="shared" si="8"/>
        <v>0.58107371043211842</v>
      </c>
      <c r="K45" s="17">
        <v>20650.0479794151</v>
      </c>
      <c r="L45" s="17">
        <v>10384.602500000001</v>
      </c>
      <c r="M45" s="17">
        <v>10263.0138444357</v>
      </c>
      <c r="N45" s="19">
        <f t="shared" si="3"/>
        <v>0.50288515117988308</v>
      </c>
      <c r="O45" s="26">
        <v>728.63867500000003</v>
      </c>
      <c r="P45" s="26">
        <v>1284.1128269999999</v>
      </c>
      <c r="Q45" s="35">
        <v>1.3209580000000001</v>
      </c>
      <c r="R45" s="35">
        <v>2.6075520000000001</v>
      </c>
      <c r="S45" s="35">
        <v>0.51193100000000002</v>
      </c>
      <c r="T45" s="35">
        <v>0.23208999999999999</v>
      </c>
      <c r="U45" s="21"/>
      <c r="V45" s="21" t="s">
        <v>94</v>
      </c>
      <c r="W45" s="27">
        <v>0.50288515117988308</v>
      </c>
      <c r="X45" s="26">
        <v>728.63867500000003</v>
      </c>
      <c r="Y45" s="35">
        <v>1.3209580000000001</v>
      </c>
      <c r="Z45" s="35">
        <v>0.51193100000000002</v>
      </c>
      <c r="AA45" s="27">
        <f t="shared" si="9"/>
        <v>0.5819524701309956</v>
      </c>
    </row>
    <row r="46" spans="2:57" x14ac:dyDescent="0.25">
      <c r="B46" t="s">
        <v>56</v>
      </c>
      <c r="C46" s="17">
        <f>21889.346+86.455+78.433+277.578+245.435+584.24+813.739+336.309+42.921</f>
        <v>24354.456000000009</v>
      </c>
      <c r="E46" s="17">
        <v>78794.600000000006</v>
      </c>
      <c r="F46" s="4">
        <f t="shared" si="6"/>
        <v>3.2353258064971757</v>
      </c>
      <c r="G46" s="34">
        <f t="shared" si="7"/>
        <v>45841.013157820918</v>
      </c>
      <c r="H46" s="27">
        <f t="shared" si="8"/>
        <v>3.2341483779397655</v>
      </c>
      <c r="K46" s="17">
        <v>24363.3225171302</v>
      </c>
      <c r="L46" s="17">
        <v>14174.06</v>
      </c>
      <c r="M46" s="17">
        <v>10174.4528899659</v>
      </c>
      <c r="N46" s="19">
        <f t="shared" si="3"/>
        <v>0.58177861373521678</v>
      </c>
      <c r="O46" s="26">
        <v>326.450627</v>
      </c>
      <c r="P46" s="26">
        <v>927.00918300000001</v>
      </c>
      <c r="Q46" s="35">
        <v>0.46896599999999999</v>
      </c>
      <c r="R46" s="35">
        <v>1.472801</v>
      </c>
      <c r="S46" s="35">
        <v>0.52100500000000005</v>
      </c>
      <c r="T46" s="35">
        <v>0.174237</v>
      </c>
      <c r="U46" s="21"/>
      <c r="V46" s="21" t="s">
        <v>95</v>
      </c>
      <c r="W46" s="27">
        <v>0.58177861373521678</v>
      </c>
      <c r="X46" s="26">
        <v>326.450627</v>
      </c>
      <c r="Y46" s="35">
        <v>0.46896599999999999</v>
      </c>
      <c r="Z46" s="35">
        <v>0.52100500000000005</v>
      </c>
      <c r="AA46" s="27">
        <f t="shared" si="9"/>
        <v>3.2353258064971757</v>
      </c>
    </row>
    <row r="47" spans="2:57" x14ac:dyDescent="0.25">
      <c r="B47" t="s">
        <v>55</v>
      </c>
      <c r="C47" s="17">
        <f>29965.289+12.769+126.969</f>
        <v>30105.027000000002</v>
      </c>
      <c r="E47" s="17">
        <v>68561.8</v>
      </c>
      <c r="F47" s="4">
        <f t="shared" si="6"/>
        <v>2.2774203125610883</v>
      </c>
      <c r="G47" s="34">
        <f t="shared" si="7"/>
        <v>40787.589610524796</v>
      </c>
      <c r="H47" s="27">
        <f t="shared" si="8"/>
        <v>2.2145711599549291</v>
      </c>
      <c r="K47" s="17">
        <v>30959.4025424748</v>
      </c>
      <c r="L47" s="17">
        <v>18417.827499999999</v>
      </c>
      <c r="M47" s="17">
        <v>12521.1040818357</v>
      </c>
      <c r="N47" s="19">
        <f t="shared" si="3"/>
        <v>0.59490254938646292</v>
      </c>
      <c r="O47" s="26">
        <v>113.397582</v>
      </c>
      <c r="P47" s="26">
        <v>318.71182599999997</v>
      </c>
      <c r="Q47" s="35">
        <v>0.55122700000000002</v>
      </c>
      <c r="R47" s="35">
        <v>1.503733</v>
      </c>
      <c r="S47" s="35">
        <v>0.506884</v>
      </c>
      <c r="T47" s="35">
        <v>0.19090699999999999</v>
      </c>
      <c r="U47" s="21"/>
      <c r="V47" s="21" t="s">
        <v>96</v>
      </c>
      <c r="W47" s="27">
        <v>0.59490254938646292</v>
      </c>
      <c r="X47" s="26">
        <v>113.397582</v>
      </c>
      <c r="Y47" s="35">
        <v>0.55122700000000002</v>
      </c>
      <c r="Z47" s="35">
        <v>0.506884</v>
      </c>
      <c r="AA47" s="27">
        <f t="shared" si="9"/>
        <v>2.2774203125610883</v>
      </c>
    </row>
    <row r="48" spans="2:57" x14ac:dyDescent="0.25">
      <c r="K48" s="17"/>
      <c r="L48" s="17"/>
      <c r="M48" s="17"/>
      <c r="N48" s="19"/>
      <c r="O48" s="17"/>
      <c r="P48" s="17"/>
      <c r="Q48" s="20"/>
      <c r="R48" s="20"/>
      <c r="V48" s="21"/>
    </row>
    <row r="49" spans="1:30" x14ac:dyDescent="0.25">
      <c r="B49" t="s">
        <v>53</v>
      </c>
      <c r="L49" s="17">
        <v>14349.51</v>
      </c>
      <c r="O49" s="17">
        <v>964.12917900000002</v>
      </c>
      <c r="P49" s="17">
        <v>1729.408015</v>
      </c>
      <c r="Q49" s="20">
        <v>0.41951899999999998</v>
      </c>
      <c r="R49" s="20">
        <v>1.11608</v>
      </c>
      <c r="S49" s="20">
        <v>0.41951899999999998</v>
      </c>
      <c r="T49" s="20">
        <v>1.11608</v>
      </c>
      <c r="V49" s="21"/>
    </row>
    <row r="50" spans="1:30" x14ac:dyDescent="0.25">
      <c r="B50" t="s">
        <v>54</v>
      </c>
      <c r="L50" s="17">
        <v>1540.7175</v>
      </c>
      <c r="O50" s="17">
        <v>1923.412243</v>
      </c>
      <c r="P50" s="17">
        <v>2221.1950179999999</v>
      </c>
      <c r="Q50" s="20">
        <v>0.474219</v>
      </c>
      <c r="R50" s="20">
        <v>1.23675</v>
      </c>
      <c r="S50" s="20">
        <v>0.56081599999999998</v>
      </c>
      <c r="T50" s="20">
        <v>0.210151</v>
      </c>
      <c r="V50" s="21"/>
      <c r="Y50" t="s">
        <v>69</v>
      </c>
      <c r="AD50" t="s">
        <v>67</v>
      </c>
    </row>
    <row r="51" spans="1:30" x14ac:dyDescent="0.25">
      <c r="V51" s="21"/>
      <c r="Y51" t="s">
        <v>65</v>
      </c>
      <c r="Z51">
        <v>0.05</v>
      </c>
      <c r="AA51">
        <v>0.01</v>
      </c>
      <c r="AD51" t="s">
        <v>68</v>
      </c>
    </row>
    <row r="52" spans="1:30" x14ac:dyDescent="0.25">
      <c r="B52" t="s">
        <v>97</v>
      </c>
      <c r="E52" s="17">
        <f>SUM(E8:E47)</f>
        <v>248237.2</v>
      </c>
      <c r="F52" s="27">
        <f>E52/K52</f>
        <v>1.2539864420806606</v>
      </c>
      <c r="K52" s="17">
        <f>SUM(K8:K47)</f>
        <v>197958.44011528202</v>
      </c>
      <c r="L52" s="17">
        <f>SUM(L8:L47)</f>
        <v>109860.50249999999</v>
      </c>
      <c r="N52" s="19">
        <f t="shared" ref="N52" si="11">L52/K52</f>
        <v>0.55496750952382834</v>
      </c>
      <c r="Y52" t="s">
        <v>64</v>
      </c>
      <c r="Z52" s="20">
        <f>0.602*0.602</f>
        <v>0.36240399999999995</v>
      </c>
      <c r="AA52" s="20">
        <f>0.735*0.735</f>
        <v>0.54022499999999996</v>
      </c>
    </row>
    <row r="53" spans="1:30" x14ac:dyDescent="0.25">
      <c r="Y53" t="s">
        <v>82</v>
      </c>
      <c r="Z53">
        <f>SQRT(Z52)</f>
        <v>0.60199999999999998</v>
      </c>
      <c r="AA53">
        <f>SQRT(AA52)</f>
        <v>0.73499999999999999</v>
      </c>
    </row>
    <row r="56" spans="1:30" s="15" customFormat="1" x14ac:dyDescent="0.25">
      <c r="B56" s="83" t="s">
        <v>126</v>
      </c>
      <c r="C56" s="84" t="s">
        <v>129</v>
      </c>
      <c r="D56" s="84" t="s">
        <v>130</v>
      </c>
      <c r="E56" s="84" t="s">
        <v>131</v>
      </c>
      <c r="F56" s="15" t="s">
        <v>132</v>
      </c>
      <c r="G56" s="15" t="s">
        <v>133</v>
      </c>
      <c r="H56" s="15" t="s">
        <v>136</v>
      </c>
      <c r="I56" s="15" t="s">
        <v>162</v>
      </c>
      <c r="J56" s="15" t="s">
        <v>163</v>
      </c>
      <c r="K56" s="15" t="s">
        <v>164</v>
      </c>
      <c r="M56" s="87"/>
      <c r="N56" s="87"/>
      <c r="O56" s="87"/>
      <c r="P56" s="87"/>
      <c r="Q56" s="87"/>
      <c r="R56" s="87"/>
      <c r="S56" s="87"/>
    </row>
    <row r="57" spans="1:30" x14ac:dyDescent="0.25">
      <c r="A57">
        <v>1</v>
      </c>
      <c r="B57" t="s">
        <v>62</v>
      </c>
      <c r="C57" s="17">
        <v>1708</v>
      </c>
      <c r="D57" s="17">
        <v>2140</v>
      </c>
      <c r="E57" s="17">
        <v>2131.95712483024</v>
      </c>
      <c r="F57" s="27">
        <f>C57/E57</f>
        <v>0.80114181477078339</v>
      </c>
      <c r="G57" s="27">
        <f>D57/E57</f>
        <v>1.0037725313872812</v>
      </c>
      <c r="H57" s="20">
        <f>E57/E$70</f>
        <v>1.4672213399870742E-2</v>
      </c>
      <c r="I57" s="27">
        <v>0.92590316023714692</v>
      </c>
      <c r="J57" s="27">
        <f>F57/I57</f>
        <v>0.86525443391465584</v>
      </c>
      <c r="K57" s="27">
        <f>G57/I57</f>
        <v>1.0841009886284327</v>
      </c>
    </row>
    <row r="58" spans="1:30" x14ac:dyDescent="0.25">
      <c r="A58">
        <v>2</v>
      </c>
      <c r="B58" t="s">
        <v>58</v>
      </c>
      <c r="C58" s="17">
        <v>2342.4</v>
      </c>
      <c r="D58" s="17">
        <v>2434</v>
      </c>
      <c r="E58" s="17">
        <v>1142.9793070016699</v>
      </c>
      <c r="F58" s="27">
        <f t="shared" ref="F58:F69" si="12">C58/E58</f>
        <v>2.0493809342399389</v>
      </c>
      <c r="G58" s="27">
        <f t="shared" ref="G58:G69" si="13">D58/E58</f>
        <v>2.1295223676314938</v>
      </c>
      <c r="H58" s="20">
        <f t="shared" ref="H58:H69" si="14">E58/E$70</f>
        <v>7.8660288749006681E-3</v>
      </c>
      <c r="I58" s="27">
        <v>0.59577626518343529</v>
      </c>
      <c r="J58" s="27">
        <f t="shared" ref="J58:J69" si="15">F58/I58</f>
        <v>3.4398499134720466</v>
      </c>
      <c r="K58" s="27">
        <f t="shared" ref="K58:K69" si="16">G58/I58</f>
        <v>3.5743659022331631</v>
      </c>
    </row>
    <row r="59" spans="1:30" x14ac:dyDescent="0.25">
      <c r="A59">
        <v>3</v>
      </c>
      <c r="B59" t="s">
        <v>59</v>
      </c>
      <c r="C59" s="17">
        <v>2351.4</v>
      </c>
      <c r="D59" s="17">
        <v>2391</v>
      </c>
      <c r="E59" s="17">
        <v>1192.42865785611</v>
      </c>
      <c r="F59" s="27">
        <f t="shared" si="12"/>
        <v>1.9719418721683748</v>
      </c>
      <c r="G59" s="27">
        <f t="shared" si="13"/>
        <v>2.0051514061217079</v>
      </c>
      <c r="H59" s="20">
        <f t="shared" si="14"/>
        <v>8.2063412666328415E-3</v>
      </c>
      <c r="I59" s="27">
        <v>0.61340385579527024</v>
      </c>
      <c r="J59" s="27">
        <f t="shared" si="15"/>
        <v>3.2147529780551793</v>
      </c>
      <c r="K59" s="27">
        <f t="shared" si="16"/>
        <v>3.2688927322148227</v>
      </c>
    </row>
    <row r="60" spans="1:30" x14ac:dyDescent="0.25">
      <c r="A60">
        <v>4</v>
      </c>
      <c r="B60" t="s">
        <v>60</v>
      </c>
      <c r="C60" s="17">
        <v>3001.2</v>
      </c>
      <c r="D60" s="17">
        <v>3383</v>
      </c>
      <c r="E60" s="17">
        <v>1735.88034905686</v>
      </c>
      <c r="F60" s="27">
        <f t="shared" si="12"/>
        <v>1.7289210063531246</v>
      </c>
      <c r="G60" s="27">
        <f t="shared" si="13"/>
        <v>1.9488670413476681</v>
      </c>
      <c r="H60" s="20">
        <f t="shared" si="14"/>
        <v>1.1946397336687708E-2</v>
      </c>
      <c r="I60" s="27">
        <v>0.80716776072103658</v>
      </c>
      <c r="J60" s="27">
        <f t="shared" si="15"/>
        <v>2.1419599375583251</v>
      </c>
      <c r="K60" s="27">
        <f t="shared" si="16"/>
        <v>2.4144510425029373</v>
      </c>
    </row>
    <row r="61" spans="1:30" x14ac:dyDescent="0.25">
      <c r="A61">
        <v>5</v>
      </c>
      <c r="B61" t="s">
        <v>61</v>
      </c>
      <c r="C61" s="17">
        <v>3202.4</v>
      </c>
      <c r="D61" s="17">
        <v>3318</v>
      </c>
      <c r="E61" s="17">
        <v>1587.3534554772798</v>
      </c>
      <c r="F61" s="27">
        <f t="shared" si="12"/>
        <v>2.0174460760140618</v>
      </c>
      <c r="G61" s="27">
        <f t="shared" si="13"/>
        <v>2.0902716962948591</v>
      </c>
      <c r="H61" s="20">
        <f t="shared" si="14"/>
        <v>1.092422937053172E-2</v>
      </c>
      <c r="I61" s="27">
        <v>0.68699149250402924</v>
      </c>
      <c r="J61" s="27">
        <f t="shared" si="15"/>
        <v>2.9366390967384932</v>
      </c>
      <c r="K61" s="27">
        <f t="shared" si="16"/>
        <v>3.0426456791713465</v>
      </c>
    </row>
    <row r="62" spans="1:30" s="73" customFormat="1" x14ac:dyDescent="0.25">
      <c r="B62" s="73" t="s">
        <v>41</v>
      </c>
      <c r="C62" s="75"/>
      <c r="D62" s="75"/>
      <c r="E62" s="75">
        <v>2288.73497670191</v>
      </c>
      <c r="F62" s="27"/>
      <c r="G62" s="27"/>
      <c r="H62" s="20"/>
      <c r="I62" s="88">
        <v>0.6469629480820005</v>
      </c>
      <c r="J62" s="27">
        <f t="shared" si="15"/>
        <v>0</v>
      </c>
      <c r="K62" s="27">
        <f t="shared" si="16"/>
        <v>0</v>
      </c>
    </row>
    <row r="63" spans="1:30" s="73" customFormat="1" x14ac:dyDescent="0.25">
      <c r="A63" s="73">
        <v>6</v>
      </c>
      <c r="B63" s="73" t="s">
        <v>128</v>
      </c>
      <c r="C63" s="75">
        <v>12605.4</v>
      </c>
      <c r="D63" s="75">
        <v>13140</v>
      </c>
      <c r="E63" s="75">
        <f>SUM(E57:E61)</f>
        <v>7790.5988942221593</v>
      </c>
      <c r="F63" s="88">
        <f t="shared" si="12"/>
        <v>1.6180270825326024</v>
      </c>
      <c r="G63" s="88">
        <f t="shared" si="13"/>
        <v>1.6866482511049548</v>
      </c>
      <c r="H63" s="20"/>
      <c r="I63" s="88"/>
      <c r="J63" s="27"/>
      <c r="K63" s="27"/>
    </row>
    <row r="64" spans="1:30" x14ac:dyDescent="0.25">
      <c r="A64">
        <v>7</v>
      </c>
      <c r="B64" t="s">
        <v>127</v>
      </c>
      <c r="C64" s="17">
        <v>13643.4</v>
      </c>
      <c r="D64" s="17">
        <v>13965</v>
      </c>
      <c r="E64" s="29">
        <v>6197.0591379095895</v>
      </c>
      <c r="F64" s="27">
        <f t="shared" si="12"/>
        <v>2.2015926742635914</v>
      </c>
      <c r="G64" s="27">
        <f t="shared" si="13"/>
        <v>2.2534882577723336</v>
      </c>
      <c r="H64" s="20">
        <f t="shared" si="14"/>
        <v>4.2648406510646178E-2</v>
      </c>
      <c r="I64" s="27">
        <v>0.92925706922424933</v>
      </c>
      <c r="J64" s="27">
        <f t="shared" si="15"/>
        <v>2.3691965842148472</v>
      </c>
      <c r="K64" s="27">
        <f t="shared" si="16"/>
        <v>2.4250428997581501</v>
      </c>
      <c r="M64" s="21"/>
      <c r="N64" s="21"/>
      <c r="O64" s="21"/>
      <c r="P64" s="21"/>
      <c r="Q64" s="21"/>
      <c r="R64" s="21"/>
      <c r="S64" s="21"/>
    </row>
    <row r="65" spans="1:19" x14ac:dyDescent="0.25">
      <c r="A65">
        <v>8</v>
      </c>
      <c r="B65" t="s">
        <v>44</v>
      </c>
      <c r="C65" s="17">
        <v>13933.6</v>
      </c>
      <c r="D65" s="17">
        <v>14143</v>
      </c>
      <c r="E65" s="29">
        <v>22319.110906830199</v>
      </c>
      <c r="F65" s="27">
        <f t="shared" si="12"/>
        <v>0.62429010089895531</v>
      </c>
      <c r="G65" s="27">
        <f t="shared" si="13"/>
        <v>0.63367219505468264</v>
      </c>
      <c r="H65" s="20">
        <f t="shared" si="14"/>
        <v>0.15360100552982303</v>
      </c>
      <c r="I65" s="27">
        <v>0.85705277568673255</v>
      </c>
      <c r="J65" s="27">
        <f t="shared" si="15"/>
        <v>0.72841500384702562</v>
      </c>
      <c r="K65" s="27">
        <f t="shared" si="16"/>
        <v>0.73936193082968404</v>
      </c>
      <c r="M65" s="21"/>
      <c r="N65" s="21"/>
      <c r="O65" s="21"/>
      <c r="P65" s="21"/>
      <c r="Q65" s="21"/>
      <c r="R65" s="21"/>
      <c r="S65" s="21"/>
    </row>
    <row r="66" spans="1:19" x14ac:dyDescent="0.25">
      <c r="A66">
        <v>9</v>
      </c>
      <c r="B66" t="s">
        <v>42</v>
      </c>
      <c r="C66" s="17">
        <v>13944.2</v>
      </c>
      <c r="D66" s="17">
        <v>15661</v>
      </c>
      <c r="E66" s="17">
        <v>33026.218422764403</v>
      </c>
      <c r="F66" s="27">
        <f t="shared" si="12"/>
        <v>0.42221606547567991</v>
      </c>
      <c r="G66" s="27">
        <f t="shared" si="13"/>
        <v>0.47419900757408978</v>
      </c>
      <c r="H66" s="20">
        <f t="shared" si="14"/>
        <v>0.22728774366329069</v>
      </c>
      <c r="I66" s="27">
        <v>0.54428481596162404</v>
      </c>
      <c r="J66" s="27">
        <f t="shared" si="15"/>
        <v>0.77572633498827781</v>
      </c>
      <c r="K66" s="27">
        <f t="shared" si="16"/>
        <v>0.87123321038506463</v>
      </c>
      <c r="M66" s="21"/>
      <c r="N66" s="21"/>
      <c r="O66" s="21"/>
      <c r="P66" s="21"/>
      <c r="Q66" s="21"/>
      <c r="R66" s="21"/>
      <c r="S66" s="21"/>
    </row>
    <row r="67" spans="1:19" x14ac:dyDescent="0.25">
      <c r="A67">
        <v>10</v>
      </c>
      <c r="B67" t="s">
        <v>43</v>
      </c>
      <c r="C67" s="17">
        <v>11999.2</v>
      </c>
      <c r="D67" s="17">
        <v>12715</v>
      </c>
      <c r="E67" s="17">
        <v>20650.0479794151</v>
      </c>
      <c r="F67" s="27">
        <f t="shared" si="12"/>
        <v>0.58107371043211842</v>
      </c>
      <c r="G67" s="27">
        <f t="shared" si="13"/>
        <v>0.6157370681499087</v>
      </c>
      <c r="H67" s="20">
        <f t="shared" si="14"/>
        <v>0.14211444833613776</v>
      </c>
      <c r="I67" s="27">
        <v>0.38100216083740246</v>
      </c>
      <c r="J67" s="27">
        <f t="shared" si="15"/>
        <v>1.5251191992060618</v>
      </c>
      <c r="K67" s="27">
        <f t="shared" si="16"/>
        <v>1.6160986247337383</v>
      </c>
      <c r="M67" s="21"/>
      <c r="N67" s="21"/>
      <c r="O67" s="21"/>
      <c r="P67" s="21"/>
      <c r="Q67" s="21"/>
      <c r="R67" s="21"/>
      <c r="S67" s="21"/>
    </row>
    <row r="68" spans="1:19" x14ac:dyDescent="0.25">
      <c r="A68">
        <v>11</v>
      </c>
      <c r="B68" t="s">
        <v>56</v>
      </c>
      <c r="C68" s="17">
        <v>78794.600000000006</v>
      </c>
      <c r="D68" s="17">
        <v>104702</v>
      </c>
      <c r="E68" s="17">
        <v>24363.3225171302</v>
      </c>
      <c r="F68" s="27">
        <f t="shared" si="12"/>
        <v>3.2341483779397655</v>
      </c>
      <c r="G68" s="27">
        <f t="shared" si="13"/>
        <v>4.2975255089441324</v>
      </c>
      <c r="H68" s="20">
        <f t="shared" si="14"/>
        <v>0.16766935082227502</v>
      </c>
      <c r="I68" s="27">
        <v>0.70572822757166365</v>
      </c>
      <c r="J68" s="27">
        <f t="shared" si="15"/>
        <v>4.5827108107438592</v>
      </c>
      <c r="K68" s="27">
        <f t="shared" si="16"/>
        <v>6.0894907431029992</v>
      </c>
      <c r="M68" s="21"/>
      <c r="N68" s="21"/>
      <c r="O68" s="21"/>
      <c r="P68" s="21"/>
      <c r="Q68" s="21"/>
      <c r="R68" s="21"/>
      <c r="S68" s="21"/>
    </row>
    <row r="69" spans="1:19" x14ac:dyDescent="0.25">
      <c r="A69">
        <v>12</v>
      </c>
      <c r="B69" t="s">
        <v>55</v>
      </c>
      <c r="C69" s="17">
        <v>68561.8</v>
      </c>
      <c r="D69" s="17">
        <v>87948</v>
      </c>
      <c r="E69" s="17">
        <v>30959.4025424748</v>
      </c>
      <c r="F69" s="27">
        <f t="shared" si="12"/>
        <v>2.2145711599549291</v>
      </c>
      <c r="G69" s="27">
        <f t="shared" si="13"/>
        <v>2.8407524944752924</v>
      </c>
      <c r="H69" s="20">
        <f t="shared" si="14"/>
        <v>0.21306383488920341</v>
      </c>
      <c r="I69" s="27">
        <v>0.93515451993767784</v>
      </c>
      <c r="J69" s="27">
        <f t="shared" si="15"/>
        <v>2.3681339422949228</v>
      </c>
      <c r="K69" s="27">
        <f t="shared" si="16"/>
        <v>3.03773593979379</v>
      </c>
      <c r="M69" s="21"/>
      <c r="N69" s="21"/>
      <c r="O69" s="21"/>
      <c r="P69" s="21"/>
      <c r="Q69" s="21"/>
      <c r="R69" s="21"/>
      <c r="S69" s="21"/>
    </row>
    <row r="70" spans="1:19" x14ac:dyDescent="0.25">
      <c r="D70" s="85" t="s">
        <v>137</v>
      </c>
      <c r="E70" s="17">
        <f>SUM(E57:E61)+SUM(E64:E69)</f>
        <v>145305.76040074648</v>
      </c>
      <c r="J70" s="27"/>
    </row>
    <row r="71" spans="1:19" x14ac:dyDescent="0.25">
      <c r="F71" s="10" t="s">
        <v>138</v>
      </c>
    </row>
  </sheetData>
  <sortState xmlns:xlrd2="http://schemas.microsoft.com/office/spreadsheetml/2017/richdata2" ref="A57:BF69">
    <sortCondition ref="A57:A69"/>
  </sortState>
  <mergeCells count="1">
    <mergeCell ref="P2:V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28AE9-660D-4C93-9498-02BA502EB314}">
  <dimension ref="A1:AC41"/>
  <sheetViews>
    <sheetView topLeftCell="A6" workbookViewId="0">
      <selection activeCell="W7" sqref="W7"/>
    </sheetView>
  </sheetViews>
  <sheetFormatPr defaultRowHeight="15" x14ac:dyDescent="0.25"/>
  <cols>
    <col min="2" max="2" width="21.5703125" customWidth="1"/>
    <col min="25" max="25" width="12" bestFit="1" customWidth="1"/>
  </cols>
  <sheetData>
    <row r="1" spans="1:24" ht="18.75" x14ac:dyDescent="0.3">
      <c r="A1" s="7" t="s">
        <v>118</v>
      </c>
    </row>
    <row r="2" spans="1:24" x14ac:dyDescent="0.25">
      <c r="A2" t="s">
        <v>119</v>
      </c>
    </row>
    <row r="3" spans="1:24" x14ac:dyDescent="0.25">
      <c r="A3" t="s">
        <v>120</v>
      </c>
    </row>
    <row r="5" spans="1:24" x14ac:dyDescent="0.25">
      <c r="O5" s="111" t="s">
        <v>124</v>
      </c>
      <c r="P5" s="111"/>
      <c r="Q5" s="111"/>
      <c r="R5" s="66"/>
      <c r="S5" s="66"/>
      <c r="T5" s="66"/>
      <c r="U5" s="66"/>
      <c r="V5" s="66"/>
      <c r="W5" s="66"/>
      <c r="X5" s="48" t="s">
        <v>101</v>
      </c>
    </row>
    <row r="6" spans="1:24" x14ac:dyDescent="0.25">
      <c r="B6" s="1" t="s">
        <v>32</v>
      </c>
      <c r="C6" s="30"/>
      <c r="D6" s="31" t="s">
        <v>33</v>
      </c>
      <c r="E6" s="30"/>
      <c r="F6" s="9"/>
      <c r="G6" s="9"/>
      <c r="H6" s="9"/>
      <c r="I6" s="9"/>
      <c r="J6" s="16"/>
      <c r="K6" s="18" t="s">
        <v>37</v>
      </c>
      <c r="L6" s="16"/>
      <c r="M6" s="112" t="s">
        <v>121</v>
      </c>
      <c r="N6" s="112"/>
      <c r="O6" s="111"/>
      <c r="P6" s="111"/>
      <c r="Q6" s="111"/>
      <c r="R6" s="64"/>
      <c r="S6" s="64"/>
      <c r="T6" s="64"/>
      <c r="U6" s="64"/>
      <c r="V6" s="64"/>
      <c r="W6" s="65"/>
    </row>
    <row r="7" spans="1:24" ht="45" x14ac:dyDescent="0.25">
      <c r="A7" s="1" t="s">
        <v>70</v>
      </c>
      <c r="B7" s="41" t="s">
        <v>75</v>
      </c>
      <c r="C7" s="32" t="s">
        <v>0</v>
      </c>
      <c r="D7" s="32" t="s">
        <v>1</v>
      </c>
      <c r="E7" s="32" t="s">
        <v>2</v>
      </c>
      <c r="F7" s="2" t="s">
        <v>3</v>
      </c>
      <c r="G7" s="11" t="s">
        <v>36</v>
      </c>
      <c r="H7" s="13" t="s">
        <v>35</v>
      </c>
      <c r="I7" s="13" t="s">
        <v>34</v>
      </c>
      <c r="J7" s="11" t="s">
        <v>38</v>
      </c>
      <c r="K7" s="11" t="s">
        <v>39</v>
      </c>
      <c r="L7" s="11" t="s">
        <v>40</v>
      </c>
      <c r="M7" s="11" t="s">
        <v>99</v>
      </c>
      <c r="N7" s="11" t="s">
        <v>52</v>
      </c>
      <c r="O7" s="80" t="s">
        <v>116</v>
      </c>
      <c r="P7" s="78" t="s">
        <v>122</v>
      </c>
      <c r="Q7" s="78" t="s">
        <v>123</v>
      </c>
      <c r="R7" s="67" t="s">
        <v>98</v>
      </c>
      <c r="S7" s="11" t="s">
        <v>161</v>
      </c>
      <c r="T7" s="11" t="s">
        <v>158</v>
      </c>
      <c r="U7" s="11" t="s">
        <v>159</v>
      </c>
      <c r="V7" s="11" t="s">
        <v>158</v>
      </c>
      <c r="W7" s="11"/>
    </row>
    <row r="8" spans="1:24" s="21" customFormat="1" x14ac:dyDescent="0.25">
      <c r="A8" s="50" t="s">
        <v>71</v>
      </c>
      <c r="B8" s="51" t="s">
        <v>4</v>
      </c>
      <c r="C8" s="52">
        <v>6987</v>
      </c>
      <c r="D8" s="52">
        <v>3500</v>
      </c>
      <c r="E8" s="52">
        <v>3500</v>
      </c>
      <c r="F8" s="53">
        <f>E8/C8</f>
        <v>0.50093029912695008</v>
      </c>
      <c r="G8" s="21">
        <v>55.6</v>
      </c>
      <c r="H8" s="54">
        <v>24.8</v>
      </c>
      <c r="I8" s="54">
        <v>80.400000000000006</v>
      </c>
      <c r="J8" s="26">
        <v>7067.1820826206595</v>
      </c>
      <c r="K8" s="26">
        <v>5119.0874999999996</v>
      </c>
      <c r="L8" s="26">
        <v>1941.28425531431</v>
      </c>
      <c r="M8" s="26">
        <v>80.400000000000006</v>
      </c>
      <c r="N8" s="55">
        <f>K8/J8</f>
        <v>0.72434634344410931</v>
      </c>
      <c r="O8" s="81">
        <v>363.54312199999998</v>
      </c>
      <c r="P8" s="79">
        <v>0.49355399999999999</v>
      </c>
      <c r="Q8" s="79">
        <v>0.55532599999999999</v>
      </c>
      <c r="R8" s="68">
        <f>D8/C8</f>
        <v>0.50093029912695008</v>
      </c>
      <c r="S8" s="56">
        <f>1.0759*EXP(-0.001*O8)</f>
        <v>0.74797509173451859</v>
      </c>
      <c r="T8" s="56">
        <f>(R8-S8)*(R8-S8)/S8</f>
        <v>8.1595136293894824E-2</v>
      </c>
      <c r="U8" s="56">
        <f>1.0111*EXP(-0.001*O8)</f>
        <v>0.702925564878494</v>
      </c>
      <c r="V8" s="56">
        <f>(R8-U8)*(R8-U8)/U8</f>
        <v>5.8046099650806982E-2</v>
      </c>
      <c r="W8" s="56"/>
    </row>
    <row r="9" spans="1:24" s="21" customFormat="1" x14ac:dyDescent="0.25">
      <c r="A9" s="50" t="s">
        <v>71</v>
      </c>
      <c r="B9" s="51" t="s">
        <v>5</v>
      </c>
      <c r="C9" s="52">
        <v>2421</v>
      </c>
      <c r="D9" s="52">
        <v>1500</v>
      </c>
      <c r="E9" s="52">
        <v>2000</v>
      </c>
      <c r="F9" s="53">
        <f t="shared" ref="F9:F31" si="0">E9/C9</f>
        <v>0.82610491532424613</v>
      </c>
      <c r="G9" s="21">
        <v>46.2</v>
      </c>
      <c r="H9" s="54">
        <v>44.699999999999996</v>
      </c>
      <c r="I9" s="54">
        <v>90.9</v>
      </c>
      <c r="J9" s="26">
        <v>2432.5250894385499</v>
      </c>
      <c r="K9" s="26">
        <v>659.69</v>
      </c>
      <c r="L9" s="26">
        <v>1772.9398744748098</v>
      </c>
      <c r="M9" s="26">
        <v>90.9</v>
      </c>
      <c r="N9" s="55">
        <f t="shared" ref="N9:N31" si="1">K9/J9</f>
        <v>0.27119555841961029</v>
      </c>
      <c r="O9" s="81">
        <v>437.05674599999998</v>
      </c>
      <c r="P9" s="79">
        <v>0.22640199999999999</v>
      </c>
      <c r="Q9" s="79">
        <v>0.58855100000000005</v>
      </c>
      <c r="R9" s="68">
        <f t="shared" ref="R9:R31" si="2">D9/C9</f>
        <v>0.61957868649318459</v>
      </c>
      <c r="S9" s="56">
        <f t="shared" ref="S9:S31" si="3">1.0759*EXP(-0.001*O9)</f>
        <v>0.69496122566603291</v>
      </c>
      <c r="T9" s="56">
        <f t="shared" ref="T9:T31" si="4">(R9-S9)*(R9-S9)/S9</f>
        <v>8.1767543314377345E-3</v>
      </c>
      <c r="U9" s="56">
        <f t="shared" ref="U9:U31" si="5">1.0111*EXP(-0.001*O9)</f>
        <v>0.65310465217113656</v>
      </c>
      <c r="V9" s="56">
        <f t="shared" ref="V9:V31" si="6">(R9-U9)*(R9-U9)/U9</f>
        <v>1.7209958172900715E-3</v>
      </c>
      <c r="W9" s="56"/>
    </row>
    <row r="10" spans="1:24" s="21" customFormat="1" x14ac:dyDescent="0.25">
      <c r="A10" s="50" t="s">
        <v>72</v>
      </c>
      <c r="B10" s="51" t="s">
        <v>6</v>
      </c>
      <c r="C10" s="52">
        <v>651</v>
      </c>
      <c r="D10" s="57">
        <v>60</v>
      </c>
      <c r="E10" s="52">
        <v>60</v>
      </c>
      <c r="F10" s="53">
        <f t="shared" si="0"/>
        <v>9.2165898617511524E-2</v>
      </c>
      <c r="G10" s="21">
        <v>48.4</v>
      </c>
      <c r="H10" s="54">
        <v>31.400000000000002</v>
      </c>
      <c r="I10" s="54">
        <v>79.8</v>
      </c>
      <c r="J10" s="26">
        <v>654.32788413061598</v>
      </c>
      <c r="K10" s="26">
        <v>603.52499999999998</v>
      </c>
      <c r="L10" s="26">
        <v>50.185327397918002</v>
      </c>
      <c r="M10" s="26">
        <v>79.8</v>
      </c>
      <c r="N10" s="55">
        <f t="shared" si="1"/>
        <v>0.92235867466031018</v>
      </c>
      <c r="O10" s="81">
        <v>573.36805600000002</v>
      </c>
      <c r="P10" s="79">
        <v>0.36322100000000002</v>
      </c>
      <c r="Q10" s="79">
        <v>0.53214600000000001</v>
      </c>
      <c r="R10" s="68">
        <f t="shared" si="2"/>
        <v>9.2165898617511524E-2</v>
      </c>
      <c r="S10" s="56">
        <f t="shared" si="3"/>
        <v>0.60640297698966716</v>
      </c>
      <c r="T10" s="68">
        <f t="shared" si="4"/>
        <v>0.4360792786431793</v>
      </c>
      <c r="U10" s="56">
        <f t="shared" si="5"/>
        <v>0.56988014688563304</v>
      </c>
      <c r="V10" s="68">
        <f t="shared" si="6"/>
        <v>0.40045420821472344</v>
      </c>
      <c r="W10" s="56"/>
    </row>
    <row r="11" spans="1:24" s="21" customFormat="1" x14ac:dyDescent="0.25">
      <c r="A11" s="50" t="s">
        <v>73</v>
      </c>
      <c r="B11" s="51" t="s">
        <v>7</v>
      </c>
      <c r="C11" s="52">
        <v>448</v>
      </c>
      <c r="D11" s="52">
        <v>240</v>
      </c>
      <c r="E11" s="52">
        <v>240</v>
      </c>
      <c r="F11" s="53">
        <f t="shared" si="0"/>
        <v>0.5357142857142857</v>
      </c>
      <c r="G11" s="21">
        <v>32.799999999999997</v>
      </c>
      <c r="H11" s="54">
        <v>58.3</v>
      </c>
      <c r="I11" s="54">
        <v>91.1</v>
      </c>
      <c r="J11" s="26">
        <v>449.12977029048403</v>
      </c>
      <c r="K11" s="26">
        <v>51.237499999999997</v>
      </c>
      <c r="L11" s="26">
        <v>398.14339059047001</v>
      </c>
      <c r="M11" s="26">
        <v>91.1</v>
      </c>
      <c r="N11" s="55">
        <f t="shared" si="1"/>
        <v>0.11408172735212159</v>
      </c>
      <c r="O11" s="81">
        <v>381.67135500000001</v>
      </c>
      <c r="P11" s="79">
        <v>8.9997999999999995E-2</v>
      </c>
      <c r="Q11" s="79">
        <v>0.61269499999999999</v>
      </c>
      <c r="R11" s="68">
        <f t="shared" si="2"/>
        <v>0.5357142857142857</v>
      </c>
      <c r="S11" s="56">
        <f t="shared" si="3"/>
        <v>0.73453779025229349</v>
      </c>
      <c r="T11" s="56">
        <f t="shared" si="4"/>
        <v>5.3817225582359039E-2</v>
      </c>
      <c r="U11" s="56">
        <f t="shared" si="5"/>
        <v>0.69029757386754709</v>
      </c>
      <c r="V11" s="56">
        <f t="shared" si="6"/>
        <v>3.4616944750930502E-2</v>
      </c>
      <c r="W11" s="56"/>
    </row>
    <row r="12" spans="1:24" s="21" customFormat="1" x14ac:dyDescent="0.25">
      <c r="A12" s="50" t="s">
        <v>73</v>
      </c>
      <c r="B12" s="51" t="s">
        <v>8</v>
      </c>
      <c r="C12" s="52">
        <v>401</v>
      </c>
      <c r="D12" s="57">
        <v>525</v>
      </c>
      <c r="E12" s="52">
        <v>500</v>
      </c>
      <c r="F12" s="53">
        <f t="shared" si="0"/>
        <v>1.2468827930174564</v>
      </c>
      <c r="G12" s="21">
        <v>60.9</v>
      </c>
      <c r="H12" s="54">
        <v>33.700000000000003</v>
      </c>
      <c r="I12" s="54">
        <v>94.6</v>
      </c>
      <c r="J12" s="26">
        <v>417.40392587815603</v>
      </c>
      <c r="K12" s="26">
        <v>213.095</v>
      </c>
      <c r="L12" s="26">
        <v>204.17903232554599</v>
      </c>
      <c r="M12" s="26">
        <v>94.6</v>
      </c>
      <c r="N12" s="55">
        <f t="shared" si="1"/>
        <v>0.51052466636886484</v>
      </c>
      <c r="O12" s="81">
        <v>325.63697500000001</v>
      </c>
      <c r="P12" s="79">
        <v>0.26516499999999998</v>
      </c>
      <c r="Q12" s="79">
        <v>0.67796500000000004</v>
      </c>
      <c r="R12" s="68">
        <f t="shared" si="2"/>
        <v>1.3092269326683292</v>
      </c>
      <c r="S12" s="56">
        <f t="shared" si="3"/>
        <v>0.77687217399405617</v>
      </c>
      <c r="T12" s="68">
        <f t="shared" si="4"/>
        <v>0.36479822365900805</v>
      </c>
      <c r="U12" s="56">
        <f t="shared" si="5"/>
        <v>0.73008221500640413</v>
      </c>
      <c r="V12" s="68">
        <f t="shared" si="6"/>
        <v>0.45941210058482085</v>
      </c>
      <c r="W12" s="56"/>
    </row>
    <row r="13" spans="1:24" s="21" customFormat="1" x14ac:dyDescent="0.25">
      <c r="A13" s="50" t="s">
        <v>73</v>
      </c>
      <c r="B13" s="51" t="s">
        <v>9</v>
      </c>
      <c r="C13" s="52">
        <v>261</v>
      </c>
      <c r="D13" s="52">
        <v>150</v>
      </c>
      <c r="E13" s="52">
        <v>140</v>
      </c>
      <c r="F13" s="53">
        <f t="shared" si="0"/>
        <v>0.53639846743295017</v>
      </c>
      <c r="G13" s="21">
        <v>49.4</v>
      </c>
      <c r="H13" s="54">
        <v>49</v>
      </c>
      <c r="I13" s="54">
        <v>98.4</v>
      </c>
      <c r="J13" s="26">
        <v>264.45680781675901</v>
      </c>
      <c r="K13" s="26">
        <v>64.38</v>
      </c>
      <c r="L13" s="26">
        <v>200.09958388888001</v>
      </c>
      <c r="M13" s="26">
        <v>98.4</v>
      </c>
      <c r="N13" s="55">
        <f t="shared" si="1"/>
        <v>0.24344240003308451</v>
      </c>
      <c r="O13" s="81">
        <v>324.18023699999998</v>
      </c>
      <c r="P13" s="79">
        <v>0.38149499999999997</v>
      </c>
      <c r="Q13" s="79">
        <v>0.71989599999999998</v>
      </c>
      <c r="R13" s="68">
        <f t="shared" si="2"/>
        <v>0.57471264367816088</v>
      </c>
      <c r="S13" s="56">
        <f t="shared" si="3"/>
        <v>0.77800469790608917</v>
      </c>
      <c r="T13" s="56">
        <f t="shared" si="4"/>
        <v>5.3120063957762226E-2</v>
      </c>
      <c r="U13" s="56">
        <f t="shared" si="5"/>
        <v>0.73114652853689632</v>
      </c>
      <c r="V13" s="56">
        <f t="shared" si="6"/>
        <v>3.3470117653387962E-2</v>
      </c>
      <c r="W13" s="56"/>
    </row>
    <row r="14" spans="1:24" s="21" customFormat="1" x14ac:dyDescent="0.25">
      <c r="A14" s="50" t="s">
        <v>71</v>
      </c>
      <c r="B14" s="51" t="s">
        <v>10</v>
      </c>
      <c r="C14" s="52">
        <v>8651</v>
      </c>
      <c r="D14" s="52">
        <v>12000</v>
      </c>
      <c r="E14" s="52">
        <v>10500</v>
      </c>
      <c r="F14" s="53">
        <f t="shared" si="0"/>
        <v>1.2137325164720842</v>
      </c>
      <c r="G14" s="21">
        <v>52.5</v>
      </c>
      <c r="H14" s="54">
        <v>29.5</v>
      </c>
      <c r="I14" s="54">
        <v>82</v>
      </c>
      <c r="J14" s="26">
        <v>8727.3618738255009</v>
      </c>
      <c r="K14" s="26">
        <v>7370.6350000000002</v>
      </c>
      <c r="L14" s="26">
        <v>1340.77135915402</v>
      </c>
      <c r="M14" s="26">
        <v>82</v>
      </c>
      <c r="N14" s="55">
        <f t="shared" si="1"/>
        <v>0.84454330031913749</v>
      </c>
      <c r="O14" s="81">
        <v>232.00149300000001</v>
      </c>
      <c r="P14" s="79">
        <v>0.329822</v>
      </c>
      <c r="Q14" s="79">
        <v>0.54488700000000001</v>
      </c>
      <c r="R14" s="68">
        <f t="shared" si="2"/>
        <v>1.3871228759680962</v>
      </c>
      <c r="S14" s="56">
        <f t="shared" si="3"/>
        <v>0.85312946034242587</v>
      </c>
      <c r="T14" s="68">
        <f t="shared" si="4"/>
        <v>0.33423880101047965</v>
      </c>
      <c r="U14" s="56">
        <f t="shared" si="5"/>
        <v>0.80174662826677834</v>
      </c>
      <c r="V14" s="68">
        <f t="shared" si="6"/>
        <v>0.42739855621675782</v>
      </c>
      <c r="W14" s="56"/>
    </row>
    <row r="15" spans="1:24" s="21" customFormat="1" x14ac:dyDescent="0.25">
      <c r="A15" s="50" t="s">
        <v>73</v>
      </c>
      <c r="B15" s="51" t="s">
        <v>11</v>
      </c>
      <c r="C15" s="52">
        <v>581</v>
      </c>
      <c r="D15" s="52">
        <v>570</v>
      </c>
      <c r="E15" s="52">
        <v>700</v>
      </c>
      <c r="F15" s="53">
        <f t="shared" si="0"/>
        <v>1.2048192771084338</v>
      </c>
      <c r="G15" s="21">
        <v>53.7</v>
      </c>
      <c r="H15" s="54">
        <v>43</v>
      </c>
      <c r="I15" s="54">
        <v>96.7</v>
      </c>
      <c r="J15" s="26">
        <v>582.28726743613095</v>
      </c>
      <c r="K15" s="26">
        <v>292.45</v>
      </c>
      <c r="L15" s="26">
        <v>289.51211443984403</v>
      </c>
      <c r="M15" s="26">
        <v>96.7</v>
      </c>
      <c r="N15" s="55">
        <f t="shared" si="1"/>
        <v>0.50224350823896013</v>
      </c>
      <c r="O15" s="81">
        <v>221.16261600000001</v>
      </c>
      <c r="P15" s="79">
        <v>0.483128</v>
      </c>
      <c r="Q15" s="79">
        <v>0.63813399999999998</v>
      </c>
      <c r="R15" s="68">
        <f t="shared" si="2"/>
        <v>0.98106712564543885</v>
      </c>
      <c r="S15" s="56">
        <f t="shared" si="3"/>
        <v>0.86242672053702585</v>
      </c>
      <c r="T15" s="56">
        <f t="shared" si="4"/>
        <v>1.6320859951467676E-2</v>
      </c>
      <c r="U15" s="56">
        <f t="shared" si="5"/>
        <v>0.81048392707034744</v>
      </c>
      <c r="V15" s="56">
        <f t="shared" si="6"/>
        <v>3.5902781861809084E-2</v>
      </c>
      <c r="W15" s="56"/>
    </row>
    <row r="16" spans="1:24" s="21" customFormat="1" x14ac:dyDescent="0.25">
      <c r="A16" s="50" t="s">
        <v>72</v>
      </c>
      <c r="B16" s="51" t="s">
        <v>12</v>
      </c>
      <c r="C16" s="52">
        <v>89</v>
      </c>
      <c r="D16" s="52">
        <v>30</v>
      </c>
      <c r="E16" s="52">
        <v>12</v>
      </c>
      <c r="F16" s="53">
        <f t="shared" si="0"/>
        <v>0.1348314606741573</v>
      </c>
      <c r="G16" s="21">
        <v>54.8</v>
      </c>
      <c r="H16" s="54">
        <v>43.1</v>
      </c>
      <c r="I16" s="54">
        <v>97.9</v>
      </c>
      <c r="J16" s="26">
        <v>89.818684464637997</v>
      </c>
      <c r="K16" s="26">
        <v>39.094999999999999</v>
      </c>
      <c r="L16" s="26">
        <v>50.784986430297998</v>
      </c>
      <c r="M16" s="26">
        <v>97.9</v>
      </c>
      <c r="N16" s="55">
        <f t="shared" si="1"/>
        <v>0.43526578276028827</v>
      </c>
      <c r="O16" s="81">
        <v>859.62930500000004</v>
      </c>
      <c r="P16" s="79">
        <v>5.7998000000000001E-2</v>
      </c>
      <c r="Q16" s="79">
        <v>0.50244200000000006</v>
      </c>
      <c r="R16" s="68">
        <f t="shared" si="2"/>
        <v>0.33707865168539325</v>
      </c>
      <c r="S16" s="56">
        <f t="shared" si="3"/>
        <v>0.45544888570151254</v>
      </c>
      <c r="T16" s="56">
        <f t="shared" si="4"/>
        <v>3.0764181757628819E-2</v>
      </c>
      <c r="U16" s="56">
        <f t="shared" si="5"/>
        <v>0.42801781609145767</v>
      </c>
      <c r="V16" s="56">
        <f t="shared" si="6"/>
        <v>1.9321465864182902E-2</v>
      </c>
      <c r="W16" s="56"/>
    </row>
    <row r="17" spans="1:23" s="21" customFormat="1" x14ac:dyDescent="0.25">
      <c r="A17" s="50" t="s">
        <v>72</v>
      </c>
      <c r="B17" s="51" t="s">
        <v>13</v>
      </c>
      <c r="C17" s="52">
        <v>1769</v>
      </c>
      <c r="D17" s="52">
        <v>500</v>
      </c>
      <c r="E17" s="52">
        <v>440</v>
      </c>
      <c r="F17" s="53">
        <f t="shared" si="0"/>
        <v>0.24872809496890899</v>
      </c>
      <c r="G17" s="21">
        <v>53.8</v>
      </c>
      <c r="H17" s="54">
        <v>24.8</v>
      </c>
      <c r="I17" s="54">
        <v>78.599999999999994</v>
      </c>
      <c r="J17" s="26">
        <v>1778.1922654145201</v>
      </c>
      <c r="K17" s="26">
        <v>1532.7225000000001</v>
      </c>
      <c r="L17" s="26">
        <v>244.18852187391099</v>
      </c>
      <c r="M17" s="26">
        <v>78.599999999999994</v>
      </c>
      <c r="N17" s="55">
        <f t="shared" si="1"/>
        <v>0.86195544194581353</v>
      </c>
      <c r="O17" s="81">
        <v>769.22404200000005</v>
      </c>
      <c r="P17" s="79">
        <v>0.39726899999999998</v>
      </c>
      <c r="Q17" s="79">
        <v>0.54723699999999997</v>
      </c>
      <c r="R17" s="68">
        <f t="shared" si="2"/>
        <v>0.28264556246466932</v>
      </c>
      <c r="S17" s="56">
        <f t="shared" si="3"/>
        <v>0.49854245815470488</v>
      </c>
      <c r="T17" s="56">
        <f t="shared" si="4"/>
        <v>9.3495486304458128E-2</v>
      </c>
      <c r="U17" s="56">
        <f t="shared" si="5"/>
        <v>0.46851592103375972</v>
      </c>
      <c r="V17" s="56">
        <f t="shared" si="6"/>
        <v>7.3738775233879061E-2</v>
      </c>
      <c r="W17" s="56"/>
    </row>
    <row r="18" spans="1:23" s="21" customFormat="1" x14ac:dyDescent="0.25">
      <c r="A18" s="50" t="s">
        <v>71</v>
      </c>
      <c r="B18" s="51" t="s">
        <v>14</v>
      </c>
      <c r="C18" s="52">
        <v>3213</v>
      </c>
      <c r="D18" s="52">
        <v>2400</v>
      </c>
      <c r="E18" s="52">
        <v>2100</v>
      </c>
      <c r="F18" s="53">
        <f t="shared" si="0"/>
        <v>0.65359477124183007</v>
      </c>
      <c r="G18" s="21">
        <v>50.1</v>
      </c>
      <c r="H18" s="54">
        <v>21.4</v>
      </c>
      <c r="I18" s="54">
        <v>71.5</v>
      </c>
      <c r="J18" s="26">
        <v>3256.20615740112</v>
      </c>
      <c r="K18" s="26">
        <v>2887.37</v>
      </c>
      <c r="L18" s="26">
        <v>364.68032566325002</v>
      </c>
      <c r="M18" s="26">
        <v>71.5</v>
      </c>
      <c r="N18" s="55">
        <f t="shared" si="1"/>
        <v>0.88672825381071707</v>
      </c>
      <c r="O18" s="81">
        <v>364.60710899999998</v>
      </c>
      <c r="P18" s="79">
        <v>0.60911800000000005</v>
      </c>
      <c r="Q18" s="79">
        <v>0.43045800000000001</v>
      </c>
      <c r="R18" s="68">
        <f t="shared" si="2"/>
        <v>0.7469654528478058</v>
      </c>
      <c r="S18" s="56">
        <f t="shared" si="3"/>
        <v>0.74717967918993122</v>
      </c>
      <c r="T18" s="56">
        <f t="shared" si="4"/>
        <v>6.1421538806026571E-8</v>
      </c>
      <c r="U18" s="56">
        <f t="shared" si="5"/>
        <v>0.70217805895430752</v>
      </c>
      <c r="V18" s="56">
        <f t="shared" si="6"/>
        <v>2.856697993039821E-3</v>
      </c>
      <c r="W18" s="56"/>
    </row>
    <row r="19" spans="1:23" s="21" customFormat="1" x14ac:dyDescent="0.25">
      <c r="A19" s="50" t="s">
        <v>71</v>
      </c>
      <c r="B19" s="51" t="s">
        <v>15</v>
      </c>
      <c r="C19" s="52">
        <v>557</v>
      </c>
      <c r="D19" s="57">
        <v>450</v>
      </c>
      <c r="E19" s="52">
        <v>120</v>
      </c>
      <c r="F19" s="53">
        <f t="shared" si="0"/>
        <v>0.21543985637342908</v>
      </c>
      <c r="G19" s="21">
        <v>46.4</v>
      </c>
      <c r="H19" s="54">
        <v>31.1</v>
      </c>
      <c r="I19" s="54">
        <v>77.5</v>
      </c>
      <c r="J19" s="26">
        <v>559.07989313923497</v>
      </c>
      <c r="K19" s="26">
        <v>465.505</v>
      </c>
      <c r="L19" s="26">
        <v>93.259001032244996</v>
      </c>
      <c r="M19" s="26">
        <v>77.5</v>
      </c>
      <c r="N19" s="55">
        <f t="shared" si="1"/>
        <v>0.83262697462823831</v>
      </c>
      <c r="O19" s="81">
        <v>534.38448400000004</v>
      </c>
      <c r="P19" s="79">
        <v>0.39848499999999998</v>
      </c>
      <c r="Q19" s="79">
        <v>0.473883</v>
      </c>
      <c r="R19" s="68">
        <f t="shared" si="2"/>
        <v>0.80789946140035906</v>
      </c>
      <c r="S19" s="56">
        <f t="shared" si="3"/>
        <v>0.63050955857533242</v>
      </c>
      <c r="T19" s="56">
        <f t="shared" si="4"/>
        <v>4.9907534622272882E-2</v>
      </c>
      <c r="U19" s="56">
        <f t="shared" si="5"/>
        <v>0.59253482170788985</v>
      </c>
      <c r="V19" s="56">
        <f t="shared" si="6"/>
        <v>7.8277134660505468E-2</v>
      </c>
      <c r="W19" s="56"/>
    </row>
    <row r="20" spans="1:23" s="21" customFormat="1" x14ac:dyDescent="0.25">
      <c r="A20" s="50" t="s">
        <v>74</v>
      </c>
      <c r="B20" s="51" t="s">
        <v>16</v>
      </c>
      <c r="C20" s="52">
        <v>1015</v>
      </c>
      <c r="D20" s="52">
        <v>400</v>
      </c>
      <c r="E20" s="52">
        <v>400</v>
      </c>
      <c r="F20" s="53">
        <f t="shared" si="0"/>
        <v>0.39408866995073893</v>
      </c>
      <c r="G20" s="21">
        <v>49.9</v>
      </c>
      <c r="H20" s="54">
        <v>23.5</v>
      </c>
      <c r="I20" s="54">
        <v>73.400000000000006</v>
      </c>
      <c r="J20" s="26">
        <v>1105.1964031561502</v>
      </c>
      <c r="K20" s="26">
        <v>946.39499999999998</v>
      </c>
      <c r="L20" s="26">
        <v>158.11031614739503</v>
      </c>
      <c r="M20" s="26">
        <v>73.400000000000006</v>
      </c>
      <c r="N20" s="55">
        <f t="shared" si="1"/>
        <v>0.85631386176913427</v>
      </c>
      <c r="O20" s="81">
        <v>817.85456699999997</v>
      </c>
      <c r="P20" s="79">
        <v>0.352275</v>
      </c>
      <c r="Q20" s="79">
        <v>0.43909799999999999</v>
      </c>
      <c r="R20" s="68">
        <f t="shared" si="2"/>
        <v>0.39408866995073893</v>
      </c>
      <c r="S20" s="56">
        <f t="shared" si="3"/>
        <v>0.47487814420150759</v>
      </c>
      <c r="T20" s="56">
        <f t="shared" si="4"/>
        <v>1.3744450506751476E-2</v>
      </c>
      <c r="U20" s="56">
        <f t="shared" si="5"/>
        <v>0.44627687666339283</v>
      </c>
      <c r="V20" s="56">
        <f t="shared" si="6"/>
        <v>6.1029577428386292E-3</v>
      </c>
      <c r="W20" s="56"/>
    </row>
    <row r="21" spans="1:23" s="21" customFormat="1" x14ac:dyDescent="0.25">
      <c r="A21" s="50" t="s">
        <v>72</v>
      </c>
      <c r="B21" s="51" t="s">
        <v>17</v>
      </c>
      <c r="C21" s="52">
        <v>896</v>
      </c>
      <c r="D21" s="52">
        <v>150</v>
      </c>
      <c r="E21" s="52">
        <v>125</v>
      </c>
      <c r="F21" s="53">
        <f t="shared" si="0"/>
        <v>0.13950892857142858</v>
      </c>
      <c r="G21" s="21">
        <v>45.8</v>
      </c>
      <c r="H21" s="54">
        <v>38.5</v>
      </c>
      <c r="I21" s="54">
        <v>84.3</v>
      </c>
      <c r="J21" s="26">
        <v>900.09460253946395</v>
      </c>
      <c r="K21" s="26">
        <v>360.63499999999999</v>
      </c>
      <c r="L21" s="26">
        <v>539.48486586833405</v>
      </c>
      <c r="M21" s="26">
        <v>84.3</v>
      </c>
      <c r="N21" s="55">
        <f t="shared" si="1"/>
        <v>0.4006634402456471</v>
      </c>
      <c r="O21" s="81">
        <v>1064.0448160000001</v>
      </c>
      <c r="P21" s="79">
        <v>0.270094</v>
      </c>
      <c r="Q21" s="79">
        <v>0.68285300000000004</v>
      </c>
      <c r="R21" s="68">
        <f t="shared" si="2"/>
        <v>0.16741071428571427</v>
      </c>
      <c r="S21" s="56">
        <f t="shared" si="3"/>
        <v>0.37124713896657108</v>
      </c>
      <c r="T21" s="56">
        <f t="shared" si="4"/>
        <v>0.11191813664162921</v>
      </c>
      <c r="U21" s="56">
        <f t="shared" si="5"/>
        <v>0.34888742653508692</v>
      </c>
      <c r="V21" s="56">
        <f t="shared" si="6"/>
        <v>9.4396629353822564E-2</v>
      </c>
      <c r="W21" s="56"/>
    </row>
    <row r="22" spans="1:23" s="21" customFormat="1" x14ac:dyDescent="0.25">
      <c r="A22" s="50" t="s">
        <v>72</v>
      </c>
      <c r="B22" s="51" t="s">
        <v>18</v>
      </c>
      <c r="C22" s="52">
        <v>626</v>
      </c>
      <c r="D22" s="52">
        <v>100</v>
      </c>
      <c r="E22" s="52">
        <v>100</v>
      </c>
      <c r="F22" s="53">
        <f t="shared" si="0"/>
        <v>0.15974440894568689</v>
      </c>
      <c r="G22" s="21">
        <v>37.200000000000003</v>
      </c>
      <c r="H22" s="54">
        <v>28.200000000000003</v>
      </c>
      <c r="I22" s="54">
        <v>65.400000000000006</v>
      </c>
      <c r="J22" s="26">
        <v>628.83988700155396</v>
      </c>
      <c r="K22" s="26">
        <v>452.25749999999999</v>
      </c>
      <c r="L22" s="26">
        <v>176.50062803886601</v>
      </c>
      <c r="M22" s="26">
        <v>65.400000000000006</v>
      </c>
      <c r="N22" s="55">
        <f t="shared" si="1"/>
        <v>0.71919340574349155</v>
      </c>
      <c r="O22" s="81">
        <v>1071.4572209999999</v>
      </c>
      <c r="P22" s="79">
        <v>0.131716</v>
      </c>
      <c r="Q22" s="79">
        <v>0.53273899999999996</v>
      </c>
      <c r="R22" s="68">
        <f t="shared" si="2"/>
        <v>0.15974440894568689</v>
      </c>
      <c r="S22" s="56">
        <f t="shared" si="3"/>
        <v>0.36850547851934345</v>
      </c>
      <c r="T22" s="56">
        <f t="shared" si="4"/>
        <v>0.11826468454321616</v>
      </c>
      <c r="U22" s="56">
        <f t="shared" si="5"/>
        <v>0.34631089258379794</v>
      </c>
      <c r="V22" s="56">
        <f t="shared" si="6"/>
        <v>0.10050810864595366</v>
      </c>
      <c r="W22" s="56"/>
    </row>
    <row r="23" spans="1:23" s="21" customFormat="1" x14ac:dyDescent="0.25">
      <c r="A23" s="50" t="s">
        <v>72</v>
      </c>
      <c r="B23" s="51" t="s">
        <v>19</v>
      </c>
      <c r="C23" s="52">
        <v>329</v>
      </c>
      <c r="D23" s="52">
        <v>60</v>
      </c>
      <c r="E23" s="52">
        <v>55</v>
      </c>
      <c r="F23" s="53">
        <f t="shared" si="0"/>
        <v>0.16717325227963525</v>
      </c>
      <c r="G23" s="21">
        <v>37.5</v>
      </c>
      <c r="H23" s="54">
        <v>24.900000000000002</v>
      </c>
      <c r="I23" s="54">
        <v>62.400000000000006</v>
      </c>
      <c r="J23" s="26">
        <v>330.08496131464398</v>
      </c>
      <c r="K23" s="26">
        <v>155.405</v>
      </c>
      <c r="L23" s="26">
        <v>174.747956000366</v>
      </c>
      <c r="M23" s="26">
        <v>62.400000000000006</v>
      </c>
      <c r="N23" s="55">
        <f t="shared" si="1"/>
        <v>0.47080303016854097</v>
      </c>
      <c r="O23" s="81">
        <v>1733.076114</v>
      </c>
      <c r="P23" s="79">
        <v>0.14630799999999999</v>
      </c>
      <c r="Q23" s="79">
        <v>0.31106600000000001</v>
      </c>
      <c r="R23" s="68">
        <f t="shared" si="2"/>
        <v>0.18237082066869301</v>
      </c>
      <c r="S23" s="56">
        <f t="shared" si="3"/>
        <v>0.19015445930283473</v>
      </c>
      <c r="T23" s="56">
        <f t="shared" si="4"/>
        <v>3.1860956934182415E-4</v>
      </c>
      <c r="U23" s="56">
        <f t="shared" si="5"/>
        <v>0.17870171372906052</v>
      </c>
      <c r="V23" s="56">
        <f t="shared" si="6"/>
        <v>7.5334172535526347E-5</v>
      </c>
      <c r="W23" s="56"/>
    </row>
    <row r="24" spans="1:23" s="21" customFormat="1" ht="30" x14ac:dyDescent="0.25">
      <c r="A24" s="50" t="s">
        <v>74</v>
      </c>
      <c r="B24" s="51" t="s">
        <v>20</v>
      </c>
      <c r="C24" s="52">
        <v>5835</v>
      </c>
      <c r="D24" s="57">
        <v>2700</v>
      </c>
      <c r="E24" s="52">
        <v>2900</v>
      </c>
      <c r="F24" s="53">
        <f t="shared" si="0"/>
        <v>0.49700085689802914</v>
      </c>
      <c r="G24" s="21">
        <v>34.9</v>
      </c>
      <c r="H24" s="54">
        <v>20.7</v>
      </c>
      <c r="I24" s="54">
        <v>55.599999999999994</v>
      </c>
      <c r="J24" s="26">
        <v>5787.9892024876499</v>
      </c>
      <c r="K24" s="26">
        <v>5041.2</v>
      </c>
      <c r="L24" s="26">
        <v>743.38948857730702</v>
      </c>
      <c r="M24" s="26">
        <v>55.599999999999994</v>
      </c>
      <c r="N24" s="55">
        <f t="shared" si="1"/>
        <v>0.8709760546604538</v>
      </c>
      <c r="O24" s="81">
        <v>682.63787200000002</v>
      </c>
      <c r="P24" s="79">
        <v>0.18288299999999999</v>
      </c>
      <c r="Q24" s="79">
        <v>0.37341200000000002</v>
      </c>
      <c r="R24" s="68">
        <f t="shared" si="2"/>
        <v>0.46272493573264784</v>
      </c>
      <c r="S24" s="56">
        <f t="shared" si="3"/>
        <v>0.54363329397705451</v>
      </c>
      <c r="T24" s="56">
        <f t="shared" si="4"/>
        <v>1.2041503907745481E-2</v>
      </c>
      <c r="U24" s="56">
        <f t="shared" si="5"/>
        <v>0.51089099687721895</v>
      </c>
      <c r="V24" s="56">
        <f t="shared" si="6"/>
        <v>4.541026286161225E-3</v>
      </c>
      <c r="W24" s="56"/>
    </row>
    <row r="25" spans="1:23" s="21" customFormat="1" x14ac:dyDescent="0.25">
      <c r="A25" s="50" t="s">
        <v>74</v>
      </c>
      <c r="B25" s="51" t="s">
        <v>21</v>
      </c>
      <c r="C25" s="52">
        <v>3722</v>
      </c>
      <c r="D25" s="52">
        <v>3000</v>
      </c>
      <c r="E25" s="52">
        <v>2700</v>
      </c>
      <c r="F25" s="53">
        <f t="shared" si="0"/>
        <v>0.7254164427727029</v>
      </c>
      <c r="G25" s="21">
        <v>42.8</v>
      </c>
      <c r="H25" s="54">
        <v>22.900000000000002</v>
      </c>
      <c r="I25" s="54">
        <v>65.7</v>
      </c>
      <c r="J25" s="26">
        <v>3730.8214714364999</v>
      </c>
      <c r="K25" s="26">
        <v>3275.6</v>
      </c>
      <c r="L25" s="26">
        <v>452.93559777499399</v>
      </c>
      <c r="M25" s="26">
        <v>65.7</v>
      </c>
      <c r="N25" s="55">
        <f t="shared" si="1"/>
        <v>0.87798358218914629</v>
      </c>
      <c r="O25" s="81">
        <v>595.942722</v>
      </c>
      <c r="P25" s="79">
        <v>0.27190700000000001</v>
      </c>
      <c r="Q25" s="79">
        <v>0.408022</v>
      </c>
      <c r="R25" s="68">
        <f t="shared" si="2"/>
        <v>0.80601826974744761</v>
      </c>
      <c r="S25" s="56">
        <f t="shared" si="3"/>
        <v>0.59286699232985896</v>
      </c>
      <c r="T25" s="56">
        <f t="shared" si="4"/>
        <v>7.6633490567934337E-2</v>
      </c>
      <c r="U25" s="56">
        <f t="shared" si="5"/>
        <v>0.55715941625125054</v>
      </c>
      <c r="V25" s="56">
        <f t="shared" si="6"/>
        <v>0.11115441497898704</v>
      </c>
      <c r="W25" s="56"/>
    </row>
    <row r="26" spans="1:23" s="21" customFormat="1" x14ac:dyDescent="0.25">
      <c r="A26" s="50" t="s">
        <v>74</v>
      </c>
      <c r="B26" s="51" t="s">
        <v>22</v>
      </c>
      <c r="C26" s="52">
        <v>4837</v>
      </c>
      <c r="D26" s="52">
        <v>3900</v>
      </c>
      <c r="E26" s="52">
        <v>3500</v>
      </c>
      <c r="F26" s="53">
        <f t="shared" si="0"/>
        <v>0.72358900144717797</v>
      </c>
      <c r="G26" s="21">
        <v>45.900000000000006</v>
      </c>
      <c r="H26" s="54">
        <v>48.800000000000004</v>
      </c>
      <c r="I26" s="54">
        <v>94.700000000000017</v>
      </c>
      <c r="J26" s="26">
        <v>4845.6710560063693</v>
      </c>
      <c r="K26" s="26">
        <v>2144.7325000000001</v>
      </c>
      <c r="L26" s="26">
        <v>2699.5604655203601</v>
      </c>
      <c r="M26" s="26">
        <v>94.700000000000017</v>
      </c>
      <c r="N26" s="55">
        <f t="shared" si="1"/>
        <v>0.44260794329848974</v>
      </c>
      <c r="O26" s="81">
        <v>248.22278600000001</v>
      </c>
      <c r="P26" s="79">
        <v>0.40923900000000002</v>
      </c>
      <c r="Q26" s="79">
        <v>0.501552</v>
      </c>
      <c r="R26" s="68">
        <f t="shared" si="2"/>
        <v>0.80628488732685544</v>
      </c>
      <c r="S26" s="56">
        <f t="shared" si="3"/>
        <v>0.83940223507366873</v>
      </c>
      <c r="T26" s="56">
        <f t="shared" si="4"/>
        <v>1.3065949504972483E-3</v>
      </c>
      <c r="U26" s="56">
        <f t="shared" si="5"/>
        <v>0.78884617518634315</v>
      </c>
      <c r="V26" s="56">
        <f t="shared" si="6"/>
        <v>3.8551075061980686E-4</v>
      </c>
      <c r="W26" s="56"/>
    </row>
    <row r="27" spans="1:23" s="21" customFormat="1" x14ac:dyDescent="0.25">
      <c r="A27" s="50" t="s">
        <v>74</v>
      </c>
      <c r="B27" s="51" t="s">
        <v>23</v>
      </c>
      <c r="C27" s="52">
        <v>1494</v>
      </c>
      <c r="D27" s="52">
        <v>800</v>
      </c>
      <c r="E27" s="52">
        <v>800</v>
      </c>
      <c r="F27" s="53">
        <f t="shared" si="0"/>
        <v>0.53547523427041499</v>
      </c>
      <c r="G27" s="21">
        <v>29</v>
      </c>
      <c r="H27" s="54">
        <v>67.8</v>
      </c>
      <c r="I27" s="54">
        <v>96.8</v>
      </c>
      <c r="J27" s="26">
        <v>1514.81095111279</v>
      </c>
      <c r="K27" s="26">
        <v>641.92750000000001</v>
      </c>
      <c r="L27" s="26">
        <v>872.29284053546201</v>
      </c>
      <c r="M27" s="26">
        <v>96.8</v>
      </c>
      <c r="N27" s="55">
        <f t="shared" si="1"/>
        <v>0.42376740115882833</v>
      </c>
      <c r="O27" s="81">
        <v>178.404864</v>
      </c>
      <c r="P27" s="79">
        <v>0.25558700000000001</v>
      </c>
      <c r="Q27" s="79">
        <v>0.49484800000000001</v>
      </c>
      <c r="R27" s="68">
        <f t="shared" si="2"/>
        <v>0.53547523427041499</v>
      </c>
      <c r="S27" s="56">
        <f t="shared" si="3"/>
        <v>0.90010186081179877</v>
      </c>
      <c r="T27" s="56">
        <f t="shared" si="4"/>
        <v>0.14770836787632044</v>
      </c>
      <c r="U27" s="56">
        <f t="shared" si="5"/>
        <v>0.84588994466661382</v>
      </c>
      <c r="V27" s="56">
        <f t="shared" si="6"/>
        <v>0.1139123275290059</v>
      </c>
      <c r="W27" s="56"/>
    </row>
    <row r="28" spans="1:23" s="21" customFormat="1" x14ac:dyDescent="0.25">
      <c r="A28" s="50" t="s">
        <v>73</v>
      </c>
      <c r="B28" s="51" t="s">
        <v>24</v>
      </c>
      <c r="C28" s="52">
        <v>346</v>
      </c>
      <c r="D28" s="52">
        <v>300</v>
      </c>
      <c r="E28" s="57">
        <v>300</v>
      </c>
      <c r="F28" s="53">
        <f t="shared" si="0"/>
        <v>0.86705202312138729</v>
      </c>
      <c r="G28" s="21">
        <v>37</v>
      </c>
      <c r="H28" s="54">
        <v>61.6</v>
      </c>
      <c r="I28" s="54">
        <v>98.6</v>
      </c>
      <c r="J28" s="26">
        <v>346.13618894226096</v>
      </c>
      <c r="K28" s="26">
        <v>236.64500000000001</v>
      </c>
      <c r="L28" s="26">
        <v>109.322886354315</v>
      </c>
      <c r="M28" s="26">
        <v>98.6</v>
      </c>
      <c r="N28" s="55">
        <f t="shared" si="1"/>
        <v>0.6836759852333002</v>
      </c>
      <c r="O28" s="81">
        <v>130.20733100000001</v>
      </c>
      <c r="P28" s="79">
        <v>0.21251400000000001</v>
      </c>
      <c r="Q28" s="79">
        <v>0.57181300000000002</v>
      </c>
      <c r="R28" s="68">
        <f t="shared" si="2"/>
        <v>0.86705202312138729</v>
      </c>
      <c r="S28" s="56">
        <f t="shared" si="3"/>
        <v>0.94454701994661938</v>
      </c>
      <c r="T28" s="56">
        <f t="shared" si="4"/>
        <v>6.3580471973561752E-3</v>
      </c>
      <c r="U28" s="56">
        <f t="shared" si="5"/>
        <v>0.88765823205504879</v>
      </c>
      <c r="V28" s="56">
        <f t="shared" si="6"/>
        <v>4.7835510479598414E-4</v>
      </c>
      <c r="W28" s="56"/>
    </row>
    <row r="29" spans="1:23" s="21" customFormat="1" x14ac:dyDescent="0.25">
      <c r="A29" s="50" t="s">
        <v>74</v>
      </c>
      <c r="B29" s="51" t="s">
        <v>25</v>
      </c>
      <c r="C29" s="52">
        <v>2338</v>
      </c>
      <c r="D29" s="52">
        <v>2000</v>
      </c>
      <c r="E29" s="52">
        <v>2000</v>
      </c>
      <c r="F29" s="53">
        <f t="shared" si="0"/>
        <v>0.85543199315654406</v>
      </c>
      <c r="G29" s="21">
        <v>56.599999999999994</v>
      </c>
      <c r="H29" s="54">
        <v>40.9</v>
      </c>
      <c r="I29" s="54">
        <v>97.5</v>
      </c>
      <c r="J29" s="26">
        <v>2340.2843160340999</v>
      </c>
      <c r="K29" s="26">
        <v>1473.575</v>
      </c>
      <c r="L29" s="26">
        <v>861.44377843003292</v>
      </c>
      <c r="M29" s="26">
        <v>97.5</v>
      </c>
      <c r="N29" s="55">
        <f t="shared" si="1"/>
        <v>0.62965640110649224</v>
      </c>
      <c r="O29" s="81">
        <v>93.15558</v>
      </c>
      <c r="P29" s="79">
        <v>0.122932</v>
      </c>
      <c r="Q29" s="79">
        <v>0.62461599999999995</v>
      </c>
      <c r="R29" s="68">
        <f t="shared" si="2"/>
        <v>0.85543199315654406</v>
      </c>
      <c r="S29" s="56">
        <f t="shared" si="3"/>
        <v>0.980200575499522</v>
      </c>
      <c r="T29" s="56">
        <f t="shared" si="4"/>
        <v>1.5881646602730504E-2</v>
      </c>
      <c r="U29" s="56">
        <f t="shared" si="5"/>
        <v>0.92116442223958239</v>
      </c>
      <c r="V29" s="56">
        <f t="shared" si="6"/>
        <v>4.6905331218196952E-3</v>
      </c>
      <c r="W29" s="56"/>
    </row>
    <row r="30" spans="1:23" s="21" customFormat="1" x14ac:dyDescent="0.25">
      <c r="A30" s="50" t="s">
        <v>74</v>
      </c>
      <c r="B30" s="51" t="s">
        <v>26</v>
      </c>
      <c r="C30" s="52">
        <v>2067</v>
      </c>
      <c r="D30" s="52">
        <v>1500</v>
      </c>
      <c r="E30" s="52">
        <v>1500</v>
      </c>
      <c r="F30" s="53">
        <f t="shared" si="0"/>
        <v>0.72568940493468792</v>
      </c>
      <c r="G30" s="21">
        <v>49.9</v>
      </c>
      <c r="H30" s="54">
        <v>46.1</v>
      </c>
      <c r="I30" s="54">
        <v>96</v>
      </c>
      <c r="J30" s="26">
        <v>2074.4502870841302</v>
      </c>
      <c r="K30" s="26">
        <v>1410.7974999999999</v>
      </c>
      <c r="L30" s="26">
        <v>661.23874813698001</v>
      </c>
      <c r="M30" s="26">
        <v>96</v>
      </c>
      <c r="N30" s="55">
        <f t="shared" si="1"/>
        <v>0.68008257839865238</v>
      </c>
      <c r="O30" s="81">
        <v>168.539669</v>
      </c>
      <c r="P30" s="79">
        <v>0.347028</v>
      </c>
      <c r="Q30" s="79">
        <v>0.57785799999999998</v>
      </c>
      <c r="R30" s="68">
        <f t="shared" si="2"/>
        <v>0.72568940493468792</v>
      </c>
      <c r="S30" s="56">
        <f t="shared" si="3"/>
        <v>0.90902548546520667</v>
      </c>
      <c r="T30" s="56">
        <f t="shared" si="4"/>
        <v>3.6975991280477002E-2</v>
      </c>
      <c r="U30" s="56">
        <f t="shared" si="5"/>
        <v>0.85427611149165394</v>
      </c>
      <c r="V30" s="56">
        <f t="shared" si="6"/>
        <v>1.9355031565024428E-2</v>
      </c>
      <c r="W30" s="56"/>
    </row>
    <row r="31" spans="1:23" s="21" customFormat="1" x14ac:dyDescent="0.25">
      <c r="A31" s="58" t="s">
        <v>72</v>
      </c>
      <c r="B31" s="59" t="s">
        <v>27</v>
      </c>
      <c r="C31" s="60">
        <v>546</v>
      </c>
      <c r="D31" s="60">
        <v>200</v>
      </c>
      <c r="E31" s="60">
        <v>63</v>
      </c>
      <c r="F31" s="61">
        <f t="shared" si="0"/>
        <v>0.11538461538461539</v>
      </c>
      <c r="H31" s="54"/>
      <c r="I31" s="62">
        <v>90</v>
      </c>
      <c r="J31" s="26">
        <v>481.59370886167903</v>
      </c>
      <c r="K31" s="26">
        <v>422.96499999999997</v>
      </c>
      <c r="L31" s="26">
        <v>58.286593289880997</v>
      </c>
      <c r="M31" s="26">
        <v>90</v>
      </c>
      <c r="N31" s="55">
        <f t="shared" si="1"/>
        <v>0.87826105743728033</v>
      </c>
      <c r="O31" s="81">
        <v>772.27919099999997</v>
      </c>
      <c r="P31" s="79">
        <v>0.225018</v>
      </c>
      <c r="Q31" s="79">
        <v>0.42838399999999999</v>
      </c>
      <c r="R31" s="68">
        <f t="shared" si="2"/>
        <v>0.36630036630036628</v>
      </c>
      <c r="S31" s="56">
        <f t="shared" si="3"/>
        <v>0.49702166097612405</v>
      </c>
      <c r="T31" s="56">
        <f t="shared" si="4"/>
        <v>3.4380909773924669E-2</v>
      </c>
      <c r="U31" s="56">
        <f t="shared" si="5"/>
        <v>0.46708671940975838</v>
      </c>
      <c r="V31" s="56">
        <f t="shared" si="6"/>
        <v>2.1747329887536197E-2</v>
      </c>
      <c r="W31" s="56"/>
    </row>
    <row r="32" spans="1:23" s="21" customFormat="1" x14ac:dyDescent="0.25"/>
    <row r="33" spans="12:29" s="21" customFormat="1" x14ac:dyDescent="0.25"/>
    <row r="34" spans="12:29" s="21" customFormat="1" x14ac:dyDescent="0.25"/>
    <row r="35" spans="12:29" x14ac:dyDescent="0.25">
      <c r="L35" s="93" t="s">
        <v>153</v>
      </c>
      <c r="M35" s="9"/>
      <c r="N35" s="9"/>
      <c r="O35" s="9"/>
      <c r="P35" s="9"/>
      <c r="Q35" s="9"/>
      <c r="R35" s="9"/>
    </row>
    <row r="36" spans="12:29" x14ac:dyDescent="0.25">
      <c r="L36" s="9" t="s">
        <v>160</v>
      </c>
      <c r="M36" s="9"/>
      <c r="N36" s="9"/>
      <c r="O36" s="9"/>
      <c r="P36" s="9"/>
      <c r="Q36" s="9"/>
      <c r="R36" s="9"/>
    </row>
    <row r="37" spans="12:29" x14ac:dyDescent="0.25">
      <c r="L37" s="9" t="s">
        <v>151</v>
      </c>
      <c r="M37" s="9"/>
      <c r="N37" s="9"/>
      <c r="O37" s="9"/>
      <c r="P37" s="9"/>
      <c r="Q37" s="9"/>
      <c r="R37" s="9"/>
      <c r="X37" s="48" t="s">
        <v>147</v>
      </c>
    </row>
    <row r="38" spans="12:29" x14ac:dyDescent="0.25">
      <c r="L38" s="9" t="s">
        <v>149</v>
      </c>
      <c r="M38" s="9"/>
      <c r="N38" s="9"/>
      <c r="O38" s="9"/>
      <c r="P38" s="9"/>
      <c r="Q38" s="9"/>
      <c r="R38" s="9"/>
      <c r="Y38" s="90" t="s">
        <v>142</v>
      </c>
      <c r="Z38" s="91" t="s">
        <v>143</v>
      </c>
      <c r="AA38" s="90" t="s">
        <v>133</v>
      </c>
      <c r="AB38" s="90" t="s">
        <v>144</v>
      </c>
      <c r="AC38" s="90"/>
    </row>
    <row r="39" spans="12:29" x14ac:dyDescent="0.25">
      <c r="L39" s="94" t="s">
        <v>150</v>
      </c>
      <c r="M39" s="94"/>
      <c r="N39" s="94"/>
      <c r="O39" s="94"/>
      <c r="P39" s="94"/>
      <c r="Q39" s="9"/>
      <c r="R39" s="9"/>
      <c r="X39" t="s">
        <v>139</v>
      </c>
      <c r="Y39">
        <v>0</v>
      </c>
      <c r="Z39" s="89">
        <f>0.9329/0.0006</f>
        <v>1554.8333333333335</v>
      </c>
      <c r="AA39">
        <v>0.93289999999999995</v>
      </c>
      <c r="AB39">
        <v>0</v>
      </c>
    </row>
    <row r="40" spans="12:29" x14ac:dyDescent="0.25">
      <c r="L40" s="9" t="s">
        <v>152</v>
      </c>
      <c r="M40" s="9"/>
      <c r="N40" s="9"/>
      <c r="O40" s="9"/>
      <c r="P40" s="9"/>
      <c r="Q40" s="9"/>
      <c r="R40" s="9"/>
      <c r="X40" t="s">
        <v>140</v>
      </c>
      <c r="Y40" s="92">
        <f>1.0759*EXP(-0.001*9000)</f>
        <v>1.3277660821685855E-4</v>
      </c>
      <c r="Z40">
        <v>9000</v>
      </c>
      <c r="AA40">
        <f>1.0759*EXP(0)</f>
        <v>1.0759000000000001</v>
      </c>
      <c r="AB40">
        <v>0</v>
      </c>
    </row>
    <row r="41" spans="12:29" x14ac:dyDescent="0.25">
      <c r="X41" t="s">
        <v>141</v>
      </c>
      <c r="Y41" s="92">
        <f>27.999*POWER(100000000,-0.666)</f>
        <v>1.3156565146837414E-4</v>
      </c>
      <c r="Z41" s="10" t="s">
        <v>148</v>
      </c>
      <c r="AA41" s="10" t="s">
        <v>146</v>
      </c>
      <c r="AB41" s="10" t="s">
        <v>145</v>
      </c>
    </row>
  </sheetData>
  <mergeCells count="2">
    <mergeCell ref="O5:Q6"/>
    <mergeCell ref="M6:N6"/>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DD105-3373-42D6-93FF-9D0AD167AE16}">
  <dimension ref="A1:V61"/>
  <sheetViews>
    <sheetView tabSelected="1" workbookViewId="0">
      <selection activeCell="B12" sqref="B12:B35"/>
    </sheetView>
  </sheetViews>
  <sheetFormatPr defaultRowHeight="15" x14ac:dyDescent="0.25"/>
  <cols>
    <col min="2" max="2" width="26.7109375" customWidth="1"/>
    <col min="6" max="6" width="11" customWidth="1"/>
    <col min="8" max="8" width="8.85546875" style="73"/>
    <col min="9" max="10" width="9.5703125" customWidth="1"/>
    <col min="15" max="15" width="10.7109375" customWidth="1"/>
    <col min="16" max="16" width="11.7109375" customWidth="1"/>
    <col min="17" max="17" width="10.7109375" customWidth="1"/>
    <col min="18" max="20" width="12.42578125" customWidth="1"/>
    <col min="21" max="21" width="10.7109375" customWidth="1"/>
  </cols>
  <sheetData>
    <row r="1" spans="1:22" ht="18.75" x14ac:dyDescent="0.3">
      <c r="A1" s="7" t="s">
        <v>100</v>
      </c>
    </row>
    <row r="2" spans="1:22" x14ac:dyDescent="0.25">
      <c r="A2" t="s">
        <v>114</v>
      </c>
    </row>
    <row r="3" spans="1:22" x14ac:dyDescent="0.25">
      <c r="A3" t="s">
        <v>113</v>
      </c>
    </row>
    <row r="4" spans="1:22" x14ac:dyDescent="0.25">
      <c r="A4" t="s">
        <v>156</v>
      </c>
    </row>
    <row r="5" spans="1:22" x14ac:dyDescent="0.25">
      <c r="A5" t="s">
        <v>157</v>
      </c>
    </row>
    <row r="6" spans="1:22" x14ac:dyDescent="0.25">
      <c r="A6" t="s">
        <v>115</v>
      </c>
    </row>
    <row r="7" spans="1:22" x14ac:dyDescent="0.25">
      <c r="A7" t="s">
        <v>135</v>
      </c>
    </row>
    <row r="8" spans="1:22" x14ac:dyDescent="0.25">
      <c r="A8" t="s">
        <v>176</v>
      </c>
    </row>
    <row r="9" spans="1:22" x14ac:dyDescent="0.25">
      <c r="H9" s="82"/>
    </row>
    <row r="10" spans="1:22" s="10" customFormat="1" x14ac:dyDescent="0.25">
      <c r="C10" s="15" t="s">
        <v>106</v>
      </c>
      <c r="D10" s="15" t="s">
        <v>106</v>
      </c>
      <c r="E10" s="15" t="s">
        <v>107</v>
      </c>
      <c r="F10" s="15" t="s">
        <v>107</v>
      </c>
      <c r="G10" s="15" t="s">
        <v>3</v>
      </c>
      <c r="H10" s="74"/>
      <c r="J10" s="15" t="s">
        <v>3</v>
      </c>
      <c r="L10" s="15" t="s">
        <v>107</v>
      </c>
      <c r="O10" s="103"/>
      <c r="P10" s="104"/>
      <c r="Q10" s="86"/>
      <c r="R10" s="86"/>
      <c r="S10" s="104"/>
      <c r="T10" s="86"/>
      <c r="U10" s="86"/>
      <c r="V10" s="86"/>
    </row>
    <row r="11" spans="1:22" s="63" customFormat="1" ht="45" customHeight="1" x14ac:dyDescent="0.25">
      <c r="A11" s="1" t="s">
        <v>70</v>
      </c>
      <c r="B11" s="70" t="s">
        <v>103</v>
      </c>
      <c r="C11" s="11" t="s">
        <v>105</v>
      </c>
      <c r="D11" s="11" t="s">
        <v>104</v>
      </c>
      <c r="E11" s="11" t="s">
        <v>102</v>
      </c>
      <c r="F11" s="96" t="s">
        <v>109</v>
      </c>
      <c r="G11" s="96" t="s">
        <v>110</v>
      </c>
      <c r="H11" s="80" t="s">
        <v>116</v>
      </c>
      <c r="I11" s="95" t="s">
        <v>154</v>
      </c>
      <c r="J11" s="67" t="s">
        <v>177</v>
      </c>
      <c r="K11" s="95" t="s">
        <v>155</v>
      </c>
      <c r="L11" s="67" t="s">
        <v>178</v>
      </c>
      <c r="M11" s="67" t="s">
        <v>167</v>
      </c>
      <c r="N11" s="67" t="s">
        <v>179</v>
      </c>
      <c r="O11" s="105"/>
      <c r="P11" s="113" t="s">
        <v>188</v>
      </c>
      <c r="Q11" s="113"/>
      <c r="R11" s="105"/>
      <c r="S11" s="105"/>
      <c r="T11" s="105"/>
      <c r="U11" s="106"/>
      <c r="V11" s="106"/>
    </row>
    <row r="12" spans="1:22" x14ac:dyDescent="0.25">
      <c r="A12" s="50" t="s">
        <v>71</v>
      </c>
      <c r="B12" s="51" t="s">
        <v>4</v>
      </c>
      <c r="C12" s="26">
        <v>7067.1820826206595</v>
      </c>
      <c r="D12" s="17">
        <v>5119.0874999999996</v>
      </c>
      <c r="E12" s="52">
        <v>3500</v>
      </c>
      <c r="F12" s="99">
        <f>E12*D12/C12</f>
        <v>2535.2122020543825</v>
      </c>
      <c r="G12" s="97">
        <f>E12/C12</f>
        <v>0.4952468974313064</v>
      </c>
      <c r="H12" s="81">
        <v>363.54312199999998</v>
      </c>
      <c r="I12" s="27">
        <f>0.5*1.0759*EXP(-0.001*$H12)</f>
        <v>0.3739875458672593</v>
      </c>
      <c r="J12" s="68">
        <f>0.75*1.0759*EXP(-0.001*$H12)</f>
        <v>0.56098131880088897</v>
      </c>
      <c r="K12" s="17">
        <f t="shared" ref="K12:K35" si="0">$D12*I12</f>
        <v>1914.4749712047635</v>
      </c>
      <c r="L12" s="30">
        <f t="shared" ref="L12:L35" si="1">$D12*J12</f>
        <v>2871.7124568071454</v>
      </c>
      <c r="M12" s="30">
        <f>F12-L12</f>
        <v>-336.50025475276288</v>
      </c>
      <c r="N12" s="100">
        <f t="shared" ref="N12:N35" si="2">L12/L$55</f>
        <v>4.565016832817699E-2</v>
      </c>
      <c r="O12" s="56"/>
      <c r="P12" s="56" t="s">
        <v>195</v>
      </c>
      <c r="Q12" s="56"/>
      <c r="R12" s="56"/>
      <c r="S12" s="35"/>
      <c r="T12" s="35"/>
      <c r="U12" s="21"/>
      <c r="V12" s="35"/>
    </row>
    <row r="13" spans="1:22" x14ac:dyDescent="0.25">
      <c r="A13" s="50" t="s">
        <v>71</v>
      </c>
      <c r="B13" s="51" t="s">
        <v>5</v>
      </c>
      <c r="C13" s="26">
        <v>2432.5250894385499</v>
      </c>
      <c r="D13" s="17">
        <v>659.69</v>
      </c>
      <c r="E13" s="52">
        <v>2000</v>
      </c>
      <c r="F13" s="99">
        <f t="shared" ref="F13:F50" si="3">E13*D13/C13</f>
        <v>542.39111683922056</v>
      </c>
      <c r="G13" s="97">
        <f t="shared" ref="G13:G35" si="4">E13/C13</f>
        <v>0.82219090305934694</v>
      </c>
      <c r="H13" s="81">
        <v>437.05674599999998</v>
      </c>
      <c r="I13" s="27">
        <f t="shared" ref="I13:I53" si="5">0.5*1.0759*EXP(-0.001*$H13)</f>
        <v>0.34748061283301646</v>
      </c>
      <c r="J13" s="68">
        <f t="shared" ref="J13:J53" si="6">0.75*1.0759*EXP(-0.001*$H13)</f>
        <v>0.52122091924952474</v>
      </c>
      <c r="K13" s="17">
        <f t="shared" si="0"/>
        <v>229.22948547981264</v>
      </c>
      <c r="L13" s="30">
        <f t="shared" si="1"/>
        <v>343.84422821971901</v>
      </c>
      <c r="M13" s="30">
        <f t="shared" ref="M13:M53" si="7">F13-L13</f>
        <v>198.54688861950154</v>
      </c>
      <c r="N13" s="100">
        <f t="shared" si="2"/>
        <v>5.4659187272371144E-3</v>
      </c>
      <c r="O13" s="56"/>
      <c r="P13" s="56" t="s">
        <v>189</v>
      </c>
      <c r="Q13" s="56"/>
      <c r="R13" s="56"/>
      <c r="S13" s="35"/>
      <c r="T13" s="35"/>
      <c r="U13" s="21"/>
      <c r="V13" s="35"/>
    </row>
    <row r="14" spans="1:22" x14ac:dyDescent="0.25">
      <c r="A14" s="50" t="s">
        <v>72</v>
      </c>
      <c r="B14" s="51" t="s">
        <v>6</v>
      </c>
      <c r="C14" s="26">
        <v>654.32788413061598</v>
      </c>
      <c r="D14" s="17">
        <v>603.52499999999998</v>
      </c>
      <c r="E14" s="52">
        <v>60</v>
      </c>
      <c r="F14" s="99">
        <f t="shared" si="3"/>
        <v>55.341520479618616</v>
      </c>
      <c r="G14" s="97">
        <f t="shared" si="4"/>
        <v>9.1697146728998161E-2</v>
      </c>
      <c r="H14" s="81">
        <v>573.36805600000002</v>
      </c>
      <c r="I14" s="27">
        <f t="shared" si="5"/>
        <v>0.30320148849483358</v>
      </c>
      <c r="J14" s="68">
        <f t="shared" si="6"/>
        <v>0.45480223274225046</v>
      </c>
      <c r="K14" s="17">
        <f t="shared" si="0"/>
        <v>182.98967834384442</v>
      </c>
      <c r="L14" s="30">
        <f t="shared" si="1"/>
        <v>274.4845175157667</v>
      </c>
      <c r="M14" s="30">
        <f t="shared" si="7"/>
        <v>-219.14299703614807</v>
      </c>
      <c r="N14" s="100">
        <f t="shared" si="2"/>
        <v>4.3633422971618525E-3</v>
      </c>
      <c r="O14" s="56"/>
      <c r="P14" s="56" t="s">
        <v>191</v>
      </c>
      <c r="Q14" s="56"/>
      <c r="R14" s="56"/>
      <c r="S14" s="35"/>
      <c r="T14" s="35"/>
      <c r="U14" s="21"/>
      <c r="V14" s="35"/>
    </row>
    <row r="15" spans="1:22" x14ac:dyDescent="0.25">
      <c r="A15" s="50" t="s">
        <v>73</v>
      </c>
      <c r="B15" s="51" t="s">
        <v>7</v>
      </c>
      <c r="C15" s="26">
        <v>449.12977029048403</v>
      </c>
      <c r="D15" s="17">
        <v>51.237499999999997</v>
      </c>
      <c r="E15" s="52">
        <v>240</v>
      </c>
      <c r="F15" s="99">
        <f t="shared" si="3"/>
        <v>27.379614564509183</v>
      </c>
      <c r="G15" s="97">
        <f t="shared" si="4"/>
        <v>0.53436671509166489</v>
      </c>
      <c r="H15" s="81">
        <v>381.67135500000001</v>
      </c>
      <c r="I15" s="27">
        <f t="shared" si="5"/>
        <v>0.36726889512614674</v>
      </c>
      <c r="J15" s="68">
        <f t="shared" si="6"/>
        <v>0.55090334268922014</v>
      </c>
      <c r="K15" s="17">
        <f t="shared" si="0"/>
        <v>18.817940014025943</v>
      </c>
      <c r="L15" s="30">
        <f t="shared" si="1"/>
        <v>28.226910021038915</v>
      </c>
      <c r="M15" s="30">
        <f t="shared" si="7"/>
        <v>-0.84729545652973215</v>
      </c>
      <c r="N15" s="100">
        <f t="shared" si="2"/>
        <v>4.4870898922707431E-4</v>
      </c>
      <c r="O15" s="56"/>
      <c r="P15" s="56" t="s">
        <v>181</v>
      </c>
      <c r="Q15" s="56"/>
      <c r="R15" s="56"/>
      <c r="S15" s="35"/>
      <c r="T15" s="35"/>
      <c r="U15" s="21"/>
      <c r="V15" s="35"/>
    </row>
    <row r="16" spans="1:22" x14ac:dyDescent="0.25">
      <c r="A16" s="50" t="s">
        <v>73</v>
      </c>
      <c r="B16" s="51" t="s">
        <v>8</v>
      </c>
      <c r="C16" s="26">
        <v>417.40392587815603</v>
      </c>
      <c r="D16" s="17">
        <v>213.095</v>
      </c>
      <c r="E16" s="52">
        <v>500</v>
      </c>
      <c r="F16" s="99">
        <f t="shared" si="3"/>
        <v>255.26233318443244</v>
      </c>
      <c r="G16" s="97">
        <f t="shared" si="4"/>
        <v>1.1978804438604023</v>
      </c>
      <c r="H16" s="81">
        <v>325.63697500000001</v>
      </c>
      <c r="I16" s="27">
        <f t="shared" si="5"/>
        <v>0.38843608699702808</v>
      </c>
      <c r="J16" s="68">
        <f t="shared" si="6"/>
        <v>0.58265413049554216</v>
      </c>
      <c r="K16" s="17">
        <f t="shared" si="0"/>
        <v>82.773787958631701</v>
      </c>
      <c r="L16" s="30">
        <f t="shared" si="1"/>
        <v>124.16068193794756</v>
      </c>
      <c r="M16" s="30">
        <f t="shared" si="7"/>
        <v>131.10165124648489</v>
      </c>
      <c r="N16" s="100">
        <f t="shared" si="2"/>
        <v>1.9737199024829778E-3</v>
      </c>
      <c r="O16" s="56"/>
      <c r="P16" s="56" t="s">
        <v>181</v>
      </c>
      <c r="Q16" s="56"/>
      <c r="R16" s="56"/>
      <c r="S16" s="35"/>
      <c r="T16" s="35"/>
      <c r="U16" s="21"/>
      <c r="V16" s="35"/>
    </row>
    <row r="17" spans="1:22" x14ac:dyDescent="0.25">
      <c r="A17" s="50" t="s">
        <v>73</v>
      </c>
      <c r="B17" s="51" t="s">
        <v>9</v>
      </c>
      <c r="C17" s="26">
        <v>264.45680781675901</v>
      </c>
      <c r="D17" s="17">
        <v>64.38</v>
      </c>
      <c r="E17" s="52">
        <v>140</v>
      </c>
      <c r="F17" s="99">
        <f t="shared" si="3"/>
        <v>34.081936004631828</v>
      </c>
      <c r="G17" s="97">
        <f t="shared" si="4"/>
        <v>0.52938701467275295</v>
      </c>
      <c r="H17" s="81">
        <v>324.18023699999998</v>
      </c>
      <c r="I17" s="27">
        <f t="shared" si="5"/>
        <v>0.38900234895304459</v>
      </c>
      <c r="J17" s="68">
        <f t="shared" si="6"/>
        <v>0.58350352342956691</v>
      </c>
      <c r="K17" s="17">
        <f t="shared" si="0"/>
        <v>25.043971225597009</v>
      </c>
      <c r="L17" s="30">
        <f t="shared" si="1"/>
        <v>37.565956838395515</v>
      </c>
      <c r="M17" s="30">
        <f t="shared" si="7"/>
        <v>-3.4840208337636867</v>
      </c>
      <c r="N17" s="100">
        <f t="shared" si="2"/>
        <v>5.9716711853123855E-4</v>
      </c>
      <c r="O17" s="56"/>
      <c r="P17" s="56" t="s">
        <v>181</v>
      </c>
      <c r="Q17" s="56"/>
      <c r="R17" s="56"/>
      <c r="S17" s="35"/>
      <c r="T17" s="35"/>
      <c r="U17" s="21"/>
      <c r="V17" s="35"/>
    </row>
    <row r="18" spans="1:22" x14ac:dyDescent="0.25">
      <c r="A18" s="50" t="s">
        <v>71</v>
      </c>
      <c r="B18" s="51" t="s">
        <v>10</v>
      </c>
      <c r="C18" s="26">
        <v>8727.3618738255009</v>
      </c>
      <c r="D18" s="17">
        <v>7370.6350000000002</v>
      </c>
      <c r="E18" s="52">
        <v>10500</v>
      </c>
      <c r="F18" s="99">
        <f t="shared" si="3"/>
        <v>8867.7046533509438</v>
      </c>
      <c r="G18" s="97">
        <f t="shared" si="4"/>
        <v>1.2031127105535606</v>
      </c>
      <c r="H18" s="81">
        <v>232.00149300000001</v>
      </c>
      <c r="I18" s="27">
        <f t="shared" si="5"/>
        <v>0.42656473017121294</v>
      </c>
      <c r="J18" s="68">
        <f t="shared" si="6"/>
        <v>0.63984709525681949</v>
      </c>
      <c r="K18" s="17">
        <f t="shared" si="0"/>
        <v>3144.0529299654982</v>
      </c>
      <c r="L18" s="30">
        <f t="shared" si="1"/>
        <v>4716.0793949482477</v>
      </c>
      <c r="M18" s="30">
        <f t="shared" si="7"/>
        <v>4151.6252584026961</v>
      </c>
      <c r="N18" s="100">
        <f t="shared" si="2"/>
        <v>7.4969141746106499E-2</v>
      </c>
      <c r="O18" s="56"/>
      <c r="P18" s="56" t="s">
        <v>190</v>
      </c>
      <c r="Q18" s="56"/>
      <c r="R18" s="56"/>
      <c r="S18" s="35"/>
      <c r="T18" s="35"/>
      <c r="U18" s="21"/>
      <c r="V18" s="35"/>
    </row>
    <row r="19" spans="1:22" x14ac:dyDescent="0.25">
      <c r="A19" s="50" t="s">
        <v>73</v>
      </c>
      <c r="B19" s="51" t="s">
        <v>11</v>
      </c>
      <c r="C19" s="26">
        <v>582.28726743613095</v>
      </c>
      <c r="D19" s="17">
        <v>292.45</v>
      </c>
      <c r="E19" s="52">
        <v>700</v>
      </c>
      <c r="F19" s="99">
        <f t="shared" si="3"/>
        <v>351.57045576727205</v>
      </c>
      <c r="G19" s="97">
        <f t="shared" si="4"/>
        <v>1.2021557728407319</v>
      </c>
      <c r="H19" s="81">
        <v>221.16261600000001</v>
      </c>
      <c r="I19" s="27">
        <f t="shared" si="5"/>
        <v>0.43121336026851292</v>
      </c>
      <c r="J19" s="68">
        <f t="shared" si="6"/>
        <v>0.64682004040276941</v>
      </c>
      <c r="K19" s="17">
        <f t="shared" si="0"/>
        <v>126.1083472105266</v>
      </c>
      <c r="L19" s="30">
        <f t="shared" si="1"/>
        <v>189.16252081578992</v>
      </c>
      <c r="M19" s="30">
        <f t="shared" si="7"/>
        <v>162.40793495148213</v>
      </c>
      <c r="N19" s="100">
        <f t="shared" si="2"/>
        <v>3.0070214363397915E-3</v>
      </c>
      <c r="O19" s="56"/>
      <c r="P19" s="56" t="s">
        <v>181</v>
      </c>
      <c r="Q19" s="56"/>
      <c r="R19" s="56"/>
      <c r="S19" s="35"/>
      <c r="T19" s="35"/>
      <c r="U19" s="21"/>
      <c r="V19" s="35"/>
    </row>
    <row r="20" spans="1:22" x14ac:dyDescent="0.25">
      <c r="A20" s="50" t="s">
        <v>72</v>
      </c>
      <c r="B20" s="51" t="s">
        <v>12</v>
      </c>
      <c r="C20" s="26">
        <v>89.818684464637997</v>
      </c>
      <c r="D20" s="17">
        <v>39.094999999999999</v>
      </c>
      <c r="E20" s="52">
        <v>12</v>
      </c>
      <c r="F20" s="99">
        <f t="shared" si="3"/>
        <v>5.2231893931234588</v>
      </c>
      <c r="G20" s="97">
        <f t="shared" si="4"/>
        <v>0.13360249119128939</v>
      </c>
      <c r="H20" s="81">
        <v>859.62930500000004</v>
      </c>
      <c r="I20" s="27">
        <f t="shared" si="5"/>
        <v>0.22772444285075627</v>
      </c>
      <c r="J20" s="68">
        <f t="shared" si="6"/>
        <v>0.34158666427613443</v>
      </c>
      <c r="K20" s="17">
        <f t="shared" si="0"/>
        <v>8.9028870932503157</v>
      </c>
      <c r="L20" s="30">
        <f t="shared" si="1"/>
        <v>13.354330639875474</v>
      </c>
      <c r="M20" s="30">
        <f t="shared" si="7"/>
        <v>-8.1311412467520157</v>
      </c>
      <c r="N20" s="100">
        <f t="shared" si="2"/>
        <v>2.1228707636636041E-4</v>
      </c>
      <c r="O20" s="56"/>
      <c r="P20" s="56" t="s">
        <v>191</v>
      </c>
      <c r="Q20" s="56"/>
      <c r="R20" s="56"/>
      <c r="S20" s="35"/>
      <c r="T20" s="35"/>
      <c r="U20" s="21"/>
      <c r="V20" s="35"/>
    </row>
    <row r="21" spans="1:22" x14ac:dyDescent="0.25">
      <c r="A21" s="50" t="s">
        <v>72</v>
      </c>
      <c r="B21" s="51" t="s">
        <v>13</v>
      </c>
      <c r="C21" s="26">
        <v>1778.1922654145201</v>
      </c>
      <c r="D21" s="17">
        <v>1532.7225000000001</v>
      </c>
      <c r="E21" s="52">
        <v>440</v>
      </c>
      <c r="F21" s="99">
        <f t="shared" si="3"/>
        <v>379.26039445615794</v>
      </c>
      <c r="G21" s="97">
        <f t="shared" si="4"/>
        <v>0.24744230899993833</v>
      </c>
      <c r="H21" s="81">
        <v>769.22404200000005</v>
      </c>
      <c r="I21" s="27">
        <f t="shared" si="5"/>
        <v>0.24927122907735244</v>
      </c>
      <c r="J21" s="68">
        <f t="shared" si="6"/>
        <v>0.37390684361602866</v>
      </c>
      <c r="K21" s="17">
        <f t="shared" si="0"/>
        <v>382.06362140951234</v>
      </c>
      <c r="L21" s="30">
        <f t="shared" si="1"/>
        <v>573.09543211426853</v>
      </c>
      <c r="M21" s="30">
        <f t="shared" si="7"/>
        <v>-193.83503765811059</v>
      </c>
      <c r="N21" s="100">
        <f t="shared" si="2"/>
        <v>9.1102097921089437E-3</v>
      </c>
      <c r="O21" s="56"/>
      <c r="P21" s="56" t="s">
        <v>191</v>
      </c>
      <c r="Q21" s="56"/>
      <c r="R21" s="56"/>
      <c r="S21" s="35"/>
      <c r="T21" s="35"/>
      <c r="U21" s="21"/>
      <c r="V21" s="35"/>
    </row>
    <row r="22" spans="1:22" x14ac:dyDescent="0.25">
      <c r="A22" s="50" t="s">
        <v>71</v>
      </c>
      <c r="B22" s="51" t="s">
        <v>14</v>
      </c>
      <c r="C22" s="26">
        <v>3256.20615740112</v>
      </c>
      <c r="D22" s="17">
        <v>2887.37</v>
      </c>
      <c r="E22" s="52">
        <v>2100</v>
      </c>
      <c r="F22" s="99">
        <f t="shared" si="3"/>
        <v>1862.1293330025057</v>
      </c>
      <c r="G22" s="97">
        <f t="shared" si="4"/>
        <v>0.64492231096205399</v>
      </c>
      <c r="H22" s="81">
        <v>364.60710899999998</v>
      </c>
      <c r="I22" s="27">
        <f t="shared" si="5"/>
        <v>0.37358983959496561</v>
      </c>
      <c r="J22" s="68">
        <f t="shared" si="6"/>
        <v>0.56038475939244836</v>
      </c>
      <c r="K22" s="17">
        <f t="shared" si="0"/>
        <v>1078.6920951513159</v>
      </c>
      <c r="L22" s="30">
        <f t="shared" si="1"/>
        <v>1618.0381427269735</v>
      </c>
      <c r="M22" s="30">
        <f t="shared" si="7"/>
        <v>244.0911902755322</v>
      </c>
      <c r="N22" s="100">
        <f t="shared" si="2"/>
        <v>2.5721138410570908E-2</v>
      </c>
      <c r="O22" s="56"/>
      <c r="P22" s="56" t="s">
        <v>192</v>
      </c>
      <c r="Q22" s="56"/>
      <c r="R22" s="56"/>
      <c r="S22" s="35"/>
      <c r="T22" s="35"/>
      <c r="U22" s="21"/>
      <c r="V22" s="35"/>
    </row>
    <row r="23" spans="1:22" x14ac:dyDescent="0.25">
      <c r="A23" s="50" t="s">
        <v>71</v>
      </c>
      <c r="B23" s="51" t="s">
        <v>15</v>
      </c>
      <c r="C23" s="26">
        <v>559.07989313923497</v>
      </c>
      <c r="D23" s="17">
        <v>465.505</v>
      </c>
      <c r="E23" s="52">
        <v>120</v>
      </c>
      <c r="F23" s="99">
        <f t="shared" si="3"/>
        <v>99.915236955388593</v>
      </c>
      <c r="G23" s="97">
        <f t="shared" si="4"/>
        <v>0.21463837543181835</v>
      </c>
      <c r="H23" s="81">
        <v>534.38448400000004</v>
      </c>
      <c r="I23" s="27">
        <f t="shared" si="5"/>
        <v>0.31525477928766621</v>
      </c>
      <c r="J23" s="68">
        <f t="shared" si="6"/>
        <v>0.47288216893149937</v>
      </c>
      <c r="K23" s="17">
        <f t="shared" si="0"/>
        <v>146.75267603230506</v>
      </c>
      <c r="L23" s="30">
        <f t="shared" si="1"/>
        <v>220.12901404845761</v>
      </c>
      <c r="M23" s="30">
        <f t="shared" si="7"/>
        <v>-120.21377709306901</v>
      </c>
      <c r="N23" s="100">
        <f t="shared" si="2"/>
        <v>3.4992802017512646E-3</v>
      </c>
      <c r="O23" s="56"/>
      <c r="P23" s="56" t="s">
        <v>191</v>
      </c>
      <c r="Q23" s="56"/>
      <c r="R23" s="56"/>
      <c r="S23" s="35"/>
      <c r="T23" s="35"/>
      <c r="U23" s="21"/>
      <c r="V23" s="35"/>
    </row>
    <row r="24" spans="1:22" x14ac:dyDescent="0.25">
      <c r="A24" s="50" t="s">
        <v>74</v>
      </c>
      <c r="B24" s="51" t="s">
        <v>16</v>
      </c>
      <c r="C24" s="26">
        <v>1105.1964031561502</v>
      </c>
      <c r="D24" s="17">
        <v>946.39499999999998</v>
      </c>
      <c r="E24" s="52">
        <v>400</v>
      </c>
      <c r="F24" s="99">
        <f t="shared" si="3"/>
        <v>342.52554470765375</v>
      </c>
      <c r="G24" s="97">
        <f t="shared" si="4"/>
        <v>0.36192662123917996</v>
      </c>
      <c r="H24" s="81">
        <v>817.85456699999997</v>
      </c>
      <c r="I24" s="27">
        <f t="shared" si="5"/>
        <v>0.2374390721007538</v>
      </c>
      <c r="J24" s="68">
        <f t="shared" si="6"/>
        <v>0.35615860815113071</v>
      </c>
      <c r="K24" s="17">
        <f t="shared" si="0"/>
        <v>224.71115064079288</v>
      </c>
      <c r="L24" s="30">
        <f t="shared" si="1"/>
        <v>337.06672596118932</v>
      </c>
      <c r="M24" s="30">
        <f t="shared" si="7"/>
        <v>5.4588187464644307</v>
      </c>
      <c r="N24" s="100">
        <f t="shared" si="2"/>
        <v>5.3581801832150314E-3</v>
      </c>
      <c r="O24" s="56"/>
      <c r="P24" s="56" t="s">
        <v>191</v>
      </c>
      <c r="Q24" s="56"/>
      <c r="R24" s="56"/>
      <c r="S24" s="35"/>
      <c r="T24" s="35"/>
      <c r="U24" s="21"/>
      <c r="V24" s="35"/>
    </row>
    <row r="25" spans="1:22" x14ac:dyDescent="0.25">
      <c r="A25" s="50" t="s">
        <v>72</v>
      </c>
      <c r="B25" s="51" t="s">
        <v>17</v>
      </c>
      <c r="C25" s="26">
        <v>900.09460253946395</v>
      </c>
      <c r="D25" s="17">
        <v>360.63499999999999</v>
      </c>
      <c r="E25" s="52">
        <v>125</v>
      </c>
      <c r="F25" s="99">
        <f t="shared" si="3"/>
        <v>50.082930030705889</v>
      </c>
      <c r="G25" s="97">
        <f t="shared" si="4"/>
        <v>0.13887429126597775</v>
      </c>
      <c r="H25" s="81">
        <v>1064.0448160000001</v>
      </c>
      <c r="I25" s="27">
        <f t="shared" si="5"/>
        <v>0.18562356948328554</v>
      </c>
      <c r="J25" s="68">
        <f t="shared" si="6"/>
        <v>0.27843535422492832</v>
      </c>
      <c r="K25" s="17">
        <f t="shared" si="0"/>
        <v>66.942355980604674</v>
      </c>
      <c r="L25" s="30">
        <f t="shared" si="1"/>
        <v>100.41353397090703</v>
      </c>
      <c r="M25" s="30">
        <f t="shared" si="7"/>
        <v>-50.330603940201136</v>
      </c>
      <c r="N25" s="100">
        <f t="shared" si="2"/>
        <v>1.5962234371109474E-3</v>
      </c>
      <c r="O25" s="56"/>
      <c r="P25" s="56" t="s">
        <v>191</v>
      </c>
      <c r="Q25" s="56"/>
      <c r="R25" s="56"/>
      <c r="S25" s="35"/>
      <c r="T25" s="35"/>
      <c r="U25" s="21"/>
      <c r="V25" s="35"/>
    </row>
    <row r="26" spans="1:22" x14ac:dyDescent="0.25">
      <c r="A26" s="50" t="s">
        <v>72</v>
      </c>
      <c r="B26" s="51" t="s">
        <v>18</v>
      </c>
      <c r="C26" s="26">
        <v>628.83988700155396</v>
      </c>
      <c r="D26" s="17">
        <v>452.25749999999999</v>
      </c>
      <c r="E26" s="52">
        <v>100</v>
      </c>
      <c r="F26" s="99">
        <f t="shared" si="3"/>
        <v>71.919340574349164</v>
      </c>
      <c r="G26" s="97">
        <f t="shared" si="4"/>
        <v>0.1590229914912393</v>
      </c>
      <c r="H26" s="81">
        <v>1071.4572209999999</v>
      </c>
      <c r="I26" s="27">
        <f t="shared" si="5"/>
        <v>0.18425273925967173</v>
      </c>
      <c r="J26" s="68">
        <f t="shared" si="6"/>
        <v>0.27637910888950762</v>
      </c>
      <c r="K26" s="17">
        <f t="shared" si="0"/>
        <v>83.329683225730989</v>
      </c>
      <c r="L26" s="30">
        <f t="shared" si="1"/>
        <v>124.99452483859649</v>
      </c>
      <c r="M26" s="30">
        <f t="shared" si="7"/>
        <v>-53.075184264247326</v>
      </c>
      <c r="N26" s="100">
        <f t="shared" si="2"/>
        <v>1.9869750836149355E-3</v>
      </c>
      <c r="O26" s="56"/>
      <c r="P26" s="56" t="s">
        <v>191</v>
      </c>
      <c r="Q26" s="56"/>
      <c r="R26" s="56"/>
      <c r="S26" s="35"/>
      <c r="T26" s="35"/>
      <c r="U26" s="21"/>
      <c r="V26" s="35"/>
    </row>
    <row r="27" spans="1:22" x14ac:dyDescent="0.25">
      <c r="A27" s="50" t="s">
        <v>72</v>
      </c>
      <c r="B27" s="51" t="s">
        <v>19</v>
      </c>
      <c r="C27" s="26">
        <v>330.08496131464398</v>
      </c>
      <c r="D27" s="17">
        <v>155.405</v>
      </c>
      <c r="E27" s="52">
        <v>55</v>
      </c>
      <c r="F27" s="99">
        <f t="shared" si="3"/>
        <v>25.89416665926975</v>
      </c>
      <c r="G27" s="97">
        <f t="shared" si="4"/>
        <v>0.16662376795643483</v>
      </c>
      <c r="H27" s="81">
        <v>1733.076114</v>
      </c>
      <c r="I27" s="27">
        <f t="shared" si="5"/>
        <v>9.5077229651417364E-2</v>
      </c>
      <c r="J27" s="68">
        <f t="shared" si="6"/>
        <v>0.14261584447712605</v>
      </c>
      <c r="K27" s="17">
        <f t="shared" si="0"/>
        <v>14.775476873978516</v>
      </c>
      <c r="L27" s="30">
        <f t="shared" si="1"/>
        <v>22.163215310967775</v>
      </c>
      <c r="M27" s="30">
        <f t="shared" si="7"/>
        <v>3.7309513483019749</v>
      </c>
      <c r="N27" s="100">
        <f t="shared" si="2"/>
        <v>3.523174847262414E-4</v>
      </c>
      <c r="O27" s="56"/>
      <c r="P27" s="56" t="s">
        <v>191</v>
      </c>
      <c r="Q27" s="56"/>
      <c r="R27" s="56"/>
      <c r="S27" s="35"/>
      <c r="T27" s="35"/>
      <c r="U27" s="21"/>
      <c r="V27" s="35"/>
    </row>
    <row r="28" spans="1:22" x14ac:dyDescent="0.25">
      <c r="A28" s="50" t="s">
        <v>74</v>
      </c>
      <c r="B28" s="51" t="s">
        <v>20</v>
      </c>
      <c r="C28" s="26">
        <v>5787.9892024876499</v>
      </c>
      <c r="D28" s="17">
        <v>5041.2</v>
      </c>
      <c r="E28" s="52">
        <v>2900</v>
      </c>
      <c r="F28" s="99">
        <f t="shared" si="3"/>
        <v>2525.8305585153162</v>
      </c>
      <c r="G28" s="97">
        <f t="shared" si="4"/>
        <v>0.50103756219061257</v>
      </c>
      <c r="H28" s="81">
        <v>682.63787200000002</v>
      </c>
      <c r="I28" s="27">
        <f t="shared" si="5"/>
        <v>0.27181664698852726</v>
      </c>
      <c r="J28" s="68">
        <f t="shared" si="6"/>
        <v>0.40772497048279088</v>
      </c>
      <c r="K28" s="17">
        <f t="shared" si="0"/>
        <v>1370.2820807985636</v>
      </c>
      <c r="L28" s="30">
        <f t="shared" si="1"/>
        <v>2055.4231211978454</v>
      </c>
      <c r="M28" s="30">
        <f t="shared" si="7"/>
        <v>470.40743731747079</v>
      </c>
      <c r="N28" s="100">
        <f t="shared" si="2"/>
        <v>3.2674027389438566E-2</v>
      </c>
      <c r="O28" s="56"/>
      <c r="P28" s="56" t="s">
        <v>193</v>
      </c>
      <c r="Q28" s="56"/>
      <c r="R28" s="56"/>
      <c r="S28" s="35"/>
      <c r="T28" s="35"/>
      <c r="U28" s="21"/>
      <c r="V28" s="35"/>
    </row>
    <row r="29" spans="1:22" x14ac:dyDescent="0.25">
      <c r="A29" s="50" t="s">
        <v>74</v>
      </c>
      <c r="B29" s="51" t="s">
        <v>21</v>
      </c>
      <c r="C29" s="26">
        <v>3730.8214714364999</v>
      </c>
      <c r="D29" s="17">
        <v>3275.6</v>
      </c>
      <c r="E29" s="52">
        <v>2700</v>
      </c>
      <c r="F29" s="99">
        <f t="shared" si="3"/>
        <v>2370.5556719106949</v>
      </c>
      <c r="G29" s="97">
        <f t="shared" si="4"/>
        <v>0.72370120646925606</v>
      </c>
      <c r="H29" s="81">
        <v>595.942722</v>
      </c>
      <c r="I29" s="27">
        <f t="shared" si="5"/>
        <v>0.29643349616492948</v>
      </c>
      <c r="J29" s="68">
        <f t="shared" si="6"/>
        <v>0.44465024424739424</v>
      </c>
      <c r="K29" s="17">
        <f t="shared" si="0"/>
        <v>970.99756003784296</v>
      </c>
      <c r="L29" s="30">
        <f t="shared" si="1"/>
        <v>1456.4963400567644</v>
      </c>
      <c r="M29" s="30">
        <f t="shared" si="7"/>
        <v>914.05933185393042</v>
      </c>
      <c r="N29" s="100">
        <f t="shared" si="2"/>
        <v>2.3153189636155209E-2</v>
      </c>
      <c r="O29" s="56"/>
      <c r="P29" s="56" t="s">
        <v>194</v>
      </c>
      <c r="Q29" s="56"/>
      <c r="R29" s="56"/>
      <c r="S29" s="35"/>
      <c r="T29" s="35"/>
      <c r="U29" s="21"/>
      <c r="V29" s="35"/>
    </row>
    <row r="30" spans="1:22" x14ac:dyDescent="0.25">
      <c r="A30" s="50" t="s">
        <v>74</v>
      </c>
      <c r="B30" s="51" t="s">
        <v>22</v>
      </c>
      <c r="C30" s="26">
        <v>4845.6710560063693</v>
      </c>
      <c r="D30" s="17">
        <v>2144.7325000000001</v>
      </c>
      <c r="E30" s="52">
        <v>3500</v>
      </c>
      <c r="F30" s="99">
        <f t="shared" si="3"/>
        <v>1549.127801544714</v>
      </c>
      <c r="G30" s="97">
        <f t="shared" si="4"/>
        <v>0.72229417959802167</v>
      </c>
      <c r="H30" s="81">
        <v>248.22278600000001</v>
      </c>
      <c r="I30" s="27">
        <f t="shared" si="5"/>
        <v>0.41970111753683437</v>
      </c>
      <c r="J30" s="68">
        <f t="shared" si="6"/>
        <v>0.62955167630525166</v>
      </c>
      <c r="K30" s="17">
        <f t="shared" si="0"/>
        <v>900.1466270675686</v>
      </c>
      <c r="L30" s="30">
        <f t="shared" si="1"/>
        <v>1350.2199406013533</v>
      </c>
      <c r="M30" s="30">
        <f t="shared" si="7"/>
        <v>198.90786094336067</v>
      </c>
      <c r="N30" s="100">
        <f t="shared" si="2"/>
        <v>2.1463767175716335E-2</v>
      </c>
      <c r="O30" s="56"/>
      <c r="P30" s="56" t="s">
        <v>181</v>
      </c>
      <c r="Q30" s="56"/>
      <c r="R30" s="56"/>
      <c r="S30" s="35"/>
      <c r="T30" s="35"/>
      <c r="U30" s="21"/>
      <c r="V30" s="35"/>
    </row>
    <row r="31" spans="1:22" x14ac:dyDescent="0.25">
      <c r="A31" s="50" t="s">
        <v>74</v>
      </c>
      <c r="B31" s="51" t="s">
        <v>23</v>
      </c>
      <c r="C31" s="26">
        <v>1514.81095111279</v>
      </c>
      <c r="D31" s="17">
        <v>641.92750000000001</v>
      </c>
      <c r="E31" s="52">
        <v>800</v>
      </c>
      <c r="F31" s="99">
        <f t="shared" si="3"/>
        <v>339.01392092706266</v>
      </c>
      <c r="G31" s="97">
        <f t="shared" si="4"/>
        <v>0.52811870643812997</v>
      </c>
      <c r="H31" s="81">
        <v>178.404864</v>
      </c>
      <c r="I31" s="27">
        <f t="shared" si="5"/>
        <v>0.45005093040589939</v>
      </c>
      <c r="J31" s="68">
        <f t="shared" si="6"/>
        <v>0.67507639560884913</v>
      </c>
      <c r="K31" s="17">
        <f t="shared" si="0"/>
        <v>288.900068628133</v>
      </c>
      <c r="L31" s="30">
        <f t="shared" si="1"/>
        <v>433.3501029421995</v>
      </c>
      <c r="M31" s="30">
        <f t="shared" si="7"/>
        <v>-94.336182015136842</v>
      </c>
      <c r="N31" s="100">
        <f t="shared" si="2"/>
        <v>6.8887485923082312E-3</v>
      </c>
      <c r="O31" s="56"/>
      <c r="P31" s="56" t="s">
        <v>181</v>
      </c>
      <c r="Q31" s="56"/>
      <c r="R31" s="56"/>
      <c r="S31" s="35"/>
      <c r="T31" s="35"/>
      <c r="U31" s="21"/>
      <c r="V31" s="35"/>
    </row>
    <row r="32" spans="1:22" x14ac:dyDescent="0.25">
      <c r="A32" s="50" t="s">
        <v>73</v>
      </c>
      <c r="B32" s="51" t="s">
        <v>24</v>
      </c>
      <c r="C32" s="26">
        <v>346.13618894226096</v>
      </c>
      <c r="D32" s="17">
        <v>236.64500000000001</v>
      </c>
      <c r="E32" s="57">
        <v>300</v>
      </c>
      <c r="F32" s="99">
        <f t="shared" si="3"/>
        <v>205.10279556999006</v>
      </c>
      <c r="G32" s="97">
        <f t="shared" si="4"/>
        <v>0.86671087734788421</v>
      </c>
      <c r="H32" s="81">
        <v>130.20733100000001</v>
      </c>
      <c r="I32" s="27">
        <f t="shared" si="5"/>
        <v>0.47227350997330969</v>
      </c>
      <c r="J32" s="68">
        <f t="shared" si="6"/>
        <v>0.70841026495996462</v>
      </c>
      <c r="K32" s="17">
        <f t="shared" si="0"/>
        <v>111.76116476763387</v>
      </c>
      <c r="L32" s="30">
        <f t="shared" si="1"/>
        <v>167.64174715145083</v>
      </c>
      <c r="M32" s="30">
        <f t="shared" si="7"/>
        <v>37.461048418539235</v>
      </c>
      <c r="N32" s="100">
        <f t="shared" si="2"/>
        <v>2.6649165232935988E-3</v>
      </c>
      <c r="O32" s="56"/>
      <c r="P32" s="56" t="s">
        <v>181</v>
      </c>
      <c r="Q32" s="56"/>
      <c r="R32" s="56"/>
      <c r="S32" s="35"/>
      <c r="T32" s="35"/>
      <c r="U32" s="21"/>
      <c r="V32" s="35"/>
    </row>
    <row r="33" spans="1:22" x14ac:dyDescent="0.25">
      <c r="A33" s="50" t="s">
        <v>74</v>
      </c>
      <c r="B33" s="51" t="s">
        <v>25</v>
      </c>
      <c r="C33" s="26">
        <v>2340.2843160340999</v>
      </c>
      <c r="D33" s="17">
        <v>1473.575</v>
      </c>
      <c r="E33" s="52">
        <v>2000</v>
      </c>
      <c r="F33" s="99">
        <f t="shared" si="3"/>
        <v>1259.3128022129845</v>
      </c>
      <c r="G33" s="97">
        <f t="shared" si="4"/>
        <v>0.85459701895932305</v>
      </c>
      <c r="H33" s="81">
        <v>93.15558</v>
      </c>
      <c r="I33" s="27">
        <f t="shared" si="5"/>
        <v>0.490100287749761</v>
      </c>
      <c r="J33" s="68">
        <f t="shared" si="6"/>
        <v>0.73515043162464155</v>
      </c>
      <c r="K33" s="17">
        <f t="shared" si="0"/>
        <v>722.19953152085407</v>
      </c>
      <c r="L33" s="30">
        <f t="shared" si="1"/>
        <v>1083.2992972812813</v>
      </c>
      <c r="M33" s="30">
        <f t="shared" si="7"/>
        <v>176.01350493170321</v>
      </c>
      <c r="N33" s="100">
        <f t="shared" si="2"/>
        <v>1.7220663981682E-2</v>
      </c>
      <c r="O33" s="56"/>
      <c r="P33" s="56" t="s">
        <v>194</v>
      </c>
      <c r="Q33" s="56"/>
      <c r="R33" s="56"/>
      <c r="S33" s="35"/>
      <c r="T33" s="35"/>
      <c r="U33" s="21"/>
      <c r="V33" s="35"/>
    </row>
    <row r="34" spans="1:22" x14ac:dyDescent="0.25">
      <c r="A34" s="50" t="s">
        <v>74</v>
      </c>
      <c r="B34" s="51" t="s">
        <v>26</v>
      </c>
      <c r="C34" s="26">
        <v>2074.4502870841302</v>
      </c>
      <c r="D34" s="17">
        <v>1410.7974999999999</v>
      </c>
      <c r="E34" s="52">
        <v>1500</v>
      </c>
      <c r="F34" s="99">
        <f t="shared" si="3"/>
        <v>1020.1238675979787</v>
      </c>
      <c r="G34" s="97">
        <f t="shared" si="4"/>
        <v>0.72308312681159315</v>
      </c>
      <c r="H34" s="81">
        <v>168.539669</v>
      </c>
      <c r="I34" s="27">
        <f t="shared" si="5"/>
        <v>0.45451274273260334</v>
      </c>
      <c r="J34" s="68">
        <f t="shared" si="6"/>
        <v>0.68176911409890506</v>
      </c>
      <c r="K34" s="17">
        <f t="shared" si="0"/>
        <v>641.22544116529991</v>
      </c>
      <c r="L34" s="30">
        <f t="shared" si="1"/>
        <v>961.83816174794993</v>
      </c>
      <c r="M34" s="30">
        <f t="shared" si="7"/>
        <v>58.285705850028762</v>
      </c>
      <c r="N34" s="100">
        <f t="shared" si="2"/>
        <v>1.5289857410402619E-2</v>
      </c>
      <c r="O34" s="56"/>
      <c r="P34" s="56" t="s">
        <v>194</v>
      </c>
      <c r="Q34" s="107"/>
      <c r="R34" s="56"/>
      <c r="S34" s="35"/>
      <c r="T34" s="35"/>
      <c r="U34" s="21"/>
      <c r="V34" s="35"/>
    </row>
    <row r="35" spans="1:22" x14ac:dyDescent="0.25">
      <c r="A35" s="58" t="s">
        <v>72</v>
      </c>
      <c r="B35" s="59" t="s">
        <v>27</v>
      </c>
      <c r="C35" s="26">
        <v>481.59370886167903</v>
      </c>
      <c r="D35" s="17">
        <v>422.96499999999997</v>
      </c>
      <c r="E35" s="60">
        <v>63</v>
      </c>
      <c r="F35" s="99">
        <f t="shared" si="3"/>
        <v>55.330446618548663</v>
      </c>
      <c r="G35" s="97">
        <f t="shared" si="4"/>
        <v>0.13081566233269576</v>
      </c>
      <c r="H35" s="81">
        <v>772.27919099999997</v>
      </c>
      <c r="I35" s="27">
        <f t="shared" si="5"/>
        <v>0.24851083048806202</v>
      </c>
      <c r="J35" s="68">
        <f t="shared" si="6"/>
        <v>0.37276624573209305</v>
      </c>
      <c r="K35" s="17">
        <f t="shared" si="0"/>
        <v>105.11138341738315</v>
      </c>
      <c r="L35" s="30">
        <f t="shared" si="1"/>
        <v>157.66707512607474</v>
      </c>
      <c r="M35" s="30">
        <f t="shared" si="7"/>
        <v>-102.33662850752607</v>
      </c>
      <c r="N35" s="100">
        <f t="shared" si="2"/>
        <v>2.5063541798049879E-3</v>
      </c>
      <c r="O35" s="56"/>
      <c r="P35" s="109" t="s">
        <v>191</v>
      </c>
      <c r="Q35" s="107"/>
      <c r="R35" s="108"/>
      <c r="S35" s="35"/>
      <c r="T35" s="35"/>
      <c r="U35" s="21"/>
      <c r="V35" s="35"/>
    </row>
    <row r="36" spans="1:22" x14ac:dyDescent="0.25">
      <c r="F36" s="99"/>
      <c r="G36" s="98"/>
      <c r="I36" s="27"/>
      <c r="J36" s="68"/>
      <c r="K36" s="17"/>
      <c r="L36" s="30"/>
      <c r="M36" s="30"/>
      <c r="N36" s="100"/>
      <c r="O36" s="56"/>
      <c r="P36" s="26"/>
      <c r="Q36" s="26"/>
      <c r="R36" s="56"/>
      <c r="S36" s="35"/>
      <c r="T36" s="35"/>
      <c r="U36" s="21"/>
      <c r="V36" s="35"/>
    </row>
    <row r="37" spans="1:22" x14ac:dyDescent="0.25">
      <c r="B37" s="69" t="s">
        <v>108</v>
      </c>
      <c r="F37" s="99"/>
      <c r="G37" s="98"/>
      <c r="I37" s="27"/>
      <c r="J37" s="68"/>
      <c r="K37" s="17"/>
      <c r="L37" s="30"/>
      <c r="M37" s="30"/>
      <c r="N37" s="100"/>
      <c r="O37" s="56"/>
      <c r="P37" s="56"/>
      <c r="Q37" s="56"/>
      <c r="R37" s="56"/>
      <c r="S37" s="35"/>
      <c r="T37" s="35"/>
      <c r="U37" s="21"/>
      <c r="V37" s="35"/>
    </row>
    <row r="38" spans="1:22" x14ac:dyDescent="0.25">
      <c r="B38" t="s">
        <v>62</v>
      </c>
      <c r="C38" s="17">
        <v>2131.95712483024</v>
      </c>
      <c r="D38" s="17">
        <v>748.65250000000003</v>
      </c>
      <c r="E38" s="17">
        <v>1708</v>
      </c>
      <c r="F38" s="99">
        <f t="shared" si="3"/>
        <v>599.77682248268388</v>
      </c>
      <c r="G38" s="97">
        <f t="shared" ref="G38:G43" si="8">E38/C38</f>
        <v>0.80114181477078339</v>
      </c>
      <c r="H38" s="29">
        <v>150.14314899999999</v>
      </c>
      <c r="I38" s="27">
        <f t="shared" si="5"/>
        <v>0.46295158011857346</v>
      </c>
      <c r="J38" s="68">
        <f t="shared" si="6"/>
        <v>0.69442737017786016</v>
      </c>
      <c r="K38" s="17">
        <f t="shared" ref="K38:L43" si="9">$D38*I38</f>
        <v>346.58985783472031</v>
      </c>
      <c r="L38" s="30">
        <f t="shared" si="9"/>
        <v>519.88478675208046</v>
      </c>
      <c r="M38" s="30">
        <f t="shared" si="7"/>
        <v>79.892035730603425</v>
      </c>
      <c r="N38" s="100">
        <f t="shared" ref="N38:N43" si="10">L38/L$55</f>
        <v>8.2643469300814794E-3</v>
      </c>
      <c r="O38" s="56"/>
      <c r="P38" s="56" t="s">
        <v>181</v>
      </c>
      <c r="Q38" s="56"/>
      <c r="R38" s="56"/>
      <c r="S38" s="35"/>
      <c r="T38" s="35"/>
      <c r="U38" s="21"/>
      <c r="V38" s="35"/>
    </row>
    <row r="39" spans="1:22" x14ac:dyDescent="0.25">
      <c r="B39" t="s">
        <v>58</v>
      </c>
      <c r="C39" s="17">
        <v>1142.9793070016699</v>
      </c>
      <c r="D39" s="17">
        <v>1040.9725000000001</v>
      </c>
      <c r="E39" s="17">
        <v>2342.4</v>
      </c>
      <c r="F39" s="99">
        <f t="shared" si="3"/>
        <v>2133.3491945680848</v>
      </c>
      <c r="G39" s="97">
        <f t="shared" si="8"/>
        <v>2.0493809342399389</v>
      </c>
      <c r="H39" s="29">
        <v>591.047597</v>
      </c>
      <c r="I39" s="27">
        <f t="shared" si="5"/>
        <v>0.29788813259171765</v>
      </c>
      <c r="J39" s="68">
        <f t="shared" si="6"/>
        <v>0.44683219888757647</v>
      </c>
      <c r="K39" s="17">
        <f t="shared" si="9"/>
        <v>310.09335410433181</v>
      </c>
      <c r="L39" s="30">
        <f t="shared" si="9"/>
        <v>465.14003115649774</v>
      </c>
      <c r="M39" s="30">
        <f t="shared" si="7"/>
        <v>1668.209163411587</v>
      </c>
      <c r="N39" s="100">
        <f t="shared" si="10"/>
        <v>7.3940970893986687E-3</v>
      </c>
      <c r="O39" s="56"/>
      <c r="P39" s="56" t="s">
        <v>181</v>
      </c>
      <c r="Q39" s="56"/>
      <c r="R39" s="56"/>
      <c r="S39" s="35"/>
      <c r="T39" s="35"/>
      <c r="U39" s="21"/>
      <c r="V39" s="35"/>
    </row>
    <row r="40" spans="1:22" x14ac:dyDescent="0.25">
      <c r="B40" t="s">
        <v>59</v>
      </c>
      <c r="C40" s="17">
        <v>1192.42865785611</v>
      </c>
      <c r="D40" s="17">
        <v>917.7</v>
      </c>
      <c r="E40" s="17">
        <v>2351.4</v>
      </c>
      <c r="F40" s="99">
        <f t="shared" si="3"/>
        <v>1809.6510560889178</v>
      </c>
      <c r="G40" s="97">
        <f t="shared" si="8"/>
        <v>1.9719418721683748</v>
      </c>
      <c r="H40" s="29">
        <v>561.88926200000003</v>
      </c>
      <c r="I40" s="27">
        <f t="shared" si="5"/>
        <v>0.30670192789763512</v>
      </c>
      <c r="J40" s="68">
        <f t="shared" si="6"/>
        <v>0.46005289184645271</v>
      </c>
      <c r="K40" s="17">
        <f t="shared" si="9"/>
        <v>281.46035923165977</v>
      </c>
      <c r="L40" s="30">
        <f t="shared" si="9"/>
        <v>422.19053884748968</v>
      </c>
      <c r="M40" s="30">
        <f t="shared" si="7"/>
        <v>1387.4605172414281</v>
      </c>
      <c r="N40" s="100">
        <f t="shared" si="10"/>
        <v>6.7113506156462541E-3</v>
      </c>
      <c r="O40" s="56"/>
      <c r="P40" s="56" t="s">
        <v>181</v>
      </c>
      <c r="Q40" s="56"/>
      <c r="R40" s="56"/>
      <c r="S40" s="35"/>
      <c r="T40" s="35"/>
      <c r="U40" s="21"/>
      <c r="V40" s="35"/>
    </row>
    <row r="41" spans="1:22" x14ac:dyDescent="0.25">
      <c r="B41" t="s">
        <v>60</v>
      </c>
      <c r="C41" s="17">
        <v>1735.88034905686</v>
      </c>
      <c r="D41" s="17">
        <v>1010.3150000000001</v>
      </c>
      <c r="E41" s="17">
        <v>3001.2</v>
      </c>
      <c r="F41" s="99">
        <f t="shared" si="3"/>
        <v>1746.7548265336573</v>
      </c>
      <c r="G41" s="97">
        <f t="shared" si="8"/>
        <v>1.7289210063531246</v>
      </c>
      <c r="H41" s="29">
        <v>287.38127100000003</v>
      </c>
      <c r="I41" s="27">
        <f t="shared" si="5"/>
        <v>0.40358388036051829</v>
      </c>
      <c r="J41" s="68">
        <f t="shared" si="6"/>
        <v>0.60537582054077754</v>
      </c>
      <c r="K41" s="17">
        <f t="shared" si="9"/>
        <v>407.74684808643707</v>
      </c>
      <c r="L41" s="30">
        <f t="shared" si="9"/>
        <v>611.62027212965575</v>
      </c>
      <c r="M41" s="30">
        <f t="shared" si="7"/>
        <v>1135.1345544040014</v>
      </c>
      <c r="N41" s="100">
        <f t="shared" si="10"/>
        <v>9.7226197941444031E-3</v>
      </c>
      <c r="O41" s="56"/>
      <c r="P41" s="56" t="s">
        <v>181</v>
      </c>
      <c r="Q41" s="56"/>
      <c r="R41" s="56"/>
      <c r="S41" s="35"/>
      <c r="T41" s="35"/>
      <c r="U41" s="21"/>
      <c r="V41" s="35"/>
    </row>
    <row r="42" spans="1:22" x14ac:dyDescent="0.25">
      <c r="B42" t="s">
        <v>61</v>
      </c>
      <c r="C42" s="17">
        <v>1587.3534554772798</v>
      </c>
      <c r="D42" s="17">
        <v>1163.9875</v>
      </c>
      <c r="E42" s="17">
        <v>3202.4</v>
      </c>
      <c r="F42" s="99">
        <f t="shared" si="3"/>
        <v>2348.2820144044176</v>
      </c>
      <c r="G42" s="97">
        <f t="shared" si="8"/>
        <v>2.0174460760140618</v>
      </c>
      <c r="H42" s="29">
        <v>448.590891</v>
      </c>
      <c r="I42" s="27">
        <f t="shared" si="5"/>
        <v>0.34349574625201462</v>
      </c>
      <c r="J42" s="68">
        <f t="shared" si="6"/>
        <v>0.51524361937802199</v>
      </c>
      <c r="K42" s="17">
        <f t="shared" si="9"/>
        <v>399.82475494051687</v>
      </c>
      <c r="L42" s="30">
        <f t="shared" si="9"/>
        <v>599.7371324107753</v>
      </c>
      <c r="M42" s="30">
        <f t="shared" si="7"/>
        <v>1748.5448819936423</v>
      </c>
      <c r="N42" s="100">
        <f t="shared" si="10"/>
        <v>9.5337194997753526E-3</v>
      </c>
      <c r="O42" s="56"/>
      <c r="P42" s="56" t="s">
        <v>187</v>
      </c>
      <c r="Q42" s="56"/>
      <c r="R42" s="56"/>
      <c r="S42" s="35"/>
      <c r="T42" s="35"/>
      <c r="U42" s="21"/>
      <c r="V42" s="35"/>
    </row>
    <row r="43" spans="1:22" x14ac:dyDescent="0.25">
      <c r="B43" t="s">
        <v>41</v>
      </c>
      <c r="C43" s="17">
        <v>2288.73497670191</v>
      </c>
      <c r="D43" s="17">
        <v>1129.06</v>
      </c>
      <c r="E43" s="17"/>
      <c r="F43" s="99">
        <f t="shared" si="3"/>
        <v>0</v>
      </c>
      <c r="G43" s="97">
        <f t="shared" si="8"/>
        <v>0</v>
      </c>
      <c r="H43" s="29">
        <v>508.62377400000003</v>
      </c>
      <c r="I43" s="27">
        <f t="shared" si="5"/>
        <v>0.32348147404100025</v>
      </c>
      <c r="J43" s="68">
        <f t="shared" si="6"/>
        <v>0.48522221106150037</v>
      </c>
      <c r="K43" s="17">
        <f t="shared" si="9"/>
        <v>365.22999308073173</v>
      </c>
      <c r="L43" s="30">
        <f t="shared" si="9"/>
        <v>547.84498962109762</v>
      </c>
      <c r="M43" s="30">
        <f t="shared" si="7"/>
        <v>-547.84498962109762</v>
      </c>
      <c r="N43" s="100">
        <f t="shared" si="10"/>
        <v>8.708816209878293E-3</v>
      </c>
      <c r="O43" s="56"/>
      <c r="P43" s="56" t="s">
        <v>180</v>
      </c>
      <c r="Q43" s="56"/>
      <c r="R43" s="56"/>
      <c r="S43" s="35"/>
      <c r="T43" s="35"/>
      <c r="U43" s="21"/>
      <c r="V43" s="35"/>
    </row>
    <row r="44" spans="1:22" x14ac:dyDescent="0.25">
      <c r="E44" s="17"/>
      <c r="F44" s="99"/>
      <c r="G44" s="97"/>
      <c r="H44" s="75"/>
      <c r="I44" s="27"/>
      <c r="J44" s="68"/>
      <c r="K44" s="17"/>
      <c r="L44" s="30"/>
      <c r="M44" s="30"/>
      <c r="N44" s="100"/>
      <c r="O44" s="56"/>
      <c r="P44" s="56"/>
      <c r="Q44" s="56"/>
      <c r="R44" s="56"/>
      <c r="S44" s="35"/>
      <c r="T44" s="35"/>
      <c r="U44" s="21"/>
      <c r="V44" s="35"/>
    </row>
    <row r="45" spans="1:22" x14ac:dyDescent="0.25">
      <c r="B45" t="s">
        <v>57</v>
      </c>
      <c r="C45" s="29">
        <v>6197.0591379095895</v>
      </c>
      <c r="D45" s="29">
        <v>2406.9375</v>
      </c>
      <c r="E45" s="17">
        <v>13643.4</v>
      </c>
      <c r="F45" s="99">
        <f t="shared" si="3"/>
        <v>5299.0959674103233</v>
      </c>
      <c r="G45" s="97">
        <f t="shared" ref="G45:G50" si="11">E45/C45</f>
        <v>2.2015926742635914</v>
      </c>
      <c r="H45" s="81">
        <v>146.52738299999999</v>
      </c>
      <c r="I45" s="27">
        <f t="shared" si="5"/>
        <v>0.46462853461212467</v>
      </c>
      <c r="J45" s="68">
        <f t="shared" si="6"/>
        <v>0.69694280191818703</v>
      </c>
      <c r="K45" s="17">
        <f t="shared" ref="K45:L50" si="12">$D45*I45</f>
        <v>1118.3318435279707</v>
      </c>
      <c r="L45" s="30">
        <f t="shared" si="12"/>
        <v>1677.4977652919563</v>
      </c>
      <c r="M45" s="30">
        <f t="shared" si="7"/>
        <v>3621.5982021183672</v>
      </c>
      <c r="N45" s="100">
        <f t="shared" ref="N45:N50" si="13">L45/L$55</f>
        <v>2.6666338119680787E-2</v>
      </c>
      <c r="O45" s="56"/>
      <c r="P45" s="56" t="s">
        <v>186</v>
      </c>
      <c r="Q45" s="56"/>
      <c r="R45" s="56"/>
      <c r="S45" s="35"/>
      <c r="T45" s="35"/>
      <c r="U45" s="21"/>
      <c r="V45" s="35"/>
    </row>
    <row r="46" spans="1:22" x14ac:dyDescent="0.25">
      <c r="B46" t="s">
        <v>44</v>
      </c>
      <c r="C46" s="29">
        <v>22319.110906830199</v>
      </c>
      <c r="D46" s="29">
        <v>6780.4324999999999</v>
      </c>
      <c r="E46" s="17">
        <v>13933.6</v>
      </c>
      <c r="F46" s="99">
        <f t="shared" si="3"/>
        <v>4232.9568895635566</v>
      </c>
      <c r="G46" s="97">
        <f t="shared" si="11"/>
        <v>0.62429010089895531</v>
      </c>
      <c r="H46" s="81">
        <v>227.41330099999999</v>
      </c>
      <c r="I46" s="27">
        <f t="shared" si="5"/>
        <v>0.42852638784336627</v>
      </c>
      <c r="J46" s="68">
        <f t="shared" si="6"/>
        <v>0.64278958176504952</v>
      </c>
      <c r="K46" s="17">
        <f t="shared" si="12"/>
        <v>2905.5942472407655</v>
      </c>
      <c r="L46" s="30">
        <f t="shared" si="12"/>
        <v>4358.391370861149</v>
      </c>
      <c r="M46" s="30">
        <f t="shared" si="7"/>
        <v>-125.43448129759236</v>
      </c>
      <c r="N46" s="100">
        <f t="shared" si="13"/>
        <v>6.9283155160003926E-2</v>
      </c>
      <c r="O46" s="56"/>
      <c r="P46" s="56" t="s">
        <v>184</v>
      </c>
      <c r="Q46" s="56"/>
      <c r="R46" s="56"/>
      <c r="S46" s="35"/>
      <c r="T46" s="35"/>
      <c r="U46" s="21"/>
      <c r="V46" s="35"/>
    </row>
    <row r="47" spans="1:22" x14ac:dyDescent="0.25">
      <c r="B47" t="s">
        <v>42</v>
      </c>
      <c r="C47" s="17">
        <v>33026.218422764403</v>
      </c>
      <c r="D47" s="17">
        <v>15825.0275</v>
      </c>
      <c r="E47" s="17">
        <v>13944.2</v>
      </c>
      <c r="F47" s="99">
        <f t="shared" si="3"/>
        <v>6681.5808470944357</v>
      </c>
      <c r="G47" s="97">
        <f t="shared" si="11"/>
        <v>0.42221606547567991</v>
      </c>
      <c r="H47" s="81">
        <v>681.44013099999995</v>
      </c>
      <c r="I47" s="27">
        <f t="shared" si="5"/>
        <v>0.27214240798081202</v>
      </c>
      <c r="J47" s="68">
        <f t="shared" si="6"/>
        <v>0.40821361197121803</v>
      </c>
      <c r="K47" s="17">
        <f t="shared" si="12"/>
        <v>4306.6610902125694</v>
      </c>
      <c r="L47" s="30">
        <f t="shared" si="12"/>
        <v>6459.9916353188546</v>
      </c>
      <c r="M47" s="30">
        <f t="shared" si="7"/>
        <v>221.58921177558113</v>
      </c>
      <c r="N47" s="100">
        <f t="shared" si="13"/>
        <v>0.10269123736671019</v>
      </c>
      <c r="O47" s="56"/>
      <c r="P47" s="56" t="s">
        <v>185</v>
      </c>
      <c r="Q47" s="56"/>
      <c r="R47" s="56"/>
      <c r="S47" s="35"/>
      <c r="T47" s="35"/>
      <c r="U47" s="21"/>
      <c r="V47" s="35"/>
    </row>
    <row r="48" spans="1:22" x14ac:dyDescent="0.25">
      <c r="B48" t="s">
        <v>43</v>
      </c>
      <c r="C48" s="17">
        <v>20650.0479794151</v>
      </c>
      <c r="D48" s="17">
        <v>10384.602500000001</v>
      </c>
      <c r="E48" s="17">
        <v>11999.2</v>
      </c>
      <c r="F48" s="99">
        <f t="shared" si="3"/>
        <v>6034.2195060376534</v>
      </c>
      <c r="G48" s="97">
        <f t="shared" si="11"/>
        <v>0.58107371043211842</v>
      </c>
      <c r="H48" s="81">
        <v>1038.107753</v>
      </c>
      <c r="I48" s="27">
        <f t="shared" si="5"/>
        <v>0.19050108041870123</v>
      </c>
      <c r="J48" s="68">
        <f t="shared" si="6"/>
        <v>0.28575162062805187</v>
      </c>
      <c r="K48" s="17">
        <f t="shared" si="12"/>
        <v>1978.2779959687459</v>
      </c>
      <c r="L48" s="30">
        <f t="shared" si="12"/>
        <v>2967.4169939531193</v>
      </c>
      <c r="M48" s="30">
        <f t="shared" si="7"/>
        <v>3066.8025120845341</v>
      </c>
      <c r="N48" s="100">
        <f t="shared" si="13"/>
        <v>4.717153521159452E-2</v>
      </c>
      <c r="O48" s="56"/>
      <c r="P48" s="56" t="s">
        <v>182</v>
      </c>
      <c r="Q48" s="56"/>
      <c r="R48" s="56"/>
      <c r="S48" s="35"/>
      <c r="T48" s="35"/>
      <c r="U48" s="21"/>
      <c r="V48" s="35"/>
    </row>
    <row r="49" spans="2:22" x14ac:dyDescent="0.25">
      <c r="B49" t="s">
        <v>56</v>
      </c>
      <c r="C49" s="17">
        <v>24363.3225171302</v>
      </c>
      <c r="D49" s="17">
        <v>14174.06</v>
      </c>
      <c r="E49" s="17">
        <v>78794.600000000006</v>
      </c>
      <c r="F49" s="99">
        <f t="shared" si="3"/>
        <v>45841.013157820911</v>
      </c>
      <c r="G49" s="97">
        <f t="shared" si="11"/>
        <v>3.2341483779397655</v>
      </c>
      <c r="H49" s="81">
        <v>421.68258300000002</v>
      </c>
      <c r="I49" s="27">
        <f t="shared" si="5"/>
        <v>0.35286411378583182</v>
      </c>
      <c r="J49" s="68">
        <f t="shared" si="6"/>
        <v>0.52929617067874779</v>
      </c>
      <c r="K49" s="17">
        <f t="shared" si="12"/>
        <v>5001.5171206472069</v>
      </c>
      <c r="L49" s="30">
        <f t="shared" si="12"/>
        <v>7502.2756809708117</v>
      </c>
      <c r="M49" s="30">
        <f t="shared" si="7"/>
        <v>38338.737476850103</v>
      </c>
      <c r="N49" s="100">
        <f t="shared" si="13"/>
        <v>0.11925990252571658</v>
      </c>
      <c r="O49" s="56"/>
      <c r="P49" s="56" t="s">
        <v>182</v>
      </c>
      <c r="Q49" s="56"/>
      <c r="R49" s="56"/>
      <c r="S49" s="35"/>
      <c r="T49" s="35"/>
      <c r="U49" s="21"/>
      <c r="V49" s="35"/>
    </row>
    <row r="50" spans="2:22" x14ac:dyDescent="0.25">
      <c r="B50" t="s">
        <v>55</v>
      </c>
      <c r="C50" s="17">
        <v>30959.4025424748</v>
      </c>
      <c r="D50" s="17">
        <v>18417.827499999999</v>
      </c>
      <c r="E50" s="17">
        <v>68561.8</v>
      </c>
      <c r="F50" s="99">
        <f t="shared" si="3"/>
        <v>40787.589610524796</v>
      </c>
      <c r="G50" s="97">
        <f t="shared" si="11"/>
        <v>2.2145711599549291</v>
      </c>
      <c r="H50" s="81">
        <v>140.20102199999999</v>
      </c>
      <c r="I50" s="27">
        <f t="shared" si="5"/>
        <v>0.46757725996883892</v>
      </c>
      <c r="J50" s="68">
        <f t="shared" si="6"/>
        <v>0.70136588995325844</v>
      </c>
      <c r="K50" s="17">
        <f t="shared" si="12"/>
        <v>8611.7573170287305</v>
      </c>
      <c r="L50" s="30">
        <f t="shared" si="12"/>
        <v>12917.635975543097</v>
      </c>
      <c r="M50" s="30">
        <f t="shared" si="7"/>
        <v>27869.953634981699</v>
      </c>
      <c r="N50" s="100">
        <f t="shared" si="13"/>
        <v>0.20534516096409403</v>
      </c>
      <c r="O50" s="56"/>
      <c r="P50" s="56" t="s">
        <v>182</v>
      </c>
      <c r="Q50" s="56"/>
      <c r="R50" s="56"/>
      <c r="S50" s="35"/>
      <c r="T50" s="35"/>
      <c r="U50" s="21"/>
      <c r="V50" s="35"/>
    </row>
    <row r="51" spans="2:22" x14ac:dyDescent="0.25">
      <c r="D51" s="17"/>
      <c r="F51" s="98"/>
      <c r="G51" s="98"/>
      <c r="H51" s="75"/>
      <c r="I51" s="27"/>
      <c r="J51" s="68"/>
      <c r="K51" s="17"/>
      <c r="L51" s="30"/>
      <c r="M51" s="30"/>
      <c r="N51" s="100"/>
      <c r="O51" s="56"/>
      <c r="P51" s="56"/>
      <c r="Q51" s="56"/>
      <c r="R51" s="56"/>
      <c r="S51" s="35"/>
      <c r="T51" s="35"/>
      <c r="U51" s="21"/>
      <c r="V51" s="35"/>
    </row>
    <row r="52" spans="2:22" x14ac:dyDescent="0.25">
      <c r="B52" t="s">
        <v>53</v>
      </c>
      <c r="D52" s="17">
        <v>14349.51</v>
      </c>
      <c r="F52" s="98">
        <v>0</v>
      </c>
      <c r="G52" s="98"/>
      <c r="H52" s="29">
        <v>964.12917900000002</v>
      </c>
      <c r="I52" s="27">
        <f t="shared" si="5"/>
        <v>0.20512846471967025</v>
      </c>
      <c r="J52" s="68">
        <f t="shared" si="6"/>
        <v>0.30769269707950536</v>
      </c>
      <c r="K52" s="17">
        <f>$D52*I52</f>
        <v>2943.4929557795554</v>
      </c>
      <c r="L52" s="30">
        <f>$D52*J52</f>
        <v>4415.2394336693333</v>
      </c>
      <c r="M52" s="30">
        <f t="shared" si="7"/>
        <v>-4415.2394336693333</v>
      </c>
      <c r="N52" s="100">
        <f>L52/L$55</f>
        <v>7.0186840217389412E-2</v>
      </c>
      <c r="O52" s="56"/>
      <c r="P52" s="56" t="s">
        <v>183</v>
      </c>
      <c r="Q52" s="56"/>
      <c r="R52" s="56"/>
      <c r="S52" s="35"/>
      <c r="T52" s="35"/>
      <c r="U52" s="21"/>
      <c r="V52" s="35"/>
    </row>
    <row r="53" spans="2:22" x14ac:dyDescent="0.25">
      <c r="B53" t="s">
        <v>54</v>
      </c>
      <c r="D53" s="17">
        <v>1540.7175</v>
      </c>
      <c r="F53" s="98">
        <v>0</v>
      </c>
      <c r="G53" s="98"/>
      <c r="H53" s="29">
        <v>1923.412243</v>
      </c>
      <c r="I53" s="27">
        <f t="shared" si="5"/>
        <v>7.8598559794328698E-2</v>
      </c>
      <c r="J53" s="68">
        <f t="shared" si="6"/>
        <v>0.11789783969149306</v>
      </c>
      <c r="K53" s="17">
        <f>$D53*I53</f>
        <v>121.09817654991862</v>
      </c>
      <c r="L53" s="30">
        <f>$D53*J53</f>
        <v>181.64726482487796</v>
      </c>
      <c r="M53" s="30">
        <f t="shared" si="7"/>
        <v>-181.64726482487796</v>
      </c>
      <c r="N53" s="100">
        <f>L53/L$55</f>
        <v>2.8875551923566076E-3</v>
      </c>
      <c r="O53" s="56"/>
      <c r="P53" s="56" t="s">
        <v>182</v>
      </c>
      <c r="Q53" s="56"/>
      <c r="R53" s="56"/>
      <c r="S53" s="35"/>
      <c r="T53" s="35"/>
      <c r="U53" s="21"/>
      <c r="V53" s="35"/>
    </row>
    <row r="54" spans="2:22" x14ac:dyDescent="0.25">
      <c r="V54" s="20"/>
    </row>
    <row r="55" spans="2:22" s="48" customFormat="1" x14ac:dyDescent="0.25">
      <c r="B55" s="48" t="s">
        <v>111</v>
      </c>
      <c r="C55" s="71">
        <f>SUM(C12:C53)</f>
        <v>197958.44011528202</v>
      </c>
      <c r="D55" s="71">
        <f t="shared" ref="D55:L55" si="14">SUM(D12:D53)</f>
        <v>125750.72999999998</v>
      </c>
      <c r="E55" s="71">
        <f t="shared" si="14"/>
        <v>248237.2</v>
      </c>
      <c r="F55" s="71">
        <f t="shared" si="14"/>
        <v>142344.56172545088</v>
      </c>
      <c r="G55" s="72">
        <f>E55/C55</f>
        <v>1.2539864420806606</v>
      </c>
      <c r="H55" s="76"/>
      <c r="I55" s="71"/>
      <c r="J55" s="72">
        <f>L55/D55</f>
        <v>0.50025110187567889</v>
      </c>
      <c r="K55" s="71">
        <f t="shared" si="14"/>
        <v>41937.960829447329</v>
      </c>
      <c r="L55" s="71">
        <f t="shared" si="14"/>
        <v>62906.941244170986</v>
      </c>
      <c r="M55" s="71"/>
      <c r="N55" s="71"/>
      <c r="O55" s="27"/>
      <c r="P55" s="27"/>
      <c r="Q55" s="27"/>
      <c r="R55" s="20"/>
      <c r="S55" s="20"/>
      <c r="T55" s="20"/>
      <c r="V55" s="20"/>
    </row>
    <row r="56" spans="2:22" x14ac:dyDescent="0.25">
      <c r="B56" t="s">
        <v>112</v>
      </c>
      <c r="D56" s="27">
        <f>D55/C55</f>
        <v>0.63523803242119137</v>
      </c>
      <c r="F56" s="27">
        <f>F55/E55</f>
        <v>0.573421556984412</v>
      </c>
      <c r="L56" s="71"/>
    </row>
    <row r="57" spans="2:22" x14ac:dyDescent="0.25">
      <c r="D57" s="27"/>
      <c r="F57" s="27"/>
      <c r="L57" s="71"/>
    </row>
    <row r="58" spans="2:22" s="48" customFormat="1" x14ac:dyDescent="0.25">
      <c r="B58" s="93"/>
      <c r="C58" s="93"/>
      <c r="D58" s="102" t="s">
        <v>175</v>
      </c>
      <c r="F58" s="48" t="s">
        <v>171</v>
      </c>
      <c r="G58" s="48" t="s">
        <v>173</v>
      </c>
      <c r="H58" s="101"/>
      <c r="I58" s="48" t="s">
        <v>174</v>
      </c>
      <c r="J58" s="48" t="s">
        <v>172</v>
      </c>
      <c r="K58" s="15"/>
      <c r="L58" s="48" t="s">
        <v>170</v>
      </c>
    </row>
    <row r="59" spans="2:22" x14ac:dyDescent="0.25">
      <c r="D59" s="15" t="s">
        <v>168</v>
      </c>
      <c r="F59" s="17">
        <f>SUMIF(M12:M53,"&lt;0",F12:F53)</f>
        <v>7885.717621622035</v>
      </c>
      <c r="G59" s="27">
        <f>F59/L59</f>
        <v>0.54998279544022433</v>
      </c>
      <c r="I59" s="27">
        <v>0.62</v>
      </c>
      <c r="J59" s="27">
        <v>0.6</v>
      </c>
      <c r="K59" s="10"/>
      <c r="L59" s="17">
        <f>SUMIF(M12:M53,"&lt;0",L12:L53)</f>
        <v>14338.116913839182</v>
      </c>
    </row>
    <row r="60" spans="2:22" x14ac:dyDescent="0.25">
      <c r="D60" s="15" t="s">
        <v>169</v>
      </c>
      <c r="F60" s="17">
        <f>SUMIF(M12:M53,"&gt;0", F12:F53)</f>
        <v>134458.84410382886</v>
      </c>
      <c r="G60" s="27">
        <f>F60/L60</f>
        <v>2.768418753341281</v>
      </c>
      <c r="I60" s="27">
        <f>0.6*(G60-10)/(2-10)</f>
        <v>0.54236859349940392</v>
      </c>
      <c r="J60" s="27">
        <v>0.6</v>
      </c>
      <c r="L60" s="17">
        <f>SUMIF(M12:M52,"&gt;0",L12:L53)</f>
        <v>48568.824330331809</v>
      </c>
    </row>
    <row r="61" spans="2:22" x14ac:dyDescent="0.25">
      <c r="F61" s="17"/>
      <c r="L61" s="17"/>
    </row>
  </sheetData>
  <mergeCells count="1">
    <mergeCell ref="P11:Q1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BD4B7-D967-47B8-8A9D-DA11DC3232A7}">
  <dimension ref="B6:C11"/>
  <sheetViews>
    <sheetView workbookViewId="0">
      <selection activeCell="E28" sqref="E28"/>
    </sheetView>
  </sheetViews>
  <sheetFormatPr defaultRowHeight="15" x14ac:dyDescent="0.25"/>
  <sheetData>
    <row r="6" spans="2:3" x14ac:dyDescent="0.25">
      <c r="B6" s="10" t="s">
        <v>165</v>
      </c>
      <c r="C6" s="10" t="s">
        <v>166</v>
      </c>
    </row>
    <row r="7" spans="2:3" x14ac:dyDescent="0.25">
      <c r="B7">
        <v>0</v>
      </c>
      <c r="C7">
        <v>0</v>
      </c>
    </row>
    <row r="8" spans="2:3" x14ac:dyDescent="0.25">
      <c r="B8">
        <v>0.6</v>
      </c>
      <c r="C8">
        <v>0.6</v>
      </c>
    </row>
    <row r="9" spans="2:3" x14ac:dyDescent="0.25">
      <c r="B9">
        <v>1</v>
      </c>
      <c r="C9">
        <v>1</v>
      </c>
    </row>
    <row r="10" spans="2:3" x14ac:dyDescent="0.25">
      <c r="B10">
        <v>2</v>
      </c>
      <c r="C10">
        <v>0.6</v>
      </c>
    </row>
    <row r="11" spans="2:3" x14ac:dyDescent="0.25">
      <c r="B11">
        <v>10</v>
      </c>
      <c r="C11">
        <v>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bestand</vt:lpstr>
      <vt:lpstr>bestandsmål</vt:lpstr>
      <vt:lpstr>ref &amp; GØT</vt:lpstr>
      <vt:lpstr>skaleringsfunk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Erik Framstad</dc:creator>
  <cp:lastModifiedBy>Anders Kolstad</cp:lastModifiedBy>
  <dcterms:created xsi:type="dcterms:W3CDTF">2021-11-05T09:56:40Z</dcterms:created>
  <dcterms:modified xsi:type="dcterms:W3CDTF">2021-12-02T14:48:10Z</dcterms:modified>
</cp:coreProperties>
</file>